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0-Road\"/>
    </mc:Choice>
  </mc:AlternateContent>
  <xr:revisionPtr revIDLastSave="0" documentId="13_ncr:1_{6CE275A3-0F0B-4CF1-8C03-8D3713D313E6}" xr6:coauthVersionLast="47" xr6:coauthVersionMax="47" xr10:uidLastSave="{00000000-0000-0000-0000-000000000000}"/>
  <bookViews>
    <workbookView xWindow="690" yWindow="960" windowWidth="25800" windowHeight="14640" activeTab="5" xr2:uid="{00000000-000D-0000-FFFF-FFFF00000000}"/>
  </bookViews>
  <sheets>
    <sheet name="Road Evaluations" sheetId="1" r:id="rId1"/>
    <sheet name="5Year" sheetId="32" r:id="rId2"/>
    <sheet name="Goal Tracker" sheetId="24" r:id="rId3"/>
    <sheet name="LIST BY TYPE OF WORK" sheetId="25" r:id="rId4"/>
    <sheet name="Work for the Year" sheetId="15" r:id="rId5"/>
    <sheet name="BUDJET Year" sheetId="2" r:id="rId6"/>
    <sheet name="Road Condition" sheetId="21" r:id="rId7"/>
    <sheet name="Cost and Score" sheetId="16" r:id="rId8"/>
    <sheet name="Money per area" sheetId="14" r:id="rId9"/>
    <sheet name="RSL" sheetId="18" r:id="rId10"/>
  </sheets>
  <externalReferences>
    <externalReference r:id="rId11"/>
    <externalReference r:id="rId12"/>
    <externalReference r:id="rId13"/>
  </externalReferences>
  <definedNames>
    <definedName name="_xlnm._FilterDatabase" localSheetId="1" hidden="1">'5Year'!$A$1:$F$36</definedName>
    <definedName name="_xlnm._FilterDatabase" localSheetId="7" hidden="1">'Cost and Score'!$A$2:$C$10</definedName>
    <definedName name="_xlnm._FilterDatabase" localSheetId="0" hidden="1">'Road Evaluations'!$A$1:$CY$1179</definedName>
    <definedName name="AADT" localSheetId="2">'[1]Cost and Score'!$F$2:$G$5</definedName>
    <definedName name="AADT">'Cost and Score'!$F$2:$G$5</definedName>
    <definedName name="ADT">'Road Evaluations'!$C$3:$AA$1179</definedName>
    <definedName name="Cost" localSheetId="2">'[1]Cost and Score'!$B$28:$C$43</definedName>
    <definedName name="Cost">'Cost and Score'!$B$28:$C$44</definedName>
    <definedName name="NeighborhoodData">OFFSET([2]Sheet8!$A$1,0,0,COUNTA([2]Sheet8!$A:$A),1)</definedName>
    <definedName name="ROADEVAL">'Road Evaluations'!$C$1:$AG$1179</definedName>
    <definedName name="RSL" localSheetId="2">'[1]Cost and Score'!$B$27:$O$39</definedName>
    <definedName name="RSL">'Cost and Score'!$B$27:$O$40</definedName>
    <definedName name="RSLloss" localSheetId="2">'[1]Cost and Score'!$E$43:$G$53</definedName>
    <definedName name="RSLloss">'Cost and Score'!$E$44:$G$54</definedName>
    <definedName name="RSLrem" localSheetId="2">'[1]Cost and Score'!$E$43:$F$53</definedName>
    <definedName name="RSLrem">'Cost and Score'!$E$44:$F$54</definedName>
    <definedName name="TestRange">#REF!</definedName>
    <definedName name="Township">'Cost and Score'!$B$1:$C$10</definedName>
    <definedName name="TOWNSHIPS" localSheetId="2">'[1]Cost and Score'!$B$2:$C$10</definedName>
    <definedName name="TOWNSHIPS">'Cost and Score'!$B$2:$C$10</definedName>
    <definedName name="treatment">'Cost and Score'!$C$62:$C$114</definedName>
  </definedNames>
  <calcPr calcId="191029"/>
  <pivotCaches>
    <pivotCache cacheId="0" r:id="rId14"/>
    <pivotCache cacheId="1" r:id="rId15"/>
    <pivotCache cacheId="10" r:id="rId16"/>
    <pivotCache cacheId="17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68" i="1" l="1"/>
  <c r="AD399" i="1"/>
  <c r="C6" i="24"/>
  <c r="C8" i="24"/>
  <c r="C9" i="24"/>
  <c r="C11" i="24"/>
  <c r="C13" i="24"/>
  <c r="C14" i="24"/>
  <c r="C15" i="24"/>
  <c r="AI461" i="1"/>
  <c r="AD1109" i="1"/>
  <c r="AD1108" i="1"/>
  <c r="AD1107" i="1"/>
  <c r="P33" i="16"/>
  <c r="BA399" i="1"/>
  <c r="BT399" i="1"/>
  <c r="AO39" i="1"/>
  <c r="AP39" i="1"/>
  <c r="AO622" i="1"/>
  <c r="AP622" i="1"/>
  <c r="AO41" i="1"/>
  <c r="AP41" i="1"/>
  <c r="AO42" i="1"/>
  <c r="AP42" i="1"/>
  <c r="AO424" i="1"/>
  <c r="AP424" i="1"/>
  <c r="AO56" i="1"/>
  <c r="AP56" i="1"/>
  <c r="AO45" i="1"/>
  <c r="AP45" i="1"/>
  <c r="AO46" i="1"/>
  <c r="AP46" i="1"/>
  <c r="AO47" i="1"/>
  <c r="AP47" i="1"/>
  <c r="AO48" i="1"/>
  <c r="AP48" i="1"/>
  <c r="AP49" i="1"/>
  <c r="AP50" i="1"/>
  <c r="AP51" i="1"/>
  <c r="AP52" i="1"/>
  <c r="AP53" i="1"/>
  <c r="AO97" i="1"/>
  <c r="AP97" i="1"/>
  <c r="AP55" i="1"/>
  <c r="AO644" i="1"/>
  <c r="AP644" i="1"/>
  <c r="AO57" i="1"/>
  <c r="AP57" i="1"/>
  <c r="AO58" i="1"/>
  <c r="AP58" i="1"/>
  <c r="AO217" i="1"/>
  <c r="AP217" i="1"/>
  <c r="AO60" i="1"/>
  <c r="AP60" i="1"/>
  <c r="AO61" i="1"/>
  <c r="AP61" i="1"/>
  <c r="AO62" i="1"/>
  <c r="AP62" i="1"/>
  <c r="AO63" i="1"/>
  <c r="AP63" i="1"/>
  <c r="AO64" i="1"/>
  <c r="AP64" i="1"/>
  <c r="AP65" i="1"/>
  <c r="AO66" i="1"/>
  <c r="AP66" i="1"/>
  <c r="AO67" i="1"/>
  <c r="AP67" i="1"/>
  <c r="AO433" i="1"/>
  <c r="AP433" i="1"/>
  <c r="AO69" i="1"/>
  <c r="AP69" i="1"/>
  <c r="AO1116" i="1"/>
  <c r="AP1116" i="1"/>
  <c r="AO71" i="1"/>
  <c r="AP71" i="1"/>
  <c r="AO72" i="1"/>
  <c r="AP72" i="1"/>
  <c r="AO73" i="1"/>
  <c r="AP73" i="1"/>
  <c r="AO435" i="1"/>
  <c r="AP435" i="1"/>
  <c r="AO75" i="1"/>
  <c r="AP75" i="1"/>
  <c r="AO76" i="1"/>
  <c r="AP76" i="1"/>
  <c r="AO77" i="1"/>
  <c r="AP77" i="1"/>
  <c r="AO78" i="1"/>
  <c r="AP78" i="1"/>
  <c r="AO79" i="1"/>
  <c r="AP79" i="1"/>
  <c r="AO80" i="1"/>
  <c r="AP80" i="1"/>
  <c r="AO81" i="1"/>
  <c r="AP81" i="1"/>
  <c r="AO82" i="1"/>
  <c r="AP82" i="1"/>
  <c r="AO83" i="1"/>
  <c r="AP83" i="1"/>
  <c r="AO84" i="1"/>
  <c r="AP84" i="1"/>
  <c r="AO85" i="1"/>
  <c r="AP85" i="1"/>
  <c r="AO86" i="1"/>
  <c r="AP86" i="1"/>
  <c r="AO43" i="1"/>
  <c r="AP43" i="1"/>
  <c r="AO88" i="1"/>
  <c r="AP88" i="1"/>
  <c r="AO89" i="1"/>
  <c r="AP89" i="1"/>
  <c r="AO90" i="1"/>
  <c r="AP90" i="1"/>
  <c r="AO426" i="1"/>
  <c r="AP426" i="1"/>
  <c r="AO609" i="1"/>
  <c r="AP609" i="1"/>
  <c r="AO430" i="1"/>
  <c r="AP430" i="1"/>
  <c r="AO94" i="1"/>
  <c r="AP94" i="1"/>
  <c r="AO95" i="1"/>
  <c r="AP95" i="1"/>
  <c r="AO397" i="1"/>
  <c r="AP397" i="1"/>
  <c r="AO635" i="1"/>
  <c r="AP635" i="1"/>
  <c r="AO631" i="1"/>
  <c r="AP631" i="1"/>
  <c r="AO403" i="1"/>
  <c r="AP403" i="1"/>
  <c r="AO100" i="1"/>
  <c r="AP100" i="1"/>
  <c r="AO101" i="1"/>
  <c r="AP101" i="1"/>
  <c r="AO453" i="1"/>
  <c r="AP453" i="1"/>
  <c r="AO455" i="1"/>
  <c r="AP455" i="1"/>
  <c r="AO104" i="1"/>
  <c r="AP104" i="1"/>
  <c r="AO105" i="1"/>
  <c r="AP105" i="1"/>
  <c r="AO106" i="1"/>
  <c r="AP106" i="1"/>
  <c r="AO107" i="1"/>
  <c r="AP107" i="1"/>
  <c r="AO108" i="1"/>
  <c r="AP108" i="1"/>
  <c r="AO109" i="1"/>
  <c r="AP109" i="1"/>
  <c r="AO110" i="1"/>
  <c r="AP110" i="1"/>
  <c r="AO111" i="1"/>
  <c r="AP111" i="1"/>
  <c r="AO112" i="1"/>
  <c r="AP112" i="1"/>
  <c r="AO113" i="1"/>
  <c r="AP113" i="1"/>
  <c r="AO114" i="1"/>
  <c r="AP114" i="1"/>
  <c r="AO115" i="1"/>
  <c r="AP115" i="1"/>
  <c r="AO457" i="1"/>
  <c r="AP457" i="1"/>
  <c r="AO117" i="1"/>
  <c r="AP117" i="1"/>
  <c r="AO118" i="1"/>
  <c r="AP118" i="1"/>
  <c r="AP119" i="1"/>
  <c r="AP120" i="1"/>
  <c r="AO121" i="1"/>
  <c r="AP121" i="1"/>
  <c r="AP122" i="1"/>
  <c r="AO123" i="1"/>
  <c r="AP123" i="1"/>
  <c r="AO124" i="1"/>
  <c r="AP124" i="1"/>
  <c r="AO125" i="1"/>
  <c r="AP125" i="1"/>
  <c r="AO126" i="1"/>
  <c r="AP126" i="1"/>
  <c r="AO127" i="1"/>
  <c r="AP127" i="1"/>
  <c r="AO68" i="1"/>
  <c r="AP68" i="1"/>
  <c r="AO129" i="1"/>
  <c r="AP129" i="1"/>
  <c r="AO130" i="1"/>
  <c r="AP130" i="1"/>
  <c r="AP131" i="1"/>
  <c r="AO132" i="1"/>
  <c r="AP132" i="1"/>
  <c r="AO133" i="1"/>
  <c r="AP133" i="1"/>
  <c r="AO134" i="1"/>
  <c r="AP134" i="1"/>
  <c r="AO135" i="1"/>
  <c r="AP135" i="1"/>
  <c r="AO136" i="1"/>
  <c r="AP136" i="1"/>
  <c r="AO137" i="1"/>
  <c r="AP137" i="1"/>
  <c r="AO138" i="1"/>
  <c r="AP138" i="1"/>
  <c r="AO139" i="1"/>
  <c r="AP139" i="1"/>
  <c r="AO353" i="1"/>
  <c r="AP353" i="1"/>
  <c r="AO141" i="1"/>
  <c r="AP141" i="1"/>
  <c r="AO142" i="1"/>
  <c r="AP142" i="1"/>
  <c r="AO143" i="1"/>
  <c r="AP143" i="1"/>
  <c r="AO144" i="1"/>
  <c r="AP144" i="1"/>
  <c r="AO145" i="1"/>
  <c r="AP145" i="1"/>
  <c r="AO70" i="1"/>
  <c r="AP70" i="1"/>
  <c r="AO147" i="1"/>
  <c r="AP147" i="1"/>
  <c r="AO148" i="1"/>
  <c r="AP148" i="1"/>
  <c r="AO149" i="1"/>
  <c r="AP149" i="1"/>
  <c r="AO175" i="1"/>
  <c r="AP175" i="1"/>
  <c r="AO151" i="1"/>
  <c r="AP151" i="1"/>
  <c r="AO152" i="1"/>
  <c r="AP152" i="1"/>
  <c r="AO153" i="1"/>
  <c r="AP153" i="1"/>
  <c r="AO154" i="1"/>
  <c r="AP154" i="1"/>
  <c r="AO155" i="1"/>
  <c r="AP155" i="1"/>
  <c r="AO156" i="1"/>
  <c r="AP156" i="1"/>
  <c r="AO157" i="1"/>
  <c r="AP157" i="1"/>
  <c r="AO158" i="1"/>
  <c r="AP158" i="1"/>
  <c r="AO159" i="1"/>
  <c r="AP159" i="1"/>
  <c r="AO160" i="1"/>
  <c r="AP160" i="1"/>
  <c r="AO161" i="1"/>
  <c r="AP161" i="1"/>
  <c r="AO162" i="1"/>
  <c r="AP162" i="1"/>
  <c r="AO163" i="1"/>
  <c r="AP163" i="1"/>
  <c r="AO164" i="1"/>
  <c r="AP164" i="1"/>
  <c r="AO165" i="1"/>
  <c r="AP165" i="1"/>
  <c r="AO166" i="1"/>
  <c r="AP166" i="1"/>
  <c r="AO167" i="1"/>
  <c r="AP167" i="1"/>
  <c r="AO168" i="1"/>
  <c r="AP168" i="1"/>
  <c r="AO169" i="1"/>
  <c r="AP169" i="1"/>
  <c r="AO170" i="1"/>
  <c r="AP170" i="1"/>
  <c r="AO171" i="1"/>
  <c r="AP171" i="1"/>
  <c r="AO172" i="1"/>
  <c r="AP172" i="1"/>
  <c r="AO173" i="1"/>
  <c r="AP173" i="1"/>
  <c r="AO103" i="1"/>
  <c r="AP103" i="1"/>
  <c r="AO99" i="1"/>
  <c r="AP99" i="1"/>
  <c r="AO102" i="1"/>
  <c r="AP102" i="1"/>
  <c r="AO177" i="1"/>
  <c r="AP177" i="1"/>
  <c r="AO178" i="1"/>
  <c r="AP178" i="1"/>
  <c r="AO179" i="1"/>
  <c r="AP179" i="1"/>
  <c r="AO320" i="1"/>
  <c r="AP320" i="1"/>
  <c r="AO174" i="1"/>
  <c r="AP174" i="1"/>
  <c r="AO182" i="1"/>
  <c r="AP182" i="1"/>
  <c r="AO1166" i="1"/>
  <c r="AP1166" i="1"/>
  <c r="AO459" i="1"/>
  <c r="AP459" i="1"/>
  <c r="AO185" i="1"/>
  <c r="AP185" i="1"/>
  <c r="AO186" i="1"/>
  <c r="AP186" i="1"/>
  <c r="AO187" i="1"/>
  <c r="AP187" i="1"/>
  <c r="AO188" i="1"/>
  <c r="AP188" i="1"/>
  <c r="AO487" i="1"/>
  <c r="AP487" i="1"/>
  <c r="AO190" i="1"/>
  <c r="AP190" i="1"/>
  <c r="AO191" i="1"/>
  <c r="AP191" i="1"/>
  <c r="AO192" i="1"/>
  <c r="AP192" i="1"/>
  <c r="AO355" i="1"/>
  <c r="AP355" i="1"/>
  <c r="AO194" i="1"/>
  <c r="AP194" i="1"/>
  <c r="AO195" i="1"/>
  <c r="AP195" i="1"/>
  <c r="AO196" i="1"/>
  <c r="AP196" i="1"/>
  <c r="AO197" i="1"/>
  <c r="AP197" i="1"/>
  <c r="AO198" i="1"/>
  <c r="AP198" i="1"/>
  <c r="AO199" i="1"/>
  <c r="AP199" i="1"/>
  <c r="AO200" i="1"/>
  <c r="AP200" i="1"/>
  <c r="AO201" i="1"/>
  <c r="AP201" i="1"/>
  <c r="AO202" i="1"/>
  <c r="AP202" i="1"/>
  <c r="AO203" i="1"/>
  <c r="AP203" i="1"/>
  <c r="AO204" i="1"/>
  <c r="AP204" i="1"/>
  <c r="AO93" i="1"/>
  <c r="AP93" i="1"/>
  <c r="AO959" i="1"/>
  <c r="AP959" i="1"/>
  <c r="AO207" i="1"/>
  <c r="AP207" i="1"/>
  <c r="AO1016" i="1"/>
  <c r="AP1016" i="1"/>
  <c r="AO209" i="1"/>
  <c r="AP209" i="1"/>
  <c r="AO210" i="1"/>
  <c r="AP210" i="1"/>
  <c r="AO211" i="1"/>
  <c r="AP211" i="1"/>
  <c r="AO212" i="1"/>
  <c r="AP212" i="1"/>
  <c r="AO213" i="1"/>
  <c r="AP213" i="1"/>
  <c r="AO214" i="1"/>
  <c r="AP214" i="1"/>
  <c r="AO215" i="1"/>
  <c r="AP215" i="1"/>
  <c r="AO216" i="1"/>
  <c r="AP216" i="1"/>
  <c r="AO54" i="1"/>
  <c r="AP54" i="1"/>
  <c r="AO218" i="1"/>
  <c r="AP218" i="1"/>
  <c r="AO219" i="1"/>
  <c r="AP219" i="1"/>
  <c r="AO220" i="1"/>
  <c r="AP220" i="1"/>
  <c r="AO221" i="1"/>
  <c r="AP221" i="1"/>
  <c r="AO222" i="1"/>
  <c r="AP222" i="1"/>
  <c r="AO116" i="1"/>
  <c r="AP116" i="1"/>
  <c r="AO224" i="1"/>
  <c r="AP224" i="1"/>
  <c r="AO225" i="1"/>
  <c r="AP225" i="1"/>
  <c r="AO74" i="1"/>
  <c r="AP74" i="1"/>
  <c r="AO87" i="1"/>
  <c r="AP87" i="1"/>
  <c r="AO228" i="1"/>
  <c r="AP228" i="1"/>
  <c r="AO229" i="1"/>
  <c r="AP229" i="1"/>
  <c r="AO230" i="1"/>
  <c r="AP230" i="1"/>
  <c r="AO231" i="1"/>
  <c r="AP231" i="1"/>
  <c r="AO232" i="1"/>
  <c r="AP232" i="1"/>
  <c r="AO233" i="1"/>
  <c r="AP233" i="1"/>
  <c r="AO234" i="1"/>
  <c r="AP234" i="1"/>
  <c r="AO1015" i="1"/>
  <c r="AP1015" i="1"/>
  <c r="AO236" i="1"/>
  <c r="AP236" i="1"/>
  <c r="AO237" i="1"/>
  <c r="AP237" i="1"/>
  <c r="AO238" i="1"/>
  <c r="AP238" i="1"/>
  <c r="AO239" i="1"/>
  <c r="AP239" i="1"/>
  <c r="AO240" i="1"/>
  <c r="AP240" i="1"/>
  <c r="AO241" i="1"/>
  <c r="AP241" i="1"/>
  <c r="AO1088" i="1"/>
  <c r="AP1088" i="1"/>
  <c r="AO243" i="1"/>
  <c r="AP243" i="1"/>
  <c r="AO244" i="1"/>
  <c r="AP244" i="1"/>
  <c r="AO432" i="1"/>
  <c r="AP432" i="1"/>
  <c r="AO246" i="1"/>
  <c r="AP246" i="1"/>
  <c r="AO247" i="1"/>
  <c r="AP247" i="1"/>
  <c r="AO248" i="1"/>
  <c r="AP248" i="1"/>
  <c r="AO249" i="1"/>
  <c r="AP249" i="1"/>
  <c r="AO250" i="1"/>
  <c r="AP250" i="1"/>
  <c r="AO269" i="1"/>
  <c r="AP269" i="1"/>
  <c r="AO350" i="1"/>
  <c r="AP350" i="1"/>
  <c r="AO235" i="1"/>
  <c r="AP235" i="1"/>
  <c r="AO254" i="1"/>
  <c r="AP254" i="1"/>
  <c r="AO255" i="1"/>
  <c r="AP255" i="1"/>
  <c r="AO256" i="1"/>
  <c r="AP256" i="1"/>
  <c r="AO257" i="1"/>
  <c r="AP257" i="1"/>
  <c r="AO258" i="1"/>
  <c r="AP258" i="1"/>
  <c r="AO30" i="1"/>
  <c r="AP30" i="1"/>
  <c r="AO260" i="1"/>
  <c r="AP260" i="1"/>
  <c r="AO261" i="1"/>
  <c r="AP261" i="1"/>
  <c r="AO262" i="1"/>
  <c r="AP262" i="1"/>
  <c r="AO263" i="1"/>
  <c r="AP263" i="1"/>
  <c r="AO264" i="1"/>
  <c r="AP264" i="1"/>
  <c r="AO189" i="1"/>
  <c r="AP189" i="1"/>
  <c r="AO266" i="1"/>
  <c r="AP266" i="1"/>
  <c r="AO267" i="1"/>
  <c r="AP267" i="1"/>
  <c r="AO268" i="1"/>
  <c r="AP268" i="1"/>
  <c r="AO287" i="1"/>
  <c r="AP287" i="1"/>
  <c r="AO270" i="1"/>
  <c r="AP270" i="1"/>
  <c r="AO32" i="1"/>
  <c r="AP32" i="1"/>
  <c r="AO272" i="1"/>
  <c r="AP272" i="1"/>
  <c r="AO273" i="1"/>
  <c r="AP273" i="1"/>
  <c r="AO274" i="1"/>
  <c r="AP274" i="1"/>
  <c r="AO275" i="1"/>
  <c r="AP275" i="1"/>
  <c r="AO276" i="1"/>
  <c r="AP276" i="1"/>
  <c r="AO128" i="1"/>
  <c r="AP128" i="1"/>
  <c r="AO278" i="1"/>
  <c r="AP278" i="1"/>
  <c r="AO279" i="1"/>
  <c r="AP279" i="1"/>
  <c r="AO280" i="1"/>
  <c r="AP280" i="1"/>
  <c r="AO281" i="1"/>
  <c r="AP281" i="1"/>
  <c r="AO282" i="1"/>
  <c r="AP282" i="1"/>
  <c r="AO283" i="1"/>
  <c r="AP283" i="1"/>
  <c r="AO284" i="1"/>
  <c r="AP284" i="1"/>
  <c r="AO288" i="1"/>
  <c r="AP288" i="1"/>
  <c r="AO286" i="1"/>
  <c r="AP286" i="1"/>
  <c r="AO312" i="1"/>
  <c r="AP312" i="1"/>
  <c r="AO411" i="1"/>
  <c r="AP411" i="1"/>
  <c r="AO289" i="1"/>
  <c r="AP289" i="1"/>
  <c r="AO290" i="1"/>
  <c r="AP290" i="1"/>
  <c r="AO291" i="1"/>
  <c r="AP291" i="1"/>
  <c r="AO292" i="1"/>
  <c r="AP292" i="1"/>
  <c r="AO293" i="1"/>
  <c r="AP293" i="1"/>
  <c r="AO294" i="1"/>
  <c r="AP294" i="1"/>
  <c r="AO295" i="1"/>
  <c r="AP295" i="1"/>
  <c r="AO296" i="1"/>
  <c r="AP296" i="1"/>
  <c r="AO297" i="1"/>
  <c r="AP297" i="1"/>
  <c r="AO298" i="1"/>
  <c r="AP298" i="1"/>
  <c r="AO299" i="1"/>
  <c r="AP299" i="1"/>
  <c r="AO300" i="1"/>
  <c r="AP300" i="1"/>
  <c r="AO1089" i="1"/>
  <c r="AP1089" i="1"/>
  <c r="AO302" i="1"/>
  <c r="AP302" i="1"/>
  <c r="AO303" i="1"/>
  <c r="AP303" i="1"/>
  <c r="AO304" i="1"/>
  <c r="AP304" i="1"/>
  <c r="AO305" i="1"/>
  <c r="AP305" i="1"/>
  <c r="AO1090" i="1"/>
  <c r="AP1090" i="1"/>
  <c r="AO1020" i="1"/>
  <c r="AP1020" i="1"/>
  <c r="AO637" i="1"/>
  <c r="AP637" i="1"/>
  <c r="AO309" i="1"/>
  <c r="AP309" i="1"/>
  <c r="AO310" i="1"/>
  <c r="AP310" i="1"/>
  <c r="AO311" i="1"/>
  <c r="AP311" i="1"/>
  <c r="AO16" i="1"/>
  <c r="AP16" i="1"/>
  <c r="AO313" i="1"/>
  <c r="AP313" i="1"/>
  <c r="AO641" i="1"/>
  <c r="AP641" i="1"/>
  <c r="AO315" i="1"/>
  <c r="AP315" i="1"/>
  <c r="AO316" i="1"/>
  <c r="AP316" i="1"/>
  <c r="AO317" i="1"/>
  <c r="AP317" i="1"/>
  <c r="AO318" i="1"/>
  <c r="AP318" i="1"/>
  <c r="AO319" i="1"/>
  <c r="AP319" i="1"/>
  <c r="AO184" i="1"/>
  <c r="AP184" i="1"/>
  <c r="AO321" i="1"/>
  <c r="AP321" i="1"/>
  <c r="AO322" i="1"/>
  <c r="AP322" i="1"/>
  <c r="AO245" i="1"/>
  <c r="AP245" i="1"/>
  <c r="AO1019" i="1"/>
  <c r="AP1019" i="1"/>
  <c r="AO1098" i="1"/>
  <c r="AP1098" i="1"/>
  <c r="AO326" i="1"/>
  <c r="AP326" i="1"/>
  <c r="AO327" i="1"/>
  <c r="AP327" i="1"/>
  <c r="AO328" i="1"/>
  <c r="AP328" i="1"/>
  <c r="AO329" i="1"/>
  <c r="AP329" i="1"/>
  <c r="AO226" i="1"/>
  <c r="AP226" i="1"/>
  <c r="AO331" i="1"/>
  <c r="AP331" i="1"/>
  <c r="AO13" i="1"/>
  <c r="AP13" i="1"/>
  <c r="AO333" i="1"/>
  <c r="AP333" i="1"/>
  <c r="AO334" i="1"/>
  <c r="AP334" i="1"/>
  <c r="AO335" i="1"/>
  <c r="AP335" i="1"/>
  <c r="AO336" i="1"/>
  <c r="AP336" i="1"/>
  <c r="AO337" i="1"/>
  <c r="AP337" i="1"/>
  <c r="AO338" i="1"/>
  <c r="AP338" i="1"/>
  <c r="AO339" i="1"/>
  <c r="AP339" i="1"/>
  <c r="AO340" i="1"/>
  <c r="AP340" i="1"/>
  <c r="AO341" i="1"/>
  <c r="AP341" i="1"/>
  <c r="AO342" i="1"/>
  <c r="AP342" i="1"/>
  <c r="AO343" i="1"/>
  <c r="AP343" i="1"/>
  <c r="AO344" i="1"/>
  <c r="AP344" i="1"/>
  <c r="AO345" i="1"/>
  <c r="AP345" i="1"/>
  <c r="AO15" i="1"/>
  <c r="AP15" i="1"/>
  <c r="AO347" i="1"/>
  <c r="AP347" i="1"/>
  <c r="AO348" i="1"/>
  <c r="AP348" i="1"/>
  <c r="AO349" i="1"/>
  <c r="AP349" i="1"/>
  <c r="AO271" i="1"/>
  <c r="AP271" i="1"/>
  <c r="AO351" i="1"/>
  <c r="AP351" i="1"/>
  <c r="AO352" i="1"/>
  <c r="AP352" i="1"/>
  <c r="AO277" i="1"/>
  <c r="AP277" i="1"/>
  <c r="AO354" i="1"/>
  <c r="AP354" i="1"/>
  <c r="AO489" i="1"/>
  <c r="AP489" i="1"/>
  <c r="AO356" i="1"/>
  <c r="AP356" i="1"/>
  <c r="AO357" i="1"/>
  <c r="AP357" i="1"/>
  <c r="AO358" i="1"/>
  <c r="AP358" i="1"/>
  <c r="AO359" i="1"/>
  <c r="AP359" i="1"/>
  <c r="AO360" i="1"/>
  <c r="AP360" i="1"/>
  <c r="AO361" i="1"/>
  <c r="AP361" i="1"/>
  <c r="AO362" i="1"/>
  <c r="AP362" i="1"/>
  <c r="AO363" i="1"/>
  <c r="AP363" i="1"/>
  <c r="AO364" i="1"/>
  <c r="AP364" i="1"/>
  <c r="AO365" i="1"/>
  <c r="AP365" i="1"/>
  <c r="AO366" i="1"/>
  <c r="AP366" i="1"/>
  <c r="AO367" i="1"/>
  <c r="AP367" i="1"/>
  <c r="AO368" i="1"/>
  <c r="AP368" i="1"/>
  <c r="AO369" i="1"/>
  <c r="AP369" i="1"/>
  <c r="AO370" i="1"/>
  <c r="AP370" i="1"/>
  <c r="AO371" i="1"/>
  <c r="AP371" i="1"/>
  <c r="AO372" i="1"/>
  <c r="AP372" i="1"/>
  <c r="AO373" i="1"/>
  <c r="AP373" i="1"/>
  <c r="AO374" i="1"/>
  <c r="AP374" i="1"/>
  <c r="AO375" i="1"/>
  <c r="AP375" i="1"/>
  <c r="AO376" i="1"/>
  <c r="AP376" i="1"/>
  <c r="AO377" i="1"/>
  <c r="AP377" i="1"/>
  <c r="AO378" i="1"/>
  <c r="AP378" i="1"/>
  <c r="AO379" i="1"/>
  <c r="AP379" i="1"/>
  <c r="AO380" i="1"/>
  <c r="AP380" i="1"/>
  <c r="AO381" i="1"/>
  <c r="AP381" i="1"/>
  <c r="AO382" i="1"/>
  <c r="AP382" i="1"/>
  <c r="AO383" i="1"/>
  <c r="AP383" i="1"/>
  <c r="AO384" i="1"/>
  <c r="AP384" i="1"/>
  <c r="AO385" i="1"/>
  <c r="AP385" i="1"/>
  <c r="AO386" i="1"/>
  <c r="AP386" i="1"/>
  <c r="AO387" i="1"/>
  <c r="AP387" i="1"/>
  <c r="AO388" i="1"/>
  <c r="AP388" i="1"/>
  <c r="AO389" i="1"/>
  <c r="AP389" i="1"/>
  <c r="AO390" i="1"/>
  <c r="AP390" i="1"/>
  <c r="AO391" i="1"/>
  <c r="AP391" i="1"/>
  <c r="AO183" i="1"/>
  <c r="AP183" i="1"/>
  <c r="AO242" i="1"/>
  <c r="AP242" i="1"/>
  <c r="AO394" i="1"/>
  <c r="AP394" i="1"/>
  <c r="AO395" i="1"/>
  <c r="AP395" i="1"/>
  <c r="AO396" i="1"/>
  <c r="AP396" i="1"/>
  <c r="AO227" i="1"/>
  <c r="AP227" i="1"/>
  <c r="AO398" i="1"/>
  <c r="AP398" i="1"/>
  <c r="AO400" i="1"/>
  <c r="AP400" i="1"/>
  <c r="AO401" i="1"/>
  <c r="AP401" i="1"/>
  <c r="AO402" i="1"/>
  <c r="AP402" i="1"/>
  <c r="AO513" i="1"/>
  <c r="AP513" i="1"/>
  <c r="AO404" i="1"/>
  <c r="AP404" i="1"/>
  <c r="AO405" i="1"/>
  <c r="AP405" i="1"/>
  <c r="AO406" i="1"/>
  <c r="AP406" i="1"/>
  <c r="AO407" i="1"/>
  <c r="AP407" i="1"/>
  <c r="AO181" i="1"/>
  <c r="AP181" i="1"/>
  <c r="AO409" i="1"/>
  <c r="AP409" i="1"/>
  <c r="AO410" i="1"/>
  <c r="AP410" i="1"/>
  <c r="AO150" i="1"/>
  <c r="AP150" i="1"/>
  <c r="AO412" i="1"/>
  <c r="AP412" i="1"/>
  <c r="AO413" i="1"/>
  <c r="AP413" i="1"/>
  <c r="AO414" i="1"/>
  <c r="AP414" i="1"/>
  <c r="AO415" i="1"/>
  <c r="AP415" i="1"/>
  <c r="AO518" i="1"/>
  <c r="AP518" i="1"/>
  <c r="AO417" i="1"/>
  <c r="AP417" i="1"/>
  <c r="AO418" i="1"/>
  <c r="AP418" i="1"/>
  <c r="AO419" i="1"/>
  <c r="AP419" i="1"/>
  <c r="AO420" i="1"/>
  <c r="AP420" i="1"/>
  <c r="AO522" i="1"/>
  <c r="AP522" i="1"/>
  <c r="AO422" i="1"/>
  <c r="AP422" i="1"/>
  <c r="AO423" i="1"/>
  <c r="AP423" i="1"/>
  <c r="AO259" i="1"/>
  <c r="AP259" i="1"/>
  <c r="AO425" i="1"/>
  <c r="AP425" i="1"/>
  <c r="AO206" i="1"/>
  <c r="AP206" i="1"/>
  <c r="AO427" i="1"/>
  <c r="AP427" i="1"/>
  <c r="AO428" i="1"/>
  <c r="AP428" i="1"/>
  <c r="AO429" i="1"/>
  <c r="AP429" i="1"/>
  <c r="AO323" i="1"/>
  <c r="AP323" i="1"/>
  <c r="AO252" i="1"/>
  <c r="AP252" i="1"/>
  <c r="AO251" i="1"/>
  <c r="AP251" i="1"/>
  <c r="AO265" i="1"/>
  <c r="AP265" i="1"/>
  <c r="AO434" i="1"/>
  <c r="AP434" i="1"/>
  <c r="AO595" i="1"/>
  <c r="AP595" i="1"/>
  <c r="AO436" i="1"/>
  <c r="AP436" i="1"/>
  <c r="AO437" i="1"/>
  <c r="AP437" i="1"/>
  <c r="AO438" i="1"/>
  <c r="AP438" i="1"/>
  <c r="AO439" i="1"/>
  <c r="AP439" i="1"/>
  <c r="AO440" i="1"/>
  <c r="AP440" i="1"/>
  <c r="AO441" i="1"/>
  <c r="AP441" i="1"/>
  <c r="AO442" i="1"/>
  <c r="AP442" i="1"/>
  <c r="AO443" i="1"/>
  <c r="AP443" i="1"/>
  <c r="AO444" i="1"/>
  <c r="AP444" i="1"/>
  <c r="AO445" i="1"/>
  <c r="AP445" i="1"/>
  <c r="AO446" i="1"/>
  <c r="AP446" i="1"/>
  <c r="AO447" i="1"/>
  <c r="AP447" i="1"/>
  <c r="AO448" i="1"/>
  <c r="AP448" i="1"/>
  <c r="AO449" i="1"/>
  <c r="AP449" i="1"/>
  <c r="AO450" i="1"/>
  <c r="AP450" i="1"/>
  <c r="AO451" i="1"/>
  <c r="AP451" i="1"/>
  <c r="AO452" i="1"/>
  <c r="AP452" i="1"/>
  <c r="AO992" i="1"/>
  <c r="AP992" i="1"/>
  <c r="AO454" i="1"/>
  <c r="AP454" i="1"/>
  <c r="AO1009" i="1"/>
  <c r="AP1009" i="1"/>
  <c r="AO456" i="1"/>
  <c r="AP456" i="1"/>
  <c r="AO140" i="1"/>
  <c r="AP140" i="1"/>
  <c r="AO458" i="1"/>
  <c r="AP458" i="1"/>
  <c r="AO1135" i="1"/>
  <c r="AP1135" i="1"/>
  <c r="AO460" i="1"/>
  <c r="AP460" i="1"/>
  <c r="AO461" i="1"/>
  <c r="AP461" i="1"/>
  <c r="AO462" i="1"/>
  <c r="AP462" i="1"/>
  <c r="AO463" i="1"/>
  <c r="AP463" i="1"/>
  <c r="AO464" i="1"/>
  <c r="AP464" i="1"/>
  <c r="AO465" i="1"/>
  <c r="AP465" i="1"/>
  <c r="AO466" i="1"/>
  <c r="AP466" i="1"/>
  <c r="AO467" i="1"/>
  <c r="AP467" i="1"/>
  <c r="AO468" i="1"/>
  <c r="AP468" i="1"/>
  <c r="AO469" i="1"/>
  <c r="AP469" i="1"/>
  <c r="AO470" i="1"/>
  <c r="AP470" i="1"/>
  <c r="AO471" i="1"/>
  <c r="AP471" i="1"/>
  <c r="AP472" i="1"/>
  <c r="AP473" i="1"/>
  <c r="AO474" i="1"/>
  <c r="AP474" i="1"/>
  <c r="AP475" i="1"/>
  <c r="AO476" i="1"/>
  <c r="AP476" i="1"/>
  <c r="AP477" i="1"/>
  <c r="AO478" i="1"/>
  <c r="AP478" i="1"/>
  <c r="AO479" i="1"/>
  <c r="AP479" i="1"/>
  <c r="AO480" i="1"/>
  <c r="AP480" i="1"/>
  <c r="AO481" i="1"/>
  <c r="AP481" i="1"/>
  <c r="AO482" i="1"/>
  <c r="AP482" i="1"/>
  <c r="AO483" i="1"/>
  <c r="AP483" i="1"/>
  <c r="AO484" i="1"/>
  <c r="AP484" i="1"/>
  <c r="AO485" i="1"/>
  <c r="AP485" i="1"/>
  <c r="AP486" i="1"/>
  <c r="AO20" i="1"/>
  <c r="AP20" i="1"/>
  <c r="AO488" i="1"/>
  <c r="AP488" i="1"/>
  <c r="AO146" i="1"/>
  <c r="AP146" i="1"/>
  <c r="AO490" i="1"/>
  <c r="AP490" i="1"/>
  <c r="AO491" i="1"/>
  <c r="AP491" i="1"/>
  <c r="AO492" i="1"/>
  <c r="AP492" i="1"/>
  <c r="AO493" i="1"/>
  <c r="AP493" i="1"/>
  <c r="AO494" i="1"/>
  <c r="AP494" i="1"/>
  <c r="AO495" i="1"/>
  <c r="AP495" i="1"/>
  <c r="AO496" i="1"/>
  <c r="AP496" i="1"/>
  <c r="AO497" i="1"/>
  <c r="AP497" i="1"/>
  <c r="AO498" i="1"/>
  <c r="AP498" i="1"/>
  <c r="AO499" i="1"/>
  <c r="AP499" i="1"/>
  <c r="AO500" i="1"/>
  <c r="AP500" i="1"/>
  <c r="AO501" i="1"/>
  <c r="AP501" i="1"/>
  <c r="AO502" i="1"/>
  <c r="AP502" i="1"/>
  <c r="AO503" i="1"/>
  <c r="AP503" i="1"/>
  <c r="AO504" i="1"/>
  <c r="AP504" i="1"/>
  <c r="AO505" i="1"/>
  <c r="AP505" i="1"/>
  <c r="AO506" i="1"/>
  <c r="AP506" i="1"/>
  <c r="AO507" i="1"/>
  <c r="AP507" i="1"/>
  <c r="AO508" i="1"/>
  <c r="AP508" i="1"/>
  <c r="AO509" i="1"/>
  <c r="AP509" i="1"/>
  <c r="AO510" i="1"/>
  <c r="AP510" i="1"/>
  <c r="AO511" i="1"/>
  <c r="AP511" i="1"/>
  <c r="AO512" i="1"/>
  <c r="AP512" i="1"/>
  <c r="AO3" i="1"/>
  <c r="AP3" i="1"/>
  <c r="AO514" i="1"/>
  <c r="AP514" i="1"/>
  <c r="AO515" i="1"/>
  <c r="AP515" i="1"/>
  <c r="AO516" i="1"/>
  <c r="AP516" i="1"/>
  <c r="AO517" i="1"/>
  <c r="AP517" i="1"/>
  <c r="AO621" i="1"/>
  <c r="AP621" i="1"/>
  <c r="AO519" i="1"/>
  <c r="AP519" i="1"/>
  <c r="AO520" i="1"/>
  <c r="AP520" i="1"/>
  <c r="AO521" i="1"/>
  <c r="AP521" i="1"/>
  <c r="AO325" i="1"/>
  <c r="AP325" i="1"/>
  <c r="AO523" i="1"/>
  <c r="AP523" i="1"/>
  <c r="AO524" i="1"/>
  <c r="AP524" i="1"/>
  <c r="AO525" i="1"/>
  <c r="AP525" i="1"/>
  <c r="AO526" i="1"/>
  <c r="AP526" i="1"/>
  <c r="AO527" i="1"/>
  <c r="AP527" i="1"/>
  <c r="AO528" i="1"/>
  <c r="AP528" i="1"/>
  <c r="AO529" i="1"/>
  <c r="AP529" i="1"/>
  <c r="AO530" i="1"/>
  <c r="AP530" i="1"/>
  <c r="AO531" i="1"/>
  <c r="AP531" i="1"/>
  <c r="AO532" i="1"/>
  <c r="AP532" i="1"/>
  <c r="AO533" i="1"/>
  <c r="AP533" i="1"/>
  <c r="AO534" i="1"/>
  <c r="AP534" i="1"/>
  <c r="AO416" i="1"/>
  <c r="AP416" i="1"/>
  <c r="AO536" i="1"/>
  <c r="AP536" i="1"/>
  <c r="AO537" i="1"/>
  <c r="AP537" i="1"/>
  <c r="AO538" i="1"/>
  <c r="AP538" i="1"/>
  <c r="AO539" i="1"/>
  <c r="AP539" i="1"/>
  <c r="AO540" i="1"/>
  <c r="AP540" i="1"/>
  <c r="AO541" i="1"/>
  <c r="AP541" i="1"/>
  <c r="AO542" i="1"/>
  <c r="AP542" i="1"/>
  <c r="AO543" i="1"/>
  <c r="AP543" i="1"/>
  <c r="AO544" i="1"/>
  <c r="AP544" i="1"/>
  <c r="AO545" i="1"/>
  <c r="AP545" i="1"/>
  <c r="AO546" i="1"/>
  <c r="AP546" i="1"/>
  <c r="AO547" i="1"/>
  <c r="AP547" i="1"/>
  <c r="AO548" i="1"/>
  <c r="AP548" i="1"/>
  <c r="AO549" i="1"/>
  <c r="AP549" i="1"/>
  <c r="AO550" i="1"/>
  <c r="AP550" i="1"/>
  <c r="AO551" i="1"/>
  <c r="AP551" i="1"/>
  <c r="AO552" i="1"/>
  <c r="AP552" i="1"/>
  <c r="AO655" i="1"/>
  <c r="AP655" i="1"/>
  <c r="AO554" i="1"/>
  <c r="AP554" i="1"/>
  <c r="AO555" i="1"/>
  <c r="AP555" i="1"/>
  <c r="AO556" i="1"/>
  <c r="AP556" i="1"/>
  <c r="AO557" i="1"/>
  <c r="AP557" i="1"/>
  <c r="AO559" i="1"/>
  <c r="AP559" i="1"/>
  <c r="AO560" i="1"/>
  <c r="AP560" i="1"/>
  <c r="AO561" i="1"/>
  <c r="AP561" i="1"/>
  <c r="AO562" i="1"/>
  <c r="AP562" i="1"/>
  <c r="AO558" i="1"/>
  <c r="AP558" i="1"/>
  <c r="AO563" i="1"/>
  <c r="AP563" i="1"/>
  <c r="AO564" i="1"/>
  <c r="AP564" i="1"/>
  <c r="AO565" i="1"/>
  <c r="AP565" i="1"/>
  <c r="AO566" i="1"/>
  <c r="AP566" i="1"/>
  <c r="AO567" i="1"/>
  <c r="AP567" i="1"/>
  <c r="AO568" i="1"/>
  <c r="AP568" i="1"/>
  <c r="AO307" i="1"/>
  <c r="AP307" i="1"/>
  <c r="AO570" i="1"/>
  <c r="AP570" i="1"/>
  <c r="AO571" i="1"/>
  <c r="AP571" i="1"/>
  <c r="AO306" i="1"/>
  <c r="AP306" i="1"/>
  <c r="AO308" i="1"/>
  <c r="AP308" i="1"/>
  <c r="AO574" i="1"/>
  <c r="AP574" i="1"/>
  <c r="AO575" i="1"/>
  <c r="AP575" i="1"/>
  <c r="AO576" i="1"/>
  <c r="AP576" i="1"/>
  <c r="AO577" i="1"/>
  <c r="AP577" i="1"/>
  <c r="AO578" i="1"/>
  <c r="AP578" i="1"/>
  <c r="AO579" i="1"/>
  <c r="AP579" i="1"/>
  <c r="AO580" i="1"/>
  <c r="AP580" i="1"/>
  <c r="AO581" i="1"/>
  <c r="AP581" i="1"/>
  <c r="AO44" i="1"/>
  <c r="AP44" i="1"/>
  <c r="AO583" i="1"/>
  <c r="AP583" i="1"/>
  <c r="AO584" i="1"/>
  <c r="AP584" i="1"/>
  <c r="AO585" i="1"/>
  <c r="AP585" i="1"/>
  <c r="AO586" i="1"/>
  <c r="AP586" i="1"/>
  <c r="AO963" i="1"/>
  <c r="AP963" i="1"/>
  <c r="AO588" i="1"/>
  <c r="AP588" i="1"/>
  <c r="AO589" i="1"/>
  <c r="AP589" i="1"/>
  <c r="AO98" i="1"/>
  <c r="AP98" i="1"/>
  <c r="AO591" i="1"/>
  <c r="AP591" i="1"/>
  <c r="AO592" i="1"/>
  <c r="AP592" i="1"/>
  <c r="AO593" i="1"/>
  <c r="AP593" i="1"/>
  <c r="AO594" i="1"/>
  <c r="AP594" i="1"/>
  <c r="AO535" i="1"/>
  <c r="AP535" i="1"/>
  <c r="AO596" i="1"/>
  <c r="AP596" i="1"/>
  <c r="AO597" i="1"/>
  <c r="AP597" i="1"/>
  <c r="AO598" i="1"/>
  <c r="AP598" i="1"/>
  <c r="AO599" i="1"/>
  <c r="AP599" i="1"/>
  <c r="AO600" i="1"/>
  <c r="AP600" i="1"/>
  <c r="AO601" i="1"/>
  <c r="AP601" i="1"/>
  <c r="AO602" i="1"/>
  <c r="AP602" i="1"/>
  <c r="AO603" i="1"/>
  <c r="AP603" i="1"/>
  <c r="AO604" i="1"/>
  <c r="AP604" i="1"/>
  <c r="AO605" i="1"/>
  <c r="AP605" i="1"/>
  <c r="AO606" i="1"/>
  <c r="AP606" i="1"/>
  <c r="AO607" i="1"/>
  <c r="AP607" i="1"/>
  <c r="AO608" i="1"/>
  <c r="AP608" i="1"/>
  <c r="AO553" i="1"/>
  <c r="AP553" i="1"/>
  <c r="AO610" i="1"/>
  <c r="AP610" i="1"/>
  <c r="AO611" i="1"/>
  <c r="AP611" i="1"/>
  <c r="AO612" i="1"/>
  <c r="AP612" i="1"/>
  <c r="AO613" i="1"/>
  <c r="AP613" i="1"/>
  <c r="AO614" i="1"/>
  <c r="AP614" i="1"/>
  <c r="AO615" i="1"/>
  <c r="AP615" i="1"/>
  <c r="AO616" i="1"/>
  <c r="AP616" i="1"/>
  <c r="AO617" i="1"/>
  <c r="AP617" i="1"/>
  <c r="AO618" i="1"/>
  <c r="AP618" i="1"/>
  <c r="AO619" i="1"/>
  <c r="AP619" i="1"/>
  <c r="AO620" i="1"/>
  <c r="AP620" i="1"/>
  <c r="AO253" i="1"/>
  <c r="AP253" i="1"/>
  <c r="AO285" i="1"/>
  <c r="AP285" i="1"/>
  <c r="AO623" i="1"/>
  <c r="AP623" i="1"/>
  <c r="AO624" i="1"/>
  <c r="AP624" i="1"/>
  <c r="AO625" i="1"/>
  <c r="AP625" i="1"/>
  <c r="AO626" i="1"/>
  <c r="AP626" i="1"/>
  <c r="AO627" i="1"/>
  <c r="AP627" i="1"/>
  <c r="AO628" i="1"/>
  <c r="AP628" i="1"/>
  <c r="AO629" i="1"/>
  <c r="AP629" i="1"/>
  <c r="AO630" i="1"/>
  <c r="AP630" i="1"/>
  <c r="AO569" i="1"/>
  <c r="AP569" i="1"/>
  <c r="AO632" i="1"/>
  <c r="AP632" i="1"/>
  <c r="AO633" i="1"/>
  <c r="AP633" i="1"/>
  <c r="AO634" i="1"/>
  <c r="AP634" i="1"/>
  <c r="AO572" i="1"/>
  <c r="AP572" i="1"/>
  <c r="AO636" i="1"/>
  <c r="AP636" i="1"/>
  <c r="AO573" i="1"/>
  <c r="AP573" i="1"/>
  <c r="AO638" i="1"/>
  <c r="AP638" i="1"/>
  <c r="AO639" i="1"/>
  <c r="AP639" i="1"/>
  <c r="AO640" i="1"/>
  <c r="AP640" i="1"/>
  <c r="AO431" i="1"/>
  <c r="AP431" i="1"/>
  <c r="AO642" i="1"/>
  <c r="AP642" i="1"/>
  <c r="AO643" i="1"/>
  <c r="AP643" i="1"/>
  <c r="AO332" i="1"/>
  <c r="AP332" i="1"/>
  <c r="AO645" i="1"/>
  <c r="AP645" i="1"/>
  <c r="AO646" i="1"/>
  <c r="AP646" i="1"/>
  <c r="AO647" i="1"/>
  <c r="AP647" i="1"/>
  <c r="AO648" i="1"/>
  <c r="AP648" i="1"/>
  <c r="AO649" i="1"/>
  <c r="AP649" i="1"/>
  <c r="AO650" i="1"/>
  <c r="AP650" i="1"/>
  <c r="AO651" i="1"/>
  <c r="AP651" i="1"/>
  <c r="AO652" i="1"/>
  <c r="AP652" i="1"/>
  <c r="AO1026" i="1"/>
  <c r="AP1026" i="1"/>
  <c r="AO654" i="1"/>
  <c r="AP654" i="1"/>
  <c r="AO392" i="1"/>
  <c r="AP392" i="1"/>
  <c r="AO393" i="1"/>
  <c r="AP393" i="1"/>
  <c r="AO28" i="1"/>
  <c r="AP28" i="1"/>
  <c r="AO658" i="1"/>
  <c r="AP658" i="1"/>
  <c r="AO659" i="1"/>
  <c r="AP659" i="1"/>
  <c r="AO660" i="1"/>
  <c r="AP660" i="1"/>
  <c r="AO661" i="1"/>
  <c r="AP661" i="1"/>
  <c r="AO662" i="1"/>
  <c r="AP662" i="1"/>
  <c r="AO663" i="1"/>
  <c r="AP663" i="1"/>
  <c r="AO664" i="1"/>
  <c r="AP664" i="1"/>
  <c r="AO665" i="1"/>
  <c r="AP665" i="1"/>
  <c r="AO666" i="1"/>
  <c r="AP666" i="1"/>
  <c r="AO653" i="1"/>
  <c r="AP653" i="1"/>
  <c r="AO668" i="1"/>
  <c r="AP668" i="1"/>
  <c r="AO669" i="1"/>
  <c r="AP669" i="1"/>
  <c r="AO670" i="1"/>
  <c r="AP670" i="1"/>
  <c r="AO671" i="1"/>
  <c r="AP671" i="1"/>
  <c r="AO672" i="1"/>
  <c r="AP672" i="1"/>
  <c r="AO673" i="1"/>
  <c r="AP673" i="1"/>
  <c r="AO674" i="1"/>
  <c r="AP674" i="1"/>
  <c r="AO675" i="1"/>
  <c r="AP675" i="1"/>
  <c r="AO676" i="1"/>
  <c r="AO1033" i="1"/>
  <c r="AP1033" i="1"/>
  <c r="AO678" i="1"/>
  <c r="AP678" i="1"/>
  <c r="AO679" i="1"/>
  <c r="AP679" i="1"/>
  <c r="AO680" i="1"/>
  <c r="AP680" i="1"/>
  <c r="AO681" i="1"/>
  <c r="AP681" i="1"/>
  <c r="AO682" i="1"/>
  <c r="AP682" i="1"/>
  <c r="AO683" i="1"/>
  <c r="AP683" i="1"/>
  <c r="AO684" i="1"/>
  <c r="AP684" i="1"/>
  <c r="AO685" i="1"/>
  <c r="AP685" i="1"/>
  <c r="AO686" i="1"/>
  <c r="AP686" i="1"/>
  <c r="AO687" i="1"/>
  <c r="AP687" i="1"/>
  <c r="AO688" i="1"/>
  <c r="AP688" i="1"/>
  <c r="AO689" i="1"/>
  <c r="AP689" i="1"/>
  <c r="AO690" i="1"/>
  <c r="AP690" i="1"/>
  <c r="AO691" i="1"/>
  <c r="AP691" i="1"/>
  <c r="AO692" i="1"/>
  <c r="AP692" i="1"/>
  <c r="AO693" i="1"/>
  <c r="AP693" i="1"/>
  <c r="AO694" i="1"/>
  <c r="AP694" i="1"/>
  <c r="AO695" i="1"/>
  <c r="AP695" i="1"/>
  <c r="AO696" i="1"/>
  <c r="AP696" i="1"/>
  <c r="AO697" i="1"/>
  <c r="AP697" i="1"/>
  <c r="AO698" i="1"/>
  <c r="AP698" i="1"/>
  <c r="AO699" i="1"/>
  <c r="AP699" i="1"/>
  <c r="AO700" i="1"/>
  <c r="AP700" i="1"/>
  <c r="AO701" i="1"/>
  <c r="AP701" i="1"/>
  <c r="AO702" i="1"/>
  <c r="AP702" i="1"/>
  <c r="AO949" i="1"/>
  <c r="AP949" i="1"/>
  <c r="AO704" i="1"/>
  <c r="AP704" i="1"/>
  <c r="AO705" i="1"/>
  <c r="AP705" i="1"/>
  <c r="AO706" i="1"/>
  <c r="AP706" i="1"/>
  <c r="AO707" i="1"/>
  <c r="AP707" i="1"/>
  <c r="AO708" i="1"/>
  <c r="AP708" i="1"/>
  <c r="AO709" i="1"/>
  <c r="AP709" i="1"/>
  <c r="AO710" i="1"/>
  <c r="AP710" i="1"/>
  <c r="AO1034" i="1"/>
  <c r="AP1034" i="1"/>
  <c r="AO743" i="1"/>
  <c r="AP743" i="1"/>
  <c r="AO713" i="1"/>
  <c r="AP713" i="1"/>
  <c r="AO714" i="1"/>
  <c r="AP714" i="1"/>
  <c r="AO715" i="1"/>
  <c r="AP715" i="1"/>
  <c r="AO716" i="1"/>
  <c r="AP716" i="1"/>
  <c r="AO717" i="1"/>
  <c r="AP717" i="1"/>
  <c r="AO718" i="1"/>
  <c r="AP718" i="1"/>
  <c r="AO735" i="1"/>
  <c r="AP735" i="1"/>
  <c r="AO720" i="1"/>
  <c r="AP720" i="1"/>
  <c r="AO721" i="1"/>
  <c r="AP721" i="1"/>
  <c r="AO722" i="1"/>
  <c r="AP722" i="1"/>
  <c r="AO778" i="1"/>
  <c r="AP778" i="1"/>
  <c r="AO724" i="1"/>
  <c r="AP724" i="1"/>
  <c r="AO725" i="1"/>
  <c r="AP725" i="1"/>
  <c r="AO726" i="1"/>
  <c r="AP726" i="1"/>
  <c r="AO727" i="1"/>
  <c r="AP727" i="1"/>
  <c r="AO728" i="1"/>
  <c r="AP728" i="1"/>
  <c r="AO729" i="1"/>
  <c r="AP729" i="1"/>
  <c r="AO730" i="1"/>
  <c r="AP730" i="1"/>
  <c r="AO712" i="1"/>
  <c r="AP712" i="1"/>
  <c r="AO732" i="1"/>
  <c r="AP732" i="1"/>
  <c r="AO733" i="1"/>
  <c r="AP733" i="1"/>
  <c r="AO734" i="1"/>
  <c r="AP734" i="1"/>
  <c r="AO1035" i="1"/>
  <c r="AP1035" i="1"/>
  <c r="AO1036" i="1"/>
  <c r="AP1036" i="1"/>
  <c r="AO1057" i="1"/>
  <c r="AP1057" i="1"/>
  <c r="AO738" i="1"/>
  <c r="AP738" i="1"/>
  <c r="AO739" i="1"/>
  <c r="AP739" i="1"/>
  <c r="AO740" i="1"/>
  <c r="AP740" i="1"/>
  <c r="AO1059" i="1"/>
  <c r="AP1059" i="1"/>
  <c r="AO1067" i="1"/>
  <c r="AP1067" i="1"/>
  <c r="AO1080" i="1"/>
  <c r="AP1080" i="1"/>
  <c r="AO1082" i="1"/>
  <c r="AP1082" i="1"/>
  <c r="AO745" i="1"/>
  <c r="AP745" i="1"/>
  <c r="AO746" i="1"/>
  <c r="AP746" i="1"/>
  <c r="AO747" i="1"/>
  <c r="AP747" i="1"/>
  <c r="AO748" i="1"/>
  <c r="AP748" i="1"/>
  <c r="AO749" i="1"/>
  <c r="AP749" i="1"/>
  <c r="AO750" i="1"/>
  <c r="AP750" i="1"/>
  <c r="AO751" i="1"/>
  <c r="AP751" i="1"/>
  <c r="AO752" i="1"/>
  <c r="AP752" i="1"/>
  <c r="AO753" i="1"/>
  <c r="AP753" i="1"/>
  <c r="AO754" i="1"/>
  <c r="AP754" i="1"/>
  <c r="AO755" i="1"/>
  <c r="AP755" i="1"/>
  <c r="AO756" i="1"/>
  <c r="AP756" i="1"/>
  <c r="AO301" i="1"/>
  <c r="AP301" i="1"/>
  <c r="AO758" i="1"/>
  <c r="AP758" i="1"/>
  <c r="AO759" i="1"/>
  <c r="AP759" i="1"/>
  <c r="AO408" i="1"/>
  <c r="AP408" i="1"/>
  <c r="AO761" i="1"/>
  <c r="AP761" i="1"/>
  <c r="AO762" i="1"/>
  <c r="AP762" i="1"/>
  <c r="AO763" i="1"/>
  <c r="AP763" i="1"/>
  <c r="AO780" i="1"/>
  <c r="AP780" i="1"/>
  <c r="AO765" i="1"/>
  <c r="AP765" i="1"/>
  <c r="AO766" i="1"/>
  <c r="AP766" i="1"/>
  <c r="AO767" i="1"/>
  <c r="AP767" i="1"/>
  <c r="AO768" i="1"/>
  <c r="AP768" i="1"/>
  <c r="AO769" i="1"/>
  <c r="AP769" i="1"/>
  <c r="AO770" i="1"/>
  <c r="AP770" i="1"/>
  <c r="AO771" i="1"/>
  <c r="AP771" i="1"/>
  <c r="AO772" i="1"/>
  <c r="AP772" i="1"/>
  <c r="AO773" i="1"/>
  <c r="AP773" i="1"/>
  <c r="AO774" i="1"/>
  <c r="AP774" i="1"/>
  <c r="AO775" i="1"/>
  <c r="AP775" i="1"/>
  <c r="AO776" i="1"/>
  <c r="AP776" i="1"/>
  <c r="AO777" i="1"/>
  <c r="AP777" i="1"/>
  <c r="AO1084" i="1"/>
  <c r="AP1084" i="1"/>
  <c r="AO779" i="1"/>
  <c r="AP779" i="1"/>
  <c r="AO790" i="1"/>
  <c r="AP790" i="1"/>
  <c r="AO781" i="1"/>
  <c r="AP781" i="1"/>
  <c r="AO782" i="1"/>
  <c r="AP782" i="1"/>
  <c r="AO783" i="1"/>
  <c r="AP783" i="1"/>
  <c r="AO784" i="1"/>
  <c r="AP784" i="1"/>
  <c r="AO785" i="1"/>
  <c r="AP785" i="1"/>
  <c r="AO786" i="1"/>
  <c r="AP786" i="1"/>
  <c r="AO787" i="1"/>
  <c r="AP787" i="1"/>
  <c r="AO788" i="1"/>
  <c r="AP788" i="1"/>
  <c r="AO789" i="1"/>
  <c r="AP789" i="1"/>
  <c r="AO40" i="1"/>
  <c r="AP40" i="1"/>
  <c r="AO791" i="1"/>
  <c r="AP791" i="1"/>
  <c r="AO792" i="1"/>
  <c r="AP792" i="1"/>
  <c r="AO793" i="1"/>
  <c r="AP793" i="1"/>
  <c r="AO794" i="1"/>
  <c r="AP794" i="1"/>
  <c r="AO1085" i="1"/>
  <c r="AP1085" i="1"/>
  <c r="AO796" i="1"/>
  <c r="AP796" i="1"/>
  <c r="AO797" i="1"/>
  <c r="AP797" i="1"/>
  <c r="AO798" i="1"/>
  <c r="AP798" i="1"/>
  <c r="AO744" i="1"/>
  <c r="AP744" i="1"/>
  <c r="AO800" i="1"/>
  <c r="AP800" i="1"/>
  <c r="AO801" i="1"/>
  <c r="AP801" i="1"/>
  <c r="AO802" i="1"/>
  <c r="AP802" i="1"/>
  <c r="AO803" i="1"/>
  <c r="AP803" i="1"/>
  <c r="AO804" i="1"/>
  <c r="AP804" i="1"/>
  <c r="AO805" i="1"/>
  <c r="AP805" i="1"/>
  <c r="AO806" i="1"/>
  <c r="AP806" i="1"/>
  <c r="AO807" i="1"/>
  <c r="AP807" i="1"/>
  <c r="AO808" i="1"/>
  <c r="AP808" i="1"/>
  <c r="AO809" i="1"/>
  <c r="AP809" i="1"/>
  <c r="AO810" i="1"/>
  <c r="AP810" i="1"/>
  <c r="AO811" i="1"/>
  <c r="AP811" i="1"/>
  <c r="AO812" i="1"/>
  <c r="AP812" i="1"/>
  <c r="AO813" i="1"/>
  <c r="AP813" i="1"/>
  <c r="AO814" i="1"/>
  <c r="AP814" i="1"/>
  <c r="AO757" i="1"/>
  <c r="AP757" i="1"/>
  <c r="AO816" i="1"/>
  <c r="AP816" i="1"/>
  <c r="AO817" i="1"/>
  <c r="AP817" i="1"/>
  <c r="AO795" i="1"/>
  <c r="AP795" i="1"/>
  <c r="AO1164" i="1"/>
  <c r="AP1164" i="1"/>
  <c r="AO820" i="1"/>
  <c r="AP820" i="1"/>
  <c r="AO821" i="1"/>
  <c r="AP821" i="1"/>
  <c r="AO822" i="1"/>
  <c r="AP822" i="1"/>
  <c r="AO823" i="1"/>
  <c r="AP823" i="1"/>
  <c r="AO824" i="1"/>
  <c r="AP824" i="1"/>
  <c r="AO656" i="1"/>
  <c r="AP656" i="1"/>
  <c r="AO826" i="1"/>
  <c r="AP826" i="1"/>
  <c r="AO827" i="1"/>
  <c r="AP827" i="1"/>
  <c r="AO828" i="1"/>
  <c r="AP828" i="1"/>
  <c r="AO829" i="1"/>
  <c r="AP829" i="1"/>
  <c r="AO760" i="1"/>
  <c r="AP760" i="1"/>
  <c r="AO831" i="1"/>
  <c r="AP831" i="1"/>
  <c r="AO832" i="1"/>
  <c r="AP832" i="1"/>
  <c r="AO833" i="1"/>
  <c r="AP833" i="1"/>
  <c r="AO834" i="1"/>
  <c r="AP834" i="1"/>
  <c r="AO835" i="1"/>
  <c r="AP835" i="1"/>
  <c r="AO836" i="1"/>
  <c r="AP836" i="1"/>
  <c r="AO837" i="1"/>
  <c r="AP837" i="1"/>
  <c r="AO838" i="1"/>
  <c r="AP838" i="1"/>
  <c r="AO839" i="1"/>
  <c r="AP839" i="1"/>
  <c r="AO840" i="1"/>
  <c r="AP840" i="1"/>
  <c r="AO841" i="1"/>
  <c r="AP841" i="1"/>
  <c r="AO842" i="1"/>
  <c r="AP842" i="1"/>
  <c r="AO843" i="1"/>
  <c r="AP843" i="1"/>
  <c r="AO844" i="1"/>
  <c r="AP844" i="1"/>
  <c r="AO845" i="1"/>
  <c r="AP845" i="1"/>
  <c r="AO846" i="1"/>
  <c r="AP846" i="1"/>
  <c r="AO847" i="1"/>
  <c r="AP847" i="1"/>
  <c r="AO848" i="1"/>
  <c r="AP848" i="1"/>
  <c r="AO849" i="1"/>
  <c r="AP849" i="1"/>
  <c r="AO850" i="1"/>
  <c r="AP850" i="1"/>
  <c r="AO851" i="1"/>
  <c r="AP851" i="1"/>
  <c r="AO852" i="1"/>
  <c r="AP852" i="1"/>
  <c r="AO853" i="1"/>
  <c r="AP853" i="1"/>
  <c r="AO854" i="1"/>
  <c r="AP854" i="1"/>
  <c r="AO855" i="1"/>
  <c r="AP855" i="1"/>
  <c r="AO856" i="1"/>
  <c r="AP856" i="1"/>
  <c r="AO857" i="1"/>
  <c r="AP857" i="1"/>
  <c r="AO858" i="1"/>
  <c r="AP858" i="1"/>
  <c r="AO859" i="1"/>
  <c r="AP859" i="1"/>
  <c r="AO741" i="1"/>
  <c r="AP741" i="1"/>
  <c r="AO861" i="1"/>
  <c r="AP861" i="1"/>
  <c r="AO862" i="1"/>
  <c r="AP862" i="1"/>
  <c r="AO863" i="1"/>
  <c r="AP863" i="1"/>
  <c r="AO864" i="1"/>
  <c r="AP864" i="1"/>
  <c r="AO865" i="1"/>
  <c r="AP865" i="1"/>
  <c r="AO346" i="1"/>
  <c r="AP346" i="1"/>
  <c r="AO867" i="1"/>
  <c r="AP867" i="1"/>
  <c r="AO723" i="1"/>
  <c r="AP723" i="1"/>
  <c r="AO869" i="1"/>
  <c r="AP869" i="1"/>
  <c r="AO870" i="1"/>
  <c r="AP870" i="1"/>
  <c r="AO871" i="1"/>
  <c r="AP871" i="1"/>
  <c r="AO872" i="1"/>
  <c r="AP872" i="1"/>
  <c r="AO731" i="1"/>
  <c r="AP731" i="1"/>
  <c r="AO874" i="1"/>
  <c r="AP874" i="1"/>
  <c r="AO875" i="1"/>
  <c r="AP875" i="1"/>
  <c r="AO657" i="1"/>
  <c r="AP657" i="1"/>
  <c r="AO877" i="1"/>
  <c r="AP877" i="1"/>
  <c r="AO878" i="1"/>
  <c r="AP878" i="1"/>
  <c r="AO879" i="1"/>
  <c r="AP879" i="1"/>
  <c r="AO880" i="1"/>
  <c r="AP880" i="1"/>
  <c r="AO881" i="1"/>
  <c r="AP881" i="1"/>
  <c r="AO882" i="1"/>
  <c r="AP882" i="1"/>
  <c r="AO883" i="1"/>
  <c r="AP883" i="1"/>
  <c r="AO884" i="1"/>
  <c r="AP884" i="1"/>
  <c r="AO885" i="1"/>
  <c r="AP885" i="1"/>
  <c r="AO886" i="1"/>
  <c r="AP886" i="1"/>
  <c r="AO887" i="1"/>
  <c r="AP887" i="1"/>
  <c r="AO888" i="1"/>
  <c r="AP888" i="1"/>
  <c r="AO889" i="1"/>
  <c r="AP889" i="1"/>
  <c r="AO890" i="1"/>
  <c r="AP890" i="1"/>
  <c r="AO891" i="1"/>
  <c r="AP891" i="1"/>
  <c r="AO892" i="1"/>
  <c r="AP892" i="1"/>
  <c r="AO893" i="1"/>
  <c r="AP893" i="1"/>
  <c r="AO894" i="1"/>
  <c r="AP894" i="1"/>
  <c r="AO895" i="1"/>
  <c r="AP895" i="1"/>
  <c r="AO896" i="1"/>
  <c r="AP896" i="1"/>
  <c r="AO897" i="1"/>
  <c r="AP897" i="1"/>
  <c r="AO898" i="1"/>
  <c r="AP898" i="1"/>
  <c r="AO899" i="1"/>
  <c r="AP899" i="1"/>
  <c r="AO582" i="1"/>
  <c r="AP582" i="1"/>
  <c r="AO901" i="1"/>
  <c r="AP901" i="1"/>
  <c r="AO902" i="1"/>
  <c r="AP902" i="1"/>
  <c r="AO903" i="1"/>
  <c r="AP903" i="1"/>
  <c r="AO904" i="1"/>
  <c r="AP904" i="1"/>
  <c r="AO905" i="1"/>
  <c r="AP905" i="1"/>
  <c r="AO906" i="1"/>
  <c r="AP906" i="1"/>
  <c r="AO907" i="1"/>
  <c r="AP907" i="1"/>
  <c r="AO908" i="1"/>
  <c r="AP908" i="1"/>
  <c r="AO909" i="1"/>
  <c r="AP909" i="1"/>
  <c r="AO910" i="1"/>
  <c r="AP910" i="1"/>
  <c r="AO911" i="1"/>
  <c r="AP911" i="1"/>
  <c r="AO799" i="1"/>
  <c r="AP799" i="1"/>
  <c r="AO815" i="1"/>
  <c r="AP815" i="1"/>
  <c r="AO914" i="1"/>
  <c r="AP914" i="1"/>
  <c r="AO915" i="1"/>
  <c r="AP915" i="1"/>
  <c r="AO818" i="1"/>
  <c r="AP818" i="1"/>
  <c r="AO819" i="1"/>
  <c r="AP819" i="1"/>
  <c r="AO825" i="1"/>
  <c r="AP825" i="1"/>
  <c r="AO919" i="1"/>
  <c r="AP919" i="1"/>
  <c r="AO920" i="1"/>
  <c r="AP920" i="1"/>
  <c r="AO921" i="1"/>
  <c r="AP921" i="1"/>
  <c r="AO922" i="1"/>
  <c r="AP922" i="1"/>
  <c r="AO923" i="1"/>
  <c r="AP923" i="1"/>
  <c r="AO924" i="1"/>
  <c r="AP924" i="1"/>
  <c r="AO925" i="1"/>
  <c r="AP925" i="1"/>
  <c r="AO736" i="1"/>
  <c r="AP736" i="1"/>
  <c r="AO927" i="1"/>
  <c r="AP927" i="1"/>
  <c r="AO928" i="1"/>
  <c r="AP928" i="1"/>
  <c r="AO830" i="1"/>
  <c r="AP830" i="1"/>
  <c r="AO930" i="1"/>
  <c r="AP930" i="1"/>
  <c r="AO931" i="1"/>
  <c r="AP931" i="1"/>
  <c r="AO932" i="1"/>
  <c r="AP932" i="1"/>
  <c r="AO933" i="1"/>
  <c r="AP933" i="1"/>
  <c r="AO934" i="1"/>
  <c r="AP934" i="1"/>
  <c r="AO764" i="1"/>
  <c r="AP764" i="1"/>
  <c r="AO936" i="1"/>
  <c r="AP936" i="1"/>
  <c r="AO937" i="1"/>
  <c r="AP937" i="1"/>
  <c r="AO938" i="1"/>
  <c r="AP938" i="1"/>
  <c r="AO939" i="1"/>
  <c r="AP939" i="1"/>
  <c r="AO940" i="1"/>
  <c r="AP940" i="1"/>
  <c r="AO860" i="1"/>
  <c r="AP860" i="1"/>
  <c r="AO942" i="1"/>
  <c r="AP942" i="1"/>
  <c r="AO943" i="1"/>
  <c r="AP943" i="1"/>
  <c r="AO944" i="1"/>
  <c r="AP944" i="1"/>
  <c r="AO945" i="1"/>
  <c r="AP945" i="1"/>
  <c r="AO946" i="1"/>
  <c r="AP946" i="1"/>
  <c r="AO947" i="1"/>
  <c r="AP947" i="1"/>
  <c r="AO948" i="1"/>
  <c r="AP948" i="1"/>
  <c r="AO1159" i="1"/>
  <c r="AP1159" i="1"/>
  <c r="AO950" i="1"/>
  <c r="AP950" i="1"/>
  <c r="AO951" i="1"/>
  <c r="AP951" i="1"/>
  <c r="AO952" i="1"/>
  <c r="AP952" i="1"/>
  <c r="AO953" i="1"/>
  <c r="AP953" i="1"/>
  <c r="AO954" i="1"/>
  <c r="AP954" i="1"/>
  <c r="AO866" i="1"/>
  <c r="AP866" i="1"/>
  <c r="AO955" i="1"/>
  <c r="AP955" i="1"/>
  <c r="AO957" i="1"/>
  <c r="AP957" i="1"/>
  <c r="AO958" i="1"/>
  <c r="AP958" i="1"/>
  <c r="AO59" i="1"/>
  <c r="AP59" i="1"/>
  <c r="AO960" i="1"/>
  <c r="AP960" i="1"/>
  <c r="AO961" i="1"/>
  <c r="AP961" i="1"/>
  <c r="AO962" i="1"/>
  <c r="AP962" i="1"/>
  <c r="AO176" i="1"/>
  <c r="AP176" i="1"/>
  <c r="AO964" i="1"/>
  <c r="AP964" i="1"/>
  <c r="AO965" i="1"/>
  <c r="AP965" i="1"/>
  <c r="AO966" i="1"/>
  <c r="AP966" i="1"/>
  <c r="AO967" i="1"/>
  <c r="AP967" i="1"/>
  <c r="AO968" i="1"/>
  <c r="AP968" i="1"/>
  <c r="AO969" i="1"/>
  <c r="AP969" i="1"/>
  <c r="AO970" i="1"/>
  <c r="AP970" i="1"/>
  <c r="AO971" i="1"/>
  <c r="AP971" i="1"/>
  <c r="AO972" i="1"/>
  <c r="AP972" i="1"/>
  <c r="AO973" i="1"/>
  <c r="AP973" i="1"/>
  <c r="AO974" i="1"/>
  <c r="AP974" i="1"/>
  <c r="AO975" i="1"/>
  <c r="AP975" i="1"/>
  <c r="AO976" i="1"/>
  <c r="AP976" i="1"/>
  <c r="AO977" i="1"/>
  <c r="AP977" i="1"/>
  <c r="AO978" i="1"/>
  <c r="AP978" i="1"/>
  <c r="AO979" i="1"/>
  <c r="AP979" i="1"/>
  <c r="AO980" i="1"/>
  <c r="AP980" i="1"/>
  <c r="AO981" i="1"/>
  <c r="AP981" i="1"/>
  <c r="AO982" i="1"/>
  <c r="AP982" i="1"/>
  <c r="AO983" i="1"/>
  <c r="AP983" i="1"/>
  <c r="AO984" i="1"/>
  <c r="AP984" i="1"/>
  <c r="AO985" i="1"/>
  <c r="AP985" i="1"/>
  <c r="AO986" i="1"/>
  <c r="AP986" i="1"/>
  <c r="AO987" i="1"/>
  <c r="AP987" i="1"/>
  <c r="AO988" i="1"/>
  <c r="AP988" i="1"/>
  <c r="AO989" i="1"/>
  <c r="AP989" i="1"/>
  <c r="AO990" i="1"/>
  <c r="AP990" i="1"/>
  <c r="AO991" i="1"/>
  <c r="AP991" i="1"/>
  <c r="AO742" i="1"/>
  <c r="AP742" i="1"/>
  <c r="AO993" i="1"/>
  <c r="AP993" i="1"/>
  <c r="AO994" i="1"/>
  <c r="AP994" i="1"/>
  <c r="AO995" i="1"/>
  <c r="AP995" i="1"/>
  <c r="AO996" i="1"/>
  <c r="AP996" i="1"/>
  <c r="AO997" i="1"/>
  <c r="AP997" i="1"/>
  <c r="AO998" i="1"/>
  <c r="AP998" i="1"/>
  <c r="AO999" i="1"/>
  <c r="AP999" i="1"/>
  <c r="AO1000" i="1"/>
  <c r="AP1000" i="1"/>
  <c r="AO1001" i="1"/>
  <c r="AP1001" i="1"/>
  <c r="AO1002" i="1"/>
  <c r="AP1002" i="1"/>
  <c r="AO1003" i="1"/>
  <c r="AP1003" i="1"/>
  <c r="AO1004" i="1"/>
  <c r="AP1004" i="1"/>
  <c r="AO1005" i="1"/>
  <c r="AP1005" i="1"/>
  <c r="AO1006" i="1"/>
  <c r="AP1006" i="1"/>
  <c r="AO1007" i="1"/>
  <c r="AP1007" i="1"/>
  <c r="AO1008" i="1"/>
  <c r="AP1008" i="1"/>
  <c r="AO868" i="1"/>
  <c r="AP868" i="1"/>
  <c r="AO1010" i="1"/>
  <c r="AP1010" i="1"/>
  <c r="AO1011" i="1"/>
  <c r="AP1011" i="1"/>
  <c r="AO1012" i="1"/>
  <c r="AP1012" i="1"/>
  <c r="AO1013" i="1"/>
  <c r="AP1013" i="1"/>
  <c r="AO1014" i="1"/>
  <c r="AP1014" i="1"/>
  <c r="AO667" i="1"/>
  <c r="AP667" i="1"/>
  <c r="AO677" i="1"/>
  <c r="AP677" i="1"/>
  <c r="AO1017" i="1"/>
  <c r="AP1017" i="1"/>
  <c r="AO1018" i="1"/>
  <c r="AP1018" i="1"/>
  <c r="AO873" i="1"/>
  <c r="AP873" i="1"/>
  <c r="AO876" i="1"/>
  <c r="AP876" i="1"/>
  <c r="AO1021" i="1"/>
  <c r="AP1021" i="1"/>
  <c r="AO1022" i="1"/>
  <c r="AP1022" i="1"/>
  <c r="AO1023" i="1"/>
  <c r="AP1023" i="1"/>
  <c r="AO1024" i="1"/>
  <c r="AP1024" i="1"/>
  <c r="AO1025" i="1"/>
  <c r="AP1025" i="1"/>
  <c r="AO900" i="1"/>
  <c r="AP900" i="1"/>
  <c r="AO1027" i="1"/>
  <c r="AP1027" i="1"/>
  <c r="AO1028" i="1"/>
  <c r="AP1028" i="1"/>
  <c r="AO1029" i="1"/>
  <c r="AP1029" i="1"/>
  <c r="AO1030" i="1"/>
  <c r="AP1030" i="1"/>
  <c r="AO1031" i="1"/>
  <c r="AP1031" i="1"/>
  <c r="AO1032" i="1"/>
  <c r="AP1032" i="1"/>
  <c r="AO912" i="1"/>
  <c r="AP912" i="1"/>
  <c r="AO29" i="1"/>
  <c r="AP29" i="1"/>
  <c r="AO21" i="1"/>
  <c r="AP21" i="1"/>
  <c r="AO913" i="1"/>
  <c r="AP913" i="1"/>
  <c r="AO1037" i="1"/>
  <c r="AP1037" i="1"/>
  <c r="AO1038" i="1"/>
  <c r="AP1038" i="1"/>
  <c r="AO1039" i="1"/>
  <c r="AP1039" i="1"/>
  <c r="AO1040" i="1"/>
  <c r="AP1040" i="1"/>
  <c r="AO1041" i="1"/>
  <c r="AP1041" i="1"/>
  <c r="AO1042" i="1"/>
  <c r="AP1042" i="1"/>
  <c r="AO1043" i="1"/>
  <c r="AP1043" i="1"/>
  <c r="AO1044" i="1"/>
  <c r="AP1044" i="1"/>
  <c r="AO1045" i="1"/>
  <c r="AP1045" i="1"/>
  <c r="AO1046" i="1"/>
  <c r="AP1046" i="1"/>
  <c r="AO1047" i="1"/>
  <c r="AP1047" i="1"/>
  <c r="AO1048" i="1"/>
  <c r="AP1048" i="1"/>
  <c r="AO1049" i="1"/>
  <c r="AP1049" i="1"/>
  <c r="AO1050" i="1"/>
  <c r="AP1050" i="1"/>
  <c r="AO1051" i="1"/>
  <c r="AP1051" i="1"/>
  <c r="AO1052" i="1"/>
  <c r="AP1052" i="1"/>
  <c r="AO1053" i="1"/>
  <c r="AP1053" i="1"/>
  <c r="AO1054" i="1"/>
  <c r="AP1054" i="1"/>
  <c r="AO1055" i="1"/>
  <c r="AP1055" i="1"/>
  <c r="AO1056" i="1"/>
  <c r="AP1056" i="1"/>
  <c r="AO916" i="1"/>
  <c r="AP916" i="1"/>
  <c r="AO1058" i="1"/>
  <c r="AP1058" i="1"/>
  <c r="AO314" i="1"/>
  <c r="AP314" i="1"/>
  <c r="AO1060" i="1"/>
  <c r="AP1060" i="1"/>
  <c r="AO1061" i="1"/>
  <c r="AP1061" i="1"/>
  <c r="AO1062" i="1"/>
  <c r="AP1062" i="1"/>
  <c r="AO1063" i="1"/>
  <c r="AP1063" i="1"/>
  <c r="AO1064" i="1"/>
  <c r="AP1064" i="1"/>
  <c r="AO1065" i="1"/>
  <c r="AP1065" i="1"/>
  <c r="AO1066" i="1"/>
  <c r="AP1066" i="1"/>
  <c r="AO587" i="1"/>
  <c r="AP587" i="1"/>
  <c r="AO1068" i="1"/>
  <c r="AP1068" i="1"/>
  <c r="AO1069" i="1"/>
  <c r="AP1069" i="1"/>
  <c r="AO1070" i="1"/>
  <c r="AP1070" i="1"/>
  <c r="AO1071" i="1"/>
  <c r="AP1071" i="1"/>
  <c r="AO1072" i="1"/>
  <c r="AP1072" i="1"/>
  <c r="AO1073" i="1"/>
  <c r="AP1073" i="1"/>
  <c r="AO1074" i="1"/>
  <c r="AP1074" i="1"/>
  <c r="AO1075" i="1"/>
  <c r="AP1075" i="1"/>
  <c r="AO1076" i="1"/>
  <c r="AP1076" i="1"/>
  <c r="AO1077" i="1"/>
  <c r="AP1077" i="1"/>
  <c r="AO1078" i="1"/>
  <c r="AP1078" i="1"/>
  <c r="AO1079" i="1"/>
  <c r="AP1079" i="1"/>
  <c r="AO917" i="1"/>
  <c r="AP917" i="1"/>
  <c r="AO1081" i="1"/>
  <c r="AP1081" i="1"/>
  <c r="AO918" i="1"/>
  <c r="AP918" i="1"/>
  <c r="AO1083" i="1"/>
  <c r="AP1083" i="1"/>
  <c r="AO590" i="1"/>
  <c r="AP590" i="1"/>
  <c r="AO719" i="1"/>
  <c r="AP719" i="1"/>
  <c r="AO1086" i="1"/>
  <c r="AP1086" i="1"/>
  <c r="AO1087" i="1"/>
  <c r="AP1087" i="1"/>
  <c r="AO193" i="1"/>
  <c r="AP193" i="1"/>
  <c r="AO205" i="1"/>
  <c r="AP205" i="1"/>
  <c r="AO180" i="1"/>
  <c r="AP180" i="1"/>
  <c r="AO1091" i="1"/>
  <c r="AP1091" i="1"/>
  <c r="AO1092" i="1"/>
  <c r="AP1092" i="1"/>
  <c r="AO1093" i="1"/>
  <c r="AP1093" i="1"/>
  <c r="AO1094" i="1"/>
  <c r="AP1094" i="1"/>
  <c r="AO1095" i="1"/>
  <c r="AP1095" i="1"/>
  <c r="AO1096" i="1"/>
  <c r="AP1096" i="1"/>
  <c r="AO1097" i="1"/>
  <c r="AP1097" i="1"/>
  <c r="AO926" i="1"/>
  <c r="AP926" i="1"/>
  <c r="AO1099" i="1"/>
  <c r="AP1099" i="1"/>
  <c r="AO1100" i="1"/>
  <c r="AP1100" i="1"/>
  <c r="AO1101" i="1"/>
  <c r="AP1101" i="1"/>
  <c r="AO1102" i="1"/>
  <c r="AP1102" i="1"/>
  <c r="AO1103" i="1"/>
  <c r="AP1103" i="1"/>
  <c r="AO1104" i="1"/>
  <c r="AP1104" i="1"/>
  <c r="AO1105" i="1"/>
  <c r="AP1105" i="1"/>
  <c r="AO1106" i="1"/>
  <c r="AP1106" i="1"/>
  <c r="AO1107" i="1"/>
  <c r="AP1107" i="1"/>
  <c r="AO1108" i="1"/>
  <c r="AP1108" i="1"/>
  <c r="AO1109" i="1"/>
  <c r="AP1109" i="1"/>
  <c r="AO1110" i="1"/>
  <c r="AP1110" i="1"/>
  <c r="AO1111" i="1"/>
  <c r="AP1111" i="1"/>
  <c r="AO1112" i="1"/>
  <c r="AP1112" i="1"/>
  <c r="AO1113" i="1"/>
  <c r="AP1113" i="1"/>
  <c r="AO1114" i="1"/>
  <c r="AP1114" i="1"/>
  <c r="AO1115" i="1"/>
  <c r="AP1115" i="1"/>
  <c r="AO737" i="1"/>
  <c r="AP737" i="1"/>
  <c r="AO1117" i="1"/>
  <c r="AP1117" i="1"/>
  <c r="AO1118" i="1"/>
  <c r="AP1118" i="1"/>
  <c r="AO929" i="1"/>
  <c r="AP929" i="1"/>
  <c r="AO1120" i="1"/>
  <c r="AP1120" i="1"/>
  <c r="AO1121" i="1"/>
  <c r="AP1121" i="1"/>
  <c r="AO1122" i="1"/>
  <c r="AP1122" i="1"/>
  <c r="AO1123" i="1"/>
  <c r="AP1123" i="1"/>
  <c r="AO1124" i="1"/>
  <c r="AP1124" i="1"/>
  <c r="AO1125" i="1"/>
  <c r="AP1125" i="1"/>
  <c r="AO1126" i="1"/>
  <c r="AP1126" i="1"/>
  <c r="AO1127" i="1"/>
  <c r="AP1127" i="1"/>
  <c r="AO1128" i="1"/>
  <c r="AP1128" i="1"/>
  <c r="AO1129" i="1"/>
  <c r="AP1129" i="1"/>
  <c r="AO1130" i="1"/>
  <c r="AP1130" i="1"/>
  <c r="AO1131" i="1"/>
  <c r="AP1131" i="1"/>
  <c r="AO1132" i="1"/>
  <c r="AP1132" i="1"/>
  <c r="AO1133" i="1"/>
  <c r="AP1133" i="1"/>
  <c r="AO1134" i="1"/>
  <c r="AP1134" i="1"/>
  <c r="AO935" i="1"/>
  <c r="AP935" i="1"/>
  <c r="AO1136" i="1"/>
  <c r="AP1136" i="1"/>
  <c r="AO1137" i="1"/>
  <c r="AP1137" i="1"/>
  <c r="AO1138" i="1"/>
  <c r="AP1138" i="1"/>
  <c r="AO1139" i="1"/>
  <c r="AP1139" i="1"/>
  <c r="AO1140" i="1"/>
  <c r="AP1140" i="1"/>
  <c r="AO1141" i="1"/>
  <c r="AP1141" i="1"/>
  <c r="AO1142" i="1"/>
  <c r="AP1142" i="1"/>
  <c r="AO1143" i="1"/>
  <c r="AP1143" i="1"/>
  <c r="AO941" i="1"/>
  <c r="AP941" i="1"/>
  <c r="AO1145" i="1"/>
  <c r="AP1145" i="1"/>
  <c r="AO1146" i="1"/>
  <c r="AP1146" i="1"/>
  <c r="AO1147" i="1"/>
  <c r="AP1147" i="1"/>
  <c r="AO1148" i="1"/>
  <c r="AP1148" i="1"/>
  <c r="AO1149" i="1"/>
  <c r="AP1149" i="1"/>
  <c r="AO1150" i="1"/>
  <c r="AP1150" i="1"/>
  <c r="AO1151" i="1"/>
  <c r="AP1151" i="1"/>
  <c r="AO1152" i="1"/>
  <c r="AP1152" i="1"/>
  <c r="AO1153" i="1"/>
  <c r="AP1153" i="1"/>
  <c r="AO1154" i="1"/>
  <c r="AP1154" i="1"/>
  <c r="AO1155" i="1"/>
  <c r="AP1155" i="1"/>
  <c r="AO1156" i="1"/>
  <c r="AP1156" i="1"/>
  <c r="AO1157" i="1"/>
  <c r="AP1157" i="1"/>
  <c r="AO1158" i="1"/>
  <c r="AP1158" i="1"/>
  <c r="AO956" i="1"/>
  <c r="AP956" i="1"/>
  <c r="AO1160" i="1"/>
  <c r="AP1160" i="1"/>
  <c r="AO1161" i="1"/>
  <c r="AP1161" i="1"/>
  <c r="AO1162" i="1"/>
  <c r="AP1162" i="1"/>
  <c r="AO1163" i="1"/>
  <c r="AP1163" i="1"/>
  <c r="AO703" i="1"/>
  <c r="AP703" i="1"/>
  <c r="AO1165" i="1"/>
  <c r="AP1165" i="1"/>
  <c r="AO711" i="1"/>
  <c r="AP711" i="1"/>
  <c r="AO1167" i="1"/>
  <c r="AP1167" i="1"/>
  <c r="AO1168" i="1"/>
  <c r="AP1168" i="1"/>
  <c r="AO1169" i="1"/>
  <c r="AP1169" i="1"/>
  <c r="AO1170" i="1"/>
  <c r="AP1170" i="1"/>
  <c r="AO324" i="1"/>
  <c r="AP324" i="1"/>
  <c r="AO4" i="1"/>
  <c r="AP4" i="1"/>
  <c r="AO5" i="1"/>
  <c r="AP5" i="1"/>
  <c r="AO6" i="1"/>
  <c r="AP6" i="1"/>
  <c r="AO7" i="1"/>
  <c r="AP7" i="1"/>
  <c r="AO8" i="1"/>
  <c r="AP8" i="1"/>
  <c r="AO9" i="1"/>
  <c r="AP9" i="1"/>
  <c r="AO10" i="1"/>
  <c r="AP10" i="1"/>
  <c r="AO11" i="1"/>
  <c r="AP11" i="1"/>
  <c r="AO12" i="1"/>
  <c r="AP12" i="1"/>
  <c r="AO330" i="1"/>
  <c r="AP330" i="1"/>
  <c r="AO14" i="1"/>
  <c r="AP14" i="1"/>
  <c r="AO223" i="1"/>
  <c r="AP223" i="1"/>
  <c r="AO1119" i="1"/>
  <c r="AP1119" i="1"/>
  <c r="AO17" i="1"/>
  <c r="AP17" i="1"/>
  <c r="AO18" i="1"/>
  <c r="AP18" i="1"/>
  <c r="AO19" i="1"/>
  <c r="AP19" i="1"/>
  <c r="AO421" i="1"/>
  <c r="AP421" i="1"/>
  <c r="AO1144" i="1"/>
  <c r="AP1144" i="1"/>
  <c r="AO22" i="1"/>
  <c r="AP22" i="1"/>
  <c r="AO23" i="1"/>
  <c r="AP23" i="1"/>
  <c r="AO24" i="1"/>
  <c r="AP24" i="1"/>
  <c r="AO25" i="1"/>
  <c r="AP25" i="1"/>
  <c r="AO26" i="1"/>
  <c r="AP26" i="1"/>
  <c r="AO27" i="1"/>
  <c r="AP27" i="1"/>
  <c r="AO91" i="1"/>
  <c r="AP91" i="1"/>
  <c r="AO92" i="1"/>
  <c r="AP92" i="1"/>
  <c r="AO96" i="1"/>
  <c r="AP96" i="1"/>
  <c r="AO31" i="1"/>
  <c r="AP31" i="1"/>
  <c r="AO208" i="1"/>
  <c r="AP208" i="1"/>
  <c r="AO33" i="1"/>
  <c r="AP33" i="1"/>
  <c r="AO34" i="1"/>
  <c r="AP34" i="1"/>
  <c r="AO35" i="1"/>
  <c r="AP35" i="1"/>
  <c r="AO36" i="1"/>
  <c r="AP36" i="1"/>
  <c r="AO37" i="1"/>
  <c r="AP37" i="1"/>
  <c r="AO38" i="1"/>
  <c r="AP38" i="1"/>
  <c r="AP2" i="1"/>
  <c r="AO2" i="1"/>
  <c r="AN324" i="1"/>
  <c r="AN4" i="1"/>
  <c r="AN5" i="1"/>
  <c r="AN6" i="1"/>
  <c r="AN7" i="1"/>
  <c r="AN8" i="1"/>
  <c r="AN9" i="1"/>
  <c r="AN10" i="1"/>
  <c r="AN11" i="1"/>
  <c r="AN12" i="1"/>
  <c r="AN330" i="1"/>
  <c r="AN14" i="1"/>
  <c r="AN223" i="1"/>
  <c r="AN1119" i="1"/>
  <c r="AN17" i="1"/>
  <c r="AN18" i="1"/>
  <c r="AN19" i="1"/>
  <c r="AN421" i="1"/>
  <c r="AN1144" i="1"/>
  <c r="AN22" i="1"/>
  <c r="AN23" i="1"/>
  <c r="AN24" i="1"/>
  <c r="AN25" i="1"/>
  <c r="AN26" i="1"/>
  <c r="AN27" i="1"/>
  <c r="AN91" i="1"/>
  <c r="AN92" i="1"/>
  <c r="AN96" i="1"/>
  <c r="AN31" i="1"/>
  <c r="AN208" i="1"/>
  <c r="AN33" i="1"/>
  <c r="AN34" i="1"/>
  <c r="AN35" i="1"/>
  <c r="AN36" i="1"/>
  <c r="AN37" i="1"/>
  <c r="AN38" i="1"/>
  <c r="AN39" i="1"/>
  <c r="AN622" i="1"/>
  <c r="AN41" i="1"/>
  <c r="AN42" i="1"/>
  <c r="AN424" i="1"/>
  <c r="AN56" i="1"/>
  <c r="AN45" i="1"/>
  <c r="AN46" i="1"/>
  <c r="AN47" i="1"/>
  <c r="AN48" i="1"/>
  <c r="AN49" i="1"/>
  <c r="AN50" i="1"/>
  <c r="AN51" i="1"/>
  <c r="AN52" i="1"/>
  <c r="AN53" i="1"/>
  <c r="AN97" i="1"/>
  <c r="AN55" i="1"/>
  <c r="AN644" i="1"/>
  <c r="AN57" i="1"/>
  <c r="AN58" i="1"/>
  <c r="AN217" i="1"/>
  <c r="AN60" i="1"/>
  <c r="AN61" i="1"/>
  <c r="AN62" i="1"/>
  <c r="AN63" i="1"/>
  <c r="AN64" i="1"/>
  <c r="AN65" i="1"/>
  <c r="AN66" i="1"/>
  <c r="AN67" i="1"/>
  <c r="AN433" i="1"/>
  <c r="AN69" i="1"/>
  <c r="AN1116" i="1"/>
  <c r="AN71" i="1"/>
  <c r="AN72" i="1"/>
  <c r="AN73" i="1"/>
  <c r="AN435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43" i="1"/>
  <c r="AN88" i="1"/>
  <c r="AN89" i="1"/>
  <c r="AN90" i="1"/>
  <c r="AN426" i="1"/>
  <c r="AN609" i="1"/>
  <c r="AN430" i="1"/>
  <c r="AN94" i="1"/>
  <c r="AN95" i="1"/>
  <c r="AN397" i="1"/>
  <c r="AN635" i="1"/>
  <c r="AN631" i="1"/>
  <c r="AN403" i="1"/>
  <c r="AN100" i="1"/>
  <c r="AN101" i="1"/>
  <c r="AN453" i="1"/>
  <c r="AN455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457" i="1"/>
  <c r="AN117" i="1"/>
  <c r="AN118" i="1"/>
  <c r="AN119" i="1"/>
  <c r="AN120" i="1"/>
  <c r="AN121" i="1"/>
  <c r="AN122" i="1"/>
  <c r="AN123" i="1"/>
  <c r="AN124" i="1"/>
  <c r="AN125" i="1"/>
  <c r="AN126" i="1"/>
  <c r="AN127" i="1"/>
  <c r="AN68" i="1"/>
  <c r="AN129" i="1"/>
  <c r="AN130" i="1"/>
  <c r="AN131" i="1"/>
  <c r="AN132" i="1"/>
  <c r="AN133" i="1"/>
  <c r="AN134" i="1"/>
  <c r="AN135" i="1"/>
  <c r="AN136" i="1"/>
  <c r="AN137" i="1"/>
  <c r="AN138" i="1"/>
  <c r="AN139" i="1"/>
  <c r="AN353" i="1"/>
  <c r="AN141" i="1"/>
  <c r="AN142" i="1"/>
  <c r="AN143" i="1"/>
  <c r="AN144" i="1"/>
  <c r="AN145" i="1"/>
  <c r="AN70" i="1"/>
  <c r="AN147" i="1"/>
  <c r="AN148" i="1"/>
  <c r="AN149" i="1"/>
  <c r="AN175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03" i="1"/>
  <c r="AN99" i="1"/>
  <c r="AN102" i="1"/>
  <c r="AN177" i="1"/>
  <c r="AN178" i="1"/>
  <c r="AN179" i="1"/>
  <c r="AN320" i="1"/>
  <c r="AN174" i="1"/>
  <c r="AN182" i="1"/>
  <c r="AN1166" i="1"/>
  <c r="AN459" i="1"/>
  <c r="AN185" i="1"/>
  <c r="AN186" i="1"/>
  <c r="AN187" i="1"/>
  <c r="AN188" i="1"/>
  <c r="AN487" i="1"/>
  <c r="AN190" i="1"/>
  <c r="AN191" i="1"/>
  <c r="AN192" i="1"/>
  <c r="AN355" i="1"/>
  <c r="AN194" i="1"/>
  <c r="AN195" i="1"/>
  <c r="AN196" i="1"/>
  <c r="AN197" i="1"/>
  <c r="AN198" i="1"/>
  <c r="AN199" i="1"/>
  <c r="AN200" i="1"/>
  <c r="AN201" i="1"/>
  <c r="AN202" i="1"/>
  <c r="AN203" i="1"/>
  <c r="AN204" i="1"/>
  <c r="AN93" i="1"/>
  <c r="AN959" i="1"/>
  <c r="AN207" i="1"/>
  <c r="AN1016" i="1"/>
  <c r="AN209" i="1"/>
  <c r="AN210" i="1"/>
  <c r="AN211" i="1"/>
  <c r="AN212" i="1"/>
  <c r="AN213" i="1"/>
  <c r="AN214" i="1"/>
  <c r="AN215" i="1"/>
  <c r="AN216" i="1"/>
  <c r="AN54" i="1"/>
  <c r="AN218" i="1"/>
  <c r="AN219" i="1"/>
  <c r="AN220" i="1"/>
  <c r="AN221" i="1"/>
  <c r="AN222" i="1"/>
  <c r="AN116" i="1"/>
  <c r="AN224" i="1"/>
  <c r="AN225" i="1"/>
  <c r="AN74" i="1"/>
  <c r="AN87" i="1"/>
  <c r="AN228" i="1"/>
  <c r="AN229" i="1"/>
  <c r="AN230" i="1"/>
  <c r="AN231" i="1"/>
  <c r="AN232" i="1"/>
  <c r="AN233" i="1"/>
  <c r="AN234" i="1"/>
  <c r="AN1015" i="1"/>
  <c r="AN236" i="1"/>
  <c r="AN237" i="1"/>
  <c r="AN238" i="1"/>
  <c r="AN239" i="1"/>
  <c r="AN240" i="1"/>
  <c r="AN241" i="1"/>
  <c r="AN1088" i="1"/>
  <c r="AN243" i="1"/>
  <c r="AN244" i="1"/>
  <c r="AN432" i="1"/>
  <c r="AN246" i="1"/>
  <c r="AN247" i="1"/>
  <c r="AN248" i="1"/>
  <c r="AN249" i="1"/>
  <c r="AN250" i="1"/>
  <c r="AN269" i="1"/>
  <c r="AN350" i="1"/>
  <c r="AN235" i="1"/>
  <c r="AN254" i="1"/>
  <c r="AN255" i="1"/>
  <c r="AN256" i="1"/>
  <c r="AN257" i="1"/>
  <c r="AN258" i="1"/>
  <c r="AN30" i="1"/>
  <c r="AN260" i="1"/>
  <c r="AN261" i="1"/>
  <c r="AN262" i="1"/>
  <c r="AN263" i="1"/>
  <c r="AN264" i="1"/>
  <c r="AN189" i="1"/>
  <c r="AN266" i="1"/>
  <c r="AN267" i="1"/>
  <c r="AN268" i="1"/>
  <c r="AN287" i="1"/>
  <c r="AN270" i="1"/>
  <c r="AN32" i="1"/>
  <c r="AN272" i="1"/>
  <c r="AN273" i="1"/>
  <c r="AN274" i="1"/>
  <c r="AN275" i="1"/>
  <c r="AN276" i="1"/>
  <c r="AN128" i="1"/>
  <c r="AN278" i="1"/>
  <c r="AN279" i="1"/>
  <c r="AN280" i="1"/>
  <c r="AN281" i="1"/>
  <c r="AN282" i="1"/>
  <c r="AN283" i="1"/>
  <c r="AN284" i="1"/>
  <c r="AN288" i="1"/>
  <c r="AN286" i="1"/>
  <c r="AN312" i="1"/>
  <c r="AN411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1089" i="1"/>
  <c r="AN302" i="1"/>
  <c r="AN303" i="1"/>
  <c r="AN304" i="1"/>
  <c r="AN305" i="1"/>
  <c r="AN1090" i="1"/>
  <c r="AN1020" i="1"/>
  <c r="AN637" i="1"/>
  <c r="AN309" i="1"/>
  <c r="AN310" i="1"/>
  <c r="AN311" i="1"/>
  <c r="AN16" i="1"/>
  <c r="AN313" i="1"/>
  <c r="AN641" i="1"/>
  <c r="AN315" i="1"/>
  <c r="AN316" i="1"/>
  <c r="AN317" i="1"/>
  <c r="AN318" i="1"/>
  <c r="AN319" i="1"/>
  <c r="AN184" i="1"/>
  <c r="AN321" i="1"/>
  <c r="AN322" i="1"/>
  <c r="AN245" i="1"/>
  <c r="AN1019" i="1"/>
  <c r="AN1098" i="1"/>
  <c r="AN326" i="1"/>
  <c r="AN327" i="1"/>
  <c r="AN328" i="1"/>
  <c r="AN329" i="1"/>
  <c r="AN226" i="1"/>
  <c r="AN331" i="1"/>
  <c r="AN13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15" i="1"/>
  <c r="AN347" i="1"/>
  <c r="AN348" i="1"/>
  <c r="AN349" i="1"/>
  <c r="AN271" i="1"/>
  <c r="AN351" i="1"/>
  <c r="AN352" i="1"/>
  <c r="AN277" i="1"/>
  <c r="AN354" i="1"/>
  <c r="AN489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183" i="1"/>
  <c r="AN242" i="1"/>
  <c r="AN394" i="1"/>
  <c r="AN395" i="1"/>
  <c r="AN396" i="1"/>
  <c r="AN227" i="1"/>
  <c r="AN398" i="1"/>
  <c r="AN400" i="1"/>
  <c r="AN401" i="1"/>
  <c r="AN402" i="1"/>
  <c r="AN513" i="1"/>
  <c r="AN404" i="1"/>
  <c r="AN405" i="1"/>
  <c r="AN406" i="1"/>
  <c r="AN407" i="1"/>
  <c r="AN181" i="1"/>
  <c r="AN409" i="1"/>
  <c r="AN410" i="1"/>
  <c r="AN150" i="1"/>
  <c r="AN412" i="1"/>
  <c r="AN413" i="1"/>
  <c r="AN414" i="1"/>
  <c r="AN415" i="1"/>
  <c r="AN518" i="1"/>
  <c r="AN417" i="1"/>
  <c r="AN418" i="1"/>
  <c r="AN419" i="1"/>
  <c r="AN420" i="1"/>
  <c r="AN522" i="1"/>
  <c r="AN422" i="1"/>
  <c r="AN423" i="1"/>
  <c r="AN259" i="1"/>
  <c r="AN425" i="1"/>
  <c r="AN206" i="1"/>
  <c r="AN427" i="1"/>
  <c r="AN428" i="1"/>
  <c r="AN429" i="1"/>
  <c r="AN323" i="1"/>
  <c r="AN252" i="1"/>
  <c r="AN251" i="1"/>
  <c r="AN265" i="1"/>
  <c r="AN434" i="1"/>
  <c r="AN59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992" i="1"/>
  <c r="AN454" i="1"/>
  <c r="AN1009" i="1"/>
  <c r="AN456" i="1"/>
  <c r="AN140" i="1"/>
  <c r="AN458" i="1"/>
  <c r="AN1135" i="1"/>
  <c r="AN460" i="1"/>
  <c r="AN461" i="1"/>
  <c r="AN462" i="1"/>
  <c r="AN463" i="1"/>
  <c r="AN464" i="1"/>
  <c r="AN465" i="1"/>
  <c r="AN466" i="1"/>
  <c r="AN467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20" i="1"/>
  <c r="AN488" i="1"/>
  <c r="AN146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3" i="1"/>
  <c r="AN514" i="1"/>
  <c r="AN515" i="1"/>
  <c r="AN516" i="1"/>
  <c r="AN517" i="1"/>
  <c r="AN621" i="1"/>
  <c r="AN519" i="1"/>
  <c r="AN520" i="1"/>
  <c r="AN521" i="1"/>
  <c r="AN325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416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655" i="1"/>
  <c r="AN554" i="1"/>
  <c r="AN555" i="1"/>
  <c r="AN556" i="1"/>
  <c r="AN557" i="1"/>
  <c r="AN559" i="1"/>
  <c r="AN560" i="1"/>
  <c r="AN561" i="1"/>
  <c r="AN562" i="1"/>
  <c r="AN558" i="1"/>
  <c r="AN563" i="1"/>
  <c r="AN564" i="1"/>
  <c r="AN565" i="1"/>
  <c r="AN566" i="1"/>
  <c r="AN567" i="1"/>
  <c r="AN568" i="1"/>
  <c r="AN307" i="1"/>
  <c r="AN570" i="1"/>
  <c r="AN571" i="1"/>
  <c r="AN306" i="1"/>
  <c r="AN308" i="1"/>
  <c r="AN574" i="1"/>
  <c r="AN575" i="1"/>
  <c r="AN576" i="1"/>
  <c r="AN577" i="1"/>
  <c r="AN578" i="1"/>
  <c r="AN579" i="1"/>
  <c r="AN580" i="1"/>
  <c r="AN581" i="1"/>
  <c r="AN44" i="1"/>
  <c r="AN583" i="1"/>
  <c r="AN584" i="1"/>
  <c r="AN585" i="1"/>
  <c r="AN586" i="1"/>
  <c r="AN963" i="1"/>
  <c r="AN588" i="1"/>
  <c r="AN589" i="1"/>
  <c r="AN98" i="1"/>
  <c r="AN591" i="1"/>
  <c r="AN592" i="1"/>
  <c r="AN593" i="1"/>
  <c r="AN594" i="1"/>
  <c r="AN53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553" i="1"/>
  <c r="AN610" i="1"/>
  <c r="AN611" i="1"/>
  <c r="AN612" i="1"/>
  <c r="AN613" i="1"/>
  <c r="AN614" i="1"/>
  <c r="AN615" i="1"/>
  <c r="AN616" i="1"/>
  <c r="AN617" i="1"/>
  <c r="AN618" i="1"/>
  <c r="AN619" i="1"/>
  <c r="AN620" i="1"/>
  <c r="AN253" i="1"/>
  <c r="AN285" i="1"/>
  <c r="AN623" i="1"/>
  <c r="AN624" i="1"/>
  <c r="AN625" i="1"/>
  <c r="AN626" i="1"/>
  <c r="AN627" i="1"/>
  <c r="AN628" i="1"/>
  <c r="AN629" i="1"/>
  <c r="AN630" i="1"/>
  <c r="AN569" i="1"/>
  <c r="AN632" i="1"/>
  <c r="AN633" i="1"/>
  <c r="AN634" i="1"/>
  <c r="AN572" i="1"/>
  <c r="AN636" i="1"/>
  <c r="AN573" i="1"/>
  <c r="AN638" i="1"/>
  <c r="AN639" i="1"/>
  <c r="AN640" i="1"/>
  <c r="AN431" i="1"/>
  <c r="AN642" i="1"/>
  <c r="AN643" i="1"/>
  <c r="AN332" i="1"/>
  <c r="AN645" i="1"/>
  <c r="AN646" i="1"/>
  <c r="AN647" i="1"/>
  <c r="AN648" i="1"/>
  <c r="AN649" i="1"/>
  <c r="AN650" i="1"/>
  <c r="AN651" i="1"/>
  <c r="AN652" i="1"/>
  <c r="AN1026" i="1"/>
  <c r="AN654" i="1"/>
  <c r="AN392" i="1"/>
  <c r="AN393" i="1"/>
  <c r="AN28" i="1"/>
  <c r="AN658" i="1"/>
  <c r="AN659" i="1"/>
  <c r="AN660" i="1"/>
  <c r="AN661" i="1"/>
  <c r="AN662" i="1"/>
  <c r="AN663" i="1"/>
  <c r="AN664" i="1"/>
  <c r="AN665" i="1"/>
  <c r="AN666" i="1"/>
  <c r="AN653" i="1"/>
  <c r="AN668" i="1"/>
  <c r="AN669" i="1"/>
  <c r="AN670" i="1"/>
  <c r="AN671" i="1"/>
  <c r="AN672" i="1"/>
  <c r="AN673" i="1"/>
  <c r="AN674" i="1"/>
  <c r="AN675" i="1"/>
  <c r="AN676" i="1"/>
  <c r="AN1033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949" i="1"/>
  <c r="AN704" i="1"/>
  <c r="AN705" i="1"/>
  <c r="AN706" i="1"/>
  <c r="AN707" i="1"/>
  <c r="AN708" i="1"/>
  <c r="AN709" i="1"/>
  <c r="AN710" i="1"/>
  <c r="AN1034" i="1"/>
  <c r="AN743" i="1"/>
  <c r="AN713" i="1"/>
  <c r="AN714" i="1"/>
  <c r="AN715" i="1"/>
  <c r="AN716" i="1"/>
  <c r="AN717" i="1"/>
  <c r="AN718" i="1"/>
  <c r="AN735" i="1"/>
  <c r="AN720" i="1"/>
  <c r="AN721" i="1"/>
  <c r="AN722" i="1"/>
  <c r="AN778" i="1"/>
  <c r="AN724" i="1"/>
  <c r="AN725" i="1"/>
  <c r="AN726" i="1"/>
  <c r="AN727" i="1"/>
  <c r="AN728" i="1"/>
  <c r="AN729" i="1"/>
  <c r="AN730" i="1"/>
  <c r="AN712" i="1"/>
  <c r="AN732" i="1"/>
  <c r="AN733" i="1"/>
  <c r="AN734" i="1"/>
  <c r="AN1035" i="1"/>
  <c r="AN1036" i="1"/>
  <c r="AN1057" i="1"/>
  <c r="AN738" i="1"/>
  <c r="AN739" i="1"/>
  <c r="AN740" i="1"/>
  <c r="AN1059" i="1"/>
  <c r="AN1067" i="1"/>
  <c r="AN1080" i="1"/>
  <c r="AN1082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301" i="1"/>
  <c r="AN758" i="1"/>
  <c r="AN759" i="1"/>
  <c r="AN408" i="1"/>
  <c r="AN761" i="1"/>
  <c r="AN762" i="1"/>
  <c r="AN763" i="1"/>
  <c r="AN780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1084" i="1"/>
  <c r="AN779" i="1"/>
  <c r="AN790" i="1"/>
  <c r="AN781" i="1"/>
  <c r="AN782" i="1"/>
  <c r="AN783" i="1"/>
  <c r="AN784" i="1"/>
  <c r="AN785" i="1"/>
  <c r="AN786" i="1"/>
  <c r="AN787" i="1"/>
  <c r="AN788" i="1"/>
  <c r="AN789" i="1"/>
  <c r="AN40" i="1"/>
  <c r="AN791" i="1"/>
  <c r="AN792" i="1"/>
  <c r="AN793" i="1"/>
  <c r="AN794" i="1"/>
  <c r="AN1085" i="1"/>
  <c r="AN796" i="1"/>
  <c r="AN797" i="1"/>
  <c r="AN798" i="1"/>
  <c r="AN744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757" i="1"/>
  <c r="AN816" i="1"/>
  <c r="AN817" i="1"/>
  <c r="AN795" i="1"/>
  <c r="AN1164" i="1"/>
  <c r="AN820" i="1"/>
  <c r="AN821" i="1"/>
  <c r="AN822" i="1"/>
  <c r="AN823" i="1"/>
  <c r="AN824" i="1"/>
  <c r="AN656" i="1"/>
  <c r="AN826" i="1"/>
  <c r="AN827" i="1"/>
  <c r="AN828" i="1"/>
  <c r="AN829" i="1"/>
  <c r="AN76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741" i="1"/>
  <c r="AN861" i="1"/>
  <c r="AN862" i="1"/>
  <c r="AN863" i="1"/>
  <c r="AN864" i="1"/>
  <c r="AN865" i="1"/>
  <c r="AN346" i="1"/>
  <c r="AN867" i="1"/>
  <c r="AN723" i="1"/>
  <c r="AN869" i="1"/>
  <c r="AN870" i="1"/>
  <c r="AN871" i="1"/>
  <c r="AN872" i="1"/>
  <c r="AN731" i="1"/>
  <c r="AN874" i="1"/>
  <c r="AN875" i="1"/>
  <c r="AN657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582" i="1"/>
  <c r="AN901" i="1"/>
  <c r="AN902" i="1"/>
  <c r="AN903" i="1"/>
  <c r="AN904" i="1"/>
  <c r="AN905" i="1"/>
  <c r="AN906" i="1"/>
  <c r="AN907" i="1"/>
  <c r="AN908" i="1"/>
  <c r="AN909" i="1"/>
  <c r="AN910" i="1"/>
  <c r="AN911" i="1"/>
  <c r="AN799" i="1"/>
  <c r="AN815" i="1"/>
  <c r="AN914" i="1"/>
  <c r="AN915" i="1"/>
  <c r="AN818" i="1"/>
  <c r="AN819" i="1"/>
  <c r="AN825" i="1"/>
  <c r="AN919" i="1"/>
  <c r="AN920" i="1"/>
  <c r="AN921" i="1"/>
  <c r="AN922" i="1"/>
  <c r="AN923" i="1"/>
  <c r="AN924" i="1"/>
  <c r="AN925" i="1"/>
  <c r="AN736" i="1"/>
  <c r="AN927" i="1"/>
  <c r="AN928" i="1"/>
  <c r="AN830" i="1"/>
  <c r="AN930" i="1"/>
  <c r="AN931" i="1"/>
  <c r="AN932" i="1"/>
  <c r="AN933" i="1"/>
  <c r="AN934" i="1"/>
  <c r="AN764" i="1"/>
  <c r="AN936" i="1"/>
  <c r="AN937" i="1"/>
  <c r="AN938" i="1"/>
  <c r="AN939" i="1"/>
  <c r="AN940" i="1"/>
  <c r="AN860" i="1"/>
  <c r="AN942" i="1"/>
  <c r="AN943" i="1"/>
  <c r="AN944" i="1"/>
  <c r="AN945" i="1"/>
  <c r="AN946" i="1"/>
  <c r="AN947" i="1"/>
  <c r="AN948" i="1"/>
  <c r="AN1159" i="1"/>
  <c r="AN950" i="1"/>
  <c r="AN951" i="1"/>
  <c r="AN952" i="1"/>
  <c r="AN953" i="1"/>
  <c r="AN954" i="1"/>
  <c r="AN866" i="1"/>
  <c r="AN955" i="1"/>
  <c r="AN957" i="1"/>
  <c r="AN958" i="1"/>
  <c r="AN59" i="1"/>
  <c r="AN960" i="1"/>
  <c r="AN961" i="1"/>
  <c r="AN962" i="1"/>
  <c r="AN176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74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868" i="1"/>
  <c r="AN1010" i="1"/>
  <c r="AN1011" i="1"/>
  <c r="AN1012" i="1"/>
  <c r="AN1013" i="1"/>
  <c r="AN1014" i="1"/>
  <c r="AN667" i="1"/>
  <c r="AN677" i="1"/>
  <c r="AN1017" i="1"/>
  <c r="AN1018" i="1"/>
  <c r="AN873" i="1"/>
  <c r="AN876" i="1"/>
  <c r="AN1021" i="1"/>
  <c r="AN1022" i="1"/>
  <c r="AN1023" i="1"/>
  <c r="AN1024" i="1"/>
  <c r="AN1025" i="1"/>
  <c r="AN900" i="1"/>
  <c r="AN1027" i="1"/>
  <c r="AN1028" i="1"/>
  <c r="AN1029" i="1"/>
  <c r="AN1030" i="1"/>
  <c r="AN1031" i="1"/>
  <c r="AN1032" i="1"/>
  <c r="AN912" i="1"/>
  <c r="AN29" i="1"/>
  <c r="AN21" i="1"/>
  <c r="AN913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916" i="1"/>
  <c r="AN1058" i="1"/>
  <c r="AN314" i="1"/>
  <c r="AN1060" i="1"/>
  <c r="AN1061" i="1"/>
  <c r="AN1062" i="1"/>
  <c r="AN1063" i="1"/>
  <c r="AN1064" i="1"/>
  <c r="AN1065" i="1"/>
  <c r="AN1066" i="1"/>
  <c r="AN58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917" i="1"/>
  <c r="AN1081" i="1"/>
  <c r="AN918" i="1"/>
  <c r="AN1083" i="1"/>
  <c r="AN590" i="1"/>
  <c r="AN719" i="1"/>
  <c r="AN1086" i="1"/>
  <c r="AN1087" i="1"/>
  <c r="AN193" i="1"/>
  <c r="AN205" i="1"/>
  <c r="AN180" i="1"/>
  <c r="AN1091" i="1"/>
  <c r="AN1092" i="1"/>
  <c r="AN1093" i="1"/>
  <c r="AN1094" i="1"/>
  <c r="AN1095" i="1"/>
  <c r="AN1096" i="1"/>
  <c r="AN1097" i="1"/>
  <c r="AN926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737" i="1"/>
  <c r="AN1117" i="1"/>
  <c r="AN1118" i="1"/>
  <c r="AN92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935" i="1"/>
  <c r="AN1136" i="1"/>
  <c r="AN1137" i="1"/>
  <c r="AN1138" i="1"/>
  <c r="AN1139" i="1"/>
  <c r="AN1140" i="1"/>
  <c r="AN1141" i="1"/>
  <c r="AN1142" i="1"/>
  <c r="AN1143" i="1"/>
  <c r="AN941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956" i="1"/>
  <c r="AN1160" i="1"/>
  <c r="AN1161" i="1"/>
  <c r="AN1162" i="1"/>
  <c r="AN1163" i="1"/>
  <c r="AN703" i="1"/>
  <c r="AN1165" i="1"/>
  <c r="AN711" i="1"/>
  <c r="AN1167" i="1"/>
  <c r="AN1168" i="1"/>
  <c r="AN1169" i="1"/>
  <c r="AN1170" i="1"/>
  <c r="AN2" i="1"/>
  <c r="AM1170" i="1"/>
  <c r="AM1169" i="1"/>
  <c r="AM1168" i="1"/>
  <c r="AM1167" i="1"/>
  <c r="AM711" i="1"/>
  <c r="AM1165" i="1"/>
  <c r="AM703" i="1"/>
  <c r="AM1163" i="1"/>
  <c r="AM1162" i="1"/>
  <c r="AM1161" i="1"/>
  <c r="AM1160" i="1"/>
  <c r="AM956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941" i="1"/>
  <c r="AM1143" i="1"/>
  <c r="AM1142" i="1"/>
  <c r="AM1141" i="1"/>
  <c r="AM1140" i="1"/>
  <c r="AM1139" i="1"/>
  <c r="AM1138" i="1"/>
  <c r="AM1137" i="1"/>
  <c r="AM1136" i="1"/>
  <c r="AM9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929" i="1"/>
  <c r="AM1118" i="1"/>
  <c r="AM1117" i="1"/>
  <c r="AM737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926" i="1"/>
  <c r="AM1097" i="1"/>
  <c r="AM1096" i="1"/>
  <c r="AM1095" i="1"/>
  <c r="AM1094" i="1"/>
  <c r="AM1093" i="1"/>
  <c r="AM1092" i="1"/>
  <c r="AM1091" i="1"/>
  <c r="AM180" i="1"/>
  <c r="AM205" i="1"/>
  <c r="AM193" i="1"/>
  <c r="AM1087" i="1"/>
  <c r="AM1086" i="1"/>
  <c r="AM719" i="1"/>
  <c r="AM590" i="1"/>
  <c r="AM1083" i="1"/>
  <c r="AM918" i="1"/>
  <c r="AM1081" i="1"/>
  <c r="AM917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587" i="1"/>
  <c r="AM1066" i="1"/>
  <c r="AM1065" i="1"/>
  <c r="AM1064" i="1"/>
  <c r="AM1063" i="1"/>
  <c r="AM1062" i="1"/>
  <c r="AM1061" i="1"/>
  <c r="AM1060" i="1"/>
  <c r="AM314" i="1"/>
  <c r="AM1058" i="1"/>
  <c r="AM916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913" i="1"/>
  <c r="AM21" i="1"/>
  <c r="AM29" i="1"/>
  <c r="AM912" i="1"/>
  <c r="AM1032" i="1"/>
  <c r="AM1031" i="1"/>
  <c r="AM1030" i="1"/>
  <c r="AM1029" i="1"/>
  <c r="AM1028" i="1"/>
  <c r="AM1027" i="1"/>
  <c r="AM900" i="1"/>
  <c r="AM1025" i="1"/>
  <c r="AM1024" i="1"/>
  <c r="AM1023" i="1"/>
  <c r="AM1022" i="1"/>
  <c r="AM1021" i="1"/>
  <c r="AM876" i="1"/>
  <c r="AM873" i="1"/>
  <c r="AM1018" i="1"/>
  <c r="AM1017" i="1"/>
  <c r="AM677" i="1"/>
  <c r="AM667" i="1"/>
  <c r="AM1014" i="1"/>
  <c r="AM1013" i="1"/>
  <c r="AM1012" i="1"/>
  <c r="AM1011" i="1"/>
  <c r="AM1010" i="1"/>
  <c r="AM868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742" i="1"/>
  <c r="AM991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176" i="1"/>
  <c r="AM962" i="1"/>
  <c r="AM961" i="1"/>
  <c r="AM960" i="1"/>
  <c r="AM59" i="1"/>
  <c r="AM958" i="1"/>
  <c r="AM957" i="1"/>
  <c r="AM955" i="1"/>
  <c r="AM866" i="1"/>
  <c r="AM954" i="1"/>
  <c r="AM953" i="1"/>
  <c r="AM952" i="1"/>
  <c r="AM951" i="1"/>
  <c r="AM950" i="1"/>
  <c r="AM1159" i="1"/>
  <c r="AM948" i="1"/>
  <c r="AM947" i="1"/>
  <c r="AM946" i="1"/>
  <c r="AM945" i="1"/>
  <c r="AM944" i="1"/>
  <c r="AM943" i="1"/>
  <c r="AM942" i="1"/>
  <c r="AM860" i="1"/>
  <c r="AM940" i="1"/>
  <c r="AM939" i="1"/>
  <c r="AM938" i="1"/>
  <c r="AM937" i="1"/>
  <c r="AM936" i="1"/>
  <c r="AM764" i="1"/>
  <c r="AM934" i="1"/>
  <c r="AM933" i="1"/>
  <c r="AM932" i="1"/>
  <c r="AM931" i="1"/>
  <c r="AM930" i="1"/>
  <c r="AM830" i="1"/>
  <c r="AM928" i="1"/>
  <c r="AM927" i="1"/>
  <c r="AM736" i="1"/>
  <c r="AM925" i="1"/>
  <c r="AM924" i="1"/>
  <c r="AM923" i="1"/>
  <c r="AM922" i="1"/>
  <c r="AM921" i="1"/>
  <c r="AM920" i="1"/>
  <c r="AM919" i="1"/>
  <c r="AM825" i="1"/>
  <c r="AM819" i="1"/>
  <c r="AM818" i="1"/>
  <c r="AM915" i="1"/>
  <c r="AM914" i="1"/>
  <c r="AM815" i="1"/>
  <c r="AM799" i="1"/>
  <c r="AM911" i="1"/>
  <c r="AM910" i="1"/>
  <c r="AM909" i="1"/>
  <c r="AM908" i="1"/>
  <c r="AM907" i="1"/>
  <c r="AM906" i="1"/>
  <c r="AM905" i="1"/>
  <c r="AM904" i="1"/>
  <c r="AM903" i="1"/>
  <c r="AM902" i="1"/>
  <c r="AM901" i="1"/>
  <c r="AM582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80" i="1"/>
  <c r="AM879" i="1"/>
  <c r="AM878" i="1"/>
  <c r="AM877" i="1"/>
  <c r="AM657" i="1"/>
  <c r="AM875" i="1"/>
  <c r="AM874" i="1"/>
  <c r="AM731" i="1"/>
  <c r="AM872" i="1"/>
  <c r="AM871" i="1"/>
  <c r="AM870" i="1"/>
  <c r="AM869" i="1"/>
  <c r="AM723" i="1"/>
  <c r="AM867" i="1"/>
  <c r="AM346" i="1"/>
  <c r="AM865" i="1"/>
  <c r="AM864" i="1"/>
  <c r="AM863" i="1"/>
  <c r="AM862" i="1"/>
  <c r="AM861" i="1"/>
  <c r="AM741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760" i="1"/>
  <c r="AM829" i="1"/>
  <c r="AM828" i="1"/>
  <c r="AM827" i="1"/>
  <c r="AM826" i="1"/>
  <c r="AM656" i="1"/>
  <c r="AM824" i="1"/>
  <c r="AM823" i="1"/>
  <c r="AM822" i="1"/>
  <c r="AM821" i="1"/>
  <c r="AM820" i="1"/>
  <c r="AM1164" i="1"/>
  <c r="AM795" i="1"/>
  <c r="AM817" i="1"/>
  <c r="AM816" i="1"/>
  <c r="AM757" i="1"/>
  <c r="AM814" i="1"/>
  <c r="AM813" i="1"/>
  <c r="AM812" i="1"/>
  <c r="AM811" i="1"/>
  <c r="AM810" i="1"/>
  <c r="AM809" i="1"/>
  <c r="AM808" i="1"/>
  <c r="AM807" i="1"/>
  <c r="AM806" i="1"/>
  <c r="AM805" i="1"/>
  <c r="AM804" i="1"/>
  <c r="AM803" i="1"/>
  <c r="AM802" i="1"/>
  <c r="AM801" i="1"/>
  <c r="AM800" i="1"/>
  <c r="AM744" i="1"/>
  <c r="AM798" i="1"/>
  <c r="AM797" i="1"/>
  <c r="AM796" i="1"/>
  <c r="AM1085" i="1"/>
  <c r="AM794" i="1"/>
  <c r="AM793" i="1"/>
  <c r="AM792" i="1"/>
  <c r="AM791" i="1"/>
  <c r="AM40" i="1"/>
  <c r="AM789" i="1"/>
  <c r="AM788" i="1"/>
  <c r="AM787" i="1"/>
  <c r="AM786" i="1"/>
  <c r="AM785" i="1"/>
  <c r="AM784" i="1"/>
  <c r="AM783" i="1"/>
  <c r="AM782" i="1"/>
  <c r="AM781" i="1"/>
  <c r="AM790" i="1"/>
  <c r="AM779" i="1"/>
  <c r="AM1084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80" i="1"/>
  <c r="AM763" i="1"/>
  <c r="AM762" i="1"/>
  <c r="AM761" i="1"/>
  <c r="AM408" i="1"/>
  <c r="AM759" i="1"/>
  <c r="AM758" i="1"/>
  <c r="AM301" i="1"/>
  <c r="AM756" i="1"/>
  <c r="AM755" i="1"/>
  <c r="AM754" i="1"/>
  <c r="AM753" i="1"/>
  <c r="AM752" i="1"/>
  <c r="AM751" i="1"/>
  <c r="AM750" i="1"/>
  <c r="AM749" i="1"/>
  <c r="AM748" i="1"/>
  <c r="AM747" i="1"/>
  <c r="AM746" i="1"/>
  <c r="AM745" i="1"/>
  <c r="AM1082" i="1"/>
  <c r="AM1080" i="1"/>
  <c r="AM1067" i="1"/>
  <c r="AM1059" i="1"/>
  <c r="AM740" i="1"/>
  <c r="AM739" i="1"/>
  <c r="AM738" i="1"/>
  <c r="AM1057" i="1"/>
  <c r="AM1036" i="1"/>
  <c r="AM1035" i="1"/>
  <c r="AM734" i="1"/>
  <c r="AM733" i="1"/>
  <c r="AM732" i="1"/>
  <c r="AM712" i="1"/>
  <c r="AM730" i="1"/>
  <c r="AM729" i="1"/>
  <c r="AM728" i="1"/>
  <c r="AM727" i="1"/>
  <c r="AM726" i="1"/>
  <c r="AM725" i="1"/>
  <c r="AM724" i="1"/>
  <c r="AM778" i="1"/>
  <c r="AM722" i="1"/>
  <c r="AM721" i="1"/>
  <c r="AM720" i="1"/>
  <c r="AM735" i="1"/>
  <c r="AM718" i="1"/>
  <c r="AM717" i="1"/>
  <c r="AM716" i="1"/>
  <c r="AM715" i="1"/>
  <c r="AM714" i="1"/>
  <c r="AM713" i="1"/>
  <c r="AM743" i="1"/>
  <c r="AM1034" i="1"/>
  <c r="AM710" i="1"/>
  <c r="AM709" i="1"/>
  <c r="AM708" i="1"/>
  <c r="AM707" i="1"/>
  <c r="AM706" i="1"/>
  <c r="AM705" i="1"/>
  <c r="AM704" i="1"/>
  <c r="AM949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1033" i="1"/>
  <c r="AM676" i="1"/>
  <c r="AM675" i="1"/>
  <c r="AM674" i="1"/>
  <c r="AM673" i="1"/>
  <c r="AM672" i="1"/>
  <c r="AM671" i="1"/>
  <c r="AM670" i="1"/>
  <c r="AM669" i="1"/>
  <c r="AM668" i="1"/>
  <c r="AM653" i="1"/>
  <c r="AM666" i="1"/>
  <c r="AM665" i="1"/>
  <c r="AM664" i="1"/>
  <c r="AM663" i="1"/>
  <c r="AM662" i="1"/>
  <c r="AM661" i="1"/>
  <c r="AM660" i="1"/>
  <c r="AM659" i="1"/>
  <c r="AM658" i="1"/>
  <c r="AM28" i="1"/>
  <c r="AM393" i="1"/>
  <c r="AM392" i="1"/>
  <c r="AM654" i="1"/>
  <c r="AM1026" i="1"/>
  <c r="AM652" i="1"/>
  <c r="AM651" i="1"/>
  <c r="AM650" i="1"/>
  <c r="AM649" i="1"/>
  <c r="AM648" i="1"/>
  <c r="AM647" i="1"/>
  <c r="AM646" i="1"/>
  <c r="AM645" i="1"/>
  <c r="AM332" i="1"/>
  <c r="AM643" i="1"/>
  <c r="AM642" i="1"/>
  <c r="AM431" i="1"/>
  <c r="AM640" i="1"/>
  <c r="AM639" i="1"/>
  <c r="AM638" i="1"/>
  <c r="AM573" i="1"/>
  <c r="AM636" i="1"/>
  <c r="AM572" i="1"/>
  <c r="AM634" i="1"/>
  <c r="AM633" i="1"/>
  <c r="AM632" i="1"/>
  <c r="AM569" i="1"/>
  <c r="AM630" i="1"/>
  <c r="AM629" i="1"/>
  <c r="AM628" i="1"/>
  <c r="AM627" i="1"/>
  <c r="AM626" i="1"/>
  <c r="AM625" i="1"/>
  <c r="AM624" i="1"/>
  <c r="AM623" i="1"/>
  <c r="AM285" i="1"/>
  <c r="AM253" i="1"/>
  <c r="AM620" i="1"/>
  <c r="AM619" i="1"/>
  <c r="AM618" i="1"/>
  <c r="AM617" i="1"/>
  <c r="AM616" i="1"/>
  <c r="AM615" i="1"/>
  <c r="AM614" i="1"/>
  <c r="AM613" i="1"/>
  <c r="AM612" i="1"/>
  <c r="AM611" i="1"/>
  <c r="AM610" i="1"/>
  <c r="AM553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35" i="1"/>
  <c r="AM594" i="1"/>
  <c r="AM593" i="1"/>
  <c r="AM592" i="1"/>
  <c r="AM591" i="1"/>
  <c r="AM98" i="1"/>
  <c r="AM589" i="1"/>
  <c r="AM588" i="1"/>
  <c r="AM963" i="1"/>
  <c r="AM586" i="1"/>
  <c r="AM585" i="1"/>
  <c r="AM584" i="1"/>
  <c r="AM583" i="1"/>
  <c r="AM44" i="1"/>
  <c r="AM581" i="1"/>
  <c r="AM580" i="1"/>
  <c r="AM579" i="1"/>
  <c r="AM578" i="1"/>
  <c r="AM577" i="1"/>
  <c r="AM576" i="1"/>
  <c r="AM575" i="1"/>
  <c r="AM574" i="1"/>
  <c r="AM308" i="1"/>
  <c r="AM306" i="1"/>
  <c r="AM571" i="1"/>
  <c r="AM570" i="1"/>
  <c r="AM307" i="1"/>
  <c r="AM568" i="1"/>
  <c r="AM567" i="1"/>
  <c r="AM566" i="1"/>
  <c r="AM565" i="1"/>
  <c r="AM564" i="1"/>
  <c r="AM563" i="1"/>
  <c r="AM558" i="1"/>
  <c r="AM562" i="1"/>
  <c r="AM561" i="1"/>
  <c r="AM560" i="1"/>
  <c r="AM559" i="1"/>
  <c r="AM557" i="1"/>
  <c r="AM556" i="1"/>
  <c r="AM555" i="1"/>
  <c r="AM554" i="1"/>
  <c r="AM655" i="1"/>
  <c r="AM552" i="1"/>
  <c r="AM551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416" i="1"/>
  <c r="AM534" i="1"/>
  <c r="AM533" i="1"/>
  <c r="AM532" i="1"/>
  <c r="AM531" i="1"/>
  <c r="AM530" i="1"/>
  <c r="AM529" i="1"/>
  <c r="AM528" i="1"/>
  <c r="AM527" i="1"/>
  <c r="AM526" i="1"/>
  <c r="AM525" i="1"/>
  <c r="AM524" i="1"/>
  <c r="AM523" i="1"/>
  <c r="AM325" i="1"/>
  <c r="AM521" i="1"/>
  <c r="AM520" i="1"/>
  <c r="AM519" i="1"/>
  <c r="AM621" i="1"/>
  <c r="AM517" i="1"/>
  <c r="AM516" i="1"/>
  <c r="AM515" i="1"/>
  <c r="AM514" i="1"/>
  <c r="AM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146" i="1"/>
  <c r="AM488" i="1"/>
  <c r="AM20" i="1"/>
  <c r="AM486" i="1"/>
  <c r="AM485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1135" i="1"/>
  <c r="AM458" i="1"/>
  <c r="AM140" i="1"/>
  <c r="AM456" i="1"/>
  <c r="AM1009" i="1"/>
  <c r="AM454" i="1"/>
  <c r="AM992" i="1"/>
  <c r="AM452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595" i="1"/>
  <c r="AM434" i="1"/>
  <c r="AM265" i="1"/>
  <c r="AM251" i="1"/>
  <c r="AM252" i="1"/>
  <c r="AM323" i="1"/>
  <c r="AM429" i="1"/>
  <c r="AM428" i="1"/>
  <c r="AM427" i="1"/>
  <c r="AM206" i="1"/>
  <c r="AM425" i="1"/>
  <c r="AM259" i="1"/>
  <c r="AM423" i="1"/>
  <c r="AM422" i="1"/>
  <c r="AM522" i="1"/>
  <c r="AM420" i="1"/>
  <c r="AM419" i="1"/>
  <c r="AM418" i="1"/>
  <c r="AM417" i="1"/>
  <c r="AM518" i="1"/>
  <c r="AM415" i="1"/>
  <c r="AM414" i="1"/>
  <c r="AM413" i="1"/>
  <c r="AM412" i="1"/>
  <c r="AM150" i="1"/>
  <c r="AM410" i="1"/>
  <c r="AM409" i="1"/>
  <c r="AM181" i="1"/>
  <c r="AM407" i="1"/>
  <c r="AM406" i="1"/>
  <c r="AM405" i="1"/>
  <c r="AM404" i="1"/>
  <c r="AM513" i="1"/>
  <c r="AM402" i="1"/>
  <c r="AM401" i="1"/>
  <c r="AM400" i="1"/>
  <c r="AM398" i="1"/>
  <c r="AM227" i="1"/>
  <c r="AM396" i="1"/>
  <c r="AM395" i="1"/>
  <c r="AM394" i="1"/>
  <c r="AM242" i="1"/>
  <c r="AM183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489" i="1"/>
  <c r="AM354" i="1"/>
  <c r="AM277" i="1"/>
  <c r="AM352" i="1"/>
  <c r="AM351" i="1"/>
  <c r="AM271" i="1"/>
  <c r="AM349" i="1"/>
  <c r="AM348" i="1"/>
  <c r="AM347" i="1"/>
  <c r="AM15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13" i="1"/>
  <c r="AM331" i="1"/>
  <c r="AM226" i="1"/>
  <c r="AM329" i="1"/>
  <c r="AM328" i="1"/>
  <c r="AM327" i="1"/>
  <c r="AM326" i="1"/>
  <c r="AM1098" i="1"/>
  <c r="AM1019" i="1"/>
  <c r="AM245" i="1"/>
  <c r="AM322" i="1"/>
  <c r="AM321" i="1"/>
  <c r="AM184" i="1"/>
  <c r="AM319" i="1"/>
  <c r="AM318" i="1"/>
  <c r="AM317" i="1"/>
  <c r="AM316" i="1"/>
  <c r="AM315" i="1"/>
  <c r="AM641" i="1"/>
  <c r="AM313" i="1"/>
  <c r="AM16" i="1"/>
  <c r="AM311" i="1"/>
  <c r="AM310" i="1"/>
  <c r="AM309" i="1"/>
  <c r="AM637" i="1"/>
  <c r="AM1020" i="1"/>
  <c r="AM1090" i="1"/>
  <c r="AM305" i="1"/>
  <c r="AM304" i="1"/>
  <c r="AM303" i="1"/>
  <c r="AM302" i="1"/>
  <c r="AM1089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411" i="1"/>
  <c r="AM312" i="1"/>
  <c r="AM286" i="1"/>
  <c r="AM288" i="1"/>
  <c r="AM284" i="1"/>
  <c r="AM283" i="1"/>
  <c r="AM282" i="1"/>
  <c r="AM281" i="1"/>
  <c r="AM280" i="1"/>
  <c r="AM279" i="1"/>
  <c r="AM278" i="1"/>
  <c r="AM128" i="1"/>
  <c r="AM276" i="1"/>
  <c r="AM275" i="1"/>
  <c r="AM274" i="1"/>
  <c r="AM273" i="1"/>
  <c r="AM272" i="1"/>
  <c r="AM32" i="1"/>
  <c r="AM270" i="1"/>
  <c r="AM287" i="1"/>
  <c r="AM268" i="1"/>
  <c r="AM267" i="1"/>
  <c r="AM266" i="1"/>
  <c r="AM189" i="1"/>
  <c r="AM264" i="1"/>
  <c r="AM263" i="1"/>
  <c r="AM262" i="1"/>
  <c r="AM261" i="1"/>
  <c r="AM260" i="1"/>
  <c r="AM30" i="1"/>
  <c r="AM258" i="1"/>
  <c r="AM257" i="1"/>
  <c r="AM256" i="1"/>
  <c r="AM255" i="1"/>
  <c r="AM254" i="1"/>
  <c r="AM235" i="1"/>
  <c r="AM350" i="1"/>
  <c r="AM269" i="1"/>
  <c r="AM250" i="1"/>
  <c r="AM249" i="1"/>
  <c r="AM248" i="1"/>
  <c r="AM247" i="1"/>
  <c r="AM246" i="1"/>
  <c r="AM432" i="1"/>
  <c r="AM244" i="1"/>
  <c r="AM243" i="1"/>
  <c r="AM1088" i="1"/>
  <c r="AM241" i="1"/>
  <c r="AM240" i="1"/>
  <c r="AM239" i="1"/>
  <c r="AM238" i="1"/>
  <c r="AM237" i="1"/>
  <c r="AM236" i="1"/>
  <c r="AM1015" i="1"/>
  <c r="AM234" i="1"/>
  <c r="AM233" i="1"/>
  <c r="AM232" i="1"/>
  <c r="AM231" i="1"/>
  <c r="AM230" i="1"/>
  <c r="AM229" i="1"/>
  <c r="AM228" i="1"/>
  <c r="AM87" i="1"/>
  <c r="AM74" i="1"/>
  <c r="AM225" i="1"/>
  <c r="AM224" i="1"/>
  <c r="AM116" i="1"/>
  <c r="AM222" i="1"/>
  <c r="AM221" i="1"/>
  <c r="AM220" i="1"/>
  <c r="AM219" i="1"/>
  <c r="AM218" i="1"/>
  <c r="AM54" i="1"/>
  <c r="AM216" i="1"/>
  <c r="AM215" i="1"/>
  <c r="AM214" i="1"/>
  <c r="AM213" i="1"/>
  <c r="AM212" i="1"/>
  <c r="AM211" i="1"/>
  <c r="AM210" i="1"/>
  <c r="AM209" i="1"/>
  <c r="AM1016" i="1"/>
  <c r="AM207" i="1"/>
  <c r="AM959" i="1"/>
  <c r="AM93" i="1"/>
  <c r="AM204" i="1"/>
  <c r="AM203" i="1"/>
  <c r="AM202" i="1"/>
  <c r="AM201" i="1"/>
  <c r="AM200" i="1"/>
  <c r="AM199" i="1"/>
  <c r="AM198" i="1"/>
  <c r="AM197" i="1"/>
  <c r="AM196" i="1"/>
  <c r="AM195" i="1"/>
  <c r="AM194" i="1"/>
  <c r="AM355" i="1"/>
  <c r="AM192" i="1"/>
  <c r="AM191" i="1"/>
  <c r="AM190" i="1"/>
  <c r="AM487" i="1"/>
  <c r="AM188" i="1"/>
  <c r="AM187" i="1"/>
  <c r="AM186" i="1"/>
  <c r="AM185" i="1"/>
  <c r="AM459" i="1"/>
  <c r="AM1166" i="1"/>
  <c r="AM182" i="1"/>
  <c r="AM174" i="1"/>
  <c r="AM320" i="1"/>
  <c r="AM179" i="1"/>
  <c r="AM178" i="1"/>
  <c r="AM177" i="1"/>
  <c r="AM102" i="1"/>
  <c r="AM99" i="1"/>
  <c r="AM103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75" i="1"/>
  <c r="AM149" i="1"/>
  <c r="AM148" i="1"/>
  <c r="AM147" i="1"/>
  <c r="AM70" i="1"/>
  <c r="AM145" i="1"/>
  <c r="AM144" i="1"/>
  <c r="AM143" i="1"/>
  <c r="AM142" i="1"/>
  <c r="AM141" i="1"/>
  <c r="AM353" i="1"/>
  <c r="AM139" i="1"/>
  <c r="AM138" i="1"/>
  <c r="AM137" i="1"/>
  <c r="AM136" i="1"/>
  <c r="AM135" i="1"/>
  <c r="AM134" i="1"/>
  <c r="AM133" i="1"/>
  <c r="AM132" i="1"/>
  <c r="AM131" i="1"/>
  <c r="AM130" i="1"/>
  <c r="AM129" i="1"/>
  <c r="AM68" i="1"/>
  <c r="AM127" i="1"/>
  <c r="AM126" i="1"/>
  <c r="AM125" i="1"/>
  <c r="AM124" i="1"/>
  <c r="AM123" i="1"/>
  <c r="AM122" i="1"/>
  <c r="AM121" i="1"/>
  <c r="AM120" i="1"/>
  <c r="AM119" i="1"/>
  <c r="AM118" i="1"/>
  <c r="AM117" i="1"/>
  <c r="AM457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455" i="1"/>
  <c r="AM453" i="1"/>
  <c r="AM101" i="1"/>
  <c r="AM100" i="1"/>
  <c r="AM403" i="1"/>
  <c r="AM631" i="1"/>
  <c r="AM635" i="1"/>
  <c r="AM397" i="1"/>
  <c r="AM95" i="1"/>
  <c r="AM94" i="1"/>
  <c r="AM430" i="1"/>
  <c r="AM609" i="1"/>
  <c r="AM426" i="1"/>
  <c r="AM90" i="1"/>
  <c r="AM89" i="1"/>
  <c r="AM88" i="1"/>
  <c r="AM43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435" i="1"/>
  <c r="AM73" i="1"/>
  <c r="AM72" i="1"/>
  <c r="AM71" i="1"/>
  <c r="AM1116" i="1"/>
  <c r="AM69" i="1"/>
  <c r="AM433" i="1"/>
  <c r="AM67" i="1"/>
  <c r="AM66" i="1"/>
  <c r="AM65" i="1"/>
  <c r="AM64" i="1"/>
  <c r="AM63" i="1"/>
  <c r="AM62" i="1"/>
  <c r="AM61" i="1"/>
  <c r="AM60" i="1"/>
  <c r="AM217" i="1"/>
  <c r="AM58" i="1"/>
  <c r="AM57" i="1"/>
  <c r="AM644" i="1"/>
  <c r="AM55" i="1"/>
  <c r="AM97" i="1"/>
  <c r="AM53" i="1"/>
  <c r="AM52" i="1"/>
  <c r="AM51" i="1"/>
  <c r="AM50" i="1"/>
  <c r="AM49" i="1"/>
  <c r="AM48" i="1"/>
  <c r="AM47" i="1"/>
  <c r="AM46" i="1"/>
  <c r="AM45" i="1"/>
  <c r="AM56" i="1"/>
  <c r="AM424" i="1"/>
  <c r="AM42" i="1"/>
  <c r="AM41" i="1"/>
  <c r="AM622" i="1"/>
  <c r="AM39" i="1"/>
  <c r="AM38" i="1"/>
  <c r="AM37" i="1"/>
  <c r="AM36" i="1"/>
  <c r="AM35" i="1"/>
  <c r="AM34" i="1"/>
  <c r="AM33" i="1"/>
  <c r="AM208" i="1"/>
  <c r="AM31" i="1"/>
  <c r="AM96" i="1"/>
  <c r="AM92" i="1"/>
  <c r="AM91" i="1"/>
  <c r="AM27" i="1"/>
  <c r="AM26" i="1"/>
  <c r="AM25" i="1"/>
  <c r="AM24" i="1"/>
  <c r="AM23" i="1"/>
  <c r="AM22" i="1"/>
  <c r="AM1144" i="1"/>
  <c r="AM421" i="1"/>
  <c r="AM19" i="1"/>
  <c r="AM18" i="1"/>
  <c r="AM17" i="1"/>
  <c r="AM1119" i="1"/>
  <c r="AM223" i="1"/>
  <c r="AM14" i="1"/>
  <c r="AM330" i="1"/>
  <c r="AM12" i="1"/>
  <c r="AM11" i="1"/>
  <c r="AM10" i="1"/>
  <c r="AM9" i="1"/>
  <c r="AM8" i="1"/>
  <c r="AM7" i="1"/>
  <c r="AM6" i="1"/>
  <c r="AM5" i="1"/>
  <c r="AM4" i="1"/>
  <c r="AM324" i="1"/>
  <c r="AM2" i="1"/>
  <c r="AH324" i="1" l="1"/>
  <c r="AI324" i="1"/>
  <c r="AJ324" i="1"/>
  <c r="AK324" i="1"/>
  <c r="AL324" i="1"/>
  <c r="AH4" i="1"/>
  <c r="AI4" i="1"/>
  <c r="AJ4" i="1"/>
  <c r="AK4" i="1"/>
  <c r="AL4" i="1"/>
  <c r="AH5" i="1"/>
  <c r="AI5" i="1"/>
  <c r="AJ5" i="1"/>
  <c r="AK5" i="1"/>
  <c r="AL5" i="1"/>
  <c r="AH6" i="1"/>
  <c r="AI6" i="1"/>
  <c r="AJ6" i="1"/>
  <c r="AK6" i="1"/>
  <c r="AL6" i="1"/>
  <c r="AH7" i="1"/>
  <c r="AI7" i="1"/>
  <c r="AJ7" i="1"/>
  <c r="AK7" i="1"/>
  <c r="AL7" i="1"/>
  <c r="AH8" i="1"/>
  <c r="AI8" i="1"/>
  <c r="AJ8" i="1"/>
  <c r="AK8" i="1"/>
  <c r="AL8" i="1"/>
  <c r="AH9" i="1"/>
  <c r="AI9" i="1"/>
  <c r="AJ9" i="1"/>
  <c r="AK9" i="1"/>
  <c r="AL9" i="1"/>
  <c r="AH10" i="1"/>
  <c r="AI10" i="1"/>
  <c r="AJ10" i="1"/>
  <c r="AK10" i="1"/>
  <c r="AL10" i="1"/>
  <c r="AH11" i="1"/>
  <c r="AI11" i="1"/>
  <c r="AJ11" i="1"/>
  <c r="AK11" i="1"/>
  <c r="AL11" i="1"/>
  <c r="AH12" i="1"/>
  <c r="AI12" i="1"/>
  <c r="AJ12" i="1"/>
  <c r="AK12" i="1"/>
  <c r="AL12" i="1"/>
  <c r="AH330" i="1"/>
  <c r="AI330" i="1"/>
  <c r="AJ330" i="1"/>
  <c r="AK330" i="1"/>
  <c r="AL330" i="1"/>
  <c r="AH14" i="1"/>
  <c r="AI14" i="1"/>
  <c r="AJ14" i="1"/>
  <c r="AK14" i="1"/>
  <c r="AL14" i="1"/>
  <c r="AH223" i="1"/>
  <c r="AI223" i="1"/>
  <c r="AJ223" i="1"/>
  <c r="AK223" i="1"/>
  <c r="AL223" i="1"/>
  <c r="AH1119" i="1"/>
  <c r="AI1119" i="1"/>
  <c r="AJ1119" i="1"/>
  <c r="AK1119" i="1"/>
  <c r="AL1119" i="1"/>
  <c r="AH17" i="1"/>
  <c r="AI17" i="1"/>
  <c r="AJ17" i="1"/>
  <c r="AK17" i="1"/>
  <c r="AL17" i="1"/>
  <c r="AH18" i="1"/>
  <c r="AI18" i="1"/>
  <c r="AJ18" i="1"/>
  <c r="AK18" i="1"/>
  <c r="AL18" i="1"/>
  <c r="AH19" i="1"/>
  <c r="AI19" i="1"/>
  <c r="AJ19" i="1"/>
  <c r="AK19" i="1"/>
  <c r="AL19" i="1"/>
  <c r="AH421" i="1"/>
  <c r="AI421" i="1"/>
  <c r="AJ421" i="1"/>
  <c r="AK421" i="1"/>
  <c r="AL421" i="1"/>
  <c r="AH1144" i="1"/>
  <c r="AI1144" i="1"/>
  <c r="AJ1144" i="1"/>
  <c r="AK1144" i="1"/>
  <c r="AL1144" i="1"/>
  <c r="AH22" i="1"/>
  <c r="AI22" i="1"/>
  <c r="AJ22" i="1"/>
  <c r="AK22" i="1"/>
  <c r="AL22" i="1"/>
  <c r="AH23" i="1"/>
  <c r="AI23" i="1"/>
  <c r="AJ23" i="1"/>
  <c r="AK23" i="1"/>
  <c r="AL23" i="1"/>
  <c r="AH24" i="1"/>
  <c r="AI24" i="1"/>
  <c r="AJ24" i="1"/>
  <c r="AK24" i="1"/>
  <c r="AL24" i="1"/>
  <c r="AH25" i="1"/>
  <c r="AI25" i="1"/>
  <c r="AJ25" i="1"/>
  <c r="AK25" i="1"/>
  <c r="AL25" i="1"/>
  <c r="AH26" i="1"/>
  <c r="AI26" i="1"/>
  <c r="AJ26" i="1"/>
  <c r="AK26" i="1"/>
  <c r="AL26" i="1"/>
  <c r="AH27" i="1"/>
  <c r="AI27" i="1"/>
  <c r="AJ27" i="1"/>
  <c r="AK27" i="1"/>
  <c r="AL27" i="1"/>
  <c r="AH91" i="1"/>
  <c r="AI91" i="1"/>
  <c r="AJ91" i="1"/>
  <c r="AK91" i="1"/>
  <c r="AL91" i="1"/>
  <c r="AH92" i="1"/>
  <c r="AI92" i="1"/>
  <c r="AJ92" i="1"/>
  <c r="AK92" i="1"/>
  <c r="AL92" i="1"/>
  <c r="AH96" i="1"/>
  <c r="AI96" i="1"/>
  <c r="AJ96" i="1"/>
  <c r="AK96" i="1"/>
  <c r="AL96" i="1"/>
  <c r="AH31" i="1"/>
  <c r="AI31" i="1"/>
  <c r="AJ31" i="1"/>
  <c r="AK31" i="1"/>
  <c r="AL31" i="1"/>
  <c r="AH208" i="1"/>
  <c r="AI208" i="1"/>
  <c r="AJ208" i="1"/>
  <c r="AK208" i="1"/>
  <c r="AL208" i="1"/>
  <c r="AH33" i="1"/>
  <c r="AI33" i="1"/>
  <c r="AJ33" i="1"/>
  <c r="AK33" i="1"/>
  <c r="AL33" i="1"/>
  <c r="AH34" i="1"/>
  <c r="AI34" i="1"/>
  <c r="AJ34" i="1"/>
  <c r="AK34" i="1"/>
  <c r="AL34" i="1"/>
  <c r="AH35" i="1"/>
  <c r="AI35" i="1"/>
  <c r="AJ35" i="1"/>
  <c r="AK35" i="1"/>
  <c r="AL35" i="1"/>
  <c r="AH36" i="1"/>
  <c r="AI36" i="1"/>
  <c r="AJ36" i="1"/>
  <c r="AK36" i="1"/>
  <c r="AL36" i="1"/>
  <c r="AH37" i="1"/>
  <c r="AI37" i="1"/>
  <c r="AJ37" i="1"/>
  <c r="AK37" i="1"/>
  <c r="AL37" i="1"/>
  <c r="AH38" i="1"/>
  <c r="AI38" i="1"/>
  <c r="AJ38" i="1"/>
  <c r="AK38" i="1"/>
  <c r="AL38" i="1"/>
  <c r="AH39" i="1"/>
  <c r="AI39" i="1"/>
  <c r="AJ39" i="1"/>
  <c r="AK39" i="1"/>
  <c r="AL39" i="1"/>
  <c r="AH622" i="1"/>
  <c r="AI622" i="1"/>
  <c r="AJ622" i="1"/>
  <c r="AK622" i="1"/>
  <c r="AL622" i="1"/>
  <c r="AH41" i="1"/>
  <c r="AI41" i="1"/>
  <c r="AJ41" i="1"/>
  <c r="AK41" i="1"/>
  <c r="AL41" i="1"/>
  <c r="AH42" i="1"/>
  <c r="AI42" i="1"/>
  <c r="AJ42" i="1"/>
  <c r="AK42" i="1"/>
  <c r="AL42" i="1"/>
  <c r="AH424" i="1"/>
  <c r="AI424" i="1"/>
  <c r="AJ424" i="1"/>
  <c r="AK424" i="1"/>
  <c r="AL424" i="1"/>
  <c r="AH56" i="1"/>
  <c r="AI56" i="1"/>
  <c r="AJ56" i="1"/>
  <c r="AK56" i="1"/>
  <c r="AL56" i="1"/>
  <c r="AH45" i="1"/>
  <c r="AI45" i="1"/>
  <c r="AJ45" i="1"/>
  <c r="AK45" i="1"/>
  <c r="AL45" i="1"/>
  <c r="AH46" i="1"/>
  <c r="AI46" i="1"/>
  <c r="AJ46" i="1"/>
  <c r="AK46" i="1"/>
  <c r="AL46" i="1"/>
  <c r="AH47" i="1"/>
  <c r="AI47" i="1"/>
  <c r="AJ47" i="1"/>
  <c r="AK47" i="1"/>
  <c r="AL47" i="1"/>
  <c r="AH48" i="1"/>
  <c r="AI48" i="1"/>
  <c r="AJ48" i="1"/>
  <c r="AK48" i="1"/>
  <c r="AL48" i="1"/>
  <c r="AH49" i="1"/>
  <c r="AI49" i="1"/>
  <c r="AJ49" i="1"/>
  <c r="AL49" i="1"/>
  <c r="AH50" i="1"/>
  <c r="AI50" i="1"/>
  <c r="AJ50" i="1"/>
  <c r="AL50" i="1"/>
  <c r="AH51" i="1"/>
  <c r="AI51" i="1"/>
  <c r="AJ51" i="1"/>
  <c r="AK51" i="1"/>
  <c r="AL51" i="1"/>
  <c r="AH52" i="1"/>
  <c r="AI52" i="1"/>
  <c r="AJ52" i="1"/>
  <c r="AK52" i="1"/>
  <c r="AL52" i="1"/>
  <c r="AH53" i="1"/>
  <c r="AI53" i="1"/>
  <c r="AJ53" i="1"/>
  <c r="AK53" i="1"/>
  <c r="AL53" i="1"/>
  <c r="AH97" i="1"/>
  <c r="AI97" i="1"/>
  <c r="AJ97" i="1"/>
  <c r="AK97" i="1"/>
  <c r="AL97" i="1"/>
  <c r="AH55" i="1"/>
  <c r="AJ55" i="1"/>
  <c r="AK55" i="1"/>
  <c r="AL55" i="1"/>
  <c r="AH644" i="1"/>
  <c r="AI644" i="1"/>
  <c r="AJ644" i="1"/>
  <c r="AK644" i="1"/>
  <c r="AL644" i="1"/>
  <c r="AH57" i="1"/>
  <c r="AI57" i="1"/>
  <c r="AJ57" i="1"/>
  <c r="AK57" i="1"/>
  <c r="AL57" i="1"/>
  <c r="AH58" i="1"/>
  <c r="AI58" i="1"/>
  <c r="AJ58" i="1"/>
  <c r="AK58" i="1"/>
  <c r="AL58" i="1"/>
  <c r="AH217" i="1"/>
  <c r="AI217" i="1"/>
  <c r="AJ217" i="1"/>
  <c r="AK217" i="1"/>
  <c r="AL217" i="1"/>
  <c r="AH60" i="1"/>
  <c r="AI60" i="1"/>
  <c r="AJ60" i="1"/>
  <c r="AK60" i="1"/>
  <c r="AL60" i="1"/>
  <c r="AH61" i="1"/>
  <c r="AI61" i="1"/>
  <c r="AJ61" i="1"/>
  <c r="AK61" i="1"/>
  <c r="AL61" i="1"/>
  <c r="AH62" i="1"/>
  <c r="AI62" i="1"/>
  <c r="AJ62" i="1"/>
  <c r="AK62" i="1"/>
  <c r="AL62" i="1"/>
  <c r="AH63" i="1"/>
  <c r="AI63" i="1"/>
  <c r="AJ63" i="1"/>
  <c r="AK63" i="1"/>
  <c r="AL63" i="1"/>
  <c r="AH64" i="1"/>
  <c r="AI64" i="1"/>
  <c r="AJ64" i="1"/>
  <c r="AK64" i="1"/>
  <c r="AL64" i="1"/>
  <c r="AH65" i="1"/>
  <c r="AJ65" i="1"/>
  <c r="AK65" i="1"/>
  <c r="AL65" i="1"/>
  <c r="AH66" i="1"/>
  <c r="AI66" i="1"/>
  <c r="AJ66" i="1"/>
  <c r="AK66" i="1"/>
  <c r="AL66" i="1"/>
  <c r="AH67" i="1"/>
  <c r="AI67" i="1"/>
  <c r="AJ67" i="1"/>
  <c r="AK67" i="1"/>
  <c r="AL67" i="1"/>
  <c r="AH433" i="1"/>
  <c r="AI433" i="1"/>
  <c r="AJ433" i="1"/>
  <c r="AK433" i="1"/>
  <c r="AL433" i="1"/>
  <c r="AH69" i="1"/>
  <c r="AI69" i="1"/>
  <c r="AJ69" i="1"/>
  <c r="AK69" i="1"/>
  <c r="AL69" i="1"/>
  <c r="AH1116" i="1"/>
  <c r="AI1116" i="1"/>
  <c r="AJ1116" i="1"/>
  <c r="AK1116" i="1"/>
  <c r="AL1116" i="1"/>
  <c r="AH71" i="1"/>
  <c r="AI71" i="1"/>
  <c r="AJ71" i="1"/>
  <c r="AK71" i="1"/>
  <c r="AL71" i="1"/>
  <c r="AH72" i="1"/>
  <c r="AI72" i="1"/>
  <c r="AJ72" i="1"/>
  <c r="AK72" i="1"/>
  <c r="AL72" i="1"/>
  <c r="AH73" i="1"/>
  <c r="AI73" i="1"/>
  <c r="AJ73" i="1"/>
  <c r="AK73" i="1"/>
  <c r="AL73" i="1"/>
  <c r="AH435" i="1"/>
  <c r="AI435" i="1"/>
  <c r="AJ435" i="1"/>
  <c r="AK435" i="1"/>
  <c r="AL435" i="1"/>
  <c r="AH75" i="1"/>
  <c r="AI75" i="1"/>
  <c r="AJ75" i="1"/>
  <c r="AK75" i="1"/>
  <c r="AL75" i="1"/>
  <c r="AH76" i="1"/>
  <c r="AI76" i="1"/>
  <c r="AJ76" i="1"/>
  <c r="AK76" i="1"/>
  <c r="AL76" i="1"/>
  <c r="AH77" i="1"/>
  <c r="AI77" i="1"/>
  <c r="AJ77" i="1"/>
  <c r="AK77" i="1"/>
  <c r="AL77" i="1"/>
  <c r="AH78" i="1"/>
  <c r="AI78" i="1"/>
  <c r="AJ78" i="1"/>
  <c r="AK78" i="1"/>
  <c r="AL78" i="1"/>
  <c r="AH79" i="1"/>
  <c r="AI79" i="1"/>
  <c r="AJ79" i="1"/>
  <c r="AK79" i="1"/>
  <c r="AL79" i="1"/>
  <c r="AH80" i="1"/>
  <c r="AI80" i="1"/>
  <c r="AJ80" i="1"/>
  <c r="AK80" i="1"/>
  <c r="AL80" i="1"/>
  <c r="AH81" i="1"/>
  <c r="AI81" i="1"/>
  <c r="AJ81" i="1"/>
  <c r="AK81" i="1"/>
  <c r="AL81" i="1"/>
  <c r="AH82" i="1"/>
  <c r="AI82" i="1"/>
  <c r="AJ82" i="1"/>
  <c r="AK82" i="1"/>
  <c r="AL82" i="1"/>
  <c r="AH83" i="1"/>
  <c r="AI83" i="1"/>
  <c r="AJ83" i="1"/>
  <c r="AK83" i="1"/>
  <c r="AL83" i="1"/>
  <c r="AH84" i="1"/>
  <c r="AI84" i="1"/>
  <c r="AJ84" i="1"/>
  <c r="AK84" i="1"/>
  <c r="AL84" i="1"/>
  <c r="AH85" i="1"/>
  <c r="AI85" i="1"/>
  <c r="AJ85" i="1"/>
  <c r="AK85" i="1"/>
  <c r="AL85" i="1"/>
  <c r="AH86" i="1"/>
  <c r="AI86" i="1"/>
  <c r="AJ86" i="1"/>
  <c r="AK86" i="1"/>
  <c r="AL86" i="1"/>
  <c r="AH43" i="1"/>
  <c r="AI43" i="1"/>
  <c r="AJ43" i="1"/>
  <c r="AK43" i="1"/>
  <c r="AL43" i="1"/>
  <c r="AH88" i="1"/>
  <c r="AI88" i="1"/>
  <c r="AJ88" i="1"/>
  <c r="AK88" i="1"/>
  <c r="AL88" i="1"/>
  <c r="AH89" i="1"/>
  <c r="AI89" i="1"/>
  <c r="AJ89" i="1"/>
  <c r="AK89" i="1"/>
  <c r="AL89" i="1"/>
  <c r="AH90" i="1"/>
  <c r="AI90" i="1"/>
  <c r="AJ90" i="1"/>
  <c r="AK90" i="1"/>
  <c r="AL90" i="1"/>
  <c r="AH426" i="1"/>
  <c r="AI426" i="1"/>
  <c r="AJ426" i="1"/>
  <c r="AK426" i="1"/>
  <c r="AL426" i="1"/>
  <c r="AH609" i="1"/>
  <c r="AI609" i="1"/>
  <c r="AJ609" i="1"/>
  <c r="AK609" i="1"/>
  <c r="AL609" i="1"/>
  <c r="AH430" i="1"/>
  <c r="AI430" i="1"/>
  <c r="AJ430" i="1"/>
  <c r="AK430" i="1"/>
  <c r="AL430" i="1"/>
  <c r="AH94" i="1"/>
  <c r="AI94" i="1"/>
  <c r="AJ94" i="1"/>
  <c r="AK94" i="1"/>
  <c r="AL94" i="1"/>
  <c r="AH95" i="1"/>
  <c r="AI95" i="1"/>
  <c r="AJ95" i="1"/>
  <c r="AK95" i="1"/>
  <c r="AL95" i="1"/>
  <c r="AH397" i="1"/>
  <c r="AI397" i="1"/>
  <c r="AJ397" i="1"/>
  <c r="AK397" i="1"/>
  <c r="AL397" i="1"/>
  <c r="AH635" i="1"/>
  <c r="AI635" i="1"/>
  <c r="AJ635" i="1"/>
  <c r="AK635" i="1"/>
  <c r="AL635" i="1"/>
  <c r="AH631" i="1"/>
  <c r="AI631" i="1"/>
  <c r="AJ631" i="1"/>
  <c r="AK631" i="1"/>
  <c r="AL631" i="1"/>
  <c r="AH403" i="1"/>
  <c r="AI403" i="1"/>
  <c r="AJ403" i="1"/>
  <c r="AK403" i="1"/>
  <c r="AL403" i="1"/>
  <c r="AH100" i="1"/>
  <c r="AI100" i="1"/>
  <c r="AJ100" i="1"/>
  <c r="AK100" i="1"/>
  <c r="AL100" i="1"/>
  <c r="AH101" i="1"/>
  <c r="AI101" i="1"/>
  <c r="AJ101" i="1"/>
  <c r="AK101" i="1"/>
  <c r="AL101" i="1"/>
  <c r="AH453" i="1"/>
  <c r="AI453" i="1"/>
  <c r="AJ453" i="1"/>
  <c r="AK453" i="1"/>
  <c r="AL453" i="1"/>
  <c r="AH455" i="1"/>
  <c r="AI455" i="1"/>
  <c r="AJ455" i="1"/>
  <c r="AK455" i="1"/>
  <c r="AL455" i="1"/>
  <c r="AH104" i="1"/>
  <c r="AI104" i="1"/>
  <c r="AJ104" i="1"/>
  <c r="AK104" i="1"/>
  <c r="AL104" i="1"/>
  <c r="AH105" i="1"/>
  <c r="AI105" i="1"/>
  <c r="AJ105" i="1"/>
  <c r="AK105" i="1"/>
  <c r="AL105" i="1"/>
  <c r="AH106" i="1"/>
  <c r="AI106" i="1"/>
  <c r="AJ106" i="1"/>
  <c r="AK106" i="1"/>
  <c r="AL106" i="1"/>
  <c r="AH107" i="1"/>
  <c r="AI107" i="1"/>
  <c r="AJ107" i="1"/>
  <c r="AK107" i="1"/>
  <c r="AL107" i="1"/>
  <c r="AH108" i="1"/>
  <c r="AI108" i="1"/>
  <c r="AJ108" i="1"/>
  <c r="AK108" i="1"/>
  <c r="AL108" i="1"/>
  <c r="AH109" i="1"/>
  <c r="AI109" i="1"/>
  <c r="AJ109" i="1"/>
  <c r="AK109" i="1"/>
  <c r="AL109" i="1"/>
  <c r="AH110" i="1"/>
  <c r="AI110" i="1"/>
  <c r="AJ110" i="1"/>
  <c r="AK110" i="1"/>
  <c r="AL110" i="1"/>
  <c r="AH111" i="1"/>
  <c r="AI111" i="1"/>
  <c r="AJ111" i="1"/>
  <c r="AK111" i="1"/>
  <c r="AL111" i="1"/>
  <c r="AH112" i="1"/>
  <c r="AI112" i="1"/>
  <c r="AJ112" i="1"/>
  <c r="AK112" i="1"/>
  <c r="AL112" i="1"/>
  <c r="AH113" i="1"/>
  <c r="AI113" i="1"/>
  <c r="AJ113" i="1"/>
  <c r="AK113" i="1"/>
  <c r="AL113" i="1"/>
  <c r="AH114" i="1"/>
  <c r="AI114" i="1"/>
  <c r="AJ114" i="1"/>
  <c r="AK114" i="1"/>
  <c r="AL114" i="1"/>
  <c r="AH115" i="1"/>
  <c r="AI115" i="1"/>
  <c r="AJ115" i="1"/>
  <c r="AK115" i="1"/>
  <c r="AL115" i="1"/>
  <c r="AH457" i="1"/>
  <c r="AI457" i="1"/>
  <c r="AJ457" i="1"/>
  <c r="AK457" i="1"/>
  <c r="AL457" i="1"/>
  <c r="AH117" i="1"/>
  <c r="AI117" i="1"/>
  <c r="AJ117" i="1"/>
  <c r="AK117" i="1"/>
  <c r="AL117" i="1"/>
  <c r="AH118" i="1"/>
  <c r="AI118" i="1"/>
  <c r="AJ118" i="1"/>
  <c r="AK118" i="1"/>
  <c r="AL118" i="1"/>
  <c r="AH119" i="1"/>
  <c r="AJ119" i="1"/>
  <c r="AL119" i="1"/>
  <c r="AH120" i="1"/>
  <c r="AJ120" i="1"/>
  <c r="AL120" i="1"/>
  <c r="AH121" i="1"/>
  <c r="AI121" i="1"/>
  <c r="AJ121" i="1"/>
  <c r="AK121" i="1"/>
  <c r="AL121" i="1"/>
  <c r="AH122" i="1"/>
  <c r="AJ122" i="1"/>
  <c r="AL122" i="1"/>
  <c r="AH123" i="1"/>
  <c r="AI123" i="1"/>
  <c r="AJ123" i="1"/>
  <c r="AK123" i="1"/>
  <c r="AL123" i="1"/>
  <c r="AH124" i="1"/>
  <c r="AI124" i="1"/>
  <c r="AJ124" i="1"/>
  <c r="AK124" i="1"/>
  <c r="AL124" i="1"/>
  <c r="AH125" i="1"/>
  <c r="AI125" i="1"/>
  <c r="AJ125" i="1"/>
  <c r="AK125" i="1"/>
  <c r="AL125" i="1"/>
  <c r="AH126" i="1"/>
  <c r="AI126" i="1"/>
  <c r="AJ126" i="1"/>
  <c r="AK126" i="1"/>
  <c r="AL126" i="1"/>
  <c r="AH127" i="1"/>
  <c r="AI127" i="1"/>
  <c r="AJ127" i="1"/>
  <c r="AK127" i="1"/>
  <c r="AL127" i="1"/>
  <c r="AH68" i="1"/>
  <c r="AI68" i="1"/>
  <c r="AJ68" i="1"/>
  <c r="AK68" i="1"/>
  <c r="AL68" i="1"/>
  <c r="AH129" i="1"/>
  <c r="AI129" i="1"/>
  <c r="AJ129" i="1"/>
  <c r="AK129" i="1"/>
  <c r="AL129" i="1"/>
  <c r="AH130" i="1"/>
  <c r="AI130" i="1"/>
  <c r="AJ130" i="1"/>
  <c r="AK130" i="1"/>
  <c r="AL130" i="1"/>
  <c r="AH131" i="1"/>
  <c r="AK131" i="1"/>
  <c r="AH132" i="1"/>
  <c r="AI132" i="1"/>
  <c r="AJ132" i="1"/>
  <c r="AK132" i="1"/>
  <c r="AL132" i="1"/>
  <c r="AH133" i="1"/>
  <c r="AI133" i="1"/>
  <c r="AJ133" i="1"/>
  <c r="AK133" i="1"/>
  <c r="AL133" i="1"/>
  <c r="AH134" i="1"/>
  <c r="AI134" i="1"/>
  <c r="AJ134" i="1"/>
  <c r="AK134" i="1"/>
  <c r="AL134" i="1"/>
  <c r="AH135" i="1"/>
  <c r="AI135" i="1"/>
  <c r="AJ135" i="1"/>
  <c r="AK135" i="1"/>
  <c r="AL135" i="1"/>
  <c r="AH136" i="1"/>
  <c r="AI136" i="1"/>
  <c r="AJ136" i="1"/>
  <c r="AK136" i="1"/>
  <c r="AL136" i="1"/>
  <c r="AH137" i="1"/>
  <c r="AI137" i="1"/>
  <c r="AJ137" i="1"/>
  <c r="AK137" i="1"/>
  <c r="AL137" i="1"/>
  <c r="AH138" i="1"/>
  <c r="AI138" i="1"/>
  <c r="AJ138" i="1"/>
  <c r="AK138" i="1"/>
  <c r="AL138" i="1"/>
  <c r="AH139" i="1"/>
  <c r="AI139" i="1"/>
  <c r="AJ139" i="1"/>
  <c r="AK139" i="1"/>
  <c r="AL139" i="1"/>
  <c r="AH353" i="1"/>
  <c r="AI353" i="1"/>
  <c r="AJ353" i="1"/>
  <c r="AK353" i="1"/>
  <c r="AL353" i="1"/>
  <c r="AH141" i="1"/>
  <c r="AI141" i="1"/>
  <c r="AJ141" i="1"/>
  <c r="AK141" i="1"/>
  <c r="AL141" i="1"/>
  <c r="AH142" i="1"/>
  <c r="AI142" i="1"/>
  <c r="AJ142" i="1"/>
  <c r="AK142" i="1"/>
  <c r="AL142" i="1"/>
  <c r="AH143" i="1"/>
  <c r="AI143" i="1"/>
  <c r="AJ143" i="1"/>
  <c r="AK143" i="1"/>
  <c r="AL143" i="1"/>
  <c r="AH144" i="1"/>
  <c r="AI144" i="1"/>
  <c r="AJ144" i="1"/>
  <c r="AK144" i="1"/>
  <c r="AL144" i="1"/>
  <c r="AH145" i="1"/>
  <c r="AI145" i="1"/>
  <c r="AJ145" i="1"/>
  <c r="AK145" i="1"/>
  <c r="AL145" i="1"/>
  <c r="AH70" i="1"/>
  <c r="AI70" i="1"/>
  <c r="AJ70" i="1"/>
  <c r="AK70" i="1"/>
  <c r="AL70" i="1"/>
  <c r="AH147" i="1"/>
  <c r="AI147" i="1"/>
  <c r="AJ147" i="1"/>
  <c r="AK147" i="1"/>
  <c r="AL147" i="1"/>
  <c r="AH148" i="1"/>
  <c r="AI148" i="1"/>
  <c r="AJ148" i="1"/>
  <c r="AK148" i="1"/>
  <c r="AL148" i="1"/>
  <c r="AH149" i="1"/>
  <c r="AI149" i="1"/>
  <c r="AJ149" i="1"/>
  <c r="AK149" i="1"/>
  <c r="AL149" i="1"/>
  <c r="AH175" i="1"/>
  <c r="AI175" i="1"/>
  <c r="AJ175" i="1"/>
  <c r="AK175" i="1"/>
  <c r="AL175" i="1"/>
  <c r="AH151" i="1"/>
  <c r="AI151" i="1"/>
  <c r="AJ151" i="1"/>
  <c r="AK151" i="1"/>
  <c r="AL151" i="1"/>
  <c r="AH152" i="1"/>
  <c r="AI152" i="1"/>
  <c r="AJ152" i="1"/>
  <c r="AK152" i="1"/>
  <c r="AL152" i="1"/>
  <c r="AH153" i="1"/>
  <c r="AI153" i="1"/>
  <c r="AJ153" i="1"/>
  <c r="AK153" i="1"/>
  <c r="AL153" i="1"/>
  <c r="AH154" i="1"/>
  <c r="AI154" i="1"/>
  <c r="AJ154" i="1"/>
  <c r="AK154" i="1"/>
  <c r="AL154" i="1"/>
  <c r="AH155" i="1"/>
  <c r="AI155" i="1"/>
  <c r="AJ155" i="1"/>
  <c r="AK155" i="1"/>
  <c r="AL155" i="1"/>
  <c r="AH156" i="1"/>
  <c r="AI156" i="1"/>
  <c r="AJ156" i="1"/>
  <c r="AK156" i="1"/>
  <c r="AL156" i="1"/>
  <c r="AH157" i="1"/>
  <c r="AI157" i="1"/>
  <c r="AJ157" i="1"/>
  <c r="AK157" i="1"/>
  <c r="AL157" i="1"/>
  <c r="AH158" i="1"/>
  <c r="AI158" i="1"/>
  <c r="AJ158" i="1"/>
  <c r="AK158" i="1"/>
  <c r="AL158" i="1"/>
  <c r="AH159" i="1"/>
  <c r="AI159" i="1"/>
  <c r="AJ159" i="1"/>
  <c r="AK159" i="1"/>
  <c r="AL159" i="1"/>
  <c r="AH160" i="1"/>
  <c r="AI160" i="1"/>
  <c r="AJ160" i="1"/>
  <c r="AK160" i="1"/>
  <c r="AL160" i="1"/>
  <c r="AH161" i="1"/>
  <c r="AI161" i="1"/>
  <c r="AJ161" i="1"/>
  <c r="AK161" i="1"/>
  <c r="AL161" i="1"/>
  <c r="AH162" i="1"/>
  <c r="AI162" i="1"/>
  <c r="AJ162" i="1"/>
  <c r="AK162" i="1"/>
  <c r="AL162" i="1"/>
  <c r="AH163" i="1"/>
  <c r="AI163" i="1"/>
  <c r="AJ163" i="1"/>
  <c r="AK163" i="1"/>
  <c r="AL163" i="1"/>
  <c r="AH164" i="1"/>
  <c r="AI164" i="1"/>
  <c r="AJ164" i="1"/>
  <c r="AK164" i="1"/>
  <c r="AL164" i="1"/>
  <c r="AH165" i="1"/>
  <c r="AI165" i="1"/>
  <c r="AJ165" i="1"/>
  <c r="AK165" i="1"/>
  <c r="AL165" i="1"/>
  <c r="AH166" i="1"/>
  <c r="AI166" i="1"/>
  <c r="AJ166" i="1"/>
  <c r="AK166" i="1"/>
  <c r="AL166" i="1"/>
  <c r="AH167" i="1"/>
  <c r="AI167" i="1"/>
  <c r="AJ167" i="1"/>
  <c r="AK167" i="1"/>
  <c r="AL167" i="1"/>
  <c r="AH168" i="1"/>
  <c r="AI168" i="1"/>
  <c r="AJ168" i="1"/>
  <c r="AK168" i="1"/>
  <c r="AL168" i="1"/>
  <c r="AH169" i="1"/>
  <c r="AI169" i="1"/>
  <c r="AJ169" i="1"/>
  <c r="AK169" i="1"/>
  <c r="AL169" i="1"/>
  <c r="AH170" i="1"/>
  <c r="AI170" i="1"/>
  <c r="AJ170" i="1"/>
  <c r="AK170" i="1"/>
  <c r="AL170" i="1"/>
  <c r="AH171" i="1"/>
  <c r="AI171" i="1"/>
  <c r="AJ171" i="1"/>
  <c r="AK171" i="1"/>
  <c r="AL171" i="1"/>
  <c r="AH172" i="1"/>
  <c r="AI172" i="1"/>
  <c r="AJ172" i="1"/>
  <c r="AK172" i="1"/>
  <c r="AL172" i="1"/>
  <c r="AH173" i="1"/>
  <c r="AI173" i="1"/>
  <c r="AJ173" i="1"/>
  <c r="AK173" i="1"/>
  <c r="AL173" i="1"/>
  <c r="AH103" i="1"/>
  <c r="AI103" i="1"/>
  <c r="AJ103" i="1"/>
  <c r="AK103" i="1"/>
  <c r="AL103" i="1"/>
  <c r="AH99" i="1"/>
  <c r="AI99" i="1"/>
  <c r="AJ99" i="1"/>
  <c r="AK99" i="1"/>
  <c r="AL99" i="1"/>
  <c r="AH102" i="1"/>
  <c r="AI102" i="1"/>
  <c r="AJ102" i="1"/>
  <c r="AK102" i="1"/>
  <c r="AL102" i="1"/>
  <c r="AH177" i="1"/>
  <c r="AI177" i="1"/>
  <c r="AJ177" i="1"/>
  <c r="AK177" i="1"/>
  <c r="AL177" i="1"/>
  <c r="AH178" i="1"/>
  <c r="AI178" i="1"/>
  <c r="AJ178" i="1"/>
  <c r="AK178" i="1"/>
  <c r="AL178" i="1"/>
  <c r="AH179" i="1"/>
  <c r="AI179" i="1"/>
  <c r="AJ179" i="1"/>
  <c r="AK179" i="1"/>
  <c r="AL179" i="1"/>
  <c r="AH320" i="1"/>
  <c r="AI320" i="1"/>
  <c r="AJ320" i="1"/>
  <c r="AK320" i="1"/>
  <c r="AL320" i="1"/>
  <c r="AH174" i="1"/>
  <c r="AI174" i="1"/>
  <c r="AJ174" i="1"/>
  <c r="AK174" i="1"/>
  <c r="AL174" i="1"/>
  <c r="AH182" i="1"/>
  <c r="AI182" i="1"/>
  <c r="AJ182" i="1"/>
  <c r="AK182" i="1"/>
  <c r="AL182" i="1"/>
  <c r="AH1166" i="1"/>
  <c r="AI1166" i="1"/>
  <c r="AJ1166" i="1"/>
  <c r="AK1166" i="1"/>
  <c r="AL1166" i="1"/>
  <c r="AH459" i="1"/>
  <c r="AI459" i="1"/>
  <c r="AJ459" i="1"/>
  <c r="AK459" i="1"/>
  <c r="AL459" i="1"/>
  <c r="AH185" i="1"/>
  <c r="AI185" i="1"/>
  <c r="AJ185" i="1"/>
  <c r="AK185" i="1"/>
  <c r="AL185" i="1"/>
  <c r="AH186" i="1"/>
  <c r="AI186" i="1"/>
  <c r="AJ186" i="1"/>
  <c r="AK186" i="1"/>
  <c r="AL186" i="1"/>
  <c r="AH187" i="1"/>
  <c r="AI187" i="1"/>
  <c r="AJ187" i="1"/>
  <c r="AK187" i="1"/>
  <c r="AL187" i="1"/>
  <c r="AH188" i="1"/>
  <c r="AI188" i="1"/>
  <c r="AJ188" i="1"/>
  <c r="AK188" i="1"/>
  <c r="AL188" i="1"/>
  <c r="AH487" i="1"/>
  <c r="AI487" i="1"/>
  <c r="AJ487" i="1"/>
  <c r="AK487" i="1"/>
  <c r="AL487" i="1"/>
  <c r="AH190" i="1"/>
  <c r="AI190" i="1"/>
  <c r="AJ190" i="1"/>
  <c r="AK190" i="1"/>
  <c r="AL190" i="1"/>
  <c r="AH191" i="1"/>
  <c r="AI191" i="1"/>
  <c r="AJ191" i="1"/>
  <c r="AK191" i="1"/>
  <c r="AL191" i="1"/>
  <c r="AH192" i="1"/>
  <c r="AI192" i="1"/>
  <c r="AJ192" i="1"/>
  <c r="AK192" i="1"/>
  <c r="AL192" i="1"/>
  <c r="AH355" i="1"/>
  <c r="AI355" i="1"/>
  <c r="AJ355" i="1"/>
  <c r="AK355" i="1"/>
  <c r="AL355" i="1"/>
  <c r="AH194" i="1"/>
  <c r="AI194" i="1"/>
  <c r="AJ194" i="1"/>
  <c r="AK194" i="1"/>
  <c r="AL194" i="1"/>
  <c r="AH195" i="1"/>
  <c r="AI195" i="1"/>
  <c r="AJ195" i="1"/>
  <c r="AK195" i="1"/>
  <c r="AL195" i="1"/>
  <c r="AH196" i="1"/>
  <c r="AI196" i="1"/>
  <c r="AJ196" i="1"/>
  <c r="AK196" i="1"/>
  <c r="AL196" i="1"/>
  <c r="AH197" i="1"/>
  <c r="AI197" i="1"/>
  <c r="AJ197" i="1"/>
  <c r="AK197" i="1"/>
  <c r="AL197" i="1"/>
  <c r="AH198" i="1"/>
  <c r="AI198" i="1"/>
  <c r="AJ198" i="1"/>
  <c r="AK198" i="1"/>
  <c r="AL198" i="1"/>
  <c r="AH199" i="1"/>
  <c r="AI199" i="1"/>
  <c r="AJ199" i="1"/>
  <c r="AK199" i="1"/>
  <c r="AL199" i="1"/>
  <c r="AH200" i="1"/>
  <c r="AI200" i="1"/>
  <c r="AJ200" i="1"/>
  <c r="AK200" i="1"/>
  <c r="AL200" i="1"/>
  <c r="AH201" i="1"/>
  <c r="AI201" i="1"/>
  <c r="AJ201" i="1"/>
  <c r="AK201" i="1"/>
  <c r="AL201" i="1"/>
  <c r="AH202" i="1"/>
  <c r="AI202" i="1"/>
  <c r="AJ202" i="1"/>
  <c r="AK202" i="1"/>
  <c r="AL202" i="1"/>
  <c r="AH203" i="1"/>
  <c r="AI203" i="1"/>
  <c r="AJ203" i="1"/>
  <c r="AK203" i="1"/>
  <c r="AL203" i="1"/>
  <c r="AH204" i="1"/>
  <c r="AI204" i="1"/>
  <c r="AJ204" i="1"/>
  <c r="AK204" i="1"/>
  <c r="AL204" i="1"/>
  <c r="AH93" i="1"/>
  <c r="AI93" i="1"/>
  <c r="AJ93" i="1"/>
  <c r="AK93" i="1"/>
  <c r="AL93" i="1"/>
  <c r="AH959" i="1"/>
  <c r="AI959" i="1"/>
  <c r="AJ959" i="1"/>
  <c r="AK959" i="1"/>
  <c r="AL959" i="1"/>
  <c r="AH207" i="1"/>
  <c r="AI207" i="1"/>
  <c r="AJ207" i="1"/>
  <c r="AK207" i="1"/>
  <c r="AL207" i="1"/>
  <c r="AH1016" i="1"/>
  <c r="AI1016" i="1"/>
  <c r="AJ1016" i="1"/>
  <c r="AK1016" i="1"/>
  <c r="AL1016" i="1"/>
  <c r="AH209" i="1"/>
  <c r="AI209" i="1"/>
  <c r="AJ209" i="1"/>
  <c r="AK209" i="1"/>
  <c r="AL209" i="1"/>
  <c r="AH210" i="1"/>
  <c r="AI210" i="1"/>
  <c r="AJ210" i="1"/>
  <c r="AK210" i="1"/>
  <c r="AL210" i="1"/>
  <c r="AH211" i="1"/>
  <c r="AI211" i="1"/>
  <c r="AJ211" i="1"/>
  <c r="AK211" i="1"/>
  <c r="AL211" i="1"/>
  <c r="AH212" i="1"/>
  <c r="AI212" i="1"/>
  <c r="AJ212" i="1"/>
  <c r="AK212" i="1"/>
  <c r="AL212" i="1"/>
  <c r="AH213" i="1"/>
  <c r="AI213" i="1"/>
  <c r="AJ213" i="1"/>
  <c r="AK213" i="1"/>
  <c r="AL213" i="1"/>
  <c r="AH214" i="1"/>
  <c r="AI214" i="1"/>
  <c r="AJ214" i="1"/>
  <c r="AK214" i="1"/>
  <c r="AL214" i="1"/>
  <c r="AH215" i="1"/>
  <c r="AI215" i="1"/>
  <c r="AJ215" i="1"/>
  <c r="AK215" i="1"/>
  <c r="AL215" i="1"/>
  <c r="AH216" i="1"/>
  <c r="AI216" i="1"/>
  <c r="AJ216" i="1"/>
  <c r="AK216" i="1"/>
  <c r="AL216" i="1"/>
  <c r="AH54" i="1"/>
  <c r="AI54" i="1"/>
  <c r="AJ54" i="1"/>
  <c r="AK54" i="1"/>
  <c r="AL54" i="1"/>
  <c r="AH218" i="1"/>
  <c r="AI218" i="1"/>
  <c r="AJ218" i="1"/>
  <c r="AK218" i="1"/>
  <c r="AL218" i="1"/>
  <c r="AH219" i="1"/>
  <c r="AI219" i="1"/>
  <c r="AJ219" i="1"/>
  <c r="AK219" i="1"/>
  <c r="AL219" i="1"/>
  <c r="AH220" i="1"/>
  <c r="AI220" i="1"/>
  <c r="AJ220" i="1"/>
  <c r="AK220" i="1"/>
  <c r="AL220" i="1"/>
  <c r="AH221" i="1"/>
  <c r="AI221" i="1"/>
  <c r="AJ221" i="1"/>
  <c r="AK221" i="1"/>
  <c r="AL221" i="1"/>
  <c r="AH222" i="1"/>
  <c r="AI222" i="1"/>
  <c r="AJ222" i="1"/>
  <c r="AK222" i="1"/>
  <c r="AL222" i="1"/>
  <c r="AH116" i="1"/>
  <c r="AI116" i="1"/>
  <c r="AJ116" i="1"/>
  <c r="AK116" i="1"/>
  <c r="AL116" i="1"/>
  <c r="AH224" i="1"/>
  <c r="AI224" i="1"/>
  <c r="AJ224" i="1"/>
  <c r="AK224" i="1"/>
  <c r="AL224" i="1"/>
  <c r="AH225" i="1"/>
  <c r="AI225" i="1"/>
  <c r="AJ225" i="1"/>
  <c r="AK225" i="1"/>
  <c r="AL225" i="1"/>
  <c r="AH74" i="1"/>
  <c r="AI74" i="1"/>
  <c r="AJ74" i="1"/>
  <c r="AK74" i="1"/>
  <c r="AL74" i="1"/>
  <c r="AH87" i="1"/>
  <c r="AI87" i="1"/>
  <c r="AJ87" i="1"/>
  <c r="AK87" i="1"/>
  <c r="AL87" i="1"/>
  <c r="AH228" i="1"/>
  <c r="AI228" i="1"/>
  <c r="AJ228" i="1"/>
  <c r="AK228" i="1"/>
  <c r="AL228" i="1"/>
  <c r="AH229" i="1"/>
  <c r="AI229" i="1"/>
  <c r="AJ229" i="1"/>
  <c r="AK229" i="1"/>
  <c r="AL229" i="1"/>
  <c r="AH230" i="1"/>
  <c r="AI230" i="1"/>
  <c r="AJ230" i="1"/>
  <c r="AK230" i="1"/>
  <c r="AL230" i="1"/>
  <c r="AH231" i="1"/>
  <c r="AI231" i="1"/>
  <c r="AJ231" i="1"/>
  <c r="AK231" i="1"/>
  <c r="AL231" i="1"/>
  <c r="AH232" i="1"/>
  <c r="AI232" i="1"/>
  <c r="AJ232" i="1"/>
  <c r="AK232" i="1"/>
  <c r="AL232" i="1"/>
  <c r="AH233" i="1"/>
  <c r="AI233" i="1"/>
  <c r="AJ233" i="1"/>
  <c r="AK233" i="1"/>
  <c r="AL233" i="1"/>
  <c r="AH234" i="1"/>
  <c r="AI234" i="1"/>
  <c r="AJ234" i="1"/>
  <c r="AK234" i="1"/>
  <c r="AL234" i="1"/>
  <c r="AH1015" i="1"/>
  <c r="AI1015" i="1"/>
  <c r="AJ1015" i="1"/>
  <c r="AK1015" i="1"/>
  <c r="AL1015" i="1"/>
  <c r="AH236" i="1"/>
  <c r="AI236" i="1"/>
  <c r="AJ236" i="1"/>
  <c r="AK236" i="1"/>
  <c r="AL236" i="1"/>
  <c r="AH237" i="1"/>
  <c r="AI237" i="1"/>
  <c r="AJ237" i="1"/>
  <c r="AK237" i="1"/>
  <c r="AL237" i="1"/>
  <c r="AH238" i="1"/>
  <c r="AI238" i="1"/>
  <c r="AJ238" i="1"/>
  <c r="AK238" i="1"/>
  <c r="AL238" i="1"/>
  <c r="AH239" i="1"/>
  <c r="AI239" i="1"/>
  <c r="AJ239" i="1"/>
  <c r="AK239" i="1"/>
  <c r="AL239" i="1"/>
  <c r="AH240" i="1"/>
  <c r="AI240" i="1"/>
  <c r="AJ240" i="1"/>
  <c r="AK240" i="1"/>
  <c r="AL240" i="1"/>
  <c r="AH241" i="1"/>
  <c r="AI241" i="1"/>
  <c r="AJ241" i="1"/>
  <c r="AK241" i="1"/>
  <c r="AL241" i="1"/>
  <c r="AH1088" i="1"/>
  <c r="AI1088" i="1"/>
  <c r="AJ1088" i="1"/>
  <c r="AK1088" i="1"/>
  <c r="AL1088" i="1"/>
  <c r="AH243" i="1"/>
  <c r="AI243" i="1"/>
  <c r="AJ243" i="1"/>
  <c r="AK243" i="1"/>
  <c r="AL243" i="1"/>
  <c r="AH244" i="1"/>
  <c r="AI244" i="1"/>
  <c r="AJ244" i="1"/>
  <c r="AK244" i="1"/>
  <c r="AL244" i="1"/>
  <c r="AH432" i="1"/>
  <c r="AI432" i="1"/>
  <c r="AJ432" i="1"/>
  <c r="AK432" i="1"/>
  <c r="AL432" i="1"/>
  <c r="AH246" i="1"/>
  <c r="AI246" i="1"/>
  <c r="AJ246" i="1"/>
  <c r="AK246" i="1"/>
  <c r="AL246" i="1"/>
  <c r="AH247" i="1"/>
  <c r="AI247" i="1"/>
  <c r="AJ247" i="1"/>
  <c r="AK247" i="1"/>
  <c r="AL247" i="1"/>
  <c r="AH248" i="1"/>
  <c r="AI248" i="1"/>
  <c r="AJ248" i="1"/>
  <c r="AK248" i="1"/>
  <c r="AL248" i="1"/>
  <c r="AH249" i="1"/>
  <c r="AI249" i="1"/>
  <c r="AJ249" i="1"/>
  <c r="AK249" i="1"/>
  <c r="AL249" i="1"/>
  <c r="AH250" i="1"/>
  <c r="AI250" i="1"/>
  <c r="AJ250" i="1"/>
  <c r="AK250" i="1"/>
  <c r="AL250" i="1"/>
  <c r="AH269" i="1"/>
  <c r="AI269" i="1"/>
  <c r="AJ269" i="1"/>
  <c r="AK269" i="1"/>
  <c r="AL269" i="1"/>
  <c r="AH350" i="1"/>
  <c r="AI350" i="1"/>
  <c r="AJ350" i="1"/>
  <c r="AK350" i="1"/>
  <c r="AL350" i="1"/>
  <c r="AH235" i="1"/>
  <c r="AI235" i="1"/>
  <c r="AJ235" i="1"/>
  <c r="AK235" i="1"/>
  <c r="AL235" i="1"/>
  <c r="AH254" i="1"/>
  <c r="AI254" i="1"/>
  <c r="AJ254" i="1"/>
  <c r="AK254" i="1"/>
  <c r="AL254" i="1"/>
  <c r="AH255" i="1"/>
  <c r="AI255" i="1"/>
  <c r="AJ255" i="1"/>
  <c r="AK255" i="1"/>
  <c r="AL255" i="1"/>
  <c r="AH256" i="1"/>
  <c r="AI256" i="1"/>
  <c r="AJ256" i="1"/>
  <c r="AK256" i="1"/>
  <c r="AL256" i="1"/>
  <c r="AH257" i="1"/>
  <c r="AI257" i="1"/>
  <c r="AJ257" i="1"/>
  <c r="AK257" i="1"/>
  <c r="AL257" i="1"/>
  <c r="AH258" i="1"/>
  <c r="AI258" i="1"/>
  <c r="AJ258" i="1"/>
  <c r="AK258" i="1"/>
  <c r="AL258" i="1"/>
  <c r="AH30" i="1"/>
  <c r="AI30" i="1"/>
  <c r="AJ30" i="1"/>
  <c r="AK30" i="1"/>
  <c r="AL30" i="1"/>
  <c r="AH260" i="1"/>
  <c r="AI260" i="1"/>
  <c r="AJ260" i="1"/>
  <c r="AK260" i="1"/>
  <c r="AL260" i="1"/>
  <c r="AH261" i="1"/>
  <c r="AI261" i="1"/>
  <c r="AJ261" i="1"/>
  <c r="AK261" i="1"/>
  <c r="AL261" i="1"/>
  <c r="AH262" i="1"/>
  <c r="AI262" i="1"/>
  <c r="AJ262" i="1"/>
  <c r="AK262" i="1"/>
  <c r="AL262" i="1"/>
  <c r="AH263" i="1"/>
  <c r="AI263" i="1"/>
  <c r="AJ263" i="1"/>
  <c r="AK263" i="1"/>
  <c r="AL263" i="1"/>
  <c r="AH264" i="1"/>
  <c r="AI264" i="1"/>
  <c r="AJ264" i="1"/>
  <c r="AK264" i="1"/>
  <c r="AL264" i="1"/>
  <c r="AH189" i="1"/>
  <c r="AI189" i="1"/>
  <c r="AJ189" i="1"/>
  <c r="AK189" i="1"/>
  <c r="AL189" i="1"/>
  <c r="AH266" i="1"/>
  <c r="AI266" i="1"/>
  <c r="AJ266" i="1"/>
  <c r="AK266" i="1"/>
  <c r="AL266" i="1"/>
  <c r="AH267" i="1"/>
  <c r="AI267" i="1"/>
  <c r="AJ267" i="1"/>
  <c r="AK267" i="1"/>
  <c r="AL267" i="1"/>
  <c r="AH268" i="1"/>
  <c r="AI268" i="1"/>
  <c r="AJ268" i="1"/>
  <c r="AK268" i="1"/>
  <c r="AL268" i="1"/>
  <c r="AH287" i="1"/>
  <c r="AI287" i="1"/>
  <c r="AJ287" i="1"/>
  <c r="AK287" i="1"/>
  <c r="AL287" i="1"/>
  <c r="AH270" i="1"/>
  <c r="AI270" i="1"/>
  <c r="AJ270" i="1"/>
  <c r="AK270" i="1"/>
  <c r="AL270" i="1"/>
  <c r="AH32" i="1"/>
  <c r="AI32" i="1"/>
  <c r="AJ32" i="1"/>
  <c r="AK32" i="1"/>
  <c r="AL32" i="1"/>
  <c r="AH272" i="1"/>
  <c r="AI272" i="1"/>
  <c r="AJ272" i="1"/>
  <c r="AK272" i="1"/>
  <c r="AL272" i="1"/>
  <c r="AH273" i="1"/>
  <c r="AI273" i="1"/>
  <c r="AJ273" i="1"/>
  <c r="AK273" i="1"/>
  <c r="AL273" i="1"/>
  <c r="AH274" i="1"/>
  <c r="AI274" i="1"/>
  <c r="AJ274" i="1"/>
  <c r="AK274" i="1"/>
  <c r="AL274" i="1"/>
  <c r="AH275" i="1"/>
  <c r="AI275" i="1"/>
  <c r="AJ275" i="1"/>
  <c r="AK275" i="1"/>
  <c r="AL275" i="1"/>
  <c r="AH276" i="1"/>
  <c r="AI276" i="1"/>
  <c r="AJ276" i="1"/>
  <c r="AK276" i="1"/>
  <c r="AL276" i="1"/>
  <c r="AH128" i="1"/>
  <c r="AI128" i="1"/>
  <c r="AJ128" i="1"/>
  <c r="AK128" i="1"/>
  <c r="AL128" i="1"/>
  <c r="AH278" i="1"/>
  <c r="AI278" i="1"/>
  <c r="AJ278" i="1"/>
  <c r="AK278" i="1"/>
  <c r="AL278" i="1"/>
  <c r="AH279" i="1"/>
  <c r="AI279" i="1"/>
  <c r="AJ279" i="1"/>
  <c r="AK279" i="1"/>
  <c r="AL279" i="1"/>
  <c r="AH280" i="1"/>
  <c r="AI280" i="1"/>
  <c r="AJ280" i="1"/>
  <c r="AK280" i="1"/>
  <c r="AL280" i="1"/>
  <c r="AH281" i="1"/>
  <c r="AI281" i="1"/>
  <c r="AJ281" i="1"/>
  <c r="AK281" i="1"/>
  <c r="AL281" i="1"/>
  <c r="AH282" i="1"/>
  <c r="AI282" i="1"/>
  <c r="AJ282" i="1"/>
  <c r="AK282" i="1"/>
  <c r="AL282" i="1"/>
  <c r="AH283" i="1"/>
  <c r="AI283" i="1"/>
  <c r="AJ283" i="1"/>
  <c r="AK283" i="1"/>
  <c r="AL283" i="1"/>
  <c r="AH284" i="1"/>
  <c r="AI284" i="1"/>
  <c r="AJ284" i="1"/>
  <c r="AK284" i="1"/>
  <c r="AL284" i="1"/>
  <c r="AH288" i="1"/>
  <c r="AI288" i="1"/>
  <c r="AJ288" i="1"/>
  <c r="AK288" i="1"/>
  <c r="AL288" i="1"/>
  <c r="AH286" i="1"/>
  <c r="AI286" i="1"/>
  <c r="AJ286" i="1"/>
  <c r="AK286" i="1"/>
  <c r="AL286" i="1"/>
  <c r="AH312" i="1"/>
  <c r="AI312" i="1"/>
  <c r="AJ312" i="1"/>
  <c r="AK312" i="1"/>
  <c r="AL312" i="1"/>
  <c r="AH411" i="1"/>
  <c r="AI411" i="1"/>
  <c r="AJ411" i="1"/>
  <c r="AK411" i="1"/>
  <c r="AL411" i="1"/>
  <c r="AH289" i="1"/>
  <c r="AI289" i="1"/>
  <c r="AJ289" i="1"/>
  <c r="AK289" i="1"/>
  <c r="AL289" i="1"/>
  <c r="AH290" i="1"/>
  <c r="AI290" i="1"/>
  <c r="AJ290" i="1"/>
  <c r="AK290" i="1"/>
  <c r="AL290" i="1"/>
  <c r="AH291" i="1"/>
  <c r="AI291" i="1"/>
  <c r="AJ291" i="1"/>
  <c r="AK291" i="1"/>
  <c r="AL291" i="1"/>
  <c r="AH292" i="1"/>
  <c r="AI292" i="1"/>
  <c r="AJ292" i="1"/>
  <c r="AK292" i="1"/>
  <c r="AL292" i="1"/>
  <c r="AH293" i="1"/>
  <c r="AI293" i="1"/>
  <c r="AJ293" i="1"/>
  <c r="AK293" i="1"/>
  <c r="AL293" i="1"/>
  <c r="AH294" i="1"/>
  <c r="AI294" i="1"/>
  <c r="AJ294" i="1"/>
  <c r="AK294" i="1"/>
  <c r="AL294" i="1"/>
  <c r="AH295" i="1"/>
  <c r="AI295" i="1"/>
  <c r="AJ295" i="1"/>
  <c r="AK295" i="1"/>
  <c r="AL295" i="1"/>
  <c r="AH296" i="1"/>
  <c r="AI296" i="1"/>
  <c r="AJ296" i="1"/>
  <c r="AK296" i="1"/>
  <c r="AL296" i="1"/>
  <c r="AH297" i="1"/>
  <c r="AI297" i="1"/>
  <c r="AJ297" i="1"/>
  <c r="AK297" i="1"/>
  <c r="AL297" i="1"/>
  <c r="AH298" i="1"/>
  <c r="AI298" i="1"/>
  <c r="AJ298" i="1"/>
  <c r="AK298" i="1"/>
  <c r="AL298" i="1"/>
  <c r="AH299" i="1"/>
  <c r="AI299" i="1"/>
  <c r="AJ299" i="1"/>
  <c r="AK299" i="1"/>
  <c r="AL299" i="1"/>
  <c r="AH300" i="1"/>
  <c r="AI300" i="1"/>
  <c r="AJ300" i="1"/>
  <c r="AK300" i="1"/>
  <c r="AL300" i="1"/>
  <c r="AH1089" i="1"/>
  <c r="AI1089" i="1"/>
  <c r="AJ1089" i="1"/>
  <c r="AK1089" i="1"/>
  <c r="AL1089" i="1"/>
  <c r="AH302" i="1"/>
  <c r="AI302" i="1"/>
  <c r="AJ302" i="1"/>
  <c r="AK302" i="1"/>
  <c r="AL302" i="1"/>
  <c r="AH303" i="1"/>
  <c r="AI303" i="1"/>
  <c r="AJ303" i="1"/>
  <c r="AK303" i="1"/>
  <c r="AL303" i="1"/>
  <c r="AH304" i="1"/>
  <c r="AI304" i="1"/>
  <c r="AJ304" i="1"/>
  <c r="AK304" i="1"/>
  <c r="AL304" i="1"/>
  <c r="AH305" i="1"/>
  <c r="AI305" i="1"/>
  <c r="AJ305" i="1"/>
  <c r="AK305" i="1"/>
  <c r="AL305" i="1"/>
  <c r="AH1090" i="1"/>
  <c r="AI1090" i="1"/>
  <c r="AJ1090" i="1"/>
  <c r="AK1090" i="1"/>
  <c r="AL1090" i="1"/>
  <c r="AH1020" i="1"/>
  <c r="AI1020" i="1"/>
  <c r="AJ1020" i="1"/>
  <c r="AK1020" i="1"/>
  <c r="AL1020" i="1"/>
  <c r="AH637" i="1"/>
  <c r="AI637" i="1"/>
  <c r="AJ637" i="1"/>
  <c r="AK637" i="1"/>
  <c r="AL637" i="1"/>
  <c r="AH309" i="1"/>
  <c r="AI309" i="1"/>
  <c r="AJ309" i="1"/>
  <c r="AK309" i="1"/>
  <c r="AL309" i="1"/>
  <c r="AH310" i="1"/>
  <c r="AI310" i="1"/>
  <c r="AJ310" i="1"/>
  <c r="AK310" i="1"/>
  <c r="AL310" i="1"/>
  <c r="AH311" i="1"/>
  <c r="AI311" i="1"/>
  <c r="AJ311" i="1"/>
  <c r="AK311" i="1"/>
  <c r="AL311" i="1"/>
  <c r="AH16" i="1"/>
  <c r="AI16" i="1"/>
  <c r="AJ16" i="1"/>
  <c r="AK16" i="1"/>
  <c r="AL16" i="1"/>
  <c r="AH313" i="1"/>
  <c r="AI313" i="1"/>
  <c r="AJ313" i="1"/>
  <c r="AK313" i="1"/>
  <c r="AL313" i="1"/>
  <c r="AH641" i="1"/>
  <c r="AI641" i="1"/>
  <c r="AJ641" i="1"/>
  <c r="AK641" i="1"/>
  <c r="AL641" i="1"/>
  <c r="AH315" i="1"/>
  <c r="AI315" i="1"/>
  <c r="AJ315" i="1"/>
  <c r="AK315" i="1"/>
  <c r="AL315" i="1"/>
  <c r="AH316" i="1"/>
  <c r="AI316" i="1"/>
  <c r="AJ316" i="1"/>
  <c r="AK316" i="1"/>
  <c r="AL316" i="1"/>
  <c r="AH317" i="1"/>
  <c r="AI317" i="1"/>
  <c r="AJ317" i="1"/>
  <c r="AK317" i="1"/>
  <c r="AL317" i="1"/>
  <c r="AH318" i="1"/>
  <c r="AI318" i="1"/>
  <c r="AJ318" i="1"/>
  <c r="AK318" i="1"/>
  <c r="AL318" i="1"/>
  <c r="AH319" i="1"/>
  <c r="AI319" i="1"/>
  <c r="AJ319" i="1"/>
  <c r="AK319" i="1"/>
  <c r="AL319" i="1"/>
  <c r="AH184" i="1"/>
  <c r="AI184" i="1"/>
  <c r="AJ184" i="1"/>
  <c r="AK184" i="1"/>
  <c r="AL184" i="1"/>
  <c r="AH321" i="1"/>
  <c r="AI321" i="1"/>
  <c r="AJ321" i="1"/>
  <c r="AK321" i="1"/>
  <c r="AL321" i="1"/>
  <c r="AH322" i="1"/>
  <c r="AI322" i="1"/>
  <c r="AJ322" i="1"/>
  <c r="AK322" i="1"/>
  <c r="AL322" i="1"/>
  <c r="AH245" i="1"/>
  <c r="AI245" i="1"/>
  <c r="AJ245" i="1"/>
  <c r="AK245" i="1"/>
  <c r="AL245" i="1"/>
  <c r="AH1019" i="1"/>
  <c r="AI1019" i="1"/>
  <c r="AJ1019" i="1"/>
  <c r="AK1019" i="1"/>
  <c r="AL1019" i="1"/>
  <c r="AH1098" i="1"/>
  <c r="AI1098" i="1"/>
  <c r="AJ1098" i="1"/>
  <c r="AK1098" i="1"/>
  <c r="AL1098" i="1"/>
  <c r="AH326" i="1"/>
  <c r="AI326" i="1"/>
  <c r="AJ326" i="1"/>
  <c r="AK326" i="1"/>
  <c r="AL326" i="1"/>
  <c r="AH327" i="1"/>
  <c r="AI327" i="1"/>
  <c r="AJ327" i="1"/>
  <c r="AK327" i="1"/>
  <c r="AL327" i="1"/>
  <c r="AH328" i="1"/>
  <c r="AI328" i="1"/>
  <c r="AJ328" i="1"/>
  <c r="AK328" i="1"/>
  <c r="AL328" i="1"/>
  <c r="AH329" i="1"/>
  <c r="AI329" i="1"/>
  <c r="AJ329" i="1"/>
  <c r="AK329" i="1"/>
  <c r="AL329" i="1"/>
  <c r="AH226" i="1"/>
  <c r="AI226" i="1"/>
  <c r="AJ226" i="1"/>
  <c r="AK226" i="1"/>
  <c r="AL226" i="1"/>
  <c r="AH331" i="1"/>
  <c r="AI331" i="1"/>
  <c r="AJ331" i="1"/>
  <c r="AK331" i="1"/>
  <c r="AL331" i="1"/>
  <c r="AH13" i="1"/>
  <c r="AI13" i="1"/>
  <c r="AJ13" i="1"/>
  <c r="AK13" i="1"/>
  <c r="AL13" i="1"/>
  <c r="AH333" i="1"/>
  <c r="AI333" i="1"/>
  <c r="AJ333" i="1"/>
  <c r="AK333" i="1"/>
  <c r="AL333" i="1"/>
  <c r="AH334" i="1"/>
  <c r="AI334" i="1"/>
  <c r="AJ334" i="1"/>
  <c r="AK334" i="1"/>
  <c r="AL334" i="1"/>
  <c r="AH335" i="1"/>
  <c r="AI335" i="1"/>
  <c r="AJ335" i="1"/>
  <c r="AK335" i="1"/>
  <c r="AL335" i="1"/>
  <c r="AH336" i="1"/>
  <c r="AI336" i="1"/>
  <c r="AJ336" i="1"/>
  <c r="AK336" i="1"/>
  <c r="AL336" i="1"/>
  <c r="AH337" i="1"/>
  <c r="AI337" i="1"/>
  <c r="AJ337" i="1"/>
  <c r="AK337" i="1"/>
  <c r="AL337" i="1"/>
  <c r="AH338" i="1"/>
  <c r="AI338" i="1"/>
  <c r="AJ338" i="1"/>
  <c r="AK338" i="1"/>
  <c r="AL338" i="1"/>
  <c r="AH339" i="1"/>
  <c r="AI339" i="1"/>
  <c r="AJ339" i="1"/>
  <c r="AK339" i="1"/>
  <c r="AL339" i="1"/>
  <c r="AH340" i="1"/>
  <c r="AI340" i="1"/>
  <c r="AJ340" i="1"/>
  <c r="AK340" i="1"/>
  <c r="AL340" i="1"/>
  <c r="AH341" i="1"/>
  <c r="AI341" i="1"/>
  <c r="AJ341" i="1"/>
  <c r="AK341" i="1"/>
  <c r="AL341" i="1"/>
  <c r="AH342" i="1"/>
  <c r="AI342" i="1"/>
  <c r="AJ342" i="1"/>
  <c r="AK342" i="1"/>
  <c r="AL342" i="1"/>
  <c r="AH343" i="1"/>
  <c r="AI343" i="1"/>
  <c r="AJ343" i="1"/>
  <c r="AK343" i="1"/>
  <c r="AL343" i="1"/>
  <c r="AH344" i="1"/>
  <c r="AI344" i="1"/>
  <c r="AJ344" i="1"/>
  <c r="AK344" i="1"/>
  <c r="AL344" i="1"/>
  <c r="AH345" i="1"/>
  <c r="AI345" i="1"/>
  <c r="AJ345" i="1"/>
  <c r="AK345" i="1"/>
  <c r="AL345" i="1"/>
  <c r="AH15" i="1"/>
  <c r="AI15" i="1"/>
  <c r="AJ15" i="1"/>
  <c r="AK15" i="1"/>
  <c r="AL15" i="1"/>
  <c r="AH347" i="1"/>
  <c r="AI347" i="1"/>
  <c r="AJ347" i="1"/>
  <c r="AK347" i="1"/>
  <c r="AL347" i="1"/>
  <c r="AH348" i="1"/>
  <c r="AI348" i="1"/>
  <c r="AJ348" i="1"/>
  <c r="AK348" i="1"/>
  <c r="AL348" i="1"/>
  <c r="AH349" i="1"/>
  <c r="AI349" i="1"/>
  <c r="AJ349" i="1"/>
  <c r="AK349" i="1"/>
  <c r="AL349" i="1"/>
  <c r="AH271" i="1"/>
  <c r="AI271" i="1"/>
  <c r="AJ271" i="1"/>
  <c r="AK271" i="1"/>
  <c r="AL271" i="1"/>
  <c r="AH351" i="1"/>
  <c r="AI351" i="1"/>
  <c r="AJ351" i="1"/>
  <c r="AK351" i="1"/>
  <c r="AL351" i="1"/>
  <c r="AH352" i="1"/>
  <c r="AI352" i="1"/>
  <c r="AJ352" i="1"/>
  <c r="AK352" i="1"/>
  <c r="AL352" i="1"/>
  <c r="AH277" i="1"/>
  <c r="AI277" i="1"/>
  <c r="AJ277" i="1"/>
  <c r="AK277" i="1"/>
  <c r="AL277" i="1"/>
  <c r="AH354" i="1"/>
  <c r="AI354" i="1"/>
  <c r="AJ354" i="1"/>
  <c r="AK354" i="1"/>
  <c r="AL354" i="1"/>
  <c r="AH489" i="1"/>
  <c r="AI489" i="1"/>
  <c r="AJ489" i="1"/>
  <c r="AK489" i="1"/>
  <c r="AL489" i="1"/>
  <c r="AH356" i="1"/>
  <c r="AI356" i="1"/>
  <c r="AJ356" i="1"/>
  <c r="AK356" i="1"/>
  <c r="AL356" i="1"/>
  <c r="AH357" i="1"/>
  <c r="AI357" i="1"/>
  <c r="AJ357" i="1"/>
  <c r="AK357" i="1"/>
  <c r="AL357" i="1"/>
  <c r="AH358" i="1"/>
  <c r="AI358" i="1"/>
  <c r="AJ358" i="1"/>
  <c r="AK358" i="1"/>
  <c r="AL358" i="1"/>
  <c r="AH359" i="1"/>
  <c r="AI359" i="1"/>
  <c r="AJ359" i="1"/>
  <c r="AK359" i="1"/>
  <c r="AL359" i="1"/>
  <c r="AH360" i="1"/>
  <c r="AI360" i="1"/>
  <c r="AJ360" i="1"/>
  <c r="AK360" i="1"/>
  <c r="AL360" i="1"/>
  <c r="AH361" i="1"/>
  <c r="AI361" i="1"/>
  <c r="AJ361" i="1"/>
  <c r="AK361" i="1"/>
  <c r="AL361" i="1"/>
  <c r="AH362" i="1"/>
  <c r="AI362" i="1"/>
  <c r="AJ362" i="1"/>
  <c r="AK362" i="1"/>
  <c r="AL362" i="1"/>
  <c r="AH363" i="1"/>
  <c r="AI363" i="1"/>
  <c r="AJ363" i="1"/>
  <c r="AK363" i="1"/>
  <c r="AL363" i="1"/>
  <c r="AH364" i="1"/>
  <c r="AI364" i="1"/>
  <c r="AJ364" i="1"/>
  <c r="AK364" i="1"/>
  <c r="AL364" i="1"/>
  <c r="AH365" i="1"/>
  <c r="AI365" i="1"/>
  <c r="AJ365" i="1"/>
  <c r="AK365" i="1"/>
  <c r="AL365" i="1"/>
  <c r="AH366" i="1"/>
  <c r="AI366" i="1"/>
  <c r="AJ366" i="1"/>
  <c r="AK366" i="1"/>
  <c r="AL366" i="1"/>
  <c r="AH367" i="1"/>
  <c r="AI367" i="1"/>
  <c r="AJ367" i="1"/>
  <c r="AK367" i="1"/>
  <c r="AL367" i="1"/>
  <c r="AH368" i="1"/>
  <c r="AI368" i="1"/>
  <c r="AJ368" i="1"/>
  <c r="AK368" i="1"/>
  <c r="AL368" i="1"/>
  <c r="AH369" i="1"/>
  <c r="AI369" i="1"/>
  <c r="AJ369" i="1"/>
  <c r="AK369" i="1"/>
  <c r="AL369" i="1"/>
  <c r="AH370" i="1"/>
  <c r="AI370" i="1"/>
  <c r="AJ370" i="1"/>
  <c r="AK370" i="1"/>
  <c r="AL370" i="1"/>
  <c r="AH371" i="1"/>
  <c r="AI371" i="1"/>
  <c r="AJ371" i="1"/>
  <c r="AK371" i="1"/>
  <c r="AL371" i="1"/>
  <c r="AH372" i="1"/>
  <c r="AI372" i="1"/>
  <c r="AJ372" i="1"/>
  <c r="AK372" i="1"/>
  <c r="AL372" i="1"/>
  <c r="AH373" i="1"/>
  <c r="AI373" i="1"/>
  <c r="AJ373" i="1"/>
  <c r="AK373" i="1"/>
  <c r="AL373" i="1"/>
  <c r="AH374" i="1"/>
  <c r="AI374" i="1"/>
  <c r="AJ374" i="1"/>
  <c r="AK374" i="1"/>
  <c r="AL374" i="1"/>
  <c r="AH375" i="1"/>
  <c r="AI375" i="1"/>
  <c r="AJ375" i="1"/>
  <c r="AK375" i="1"/>
  <c r="AL375" i="1"/>
  <c r="AH376" i="1"/>
  <c r="AI376" i="1"/>
  <c r="AJ376" i="1"/>
  <c r="AK376" i="1"/>
  <c r="AL376" i="1"/>
  <c r="AH377" i="1"/>
  <c r="AI377" i="1"/>
  <c r="AJ377" i="1"/>
  <c r="AK377" i="1"/>
  <c r="AL377" i="1"/>
  <c r="AH378" i="1"/>
  <c r="AI378" i="1"/>
  <c r="AJ378" i="1"/>
  <c r="AK378" i="1"/>
  <c r="AL378" i="1"/>
  <c r="AH379" i="1"/>
  <c r="AI379" i="1"/>
  <c r="AJ379" i="1"/>
  <c r="AK379" i="1"/>
  <c r="AL379" i="1"/>
  <c r="AH380" i="1"/>
  <c r="AI380" i="1"/>
  <c r="AJ380" i="1"/>
  <c r="AK380" i="1"/>
  <c r="AL380" i="1"/>
  <c r="AH381" i="1"/>
  <c r="AI381" i="1"/>
  <c r="AJ381" i="1"/>
  <c r="AK381" i="1"/>
  <c r="AL381" i="1"/>
  <c r="AH382" i="1"/>
  <c r="AI382" i="1"/>
  <c r="AJ382" i="1"/>
  <c r="AK382" i="1"/>
  <c r="AL382" i="1"/>
  <c r="AH383" i="1"/>
  <c r="AI383" i="1"/>
  <c r="AJ383" i="1"/>
  <c r="AK383" i="1"/>
  <c r="AL383" i="1"/>
  <c r="AH384" i="1"/>
  <c r="AI384" i="1"/>
  <c r="AJ384" i="1"/>
  <c r="AK384" i="1"/>
  <c r="AL384" i="1"/>
  <c r="AH385" i="1"/>
  <c r="AI385" i="1"/>
  <c r="AJ385" i="1"/>
  <c r="AK385" i="1"/>
  <c r="AL385" i="1"/>
  <c r="AH386" i="1"/>
  <c r="AI386" i="1"/>
  <c r="AJ386" i="1"/>
  <c r="AK386" i="1"/>
  <c r="AL386" i="1"/>
  <c r="AH387" i="1"/>
  <c r="AI387" i="1"/>
  <c r="AJ387" i="1"/>
  <c r="AK387" i="1"/>
  <c r="AL387" i="1"/>
  <c r="AH388" i="1"/>
  <c r="AI388" i="1"/>
  <c r="AJ388" i="1"/>
  <c r="AK388" i="1"/>
  <c r="AL388" i="1"/>
  <c r="AH389" i="1"/>
  <c r="AI389" i="1"/>
  <c r="AJ389" i="1"/>
  <c r="AK389" i="1"/>
  <c r="AL389" i="1"/>
  <c r="AH390" i="1"/>
  <c r="AI390" i="1"/>
  <c r="AJ390" i="1"/>
  <c r="AK390" i="1"/>
  <c r="AL390" i="1"/>
  <c r="AH391" i="1"/>
  <c r="AI391" i="1"/>
  <c r="AJ391" i="1"/>
  <c r="AK391" i="1"/>
  <c r="AL391" i="1"/>
  <c r="AH183" i="1"/>
  <c r="AI183" i="1"/>
  <c r="AJ183" i="1"/>
  <c r="AK183" i="1"/>
  <c r="AL183" i="1"/>
  <c r="AH242" i="1"/>
  <c r="AI242" i="1"/>
  <c r="AJ242" i="1"/>
  <c r="AK242" i="1"/>
  <c r="AL242" i="1"/>
  <c r="AH394" i="1"/>
  <c r="AI394" i="1"/>
  <c r="AJ394" i="1"/>
  <c r="AK394" i="1"/>
  <c r="AL394" i="1"/>
  <c r="AH395" i="1"/>
  <c r="AI395" i="1"/>
  <c r="AJ395" i="1"/>
  <c r="AK395" i="1"/>
  <c r="AL395" i="1"/>
  <c r="AH396" i="1"/>
  <c r="AI396" i="1"/>
  <c r="AJ396" i="1"/>
  <c r="AK396" i="1"/>
  <c r="AL396" i="1"/>
  <c r="AH227" i="1"/>
  <c r="AI227" i="1"/>
  <c r="AJ227" i="1"/>
  <c r="AK227" i="1"/>
  <c r="AL227" i="1"/>
  <c r="AH398" i="1"/>
  <c r="AI398" i="1"/>
  <c r="AJ398" i="1"/>
  <c r="AK398" i="1"/>
  <c r="AL398" i="1"/>
  <c r="AH400" i="1"/>
  <c r="AI400" i="1"/>
  <c r="AJ400" i="1"/>
  <c r="AK400" i="1"/>
  <c r="AL400" i="1"/>
  <c r="AH401" i="1"/>
  <c r="AI401" i="1"/>
  <c r="AJ401" i="1"/>
  <c r="AK401" i="1"/>
  <c r="AL401" i="1"/>
  <c r="AH402" i="1"/>
  <c r="AI402" i="1"/>
  <c r="AJ402" i="1"/>
  <c r="AK402" i="1"/>
  <c r="AL402" i="1"/>
  <c r="AH513" i="1"/>
  <c r="AI513" i="1"/>
  <c r="AJ513" i="1"/>
  <c r="AK513" i="1"/>
  <c r="AL513" i="1"/>
  <c r="AH404" i="1"/>
  <c r="AI404" i="1"/>
  <c r="AJ404" i="1"/>
  <c r="AK404" i="1"/>
  <c r="AL404" i="1"/>
  <c r="AH405" i="1"/>
  <c r="AI405" i="1"/>
  <c r="AJ405" i="1"/>
  <c r="AK405" i="1"/>
  <c r="AL405" i="1"/>
  <c r="AH406" i="1"/>
  <c r="AI406" i="1"/>
  <c r="AJ406" i="1"/>
  <c r="AK406" i="1"/>
  <c r="AL406" i="1"/>
  <c r="AH407" i="1"/>
  <c r="AI407" i="1"/>
  <c r="AJ407" i="1"/>
  <c r="AK407" i="1"/>
  <c r="AL407" i="1"/>
  <c r="AH181" i="1"/>
  <c r="AI181" i="1"/>
  <c r="AJ181" i="1"/>
  <c r="AK181" i="1"/>
  <c r="AL181" i="1"/>
  <c r="AH409" i="1"/>
  <c r="AI409" i="1"/>
  <c r="AJ409" i="1"/>
  <c r="AK409" i="1"/>
  <c r="AL409" i="1"/>
  <c r="AH410" i="1"/>
  <c r="AI410" i="1"/>
  <c r="AJ410" i="1"/>
  <c r="AK410" i="1"/>
  <c r="AL410" i="1"/>
  <c r="AH150" i="1"/>
  <c r="AI150" i="1"/>
  <c r="AJ150" i="1"/>
  <c r="AK150" i="1"/>
  <c r="AL150" i="1"/>
  <c r="AH412" i="1"/>
  <c r="AI412" i="1"/>
  <c r="AJ412" i="1"/>
  <c r="AK412" i="1"/>
  <c r="AL412" i="1"/>
  <c r="AH413" i="1"/>
  <c r="AI413" i="1"/>
  <c r="AJ413" i="1"/>
  <c r="AK413" i="1"/>
  <c r="AL413" i="1"/>
  <c r="AH414" i="1"/>
  <c r="AI414" i="1"/>
  <c r="AJ414" i="1"/>
  <c r="AK414" i="1"/>
  <c r="AL414" i="1"/>
  <c r="AH415" i="1"/>
  <c r="AI415" i="1"/>
  <c r="AJ415" i="1"/>
  <c r="AK415" i="1"/>
  <c r="AL415" i="1"/>
  <c r="AH518" i="1"/>
  <c r="AI518" i="1"/>
  <c r="AJ518" i="1"/>
  <c r="AK518" i="1"/>
  <c r="AL518" i="1"/>
  <c r="AH417" i="1"/>
  <c r="AI417" i="1"/>
  <c r="AJ417" i="1"/>
  <c r="AK417" i="1"/>
  <c r="AL417" i="1"/>
  <c r="AH418" i="1"/>
  <c r="AI418" i="1"/>
  <c r="AJ418" i="1"/>
  <c r="AK418" i="1"/>
  <c r="AL418" i="1"/>
  <c r="AH419" i="1"/>
  <c r="AI419" i="1"/>
  <c r="AJ419" i="1"/>
  <c r="AK419" i="1"/>
  <c r="AL419" i="1"/>
  <c r="AH420" i="1"/>
  <c r="AI420" i="1"/>
  <c r="AJ420" i="1"/>
  <c r="AK420" i="1"/>
  <c r="AL420" i="1"/>
  <c r="AH522" i="1"/>
  <c r="AI522" i="1"/>
  <c r="AJ522" i="1"/>
  <c r="AK522" i="1"/>
  <c r="AL522" i="1"/>
  <c r="AH422" i="1"/>
  <c r="AI422" i="1"/>
  <c r="AJ422" i="1"/>
  <c r="AK422" i="1"/>
  <c r="AL422" i="1"/>
  <c r="AH423" i="1"/>
  <c r="AI423" i="1"/>
  <c r="AJ423" i="1"/>
  <c r="AK423" i="1"/>
  <c r="AL423" i="1"/>
  <c r="AH259" i="1"/>
  <c r="AI259" i="1"/>
  <c r="AJ259" i="1"/>
  <c r="AK259" i="1"/>
  <c r="AL259" i="1"/>
  <c r="AH425" i="1"/>
  <c r="AI425" i="1"/>
  <c r="AJ425" i="1"/>
  <c r="AK425" i="1"/>
  <c r="AL425" i="1"/>
  <c r="AH206" i="1"/>
  <c r="AI206" i="1"/>
  <c r="AJ206" i="1"/>
  <c r="AK206" i="1"/>
  <c r="AL206" i="1"/>
  <c r="AH427" i="1"/>
  <c r="AI427" i="1"/>
  <c r="AJ427" i="1"/>
  <c r="AK427" i="1"/>
  <c r="AL427" i="1"/>
  <c r="AH428" i="1"/>
  <c r="AI428" i="1"/>
  <c r="AJ428" i="1"/>
  <c r="AK428" i="1"/>
  <c r="AL428" i="1"/>
  <c r="AH429" i="1"/>
  <c r="AI429" i="1"/>
  <c r="AJ429" i="1"/>
  <c r="AK429" i="1"/>
  <c r="AL429" i="1"/>
  <c r="AH323" i="1"/>
  <c r="AI323" i="1"/>
  <c r="AJ323" i="1"/>
  <c r="AK323" i="1"/>
  <c r="AL323" i="1"/>
  <c r="AH252" i="1"/>
  <c r="AI252" i="1"/>
  <c r="AJ252" i="1"/>
  <c r="AK252" i="1"/>
  <c r="AL252" i="1"/>
  <c r="AH251" i="1"/>
  <c r="AI251" i="1"/>
  <c r="AJ251" i="1"/>
  <c r="AK251" i="1"/>
  <c r="AL251" i="1"/>
  <c r="AH265" i="1"/>
  <c r="AI265" i="1"/>
  <c r="AJ265" i="1"/>
  <c r="AK265" i="1"/>
  <c r="AL265" i="1"/>
  <c r="AH434" i="1"/>
  <c r="AI434" i="1"/>
  <c r="AJ434" i="1"/>
  <c r="AK434" i="1"/>
  <c r="AL434" i="1"/>
  <c r="AH595" i="1"/>
  <c r="AI595" i="1"/>
  <c r="AJ595" i="1"/>
  <c r="AK595" i="1"/>
  <c r="AL595" i="1"/>
  <c r="AH436" i="1"/>
  <c r="AI436" i="1"/>
  <c r="AJ436" i="1"/>
  <c r="AK436" i="1"/>
  <c r="AL436" i="1"/>
  <c r="AH437" i="1"/>
  <c r="AI437" i="1"/>
  <c r="AJ437" i="1"/>
  <c r="AK437" i="1"/>
  <c r="AL437" i="1"/>
  <c r="AH438" i="1"/>
  <c r="AI438" i="1"/>
  <c r="AJ438" i="1"/>
  <c r="AK438" i="1"/>
  <c r="AL438" i="1"/>
  <c r="AH439" i="1"/>
  <c r="AI439" i="1"/>
  <c r="AJ439" i="1"/>
  <c r="AK439" i="1"/>
  <c r="AL439" i="1"/>
  <c r="AH440" i="1"/>
  <c r="AI440" i="1"/>
  <c r="AJ440" i="1"/>
  <c r="AK440" i="1"/>
  <c r="AL440" i="1"/>
  <c r="AH441" i="1"/>
  <c r="AI441" i="1"/>
  <c r="AJ441" i="1"/>
  <c r="AK441" i="1"/>
  <c r="AL441" i="1"/>
  <c r="AH442" i="1"/>
  <c r="AI442" i="1"/>
  <c r="AJ442" i="1"/>
  <c r="AK442" i="1"/>
  <c r="AL442" i="1"/>
  <c r="AH443" i="1"/>
  <c r="AI443" i="1"/>
  <c r="AJ443" i="1"/>
  <c r="AK443" i="1"/>
  <c r="AL443" i="1"/>
  <c r="AH444" i="1"/>
  <c r="AI444" i="1"/>
  <c r="AJ444" i="1"/>
  <c r="AK444" i="1"/>
  <c r="AL444" i="1"/>
  <c r="AH445" i="1"/>
  <c r="AI445" i="1"/>
  <c r="AJ445" i="1"/>
  <c r="AK445" i="1"/>
  <c r="AL445" i="1"/>
  <c r="AH446" i="1"/>
  <c r="AI446" i="1"/>
  <c r="AJ446" i="1"/>
  <c r="AK446" i="1"/>
  <c r="AL446" i="1"/>
  <c r="AH447" i="1"/>
  <c r="AI447" i="1"/>
  <c r="AJ447" i="1"/>
  <c r="AK447" i="1"/>
  <c r="AL447" i="1"/>
  <c r="AH448" i="1"/>
  <c r="AI448" i="1"/>
  <c r="AJ448" i="1"/>
  <c r="AK448" i="1"/>
  <c r="AL448" i="1"/>
  <c r="AH449" i="1"/>
  <c r="AI449" i="1"/>
  <c r="AJ449" i="1"/>
  <c r="AK449" i="1"/>
  <c r="AL449" i="1"/>
  <c r="AH450" i="1"/>
  <c r="AI450" i="1"/>
  <c r="AJ450" i="1"/>
  <c r="AK450" i="1"/>
  <c r="AL450" i="1"/>
  <c r="AH451" i="1"/>
  <c r="AI451" i="1"/>
  <c r="AJ451" i="1"/>
  <c r="AK451" i="1"/>
  <c r="AL451" i="1"/>
  <c r="AH452" i="1"/>
  <c r="AI452" i="1"/>
  <c r="AJ452" i="1"/>
  <c r="AK452" i="1"/>
  <c r="AL452" i="1"/>
  <c r="AH992" i="1"/>
  <c r="AI992" i="1"/>
  <c r="AJ992" i="1"/>
  <c r="AK992" i="1"/>
  <c r="AL992" i="1"/>
  <c r="AH454" i="1"/>
  <c r="AI454" i="1"/>
  <c r="AJ454" i="1"/>
  <c r="AK454" i="1"/>
  <c r="AL454" i="1"/>
  <c r="AH1009" i="1"/>
  <c r="AI1009" i="1"/>
  <c r="AJ1009" i="1"/>
  <c r="AK1009" i="1"/>
  <c r="AL1009" i="1"/>
  <c r="AH456" i="1"/>
  <c r="AI456" i="1"/>
  <c r="AJ456" i="1"/>
  <c r="AK456" i="1"/>
  <c r="AL456" i="1"/>
  <c r="AH140" i="1"/>
  <c r="AI140" i="1"/>
  <c r="AJ140" i="1"/>
  <c r="AK140" i="1"/>
  <c r="AL140" i="1"/>
  <c r="AH458" i="1"/>
  <c r="AI458" i="1"/>
  <c r="AJ458" i="1"/>
  <c r="AK458" i="1"/>
  <c r="AL458" i="1"/>
  <c r="AH1135" i="1"/>
  <c r="AI1135" i="1"/>
  <c r="AJ1135" i="1"/>
  <c r="AK1135" i="1"/>
  <c r="AL1135" i="1"/>
  <c r="AH460" i="1"/>
  <c r="AI460" i="1"/>
  <c r="AJ460" i="1"/>
  <c r="AK460" i="1"/>
  <c r="AL460" i="1"/>
  <c r="AH461" i="1"/>
  <c r="AJ461" i="1"/>
  <c r="AK461" i="1"/>
  <c r="AL461" i="1"/>
  <c r="AH462" i="1"/>
  <c r="AI462" i="1"/>
  <c r="AJ462" i="1"/>
  <c r="AK462" i="1"/>
  <c r="AL462" i="1"/>
  <c r="AH463" i="1"/>
  <c r="AI463" i="1"/>
  <c r="AJ463" i="1"/>
  <c r="AK463" i="1"/>
  <c r="AL463" i="1"/>
  <c r="AH464" i="1"/>
  <c r="AI464" i="1"/>
  <c r="AJ464" i="1"/>
  <c r="AK464" i="1"/>
  <c r="AL464" i="1"/>
  <c r="AH465" i="1"/>
  <c r="AI465" i="1"/>
  <c r="AJ465" i="1"/>
  <c r="AK465" i="1"/>
  <c r="AL465" i="1"/>
  <c r="AH466" i="1"/>
  <c r="AI466" i="1"/>
  <c r="AJ466" i="1"/>
  <c r="AK466" i="1"/>
  <c r="AL466" i="1"/>
  <c r="AH467" i="1"/>
  <c r="AI467" i="1"/>
  <c r="AJ467" i="1"/>
  <c r="AK467" i="1"/>
  <c r="AL467" i="1"/>
  <c r="AH468" i="1"/>
  <c r="AK468" i="1"/>
  <c r="AL468" i="1"/>
  <c r="AH469" i="1"/>
  <c r="AI469" i="1"/>
  <c r="AJ469" i="1"/>
  <c r="AK469" i="1"/>
  <c r="AL469" i="1"/>
  <c r="AH470" i="1"/>
  <c r="AI470" i="1"/>
  <c r="AJ470" i="1"/>
  <c r="AK470" i="1"/>
  <c r="AL470" i="1"/>
  <c r="AH471" i="1"/>
  <c r="AI471" i="1"/>
  <c r="AJ471" i="1"/>
  <c r="AK471" i="1"/>
  <c r="AL471" i="1"/>
  <c r="AH472" i="1"/>
  <c r="AJ472" i="1"/>
  <c r="AK472" i="1"/>
  <c r="AL472" i="1"/>
  <c r="AH473" i="1"/>
  <c r="AJ473" i="1"/>
  <c r="AK473" i="1"/>
  <c r="AL473" i="1"/>
  <c r="AH474" i="1"/>
  <c r="AI474" i="1"/>
  <c r="AJ474" i="1"/>
  <c r="AK474" i="1"/>
  <c r="AL474" i="1"/>
  <c r="AH475" i="1"/>
  <c r="AJ475" i="1"/>
  <c r="AK475" i="1"/>
  <c r="AL475" i="1"/>
  <c r="AH476" i="1"/>
  <c r="AI476" i="1"/>
  <c r="AJ476" i="1"/>
  <c r="AK476" i="1"/>
  <c r="AL476" i="1"/>
  <c r="AH477" i="1"/>
  <c r="AJ477" i="1"/>
  <c r="AK477" i="1"/>
  <c r="AL477" i="1"/>
  <c r="AH478" i="1"/>
  <c r="AI478" i="1"/>
  <c r="AJ478" i="1"/>
  <c r="AK478" i="1"/>
  <c r="AL478" i="1"/>
  <c r="AH479" i="1"/>
  <c r="AI479" i="1"/>
  <c r="AJ479" i="1"/>
  <c r="AK479" i="1"/>
  <c r="AL479" i="1"/>
  <c r="AH480" i="1"/>
  <c r="AI480" i="1"/>
  <c r="AJ480" i="1"/>
  <c r="AK480" i="1"/>
  <c r="AL480" i="1"/>
  <c r="AH481" i="1"/>
  <c r="AI481" i="1"/>
  <c r="AJ481" i="1"/>
  <c r="AK481" i="1"/>
  <c r="AL481" i="1"/>
  <c r="AH482" i="1"/>
  <c r="AI482" i="1"/>
  <c r="AJ482" i="1"/>
  <c r="AK482" i="1"/>
  <c r="AL482" i="1"/>
  <c r="AH483" i="1"/>
  <c r="AI483" i="1"/>
  <c r="AJ483" i="1"/>
  <c r="AK483" i="1"/>
  <c r="AL483" i="1"/>
  <c r="AH484" i="1"/>
  <c r="AI484" i="1"/>
  <c r="AJ484" i="1"/>
  <c r="AK484" i="1"/>
  <c r="AL484" i="1"/>
  <c r="AH485" i="1"/>
  <c r="AI485" i="1"/>
  <c r="AJ485" i="1"/>
  <c r="AK485" i="1"/>
  <c r="AL485" i="1"/>
  <c r="AH486" i="1"/>
  <c r="AI486" i="1"/>
  <c r="AK486" i="1"/>
  <c r="AL486" i="1"/>
  <c r="AH20" i="1"/>
  <c r="AI20" i="1"/>
  <c r="AJ20" i="1"/>
  <c r="AK20" i="1"/>
  <c r="AL20" i="1"/>
  <c r="AH488" i="1"/>
  <c r="AI488" i="1"/>
  <c r="AJ488" i="1"/>
  <c r="AK488" i="1"/>
  <c r="AL488" i="1"/>
  <c r="AH146" i="1"/>
  <c r="AI146" i="1"/>
  <c r="AJ146" i="1"/>
  <c r="AK146" i="1"/>
  <c r="AL146" i="1"/>
  <c r="AH490" i="1"/>
  <c r="AI490" i="1"/>
  <c r="AJ490" i="1"/>
  <c r="AK490" i="1"/>
  <c r="AL490" i="1"/>
  <c r="AH491" i="1"/>
  <c r="AI491" i="1"/>
  <c r="AJ491" i="1"/>
  <c r="AK491" i="1"/>
  <c r="AL491" i="1"/>
  <c r="AH492" i="1"/>
  <c r="AI492" i="1"/>
  <c r="AJ492" i="1"/>
  <c r="AK492" i="1"/>
  <c r="AL492" i="1"/>
  <c r="AH493" i="1"/>
  <c r="AI493" i="1"/>
  <c r="AJ493" i="1"/>
  <c r="AK493" i="1"/>
  <c r="AL493" i="1"/>
  <c r="AH494" i="1"/>
  <c r="AI494" i="1"/>
  <c r="AJ494" i="1"/>
  <c r="AK494" i="1"/>
  <c r="AL494" i="1"/>
  <c r="AH495" i="1"/>
  <c r="AI495" i="1"/>
  <c r="AJ495" i="1"/>
  <c r="AK495" i="1"/>
  <c r="AL495" i="1"/>
  <c r="AH496" i="1"/>
  <c r="AI496" i="1"/>
  <c r="AJ496" i="1"/>
  <c r="AK496" i="1"/>
  <c r="AL496" i="1"/>
  <c r="AH497" i="1"/>
  <c r="AI497" i="1"/>
  <c r="AJ497" i="1"/>
  <c r="AK497" i="1"/>
  <c r="AL497" i="1"/>
  <c r="AH498" i="1"/>
  <c r="AI498" i="1"/>
  <c r="AJ498" i="1"/>
  <c r="AK498" i="1"/>
  <c r="AL498" i="1"/>
  <c r="AH499" i="1"/>
  <c r="AI499" i="1"/>
  <c r="AJ499" i="1"/>
  <c r="AK499" i="1"/>
  <c r="AL499" i="1"/>
  <c r="AH500" i="1"/>
  <c r="AI500" i="1"/>
  <c r="AJ500" i="1"/>
  <c r="AK500" i="1"/>
  <c r="AL500" i="1"/>
  <c r="AH501" i="1"/>
  <c r="AI501" i="1"/>
  <c r="AJ501" i="1"/>
  <c r="AK501" i="1"/>
  <c r="AL501" i="1"/>
  <c r="AH502" i="1"/>
  <c r="AI502" i="1"/>
  <c r="AJ502" i="1"/>
  <c r="AK502" i="1"/>
  <c r="AL502" i="1"/>
  <c r="AH503" i="1"/>
  <c r="AI503" i="1"/>
  <c r="AJ503" i="1"/>
  <c r="AK503" i="1"/>
  <c r="AL503" i="1"/>
  <c r="AH504" i="1"/>
  <c r="AI504" i="1"/>
  <c r="AJ504" i="1"/>
  <c r="AK504" i="1"/>
  <c r="AL504" i="1"/>
  <c r="AH505" i="1"/>
  <c r="AI505" i="1"/>
  <c r="AJ505" i="1"/>
  <c r="AK505" i="1"/>
  <c r="AL505" i="1"/>
  <c r="AH506" i="1"/>
  <c r="AI506" i="1"/>
  <c r="AJ506" i="1"/>
  <c r="AK506" i="1"/>
  <c r="AL506" i="1"/>
  <c r="AH507" i="1"/>
  <c r="AI507" i="1"/>
  <c r="AJ507" i="1"/>
  <c r="AK507" i="1"/>
  <c r="AL507" i="1"/>
  <c r="AH508" i="1"/>
  <c r="AI508" i="1"/>
  <c r="AJ508" i="1"/>
  <c r="AK508" i="1"/>
  <c r="AL508" i="1"/>
  <c r="AH509" i="1"/>
  <c r="AI509" i="1"/>
  <c r="AJ509" i="1"/>
  <c r="AK509" i="1"/>
  <c r="AL509" i="1"/>
  <c r="AH510" i="1"/>
  <c r="AI510" i="1"/>
  <c r="AJ510" i="1"/>
  <c r="AK510" i="1"/>
  <c r="AL510" i="1"/>
  <c r="AH511" i="1"/>
  <c r="AI511" i="1"/>
  <c r="AJ511" i="1"/>
  <c r="AK511" i="1"/>
  <c r="AL511" i="1"/>
  <c r="AH512" i="1"/>
  <c r="AI512" i="1"/>
  <c r="AJ512" i="1"/>
  <c r="AK512" i="1"/>
  <c r="AL512" i="1"/>
  <c r="AH3" i="1"/>
  <c r="AI3" i="1"/>
  <c r="AJ3" i="1"/>
  <c r="AK3" i="1"/>
  <c r="AL3" i="1"/>
  <c r="AH514" i="1"/>
  <c r="AI514" i="1"/>
  <c r="AJ514" i="1"/>
  <c r="AK514" i="1"/>
  <c r="AL514" i="1"/>
  <c r="AH515" i="1"/>
  <c r="AI515" i="1"/>
  <c r="AJ515" i="1"/>
  <c r="AK515" i="1"/>
  <c r="AL515" i="1"/>
  <c r="AH516" i="1"/>
  <c r="AI516" i="1"/>
  <c r="AJ516" i="1"/>
  <c r="AK516" i="1"/>
  <c r="AL516" i="1"/>
  <c r="AH517" i="1"/>
  <c r="AI517" i="1"/>
  <c r="AJ517" i="1"/>
  <c r="AK517" i="1"/>
  <c r="AL517" i="1"/>
  <c r="AH621" i="1"/>
  <c r="AI621" i="1"/>
  <c r="AJ621" i="1"/>
  <c r="AK621" i="1"/>
  <c r="AL621" i="1"/>
  <c r="AH519" i="1"/>
  <c r="AI519" i="1"/>
  <c r="AJ519" i="1"/>
  <c r="AK519" i="1"/>
  <c r="AL519" i="1"/>
  <c r="AH520" i="1"/>
  <c r="AI520" i="1"/>
  <c r="AJ520" i="1"/>
  <c r="AK520" i="1"/>
  <c r="AL520" i="1"/>
  <c r="AH521" i="1"/>
  <c r="AI521" i="1"/>
  <c r="AJ521" i="1"/>
  <c r="AK521" i="1"/>
  <c r="AL521" i="1"/>
  <c r="AH325" i="1"/>
  <c r="AI325" i="1"/>
  <c r="AJ325" i="1"/>
  <c r="AK325" i="1"/>
  <c r="AL325" i="1"/>
  <c r="AH523" i="1"/>
  <c r="AI523" i="1"/>
  <c r="AJ523" i="1"/>
  <c r="AK523" i="1"/>
  <c r="AL523" i="1"/>
  <c r="AH524" i="1"/>
  <c r="AI524" i="1"/>
  <c r="AJ524" i="1"/>
  <c r="AK524" i="1"/>
  <c r="AL524" i="1"/>
  <c r="AH525" i="1"/>
  <c r="AI525" i="1"/>
  <c r="AJ525" i="1"/>
  <c r="AK525" i="1"/>
  <c r="AL525" i="1"/>
  <c r="AH526" i="1"/>
  <c r="AI526" i="1"/>
  <c r="AJ526" i="1"/>
  <c r="AK526" i="1"/>
  <c r="AL526" i="1"/>
  <c r="AH527" i="1"/>
  <c r="AI527" i="1"/>
  <c r="AJ527" i="1"/>
  <c r="AK527" i="1"/>
  <c r="AL527" i="1"/>
  <c r="AH528" i="1"/>
  <c r="AI528" i="1"/>
  <c r="AJ528" i="1"/>
  <c r="AK528" i="1"/>
  <c r="AL528" i="1"/>
  <c r="AH529" i="1"/>
  <c r="AI529" i="1"/>
  <c r="AJ529" i="1"/>
  <c r="AK529" i="1"/>
  <c r="AL529" i="1"/>
  <c r="AH530" i="1"/>
  <c r="AI530" i="1"/>
  <c r="AJ530" i="1"/>
  <c r="AK530" i="1"/>
  <c r="AL530" i="1"/>
  <c r="AH531" i="1"/>
  <c r="AI531" i="1"/>
  <c r="AJ531" i="1"/>
  <c r="AK531" i="1"/>
  <c r="AL531" i="1"/>
  <c r="AH532" i="1"/>
  <c r="AI532" i="1"/>
  <c r="AJ532" i="1"/>
  <c r="AK532" i="1"/>
  <c r="AL532" i="1"/>
  <c r="AH533" i="1"/>
  <c r="AI533" i="1"/>
  <c r="AJ533" i="1"/>
  <c r="AK533" i="1"/>
  <c r="AL533" i="1"/>
  <c r="AH534" i="1"/>
  <c r="AI534" i="1"/>
  <c r="AJ534" i="1"/>
  <c r="AK534" i="1"/>
  <c r="AL534" i="1"/>
  <c r="AH416" i="1"/>
  <c r="AI416" i="1"/>
  <c r="AJ416" i="1"/>
  <c r="AK416" i="1"/>
  <c r="AL416" i="1"/>
  <c r="AH536" i="1"/>
  <c r="AI536" i="1"/>
  <c r="AJ536" i="1"/>
  <c r="AK536" i="1"/>
  <c r="AL536" i="1"/>
  <c r="AH537" i="1"/>
  <c r="AI537" i="1"/>
  <c r="AJ537" i="1"/>
  <c r="AK537" i="1"/>
  <c r="AL537" i="1"/>
  <c r="AH538" i="1"/>
  <c r="AI538" i="1"/>
  <c r="AJ538" i="1"/>
  <c r="AK538" i="1"/>
  <c r="AL538" i="1"/>
  <c r="AH539" i="1"/>
  <c r="AI539" i="1"/>
  <c r="AJ539" i="1"/>
  <c r="AK539" i="1"/>
  <c r="AL539" i="1"/>
  <c r="AH540" i="1"/>
  <c r="AI540" i="1"/>
  <c r="AJ540" i="1"/>
  <c r="AK540" i="1"/>
  <c r="AL540" i="1"/>
  <c r="AH541" i="1"/>
  <c r="AI541" i="1"/>
  <c r="AJ541" i="1"/>
  <c r="AK541" i="1"/>
  <c r="AL541" i="1"/>
  <c r="AH542" i="1"/>
  <c r="AI542" i="1"/>
  <c r="AJ542" i="1"/>
  <c r="AK542" i="1"/>
  <c r="AL542" i="1"/>
  <c r="AH543" i="1"/>
  <c r="AI543" i="1"/>
  <c r="AJ543" i="1"/>
  <c r="AK543" i="1"/>
  <c r="AL543" i="1"/>
  <c r="AH544" i="1"/>
  <c r="AI544" i="1"/>
  <c r="AJ544" i="1"/>
  <c r="AK544" i="1"/>
  <c r="AL544" i="1"/>
  <c r="AH545" i="1"/>
  <c r="AI545" i="1"/>
  <c r="AJ545" i="1"/>
  <c r="AK545" i="1"/>
  <c r="AL545" i="1"/>
  <c r="AH546" i="1"/>
  <c r="AI546" i="1"/>
  <c r="AJ546" i="1"/>
  <c r="AK546" i="1"/>
  <c r="AL546" i="1"/>
  <c r="AH547" i="1"/>
  <c r="AI547" i="1"/>
  <c r="AJ547" i="1"/>
  <c r="AK547" i="1"/>
  <c r="AL547" i="1"/>
  <c r="AH548" i="1"/>
  <c r="AI548" i="1"/>
  <c r="AJ548" i="1"/>
  <c r="AK548" i="1"/>
  <c r="AL548" i="1"/>
  <c r="AH549" i="1"/>
  <c r="AI549" i="1"/>
  <c r="AJ549" i="1"/>
  <c r="AK549" i="1"/>
  <c r="AL549" i="1"/>
  <c r="AH550" i="1"/>
  <c r="AI550" i="1"/>
  <c r="AJ550" i="1"/>
  <c r="AK550" i="1"/>
  <c r="AL550" i="1"/>
  <c r="AH551" i="1"/>
  <c r="AI551" i="1"/>
  <c r="AJ551" i="1"/>
  <c r="AK551" i="1"/>
  <c r="AL551" i="1"/>
  <c r="AH552" i="1"/>
  <c r="AI552" i="1"/>
  <c r="AJ552" i="1"/>
  <c r="AK552" i="1"/>
  <c r="AL552" i="1"/>
  <c r="AH655" i="1"/>
  <c r="AI655" i="1"/>
  <c r="AJ655" i="1"/>
  <c r="AK655" i="1"/>
  <c r="AL655" i="1"/>
  <c r="AH554" i="1"/>
  <c r="AI554" i="1"/>
  <c r="AJ554" i="1"/>
  <c r="AK554" i="1"/>
  <c r="AL554" i="1"/>
  <c r="AH555" i="1"/>
  <c r="AI555" i="1"/>
  <c r="AJ555" i="1"/>
  <c r="AK555" i="1"/>
  <c r="AL555" i="1"/>
  <c r="AH556" i="1"/>
  <c r="AI556" i="1"/>
  <c r="AJ556" i="1"/>
  <c r="AK556" i="1"/>
  <c r="AL556" i="1"/>
  <c r="AH557" i="1"/>
  <c r="AI557" i="1"/>
  <c r="AJ557" i="1"/>
  <c r="AK557" i="1"/>
  <c r="AL557" i="1"/>
  <c r="AH559" i="1"/>
  <c r="AI559" i="1"/>
  <c r="AJ559" i="1"/>
  <c r="AK559" i="1"/>
  <c r="AL559" i="1"/>
  <c r="AH560" i="1"/>
  <c r="AI560" i="1"/>
  <c r="AJ560" i="1"/>
  <c r="AK560" i="1"/>
  <c r="AL560" i="1"/>
  <c r="AH561" i="1"/>
  <c r="AI561" i="1"/>
  <c r="AJ561" i="1"/>
  <c r="AK561" i="1"/>
  <c r="AL561" i="1"/>
  <c r="AH562" i="1"/>
  <c r="AI562" i="1"/>
  <c r="AJ562" i="1"/>
  <c r="AK562" i="1"/>
  <c r="AL562" i="1"/>
  <c r="AH558" i="1"/>
  <c r="AI558" i="1"/>
  <c r="AJ558" i="1"/>
  <c r="AK558" i="1"/>
  <c r="AL558" i="1"/>
  <c r="AH563" i="1"/>
  <c r="AI563" i="1"/>
  <c r="AJ563" i="1"/>
  <c r="AK563" i="1"/>
  <c r="AL563" i="1"/>
  <c r="AH564" i="1"/>
  <c r="AI564" i="1"/>
  <c r="AJ564" i="1"/>
  <c r="AK564" i="1"/>
  <c r="AL564" i="1"/>
  <c r="AH565" i="1"/>
  <c r="AI565" i="1"/>
  <c r="AJ565" i="1"/>
  <c r="AK565" i="1"/>
  <c r="AL565" i="1"/>
  <c r="AH566" i="1"/>
  <c r="AI566" i="1"/>
  <c r="AJ566" i="1"/>
  <c r="AK566" i="1"/>
  <c r="AL566" i="1"/>
  <c r="AH567" i="1"/>
  <c r="AI567" i="1"/>
  <c r="AJ567" i="1"/>
  <c r="AK567" i="1"/>
  <c r="AL567" i="1"/>
  <c r="AH568" i="1"/>
  <c r="AI568" i="1"/>
  <c r="AJ568" i="1"/>
  <c r="AK568" i="1"/>
  <c r="AL568" i="1"/>
  <c r="AH307" i="1"/>
  <c r="AI307" i="1"/>
  <c r="AJ307" i="1"/>
  <c r="AK307" i="1"/>
  <c r="AL307" i="1"/>
  <c r="AH570" i="1"/>
  <c r="AI570" i="1"/>
  <c r="AJ570" i="1"/>
  <c r="AK570" i="1"/>
  <c r="AL570" i="1"/>
  <c r="AH571" i="1"/>
  <c r="AI571" i="1"/>
  <c r="AJ571" i="1"/>
  <c r="AK571" i="1"/>
  <c r="AL571" i="1"/>
  <c r="AH306" i="1"/>
  <c r="AI306" i="1"/>
  <c r="AJ306" i="1"/>
  <c r="AK306" i="1"/>
  <c r="AL306" i="1"/>
  <c r="AH308" i="1"/>
  <c r="AI308" i="1"/>
  <c r="AJ308" i="1"/>
  <c r="AK308" i="1"/>
  <c r="AL308" i="1"/>
  <c r="AH574" i="1"/>
  <c r="AI574" i="1"/>
  <c r="AJ574" i="1"/>
  <c r="AK574" i="1"/>
  <c r="AL574" i="1"/>
  <c r="AH575" i="1"/>
  <c r="AI575" i="1"/>
  <c r="AJ575" i="1"/>
  <c r="AK575" i="1"/>
  <c r="AL575" i="1"/>
  <c r="AH576" i="1"/>
  <c r="AI576" i="1"/>
  <c r="AJ576" i="1"/>
  <c r="AK576" i="1"/>
  <c r="AL576" i="1"/>
  <c r="AH577" i="1"/>
  <c r="AI577" i="1"/>
  <c r="AJ577" i="1"/>
  <c r="AK577" i="1"/>
  <c r="AL577" i="1"/>
  <c r="AH578" i="1"/>
  <c r="AI578" i="1"/>
  <c r="AJ578" i="1"/>
  <c r="AK578" i="1"/>
  <c r="AL578" i="1"/>
  <c r="AH579" i="1"/>
  <c r="AI579" i="1"/>
  <c r="AJ579" i="1"/>
  <c r="AK579" i="1"/>
  <c r="AL579" i="1"/>
  <c r="AH580" i="1"/>
  <c r="AI580" i="1"/>
  <c r="AJ580" i="1"/>
  <c r="AK580" i="1"/>
  <c r="AL580" i="1"/>
  <c r="AH581" i="1"/>
  <c r="AI581" i="1"/>
  <c r="AJ581" i="1"/>
  <c r="AK581" i="1"/>
  <c r="AL581" i="1"/>
  <c r="AH44" i="1"/>
  <c r="AI44" i="1"/>
  <c r="AJ44" i="1"/>
  <c r="AK44" i="1"/>
  <c r="AL44" i="1"/>
  <c r="AH583" i="1"/>
  <c r="AI583" i="1"/>
  <c r="AJ583" i="1"/>
  <c r="AK583" i="1"/>
  <c r="AL583" i="1"/>
  <c r="AH584" i="1"/>
  <c r="AI584" i="1"/>
  <c r="AJ584" i="1"/>
  <c r="AK584" i="1"/>
  <c r="AL584" i="1"/>
  <c r="AH585" i="1"/>
  <c r="AI585" i="1"/>
  <c r="AJ585" i="1"/>
  <c r="AK585" i="1"/>
  <c r="AL585" i="1"/>
  <c r="AH586" i="1"/>
  <c r="AI586" i="1"/>
  <c r="AJ586" i="1"/>
  <c r="AK586" i="1"/>
  <c r="AL586" i="1"/>
  <c r="AH963" i="1"/>
  <c r="AI963" i="1"/>
  <c r="AJ963" i="1"/>
  <c r="AK963" i="1"/>
  <c r="AL963" i="1"/>
  <c r="AH588" i="1"/>
  <c r="AI588" i="1"/>
  <c r="AJ588" i="1"/>
  <c r="AK588" i="1"/>
  <c r="AL588" i="1"/>
  <c r="AH589" i="1"/>
  <c r="AI589" i="1"/>
  <c r="AJ589" i="1"/>
  <c r="AK589" i="1"/>
  <c r="AL589" i="1"/>
  <c r="AH98" i="1"/>
  <c r="AI98" i="1"/>
  <c r="AJ98" i="1"/>
  <c r="AK98" i="1"/>
  <c r="AL98" i="1"/>
  <c r="AH591" i="1"/>
  <c r="AI591" i="1"/>
  <c r="AJ591" i="1"/>
  <c r="AK591" i="1"/>
  <c r="AL591" i="1"/>
  <c r="AH592" i="1"/>
  <c r="AI592" i="1"/>
  <c r="AJ592" i="1"/>
  <c r="AK592" i="1"/>
  <c r="AL592" i="1"/>
  <c r="AH593" i="1"/>
  <c r="AI593" i="1"/>
  <c r="AJ593" i="1"/>
  <c r="AK593" i="1"/>
  <c r="AL593" i="1"/>
  <c r="AH594" i="1"/>
  <c r="AI594" i="1"/>
  <c r="AJ594" i="1"/>
  <c r="AK594" i="1"/>
  <c r="AL594" i="1"/>
  <c r="AH535" i="1"/>
  <c r="AI535" i="1"/>
  <c r="AJ535" i="1"/>
  <c r="AK535" i="1"/>
  <c r="AL535" i="1"/>
  <c r="AH596" i="1"/>
  <c r="AI596" i="1"/>
  <c r="AJ596" i="1"/>
  <c r="AK596" i="1"/>
  <c r="AL596" i="1"/>
  <c r="AH597" i="1"/>
  <c r="AI597" i="1"/>
  <c r="AJ597" i="1"/>
  <c r="AK597" i="1"/>
  <c r="AL597" i="1"/>
  <c r="AH598" i="1"/>
  <c r="AI598" i="1"/>
  <c r="AJ598" i="1"/>
  <c r="AK598" i="1"/>
  <c r="AL598" i="1"/>
  <c r="AH599" i="1"/>
  <c r="AI599" i="1"/>
  <c r="AJ599" i="1"/>
  <c r="AK599" i="1"/>
  <c r="AL599" i="1"/>
  <c r="AH600" i="1"/>
  <c r="AI600" i="1"/>
  <c r="AJ600" i="1"/>
  <c r="AK600" i="1"/>
  <c r="AL600" i="1"/>
  <c r="AH601" i="1"/>
  <c r="AI601" i="1"/>
  <c r="AJ601" i="1"/>
  <c r="AK601" i="1"/>
  <c r="AL601" i="1"/>
  <c r="AH602" i="1"/>
  <c r="AI602" i="1"/>
  <c r="AJ602" i="1"/>
  <c r="AK602" i="1"/>
  <c r="AL602" i="1"/>
  <c r="AH603" i="1"/>
  <c r="AI603" i="1"/>
  <c r="AJ603" i="1"/>
  <c r="AK603" i="1"/>
  <c r="AL603" i="1"/>
  <c r="AH604" i="1"/>
  <c r="AI604" i="1"/>
  <c r="AJ604" i="1"/>
  <c r="AK604" i="1"/>
  <c r="AL604" i="1"/>
  <c r="AH605" i="1"/>
  <c r="AI605" i="1"/>
  <c r="AJ605" i="1"/>
  <c r="AK605" i="1"/>
  <c r="AL605" i="1"/>
  <c r="AH606" i="1"/>
  <c r="AI606" i="1"/>
  <c r="AJ606" i="1"/>
  <c r="AK606" i="1"/>
  <c r="AL606" i="1"/>
  <c r="AH607" i="1"/>
  <c r="AI607" i="1"/>
  <c r="AJ607" i="1"/>
  <c r="AK607" i="1"/>
  <c r="AL607" i="1"/>
  <c r="AH608" i="1"/>
  <c r="AI608" i="1"/>
  <c r="AJ608" i="1"/>
  <c r="AK608" i="1"/>
  <c r="AL608" i="1"/>
  <c r="AH553" i="1"/>
  <c r="AI553" i="1"/>
  <c r="AJ553" i="1"/>
  <c r="AK553" i="1"/>
  <c r="AL553" i="1"/>
  <c r="AH610" i="1"/>
  <c r="AI610" i="1"/>
  <c r="AJ610" i="1"/>
  <c r="AK610" i="1"/>
  <c r="AL610" i="1"/>
  <c r="AH611" i="1"/>
  <c r="AI611" i="1"/>
  <c r="AJ611" i="1"/>
  <c r="AK611" i="1"/>
  <c r="AL611" i="1"/>
  <c r="AH612" i="1"/>
  <c r="AI612" i="1"/>
  <c r="AJ612" i="1"/>
  <c r="AK612" i="1"/>
  <c r="AL612" i="1"/>
  <c r="AH613" i="1"/>
  <c r="AI613" i="1"/>
  <c r="AJ613" i="1"/>
  <c r="AK613" i="1"/>
  <c r="AL613" i="1"/>
  <c r="AH614" i="1"/>
  <c r="AI614" i="1"/>
  <c r="AJ614" i="1"/>
  <c r="AK614" i="1"/>
  <c r="AL614" i="1"/>
  <c r="AH615" i="1"/>
  <c r="AI615" i="1"/>
  <c r="AJ615" i="1"/>
  <c r="AK615" i="1"/>
  <c r="AL615" i="1"/>
  <c r="AH616" i="1"/>
  <c r="AI616" i="1"/>
  <c r="AJ616" i="1"/>
  <c r="AK616" i="1"/>
  <c r="AL616" i="1"/>
  <c r="AH617" i="1"/>
  <c r="AI617" i="1"/>
  <c r="AJ617" i="1"/>
  <c r="AK617" i="1"/>
  <c r="AL617" i="1"/>
  <c r="AH618" i="1"/>
  <c r="AI618" i="1"/>
  <c r="AJ618" i="1"/>
  <c r="AK618" i="1"/>
  <c r="AL618" i="1"/>
  <c r="AH619" i="1"/>
  <c r="AI619" i="1"/>
  <c r="AJ619" i="1"/>
  <c r="AK619" i="1"/>
  <c r="AL619" i="1"/>
  <c r="AH620" i="1"/>
  <c r="AI620" i="1"/>
  <c r="AJ620" i="1"/>
  <c r="AK620" i="1"/>
  <c r="AL620" i="1"/>
  <c r="AH253" i="1"/>
  <c r="AI253" i="1"/>
  <c r="AJ253" i="1"/>
  <c r="AK253" i="1"/>
  <c r="AL253" i="1"/>
  <c r="AH285" i="1"/>
  <c r="AI285" i="1"/>
  <c r="AJ285" i="1"/>
  <c r="AK285" i="1"/>
  <c r="AL285" i="1"/>
  <c r="AH623" i="1"/>
  <c r="AI623" i="1"/>
  <c r="AJ623" i="1"/>
  <c r="AK623" i="1"/>
  <c r="AL623" i="1"/>
  <c r="AH624" i="1"/>
  <c r="AI624" i="1"/>
  <c r="AJ624" i="1"/>
  <c r="AK624" i="1"/>
  <c r="AL624" i="1"/>
  <c r="AH625" i="1"/>
  <c r="AI625" i="1"/>
  <c r="AJ625" i="1"/>
  <c r="AK625" i="1"/>
  <c r="AL625" i="1"/>
  <c r="AH626" i="1"/>
  <c r="AI626" i="1"/>
  <c r="AJ626" i="1"/>
  <c r="AK626" i="1"/>
  <c r="AL626" i="1"/>
  <c r="AH627" i="1"/>
  <c r="AI627" i="1"/>
  <c r="AJ627" i="1"/>
  <c r="AK627" i="1"/>
  <c r="AL627" i="1"/>
  <c r="AH628" i="1"/>
  <c r="AI628" i="1"/>
  <c r="AJ628" i="1"/>
  <c r="AK628" i="1"/>
  <c r="AL628" i="1"/>
  <c r="AH629" i="1"/>
  <c r="AI629" i="1"/>
  <c r="AJ629" i="1"/>
  <c r="AK629" i="1"/>
  <c r="AL629" i="1"/>
  <c r="AH630" i="1"/>
  <c r="AI630" i="1"/>
  <c r="AJ630" i="1"/>
  <c r="AK630" i="1"/>
  <c r="AL630" i="1"/>
  <c r="AH569" i="1"/>
  <c r="AI569" i="1"/>
  <c r="AJ569" i="1"/>
  <c r="AK569" i="1"/>
  <c r="AL569" i="1"/>
  <c r="AH632" i="1"/>
  <c r="AI632" i="1"/>
  <c r="AJ632" i="1"/>
  <c r="AK632" i="1"/>
  <c r="AL632" i="1"/>
  <c r="AH633" i="1"/>
  <c r="AI633" i="1"/>
  <c r="AJ633" i="1"/>
  <c r="AK633" i="1"/>
  <c r="AL633" i="1"/>
  <c r="AH634" i="1"/>
  <c r="AI634" i="1"/>
  <c r="AJ634" i="1"/>
  <c r="AK634" i="1"/>
  <c r="AL634" i="1"/>
  <c r="AH572" i="1"/>
  <c r="AI572" i="1"/>
  <c r="AJ572" i="1"/>
  <c r="AK572" i="1"/>
  <c r="AL572" i="1"/>
  <c r="AH636" i="1"/>
  <c r="AI636" i="1"/>
  <c r="AJ636" i="1"/>
  <c r="AK636" i="1"/>
  <c r="AL636" i="1"/>
  <c r="AH573" i="1"/>
  <c r="AI573" i="1"/>
  <c r="AJ573" i="1"/>
  <c r="AK573" i="1"/>
  <c r="AL573" i="1"/>
  <c r="AH638" i="1"/>
  <c r="AI638" i="1"/>
  <c r="AJ638" i="1"/>
  <c r="AK638" i="1"/>
  <c r="AL638" i="1"/>
  <c r="AH639" i="1"/>
  <c r="AI639" i="1"/>
  <c r="AJ639" i="1"/>
  <c r="AK639" i="1"/>
  <c r="AL639" i="1"/>
  <c r="AH640" i="1"/>
  <c r="AI640" i="1"/>
  <c r="AJ640" i="1"/>
  <c r="AK640" i="1"/>
  <c r="AL640" i="1"/>
  <c r="AH431" i="1"/>
  <c r="AI431" i="1"/>
  <c r="AJ431" i="1"/>
  <c r="AK431" i="1"/>
  <c r="AL431" i="1"/>
  <c r="AH642" i="1"/>
  <c r="AI642" i="1"/>
  <c r="AJ642" i="1"/>
  <c r="AK642" i="1"/>
  <c r="AL642" i="1"/>
  <c r="AH643" i="1"/>
  <c r="AI643" i="1"/>
  <c r="AJ643" i="1"/>
  <c r="AK643" i="1"/>
  <c r="AL643" i="1"/>
  <c r="AH332" i="1"/>
  <c r="AI332" i="1"/>
  <c r="AJ332" i="1"/>
  <c r="AK332" i="1"/>
  <c r="AL332" i="1"/>
  <c r="AH645" i="1"/>
  <c r="AI645" i="1"/>
  <c r="AJ645" i="1"/>
  <c r="AK645" i="1"/>
  <c r="AL645" i="1"/>
  <c r="AH646" i="1"/>
  <c r="AI646" i="1"/>
  <c r="AJ646" i="1"/>
  <c r="AK646" i="1"/>
  <c r="AL646" i="1"/>
  <c r="AH647" i="1"/>
  <c r="AI647" i="1"/>
  <c r="AJ647" i="1"/>
  <c r="AK647" i="1"/>
  <c r="AL647" i="1"/>
  <c r="AH648" i="1"/>
  <c r="AI648" i="1"/>
  <c r="AJ648" i="1"/>
  <c r="AK648" i="1"/>
  <c r="AL648" i="1"/>
  <c r="AH649" i="1"/>
  <c r="AI649" i="1"/>
  <c r="AJ649" i="1"/>
  <c r="AK649" i="1"/>
  <c r="AL649" i="1"/>
  <c r="AH650" i="1"/>
  <c r="AI650" i="1"/>
  <c r="AJ650" i="1"/>
  <c r="AK650" i="1"/>
  <c r="AL650" i="1"/>
  <c r="AH651" i="1"/>
  <c r="AI651" i="1"/>
  <c r="AJ651" i="1"/>
  <c r="AK651" i="1"/>
  <c r="AL651" i="1"/>
  <c r="AH652" i="1"/>
  <c r="AI652" i="1"/>
  <c r="AJ652" i="1"/>
  <c r="AK652" i="1"/>
  <c r="AL652" i="1"/>
  <c r="AH1026" i="1"/>
  <c r="AI1026" i="1"/>
  <c r="AJ1026" i="1"/>
  <c r="AK1026" i="1"/>
  <c r="AL1026" i="1"/>
  <c r="AH654" i="1"/>
  <c r="AI654" i="1"/>
  <c r="AJ654" i="1"/>
  <c r="AK654" i="1"/>
  <c r="AL654" i="1"/>
  <c r="AH392" i="1"/>
  <c r="AI392" i="1"/>
  <c r="AJ392" i="1"/>
  <c r="AK392" i="1"/>
  <c r="AL392" i="1"/>
  <c r="AH393" i="1"/>
  <c r="AI393" i="1"/>
  <c r="AJ393" i="1"/>
  <c r="AK393" i="1"/>
  <c r="AL393" i="1"/>
  <c r="AH28" i="1"/>
  <c r="AI28" i="1"/>
  <c r="AJ28" i="1"/>
  <c r="AK28" i="1"/>
  <c r="AL28" i="1"/>
  <c r="AH658" i="1"/>
  <c r="AI658" i="1"/>
  <c r="AJ658" i="1"/>
  <c r="AK658" i="1"/>
  <c r="AL658" i="1"/>
  <c r="AH659" i="1"/>
  <c r="AI659" i="1"/>
  <c r="AJ659" i="1"/>
  <c r="AK659" i="1"/>
  <c r="AL659" i="1"/>
  <c r="AH660" i="1"/>
  <c r="AI660" i="1"/>
  <c r="AJ660" i="1"/>
  <c r="AK660" i="1"/>
  <c r="AL660" i="1"/>
  <c r="AH661" i="1"/>
  <c r="AI661" i="1"/>
  <c r="AJ661" i="1"/>
  <c r="AK661" i="1"/>
  <c r="AL661" i="1"/>
  <c r="AH662" i="1"/>
  <c r="AI662" i="1"/>
  <c r="AJ662" i="1"/>
  <c r="AK662" i="1"/>
  <c r="AL662" i="1"/>
  <c r="AH663" i="1"/>
  <c r="AI663" i="1"/>
  <c r="AJ663" i="1"/>
  <c r="AK663" i="1"/>
  <c r="AL663" i="1"/>
  <c r="AH664" i="1"/>
  <c r="AI664" i="1"/>
  <c r="AJ664" i="1"/>
  <c r="AK664" i="1"/>
  <c r="AL664" i="1"/>
  <c r="AH665" i="1"/>
  <c r="AI665" i="1"/>
  <c r="AJ665" i="1"/>
  <c r="AK665" i="1"/>
  <c r="AL665" i="1"/>
  <c r="AH666" i="1"/>
  <c r="AI666" i="1"/>
  <c r="AJ666" i="1"/>
  <c r="AK666" i="1"/>
  <c r="AL666" i="1"/>
  <c r="AH653" i="1"/>
  <c r="AI653" i="1"/>
  <c r="AJ653" i="1"/>
  <c r="AK653" i="1"/>
  <c r="AL653" i="1"/>
  <c r="AH668" i="1"/>
  <c r="AI668" i="1"/>
  <c r="AJ668" i="1"/>
  <c r="AK668" i="1"/>
  <c r="AL668" i="1"/>
  <c r="AH669" i="1"/>
  <c r="AI669" i="1"/>
  <c r="AJ669" i="1"/>
  <c r="AK669" i="1"/>
  <c r="AL669" i="1"/>
  <c r="AH670" i="1"/>
  <c r="AI670" i="1"/>
  <c r="AJ670" i="1"/>
  <c r="AK670" i="1"/>
  <c r="AL670" i="1"/>
  <c r="AH671" i="1"/>
  <c r="AI671" i="1"/>
  <c r="AJ671" i="1"/>
  <c r="AK671" i="1"/>
  <c r="AL671" i="1"/>
  <c r="AH672" i="1"/>
  <c r="AI672" i="1"/>
  <c r="AJ672" i="1"/>
  <c r="AK672" i="1"/>
  <c r="AL672" i="1"/>
  <c r="AH673" i="1"/>
  <c r="AI673" i="1"/>
  <c r="AJ673" i="1"/>
  <c r="AK673" i="1"/>
  <c r="AL673" i="1"/>
  <c r="AH674" i="1"/>
  <c r="AI674" i="1"/>
  <c r="AJ674" i="1"/>
  <c r="AK674" i="1"/>
  <c r="AL674" i="1"/>
  <c r="AH675" i="1"/>
  <c r="AI675" i="1"/>
  <c r="AJ675" i="1"/>
  <c r="AK675" i="1"/>
  <c r="AL675" i="1"/>
  <c r="AH676" i="1"/>
  <c r="AI676" i="1"/>
  <c r="AJ676" i="1"/>
  <c r="AK676" i="1"/>
  <c r="AL676" i="1"/>
  <c r="AH1033" i="1"/>
  <c r="AI1033" i="1"/>
  <c r="AJ1033" i="1"/>
  <c r="AK1033" i="1"/>
  <c r="AL1033" i="1"/>
  <c r="AH678" i="1"/>
  <c r="AI678" i="1"/>
  <c r="AJ678" i="1"/>
  <c r="AK678" i="1"/>
  <c r="AL678" i="1"/>
  <c r="AH679" i="1"/>
  <c r="AI679" i="1"/>
  <c r="AJ679" i="1"/>
  <c r="AK679" i="1"/>
  <c r="AL679" i="1"/>
  <c r="AH680" i="1"/>
  <c r="AI680" i="1"/>
  <c r="AJ680" i="1"/>
  <c r="AK680" i="1"/>
  <c r="AL680" i="1"/>
  <c r="AH681" i="1"/>
  <c r="AI681" i="1"/>
  <c r="AJ681" i="1"/>
  <c r="AK681" i="1"/>
  <c r="AL681" i="1"/>
  <c r="AH682" i="1"/>
  <c r="AI682" i="1"/>
  <c r="AJ682" i="1"/>
  <c r="AK682" i="1"/>
  <c r="AL682" i="1"/>
  <c r="AH683" i="1"/>
  <c r="AI683" i="1"/>
  <c r="AJ683" i="1"/>
  <c r="AK683" i="1"/>
  <c r="AL683" i="1"/>
  <c r="AH684" i="1"/>
  <c r="AI684" i="1"/>
  <c r="AJ684" i="1"/>
  <c r="AK684" i="1"/>
  <c r="AL684" i="1"/>
  <c r="AH685" i="1"/>
  <c r="AI685" i="1"/>
  <c r="AJ685" i="1"/>
  <c r="AK685" i="1"/>
  <c r="AL685" i="1"/>
  <c r="AH686" i="1"/>
  <c r="AI686" i="1"/>
  <c r="AJ686" i="1"/>
  <c r="AK686" i="1"/>
  <c r="AL686" i="1"/>
  <c r="AH687" i="1"/>
  <c r="AI687" i="1"/>
  <c r="AJ687" i="1"/>
  <c r="AK687" i="1"/>
  <c r="AL687" i="1"/>
  <c r="AH688" i="1"/>
  <c r="AI688" i="1"/>
  <c r="AJ688" i="1"/>
  <c r="AK688" i="1"/>
  <c r="AL688" i="1"/>
  <c r="AH689" i="1"/>
  <c r="AI689" i="1"/>
  <c r="AJ689" i="1"/>
  <c r="AK689" i="1"/>
  <c r="AL689" i="1"/>
  <c r="AH690" i="1"/>
  <c r="AI690" i="1"/>
  <c r="AJ690" i="1"/>
  <c r="AK690" i="1"/>
  <c r="AL690" i="1"/>
  <c r="AH691" i="1"/>
  <c r="AI691" i="1"/>
  <c r="AJ691" i="1"/>
  <c r="AK691" i="1"/>
  <c r="AL691" i="1"/>
  <c r="AH692" i="1"/>
  <c r="AI692" i="1"/>
  <c r="AJ692" i="1"/>
  <c r="AK692" i="1"/>
  <c r="AL692" i="1"/>
  <c r="AH693" i="1"/>
  <c r="AI693" i="1"/>
  <c r="AJ693" i="1"/>
  <c r="AK693" i="1"/>
  <c r="AL693" i="1"/>
  <c r="AH694" i="1"/>
  <c r="AI694" i="1"/>
  <c r="AJ694" i="1"/>
  <c r="AK694" i="1"/>
  <c r="AL694" i="1"/>
  <c r="AH695" i="1"/>
  <c r="AI695" i="1"/>
  <c r="AJ695" i="1"/>
  <c r="AK695" i="1"/>
  <c r="AL695" i="1"/>
  <c r="AH696" i="1"/>
  <c r="AI696" i="1"/>
  <c r="AJ696" i="1"/>
  <c r="AK696" i="1"/>
  <c r="AL696" i="1"/>
  <c r="AH697" i="1"/>
  <c r="AI697" i="1"/>
  <c r="AJ697" i="1"/>
  <c r="AK697" i="1"/>
  <c r="AL697" i="1"/>
  <c r="AH698" i="1"/>
  <c r="AI698" i="1"/>
  <c r="AJ698" i="1"/>
  <c r="AK698" i="1"/>
  <c r="AL698" i="1"/>
  <c r="AH699" i="1"/>
  <c r="AI699" i="1"/>
  <c r="AJ699" i="1"/>
  <c r="AK699" i="1"/>
  <c r="AL699" i="1"/>
  <c r="AH700" i="1"/>
  <c r="AI700" i="1"/>
  <c r="AJ700" i="1"/>
  <c r="AK700" i="1"/>
  <c r="AL700" i="1"/>
  <c r="AH701" i="1"/>
  <c r="AI701" i="1"/>
  <c r="AJ701" i="1"/>
  <c r="AK701" i="1"/>
  <c r="AL701" i="1"/>
  <c r="AH702" i="1"/>
  <c r="AI702" i="1"/>
  <c r="AJ702" i="1"/>
  <c r="AK702" i="1"/>
  <c r="AL702" i="1"/>
  <c r="AH949" i="1"/>
  <c r="AI949" i="1"/>
  <c r="AJ949" i="1"/>
  <c r="AK949" i="1"/>
  <c r="AL949" i="1"/>
  <c r="AH704" i="1"/>
  <c r="AI704" i="1"/>
  <c r="AJ704" i="1"/>
  <c r="AK704" i="1"/>
  <c r="AL704" i="1"/>
  <c r="AH705" i="1"/>
  <c r="AI705" i="1"/>
  <c r="AJ705" i="1"/>
  <c r="AK705" i="1"/>
  <c r="AL705" i="1"/>
  <c r="AH706" i="1"/>
  <c r="AI706" i="1"/>
  <c r="AJ706" i="1"/>
  <c r="AK706" i="1"/>
  <c r="AL706" i="1"/>
  <c r="AH707" i="1"/>
  <c r="AI707" i="1"/>
  <c r="AJ707" i="1"/>
  <c r="AK707" i="1"/>
  <c r="AL707" i="1"/>
  <c r="AH708" i="1"/>
  <c r="AI708" i="1"/>
  <c r="AJ708" i="1"/>
  <c r="AK708" i="1"/>
  <c r="AL708" i="1"/>
  <c r="AH709" i="1"/>
  <c r="AI709" i="1"/>
  <c r="AJ709" i="1"/>
  <c r="AK709" i="1"/>
  <c r="AL709" i="1"/>
  <c r="AH710" i="1"/>
  <c r="AI710" i="1"/>
  <c r="AJ710" i="1"/>
  <c r="AK710" i="1"/>
  <c r="AL710" i="1"/>
  <c r="AH1034" i="1"/>
  <c r="AI1034" i="1"/>
  <c r="AJ1034" i="1"/>
  <c r="AK1034" i="1"/>
  <c r="AL1034" i="1"/>
  <c r="AH743" i="1"/>
  <c r="AI743" i="1"/>
  <c r="AJ743" i="1"/>
  <c r="AK743" i="1"/>
  <c r="AL743" i="1"/>
  <c r="AH713" i="1"/>
  <c r="AI713" i="1"/>
  <c r="AJ713" i="1"/>
  <c r="AK713" i="1"/>
  <c r="AL713" i="1"/>
  <c r="AH714" i="1"/>
  <c r="AI714" i="1"/>
  <c r="AJ714" i="1"/>
  <c r="AK714" i="1"/>
  <c r="AL714" i="1"/>
  <c r="AH715" i="1"/>
  <c r="AI715" i="1"/>
  <c r="AJ715" i="1"/>
  <c r="AK715" i="1"/>
  <c r="AL715" i="1"/>
  <c r="AH716" i="1"/>
  <c r="AI716" i="1"/>
  <c r="AJ716" i="1"/>
  <c r="AK716" i="1"/>
  <c r="AL716" i="1"/>
  <c r="AH717" i="1"/>
  <c r="AI717" i="1"/>
  <c r="AJ717" i="1"/>
  <c r="AK717" i="1"/>
  <c r="AL717" i="1"/>
  <c r="AH718" i="1"/>
  <c r="AI718" i="1"/>
  <c r="AJ718" i="1"/>
  <c r="AK718" i="1"/>
  <c r="AL718" i="1"/>
  <c r="AH735" i="1"/>
  <c r="AI735" i="1"/>
  <c r="AJ735" i="1"/>
  <c r="AK735" i="1"/>
  <c r="AL735" i="1"/>
  <c r="AH720" i="1"/>
  <c r="AI720" i="1"/>
  <c r="AJ720" i="1"/>
  <c r="AK720" i="1"/>
  <c r="AL720" i="1"/>
  <c r="AH721" i="1"/>
  <c r="AI721" i="1"/>
  <c r="AJ721" i="1"/>
  <c r="AK721" i="1"/>
  <c r="AL721" i="1"/>
  <c r="AH722" i="1"/>
  <c r="AI722" i="1"/>
  <c r="AJ722" i="1"/>
  <c r="AK722" i="1"/>
  <c r="AL722" i="1"/>
  <c r="AH778" i="1"/>
  <c r="AI778" i="1"/>
  <c r="AJ778" i="1"/>
  <c r="AK778" i="1"/>
  <c r="AL778" i="1"/>
  <c r="AH724" i="1"/>
  <c r="AI724" i="1"/>
  <c r="AJ724" i="1"/>
  <c r="AK724" i="1"/>
  <c r="AL724" i="1"/>
  <c r="AH725" i="1"/>
  <c r="AI725" i="1"/>
  <c r="AJ725" i="1"/>
  <c r="AK725" i="1"/>
  <c r="AL725" i="1"/>
  <c r="AH726" i="1"/>
  <c r="AI726" i="1"/>
  <c r="AJ726" i="1"/>
  <c r="AK726" i="1"/>
  <c r="AL726" i="1"/>
  <c r="AH727" i="1"/>
  <c r="AI727" i="1"/>
  <c r="AJ727" i="1"/>
  <c r="AK727" i="1"/>
  <c r="AL727" i="1"/>
  <c r="AH728" i="1"/>
  <c r="AI728" i="1"/>
  <c r="AJ728" i="1"/>
  <c r="AK728" i="1"/>
  <c r="AL728" i="1"/>
  <c r="AH729" i="1"/>
  <c r="AI729" i="1"/>
  <c r="AJ729" i="1"/>
  <c r="AK729" i="1"/>
  <c r="AL729" i="1"/>
  <c r="AH730" i="1"/>
  <c r="AI730" i="1"/>
  <c r="AJ730" i="1"/>
  <c r="AK730" i="1"/>
  <c r="AL730" i="1"/>
  <c r="AH712" i="1"/>
  <c r="AI712" i="1"/>
  <c r="AJ712" i="1"/>
  <c r="AK712" i="1"/>
  <c r="AL712" i="1"/>
  <c r="AH732" i="1"/>
  <c r="AI732" i="1"/>
  <c r="AJ732" i="1"/>
  <c r="AK732" i="1"/>
  <c r="AL732" i="1"/>
  <c r="AH733" i="1"/>
  <c r="AI733" i="1"/>
  <c r="AJ733" i="1"/>
  <c r="AK733" i="1"/>
  <c r="AL733" i="1"/>
  <c r="AH734" i="1"/>
  <c r="AI734" i="1"/>
  <c r="AJ734" i="1"/>
  <c r="AK734" i="1"/>
  <c r="AL734" i="1"/>
  <c r="AH1035" i="1"/>
  <c r="AI1035" i="1"/>
  <c r="AJ1035" i="1"/>
  <c r="AK1035" i="1"/>
  <c r="AL1035" i="1"/>
  <c r="AH1036" i="1"/>
  <c r="AI1036" i="1"/>
  <c r="AJ1036" i="1"/>
  <c r="AK1036" i="1"/>
  <c r="AL1036" i="1"/>
  <c r="AH1057" i="1"/>
  <c r="AI1057" i="1"/>
  <c r="AJ1057" i="1"/>
  <c r="AK1057" i="1"/>
  <c r="AL1057" i="1"/>
  <c r="AH738" i="1"/>
  <c r="AI738" i="1"/>
  <c r="AJ738" i="1"/>
  <c r="AK738" i="1"/>
  <c r="AL738" i="1"/>
  <c r="AH739" i="1"/>
  <c r="AI739" i="1"/>
  <c r="AJ739" i="1"/>
  <c r="AK739" i="1"/>
  <c r="AL739" i="1"/>
  <c r="AH740" i="1"/>
  <c r="AI740" i="1"/>
  <c r="AJ740" i="1"/>
  <c r="AK740" i="1"/>
  <c r="AL740" i="1"/>
  <c r="AH1059" i="1"/>
  <c r="AI1059" i="1"/>
  <c r="AJ1059" i="1"/>
  <c r="AK1059" i="1"/>
  <c r="AL1059" i="1"/>
  <c r="AH1067" i="1"/>
  <c r="AI1067" i="1"/>
  <c r="AJ1067" i="1"/>
  <c r="AK1067" i="1"/>
  <c r="AL1067" i="1"/>
  <c r="AH1080" i="1"/>
  <c r="AI1080" i="1"/>
  <c r="AJ1080" i="1"/>
  <c r="AK1080" i="1"/>
  <c r="AL1080" i="1"/>
  <c r="AH1082" i="1"/>
  <c r="AI1082" i="1"/>
  <c r="AJ1082" i="1"/>
  <c r="AK1082" i="1"/>
  <c r="AL1082" i="1"/>
  <c r="AH745" i="1"/>
  <c r="AI745" i="1"/>
  <c r="AJ745" i="1"/>
  <c r="AK745" i="1"/>
  <c r="AL745" i="1"/>
  <c r="AH746" i="1"/>
  <c r="AI746" i="1"/>
  <c r="AJ746" i="1"/>
  <c r="AK746" i="1"/>
  <c r="AL746" i="1"/>
  <c r="AH747" i="1"/>
  <c r="AI747" i="1"/>
  <c r="AJ747" i="1"/>
  <c r="AK747" i="1"/>
  <c r="AL747" i="1"/>
  <c r="AH748" i="1"/>
  <c r="AI748" i="1"/>
  <c r="AJ748" i="1"/>
  <c r="AK748" i="1"/>
  <c r="AL748" i="1"/>
  <c r="AH749" i="1"/>
  <c r="AI749" i="1"/>
  <c r="AJ749" i="1"/>
  <c r="AK749" i="1"/>
  <c r="AL749" i="1"/>
  <c r="AH750" i="1"/>
  <c r="AI750" i="1"/>
  <c r="AJ750" i="1"/>
  <c r="AK750" i="1"/>
  <c r="AL750" i="1"/>
  <c r="AH751" i="1"/>
  <c r="AI751" i="1"/>
  <c r="AJ751" i="1"/>
  <c r="AK751" i="1"/>
  <c r="AL751" i="1"/>
  <c r="AH752" i="1"/>
  <c r="AI752" i="1"/>
  <c r="AJ752" i="1"/>
  <c r="AK752" i="1"/>
  <c r="AL752" i="1"/>
  <c r="AH753" i="1"/>
  <c r="AI753" i="1"/>
  <c r="AJ753" i="1"/>
  <c r="AK753" i="1"/>
  <c r="AL753" i="1"/>
  <c r="AH754" i="1"/>
  <c r="AI754" i="1"/>
  <c r="AJ754" i="1"/>
  <c r="AK754" i="1"/>
  <c r="AL754" i="1"/>
  <c r="AH755" i="1"/>
  <c r="AI755" i="1"/>
  <c r="AJ755" i="1"/>
  <c r="AK755" i="1"/>
  <c r="AL755" i="1"/>
  <c r="AH756" i="1"/>
  <c r="AI756" i="1"/>
  <c r="AJ756" i="1"/>
  <c r="AK756" i="1"/>
  <c r="AL756" i="1"/>
  <c r="AH301" i="1"/>
  <c r="AI301" i="1"/>
  <c r="AJ301" i="1"/>
  <c r="AK301" i="1"/>
  <c r="AL301" i="1"/>
  <c r="AH758" i="1"/>
  <c r="AI758" i="1"/>
  <c r="AJ758" i="1"/>
  <c r="AK758" i="1"/>
  <c r="AL758" i="1"/>
  <c r="AH759" i="1"/>
  <c r="AI759" i="1"/>
  <c r="AJ759" i="1"/>
  <c r="AK759" i="1"/>
  <c r="AL759" i="1"/>
  <c r="AH408" i="1"/>
  <c r="AI408" i="1"/>
  <c r="AJ408" i="1"/>
  <c r="AK408" i="1"/>
  <c r="AL408" i="1"/>
  <c r="AH761" i="1"/>
  <c r="AI761" i="1"/>
  <c r="AJ761" i="1"/>
  <c r="AK761" i="1"/>
  <c r="AL761" i="1"/>
  <c r="AH762" i="1"/>
  <c r="AI762" i="1"/>
  <c r="AJ762" i="1"/>
  <c r="AK762" i="1"/>
  <c r="AL762" i="1"/>
  <c r="AH763" i="1"/>
  <c r="AI763" i="1"/>
  <c r="AJ763" i="1"/>
  <c r="AK763" i="1"/>
  <c r="AL763" i="1"/>
  <c r="AH780" i="1"/>
  <c r="AI780" i="1"/>
  <c r="AJ780" i="1"/>
  <c r="AK780" i="1"/>
  <c r="AL780" i="1"/>
  <c r="AH765" i="1"/>
  <c r="AI765" i="1"/>
  <c r="AJ765" i="1"/>
  <c r="AK765" i="1"/>
  <c r="AL765" i="1"/>
  <c r="AH766" i="1"/>
  <c r="AI766" i="1"/>
  <c r="AJ766" i="1"/>
  <c r="AK766" i="1"/>
  <c r="AL766" i="1"/>
  <c r="AH767" i="1"/>
  <c r="AI767" i="1"/>
  <c r="AJ767" i="1"/>
  <c r="AK767" i="1"/>
  <c r="AL767" i="1"/>
  <c r="AH768" i="1"/>
  <c r="AI768" i="1"/>
  <c r="AJ768" i="1"/>
  <c r="AK768" i="1"/>
  <c r="AL768" i="1"/>
  <c r="AH769" i="1"/>
  <c r="AI769" i="1"/>
  <c r="AJ769" i="1"/>
  <c r="AK769" i="1"/>
  <c r="AL769" i="1"/>
  <c r="AH770" i="1"/>
  <c r="AI770" i="1"/>
  <c r="AJ770" i="1"/>
  <c r="AK770" i="1"/>
  <c r="AL770" i="1"/>
  <c r="AH771" i="1"/>
  <c r="AI771" i="1"/>
  <c r="AJ771" i="1"/>
  <c r="AK771" i="1"/>
  <c r="AL771" i="1"/>
  <c r="AH772" i="1"/>
  <c r="AI772" i="1"/>
  <c r="AJ772" i="1"/>
  <c r="AK772" i="1"/>
  <c r="AL772" i="1"/>
  <c r="AH773" i="1"/>
  <c r="AI773" i="1"/>
  <c r="AJ773" i="1"/>
  <c r="AK773" i="1"/>
  <c r="AL773" i="1"/>
  <c r="AH774" i="1"/>
  <c r="AI774" i="1"/>
  <c r="AJ774" i="1"/>
  <c r="AK774" i="1"/>
  <c r="AL774" i="1"/>
  <c r="AH775" i="1"/>
  <c r="AI775" i="1"/>
  <c r="AJ775" i="1"/>
  <c r="AK775" i="1"/>
  <c r="AL775" i="1"/>
  <c r="AH776" i="1"/>
  <c r="AI776" i="1"/>
  <c r="AJ776" i="1"/>
  <c r="AK776" i="1"/>
  <c r="AL776" i="1"/>
  <c r="AH777" i="1"/>
  <c r="AI777" i="1"/>
  <c r="AJ777" i="1"/>
  <c r="AK777" i="1"/>
  <c r="AL777" i="1"/>
  <c r="AH1084" i="1"/>
  <c r="AI1084" i="1"/>
  <c r="AJ1084" i="1"/>
  <c r="AK1084" i="1"/>
  <c r="AL1084" i="1"/>
  <c r="AH779" i="1"/>
  <c r="AI779" i="1"/>
  <c r="AJ779" i="1"/>
  <c r="AK779" i="1"/>
  <c r="AL779" i="1"/>
  <c r="AH790" i="1"/>
  <c r="AI790" i="1"/>
  <c r="AJ790" i="1"/>
  <c r="AK790" i="1"/>
  <c r="AL790" i="1"/>
  <c r="AH781" i="1"/>
  <c r="AI781" i="1"/>
  <c r="AJ781" i="1"/>
  <c r="AK781" i="1"/>
  <c r="AL781" i="1"/>
  <c r="AH782" i="1"/>
  <c r="AI782" i="1"/>
  <c r="AJ782" i="1"/>
  <c r="AK782" i="1"/>
  <c r="AL782" i="1"/>
  <c r="AH783" i="1"/>
  <c r="AI783" i="1"/>
  <c r="AJ783" i="1"/>
  <c r="AK783" i="1"/>
  <c r="AL783" i="1"/>
  <c r="AH784" i="1"/>
  <c r="AI784" i="1"/>
  <c r="AJ784" i="1"/>
  <c r="AK784" i="1"/>
  <c r="AL784" i="1"/>
  <c r="AH785" i="1"/>
  <c r="AI785" i="1"/>
  <c r="AJ785" i="1"/>
  <c r="AK785" i="1"/>
  <c r="AL785" i="1"/>
  <c r="AH786" i="1"/>
  <c r="AI786" i="1"/>
  <c r="AJ786" i="1"/>
  <c r="AK786" i="1"/>
  <c r="AL786" i="1"/>
  <c r="AH787" i="1"/>
  <c r="AI787" i="1"/>
  <c r="AJ787" i="1"/>
  <c r="AK787" i="1"/>
  <c r="AL787" i="1"/>
  <c r="AH788" i="1"/>
  <c r="AI788" i="1"/>
  <c r="AJ788" i="1"/>
  <c r="AK788" i="1"/>
  <c r="AL788" i="1"/>
  <c r="AH789" i="1"/>
  <c r="AI789" i="1"/>
  <c r="AJ789" i="1"/>
  <c r="AK789" i="1"/>
  <c r="AL789" i="1"/>
  <c r="AH40" i="1"/>
  <c r="AI40" i="1"/>
  <c r="AJ40" i="1"/>
  <c r="AK40" i="1"/>
  <c r="AL40" i="1"/>
  <c r="AH791" i="1"/>
  <c r="AI791" i="1"/>
  <c r="AJ791" i="1"/>
  <c r="AK791" i="1"/>
  <c r="AL791" i="1"/>
  <c r="AH792" i="1"/>
  <c r="AI792" i="1"/>
  <c r="AJ792" i="1"/>
  <c r="AK792" i="1"/>
  <c r="AL792" i="1"/>
  <c r="AH793" i="1"/>
  <c r="AI793" i="1"/>
  <c r="AJ793" i="1"/>
  <c r="AK793" i="1"/>
  <c r="AL793" i="1"/>
  <c r="AH794" i="1"/>
  <c r="AI794" i="1"/>
  <c r="AJ794" i="1"/>
  <c r="AK794" i="1"/>
  <c r="AL794" i="1"/>
  <c r="AH1085" i="1"/>
  <c r="AI1085" i="1"/>
  <c r="AJ1085" i="1"/>
  <c r="AK1085" i="1"/>
  <c r="AL1085" i="1"/>
  <c r="AH796" i="1"/>
  <c r="AI796" i="1"/>
  <c r="AJ796" i="1"/>
  <c r="AK796" i="1"/>
  <c r="AL796" i="1"/>
  <c r="AH797" i="1"/>
  <c r="AI797" i="1"/>
  <c r="AJ797" i="1"/>
  <c r="AK797" i="1"/>
  <c r="AL797" i="1"/>
  <c r="AH798" i="1"/>
  <c r="AI798" i="1"/>
  <c r="AJ798" i="1"/>
  <c r="AK798" i="1"/>
  <c r="AL798" i="1"/>
  <c r="AH744" i="1"/>
  <c r="AI744" i="1"/>
  <c r="AJ744" i="1"/>
  <c r="AK744" i="1"/>
  <c r="AL744" i="1"/>
  <c r="AH800" i="1"/>
  <c r="AI800" i="1"/>
  <c r="AJ800" i="1"/>
  <c r="AK800" i="1"/>
  <c r="AL800" i="1"/>
  <c r="AH801" i="1"/>
  <c r="AI801" i="1"/>
  <c r="AJ801" i="1"/>
  <c r="AK801" i="1"/>
  <c r="AL801" i="1"/>
  <c r="AH802" i="1"/>
  <c r="AI802" i="1"/>
  <c r="AJ802" i="1"/>
  <c r="AK802" i="1"/>
  <c r="AL802" i="1"/>
  <c r="AH803" i="1"/>
  <c r="AI803" i="1"/>
  <c r="AJ803" i="1"/>
  <c r="AK803" i="1"/>
  <c r="AL803" i="1"/>
  <c r="AH804" i="1"/>
  <c r="AI804" i="1"/>
  <c r="AJ804" i="1"/>
  <c r="AK804" i="1"/>
  <c r="AL804" i="1"/>
  <c r="AH805" i="1"/>
  <c r="AI805" i="1"/>
  <c r="AJ805" i="1"/>
  <c r="AK805" i="1"/>
  <c r="AL805" i="1"/>
  <c r="AH806" i="1"/>
  <c r="AI806" i="1"/>
  <c r="AJ806" i="1"/>
  <c r="AK806" i="1"/>
  <c r="AL806" i="1"/>
  <c r="AH807" i="1"/>
  <c r="AI807" i="1"/>
  <c r="AJ807" i="1"/>
  <c r="AK807" i="1"/>
  <c r="AL807" i="1"/>
  <c r="AH808" i="1"/>
  <c r="AI808" i="1"/>
  <c r="AJ808" i="1"/>
  <c r="AK808" i="1"/>
  <c r="AL808" i="1"/>
  <c r="AH809" i="1"/>
  <c r="AI809" i="1"/>
  <c r="AJ809" i="1"/>
  <c r="AK809" i="1"/>
  <c r="AL809" i="1"/>
  <c r="AH810" i="1"/>
  <c r="AI810" i="1"/>
  <c r="AJ810" i="1"/>
  <c r="AK810" i="1"/>
  <c r="AL810" i="1"/>
  <c r="AH811" i="1"/>
  <c r="AI811" i="1"/>
  <c r="AJ811" i="1"/>
  <c r="AK811" i="1"/>
  <c r="AL811" i="1"/>
  <c r="AH812" i="1"/>
  <c r="AI812" i="1"/>
  <c r="AJ812" i="1"/>
  <c r="AK812" i="1"/>
  <c r="AL812" i="1"/>
  <c r="AH813" i="1"/>
  <c r="AI813" i="1"/>
  <c r="AJ813" i="1"/>
  <c r="AK813" i="1"/>
  <c r="AL813" i="1"/>
  <c r="AH814" i="1"/>
  <c r="AI814" i="1"/>
  <c r="AJ814" i="1"/>
  <c r="AK814" i="1"/>
  <c r="AL814" i="1"/>
  <c r="AH757" i="1"/>
  <c r="AI757" i="1"/>
  <c r="AJ757" i="1"/>
  <c r="AK757" i="1"/>
  <c r="AL757" i="1"/>
  <c r="AH816" i="1"/>
  <c r="AI816" i="1"/>
  <c r="AJ816" i="1"/>
  <c r="AK816" i="1"/>
  <c r="AL816" i="1"/>
  <c r="AH817" i="1"/>
  <c r="AI817" i="1"/>
  <c r="AJ817" i="1"/>
  <c r="AK817" i="1"/>
  <c r="AL817" i="1"/>
  <c r="AH795" i="1"/>
  <c r="AI795" i="1"/>
  <c r="AJ795" i="1"/>
  <c r="AK795" i="1"/>
  <c r="AL795" i="1"/>
  <c r="AH1164" i="1"/>
  <c r="AI1164" i="1"/>
  <c r="AJ1164" i="1"/>
  <c r="AK1164" i="1"/>
  <c r="AL1164" i="1"/>
  <c r="AH820" i="1"/>
  <c r="AI820" i="1"/>
  <c r="AJ820" i="1"/>
  <c r="AK820" i="1"/>
  <c r="AL820" i="1"/>
  <c r="AH821" i="1"/>
  <c r="AI821" i="1"/>
  <c r="AJ821" i="1"/>
  <c r="AK821" i="1"/>
  <c r="AL821" i="1"/>
  <c r="AH822" i="1"/>
  <c r="AI822" i="1"/>
  <c r="AJ822" i="1"/>
  <c r="AK822" i="1"/>
  <c r="AL822" i="1"/>
  <c r="AH823" i="1"/>
  <c r="AI823" i="1"/>
  <c r="AJ823" i="1"/>
  <c r="AK823" i="1"/>
  <c r="AL823" i="1"/>
  <c r="AH824" i="1"/>
  <c r="AI824" i="1"/>
  <c r="AJ824" i="1"/>
  <c r="AK824" i="1"/>
  <c r="AL824" i="1"/>
  <c r="AH656" i="1"/>
  <c r="AI656" i="1"/>
  <c r="AJ656" i="1"/>
  <c r="AK656" i="1"/>
  <c r="AL656" i="1"/>
  <c r="AH826" i="1"/>
  <c r="AI826" i="1"/>
  <c r="AJ826" i="1"/>
  <c r="AK826" i="1"/>
  <c r="AL826" i="1"/>
  <c r="AH827" i="1"/>
  <c r="AI827" i="1"/>
  <c r="AJ827" i="1"/>
  <c r="AK827" i="1"/>
  <c r="AL827" i="1"/>
  <c r="AH828" i="1"/>
  <c r="AI828" i="1"/>
  <c r="AJ828" i="1"/>
  <c r="AK828" i="1"/>
  <c r="AL828" i="1"/>
  <c r="AH829" i="1"/>
  <c r="AI829" i="1"/>
  <c r="AJ829" i="1"/>
  <c r="AK829" i="1"/>
  <c r="AL829" i="1"/>
  <c r="AH760" i="1"/>
  <c r="AI760" i="1"/>
  <c r="AJ760" i="1"/>
  <c r="AK760" i="1"/>
  <c r="AL760" i="1"/>
  <c r="AH831" i="1"/>
  <c r="AI831" i="1"/>
  <c r="AJ831" i="1"/>
  <c r="AK831" i="1"/>
  <c r="AL831" i="1"/>
  <c r="AH832" i="1"/>
  <c r="AI832" i="1"/>
  <c r="AJ832" i="1"/>
  <c r="AK832" i="1"/>
  <c r="AL832" i="1"/>
  <c r="AH833" i="1"/>
  <c r="AI833" i="1"/>
  <c r="AJ833" i="1"/>
  <c r="AK833" i="1"/>
  <c r="AL833" i="1"/>
  <c r="AH834" i="1"/>
  <c r="AI834" i="1"/>
  <c r="AJ834" i="1"/>
  <c r="AK834" i="1"/>
  <c r="AL834" i="1"/>
  <c r="AH835" i="1"/>
  <c r="AI835" i="1"/>
  <c r="AJ835" i="1"/>
  <c r="AK835" i="1"/>
  <c r="AL835" i="1"/>
  <c r="AH836" i="1"/>
  <c r="AI836" i="1"/>
  <c r="AJ836" i="1"/>
  <c r="AK836" i="1"/>
  <c r="AL836" i="1"/>
  <c r="AH837" i="1"/>
  <c r="AI837" i="1"/>
  <c r="AJ837" i="1"/>
  <c r="AK837" i="1"/>
  <c r="AL837" i="1"/>
  <c r="AH838" i="1"/>
  <c r="AI838" i="1"/>
  <c r="AJ838" i="1"/>
  <c r="AK838" i="1"/>
  <c r="AL838" i="1"/>
  <c r="AH839" i="1"/>
  <c r="AI839" i="1"/>
  <c r="AJ839" i="1"/>
  <c r="AK839" i="1"/>
  <c r="AL839" i="1"/>
  <c r="AH840" i="1"/>
  <c r="AI840" i="1"/>
  <c r="AJ840" i="1"/>
  <c r="AK840" i="1"/>
  <c r="AL840" i="1"/>
  <c r="AH841" i="1"/>
  <c r="AI841" i="1"/>
  <c r="AJ841" i="1"/>
  <c r="AK841" i="1"/>
  <c r="AL841" i="1"/>
  <c r="AH842" i="1"/>
  <c r="AI842" i="1"/>
  <c r="AJ842" i="1"/>
  <c r="AK842" i="1"/>
  <c r="AL842" i="1"/>
  <c r="AH843" i="1"/>
  <c r="AI843" i="1"/>
  <c r="AJ843" i="1"/>
  <c r="AK843" i="1"/>
  <c r="AL843" i="1"/>
  <c r="AH844" i="1"/>
  <c r="AI844" i="1"/>
  <c r="AJ844" i="1"/>
  <c r="AK844" i="1"/>
  <c r="AL844" i="1"/>
  <c r="AH845" i="1"/>
  <c r="AI845" i="1"/>
  <c r="AJ845" i="1"/>
  <c r="AK845" i="1"/>
  <c r="AL845" i="1"/>
  <c r="AH846" i="1"/>
  <c r="AI846" i="1"/>
  <c r="AJ846" i="1"/>
  <c r="AK846" i="1"/>
  <c r="AL846" i="1"/>
  <c r="AH847" i="1"/>
  <c r="AI847" i="1"/>
  <c r="AJ847" i="1"/>
  <c r="AK847" i="1"/>
  <c r="AL847" i="1"/>
  <c r="AH848" i="1"/>
  <c r="AI848" i="1"/>
  <c r="AJ848" i="1"/>
  <c r="AK848" i="1"/>
  <c r="AL848" i="1"/>
  <c r="AH849" i="1"/>
  <c r="AI849" i="1"/>
  <c r="AJ849" i="1"/>
  <c r="AK849" i="1"/>
  <c r="AL849" i="1"/>
  <c r="AH850" i="1"/>
  <c r="AI850" i="1"/>
  <c r="AJ850" i="1"/>
  <c r="AK850" i="1"/>
  <c r="AL850" i="1"/>
  <c r="AH851" i="1"/>
  <c r="AI851" i="1"/>
  <c r="AJ851" i="1"/>
  <c r="AK851" i="1"/>
  <c r="AL851" i="1"/>
  <c r="AH852" i="1"/>
  <c r="AI852" i="1"/>
  <c r="AJ852" i="1"/>
  <c r="AK852" i="1"/>
  <c r="AL852" i="1"/>
  <c r="AH853" i="1"/>
  <c r="AI853" i="1"/>
  <c r="AJ853" i="1"/>
  <c r="AK853" i="1"/>
  <c r="AL853" i="1"/>
  <c r="AH854" i="1"/>
  <c r="AI854" i="1"/>
  <c r="AJ854" i="1"/>
  <c r="AK854" i="1"/>
  <c r="AL854" i="1"/>
  <c r="AH855" i="1"/>
  <c r="AI855" i="1"/>
  <c r="AJ855" i="1"/>
  <c r="AK855" i="1"/>
  <c r="AL855" i="1"/>
  <c r="AH856" i="1"/>
  <c r="AI856" i="1"/>
  <c r="AJ856" i="1"/>
  <c r="AK856" i="1"/>
  <c r="AL856" i="1"/>
  <c r="AH857" i="1"/>
  <c r="AI857" i="1"/>
  <c r="AJ857" i="1"/>
  <c r="AK857" i="1"/>
  <c r="AL857" i="1"/>
  <c r="AH858" i="1"/>
  <c r="AI858" i="1"/>
  <c r="AJ858" i="1"/>
  <c r="AK858" i="1"/>
  <c r="AL858" i="1"/>
  <c r="AH859" i="1"/>
  <c r="AI859" i="1"/>
  <c r="AJ859" i="1"/>
  <c r="AK859" i="1"/>
  <c r="AL859" i="1"/>
  <c r="AH741" i="1"/>
  <c r="AI741" i="1"/>
  <c r="AJ741" i="1"/>
  <c r="AK741" i="1"/>
  <c r="AL741" i="1"/>
  <c r="AH861" i="1"/>
  <c r="AI861" i="1"/>
  <c r="AJ861" i="1"/>
  <c r="AK861" i="1"/>
  <c r="AL861" i="1"/>
  <c r="AH862" i="1"/>
  <c r="AI862" i="1"/>
  <c r="AJ862" i="1"/>
  <c r="AK862" i="1"/>
  <c r="AL862" i="1"/>
  <c r="AH863" i="1"/>
  <c r="AI863" i="1"/>
  <c r="AJ863" i="1"/>
  <c r="AK863" i="1"/>
  <c r="AL863" i="1"/>
  <c r="AH864" i="1"/>
  <c r="AI864" i="1"/>
  <c r="AJ864" i="1"/>
  <c r="AK864" i="1"/>
  <c r="AL864" i="1"/>
  <c r="AH865" i="1"/>
  <c r="AI865" i="1"/>
  <c r="AJ865" i="1"/>
  <c r="AK865" i="1"/>
  <c r="AL865" i="1"/>
  <c r="AH346" i="1"/>
  <c r="AI346" i="1"/>
  <c r="AJ346" i="1"/>
  <c r="AK346" i="1"/>
  <c r="AL346" i="1"/>
  <c r="AH867" i="1"/>
  <c r="AI867" i="1"/>
  <c r="AJ867" i="1"/>
  <c r="AK867" i="1"/>
  <c r="AL867" i="1"/>
  <c r="AH723" i="1"/>
  <c r="AI723" i="1"/>
  <c r="AJ723" i="1"/>
  <c r="AK723" i="1"/>
  <c r="AL723" i="1"/>
  <c r="AH869" i="1"/>
  <c r="AI869" i="1"/>
  <c r="AJ869" i="1"/>
  <c r="AK869" i="1"/>
  <c r="AL869" i="1"/>
  <c r="AH870" i="1"/>
  <c r="AI870" i="1"/>
  <c r="AJ870" i="1"/>
  <c r="AK870" i="1"/>
  <c r="AL870" i="1"/>
  <c r="AH871" i="1"/>
  <c r="AI871" i="1"/>
  <c r="AJ871" i="1"/>
  <c r="AK871" i="1"/>
  <c r="AL871" i="1"/>
  <c r="AH872" i="1"/>
  <c r="AI872" i="1"/>
  <c r="AJ872" i="1"/>
  <c r="AK872" i="1"/>
  <c r="AL872" i="1"/>
  <c r="AH731" i="1"/>
  <c r="AI731" i="1"/>
  <c r="AJ731" i="1"/>
  <c r="AK731" i="1"/>
  <c r="AL731" i="1"/>
  <c r="AH874" i="1"/>
  <c r="AI874" i="1"/>
  <c r="AJ874" i="1"/>
  <c r="AK874" i="1"/>
  <c r="AL874" i="1"/>
  <c r="AH875" i="1"/>
  <c r="AI875" i="1"/>
  <c r="AJ875" i="1"/>
  <c r="AK875" i="1"/>
  <c r="AL875" i="1"/>
  <c r="AH657" i="1"/>
  <c r="AI657" i="1"/>
  <c r="AJ657" i="1"/>
  <c r="AK657" i="1"/>
  <c r="AL657" i="1"/>
  <c r="AH877" i="1"/>
  <c r="AI877" i="1"/>
  <c r="AJ877" i="1"/>
  <c r="AK877" i="1"/>
  <c r="AL877" i="1"/>
  <c r="AH878" i="1"/>
  <c r="AI878" i="1"/>
  <c r="AJ878" i="1"/>
  <c r="AK878" i="1"/>
  <c r="AL878" i="1"/>
  <c r="AH879" i="1"/>
  <c r="AI879" i="1"/>
  <c r="AJ879" i="1"/>
  <c r="AK879" i="1"/>
  <c r="AL879" i="1"/>
  <c r="AH880" i="1"/>
  <c r="AI880" i="1"/>
  <c r="AJ880" i="1"/>
  <c r="AK880" i="1"/>
  <c r="AL880" i="1"/>
  <c r="AH881" i="1"/>
  <c r="AI881" i="1"/>
  <c r="AJ881" i="1"/>
  <c r="AK881" i="1"/>
  <c r="AL881" i="1"/>
  <c r="AH882" i="1"/>
  <c r="AI882" i="1"/>
  <c r="AJ882" i="1"/>
  <c r="AK882" i="1"/>
  <c r="AL882" i="1"/>
  <c r="AH883" i="1"/>
  <c r="AI883" i="1"/>
  <c r="AJ883" i="1"/>
  <c r="AK883" i="1"/>
  <c r="AL883" i="1"/>
  <c r="AH884" i="1"/>
  <c r="AI884" i="1"/>
  <c r="AJ884" i="1"/>
  <c r="AK884" i="1"/>
  <c r="AL884" i="1"/>
  <c r="AH885" i="1"/>
  <c r="AI885" i="1"/>
  <c r="AJ885" i="1"/>
  <c r="AK885" i="1"/>
  <c r="AL885" i="1"/>
  <c r="AH886" i="1"/>
  <c r="AI886" i="1"/>
  <c r="AJ886" i="1"/>
  <c r="AK886" i="1"/>
  <c r="AL886" i="1"/>
  <c r="AH887" i="1"/>
  <c r="AI887" i="1"/>
  <c r="AJ887" i="1"/>
  <c r="AK887" i="1"/>
  <c r="AL887" i="1"/>
  <c r="AH888" i="1"/>
  <c r="AI888" i="1"/>
  <c r="AJ888" i="1"/>
  <c r="AK888" i="1"/>
  <c r="AL888" i="1"/>
  <c r="AH889" i="1"/>
  <c r="AI889" i="1"/>
  <c r="AJ889" i="1"/>
  <c r="AK889" i="1"/>
  <c r="AL889" i="1"/>
  <c r="AH890" i="1"/>
  <c r="AI890" i="1"/>
  <c r="AJ890" i="1"/>
  <c r="AK890" i="1"/>
  <c r="AL890" i="1"/>
  <c r="AH891" i="1"/>
  <c r="AI891" i="1"/>
  <c r="AJ891" i="1"/>
  <c r="AK891" i="1"/>
  <c r="AL891" i="1"/>
  <c r="AH892" i="1"/>
  <c r="AI892" i="1"/>
  <c r="AJ892" i="1"/>
  <c r="AK892" i="1"/>
  <c r="AL892" i="1"/>
  <c r="AH893" i="1"/>
  <c r="AI893" i="1"/>
  <c r="AJ893" i="1"/>
  <c r="AK893" i="1"/>
  <c r="AL893" i="1"/>
  <c r="AH894" i="1"/>
  <c r="AI894" i="1"/>
  <c r="AJ894" i="1"/>
  <c r="AK894" i="1"/>
  <c r="AL894" i="1"/>
  <c r="AH895" i="1"/>
  <c r="AI895" i="1"/>
  <c r="AJ895" i="1"/>
  <c r="AK895" i="1"/>
  <c r="AL895" i="1"/>
  <c r="AH896" i="1"/>
  <c r="AI896" i="1"/>
  <c r="AJ896" i="1"/>
  <c r="AK896" i="1"/>
  <c r="AL896" i="1"/>
  <c r="AH897" i="1"/>
  <c r="AI897" i="1"/>
  <c r="AJ897" i="1"/>
  <c r="AK897" i="1"/>
  <c r="AL897" i="1"/>
  <c r="AH898" i="1"/>
  <c r="AI898" i="1"/>
  <c r="AJ898" i="1"/>
  <c r="AK898" i="1"/>
  <c r="AL898" i="1"/>
  <c r="AH899" i="1"/>
  <c r="AI899" i="1"/>
  <c r="AJ899" i="1"/>
  <c r="AK899" i="1"/>
  <c r="AL899" i="1"/>
  <c r="AH582" i="1"/>
  <c r="AI582" i="1"/>
  <c r="AJ582" i="1"/>
  <c r="AK582" i="1"/>
  <c r="AL582" i="1"/>
  <c r="AH901" i="1"/>
  <c r="AI901" i="1"/>
  <c r="AJ901" i="1"/>
  <c r="AK901" i="1"/>
  <c r="AL901" i="1"/>
  <c r="AH902" i="1"/>
  <c r="AI902" i="1"/>
  <c r="AJ902" i="1"/>
  <c r="AK902" i="1"/>
  <c r="AL902" i="1"/>
  <c r="AH903" i="1"/>
  <c r="AI903" i="1"/>
  <c r="AJ903" i="1"/>
  <c r="AK903" i="1"/>
  <c r="AL903" i="1"/>
  <c r="AH904" i="1"/>
  <c r="AI904" i="1"/>
  <c r="AJ904" i="1"/>
  <c r="AK904" i="1"/>
  <c r="AL904" i="1"/>
  <c r="AH905" i="1"/>
  <c r="AI905" i="1"/>
  <c r="AJ905" i="1"/>
  <c r="AK905" i="1"/>
  <c r="AL905" i="1"/>
  <c r="AH906" i="1"/>
  <c r="AI906" i="1"/>
  <c r="AJ906" i="1"/>
  <c r="AK906" i="1"/>
  <c r="AL906" i="1"/>
  <c r="AH907" i="1"/>
  <c r="AI907" i="1"/>
  <c r="AJ907" i="1"/>
  <c r="AK907" i="1"/>
  <c r="AL907" i="1"/>
  <c r="AH908" i="1"/>
  <c r="AI908" i="1"/>
  <c r="AJ908" i="1"/>
  <c r="AK908" i="1"/>
  <c r="AL908" i="1"/>
  <c r="AH909" i="1"/>
  <c r="AI909" i="1"/>
  <c r="AJ909" i="1"/>
  <c r="AK909" i="1"/>
  <c r="AL909" i="1"/>
  <c r="AH910" i="1"/>
  <c r="AI910" i="1"/>
  <c r="AJ910" i="1"/>
  <c r="AK910" i="1"/>
  <c r="AL910" i="1"/>
  <c r="AH911" i="1"/>
  <c r="AI911" i="1"/>
  <c r="AJ911" i="1"/>
  <c r="AK911" i="1"/>
  <c r="AL911" i="1"/>
  <c r="AH799" i="1"/>
  <c r="AI799" i="1"/>
  <c r="AJ799" i="1"/>
  <c r="AK799" i="1"/>
  <c r="AL799" i="1"/>
  <c r="AH815" i="1"/>
  <c r="AI815" i="1"/>
  <c r="AJ815" i="1"/>
  <c r="AK815" i="1"/>
  <c r="AL815" i="1"/>
  <c r="AH914" i="1"/>
  <c r="AI914" i="1"/>
  <c r="AJ914" i="1"/>
  <c r="AK914" i="1"/>
  <c r="AL914" i="1"/>
  <c r="AH915" i="1"/>
  <c r="AI915" i="1"/>
  <c r="AJ915" i="1"/>
  <c r="AK915" i="1"/>
  <c r="AL915" i="1"/>
  <c r="AH818" i="1"/>
  <c r="AI818" i="1"/>
  <c r="AJ818" i="1"/>
  <c r="AK818" i="1"/>
  <c r="AL818" i="1"/>
  <c r="AH819" i="1"/>
  <c r="AI819" i="1"/>
  <c r="AJ819" i="1"/>
  <c r="AK819" i="1"/>
  <c r="AL819" i="1"/>
  <c r="AH825" i="1"/>
  <c r="AI825" i="1"/>
  <c r="AJ825" i="1"/>
  <c r="AK825" i="1"/>
  <c r="AL825" i="1"/>
  <c r="AH919" i="1"/>
  <c r="AI919" i="1"/>
  <c r="AJ919" i="1"/>
  <c r="AK919" i="1"/>
  <c r="AL919" i="1"/>
  <c r="AH920" i="1"/>
  <c r="AI920" i="1"/>
  <c r="AJ920" i="1"/>
  <c r="AK920" i="1"/>
  <c r="AL920" i="1"/>
  <c r="AH921" i="1"/>
  <c r="AI921" i="1"/>
  <c r="AJ921" i="1"/>
  <c r="AK921" i="1"/>
  <c r="AL921" i="1"/>
  <c r="AH922" i="1"/>
  <c r="AI922" i="1"/>
  <c r="AJ922" i="1"/>
  <c r="AK922" i="1"/>
  <c r="AL922" i="1"/>
  <c r="AH923" i="1"/>
  <c r="AI923" i="1"/>
  <c r="AJ923" i="1"/>
  <c r="AK923" i="1"/>
  <c r="AL923" i="1"/>
  <c r="AH924" i="1"/>
  <c r="AI924" i="1"/>
  <c r="AJ924" i="1"/>
  <c r="AK924" i="1"/>
  <c r="AL924" i="1"/>
  <c r="AH925" i="1"/>
  <c r="AI925" i="1"/>
  <c r="AJ925" i="1"/>
  <c r="AK925" i="1"/>
  <c r="AL925" i="1"/>
  <c r="AH736" i="1"/>
  <c r="AI736" i="1"/>
  <c r="AJ736" i="1"/>
  <c r="AK736" i="1"/>
  <c r="AL736" i="1"/>
  <c r="AH927" i="1"/>
  <c r="AI927" i="1"/>
  <c r="AJ927" i="1"/>
  <c r="AK927" i="1"/>
  <c r="AL927" i="1"/>
  <c r="AH928" i="1"/>
  <c r="AI928" i="1"/>
  <c r="AJ928" i="1"/>
  <c r="AK928" i="1"/>
  <c r="AL928" i="1"/>
  <c r="AH830" i="1"/>
  <c r="AI830" i="1"/>
  <c r="AJ830" i="1"/>
  <c r="AK830" i="1"/>
  <c r="AL830" i="1"/>
  <c r="AH930" i="1"/>
  <c r="AI930" i="1"/>
  <c r="AJ930" i="1"/>
  <c r="AK930" i="1"/>
  <c r="AL930" i="1"/>
  <c r="AH931" i="1"/>
  <c r="AI931" i="1"/>
  <c r="AJ931" i="1"/>
  <c r="AK931" i="1"/>
  <c r="AL931" i="1"/>
  <c r="AH932" i="1"/>
  <c r="AI932" i="1"/>
  <c r="AJ932" i="1"/>
  <c r="AK932" i="1"/>
  <c r="AL932" i="1"/>
  <c r="AH933" i="1"/>
  <c r="AI933" i="1"/>
  <c r="AJ933" i="1"/>
  <c r="AK933" i="1"/>
  <c r="AL933" i="1"/>
  <c r="AH934" i="1"/>
  <c r="AI934" i="1"/>
  <c r="AJ934" i="1"/>
  <c r="AK934" i="1"/>
  <c r="AL934" i="1"/>
  <c r="AH764" i="1"/>
  <c r="AI764" i="1"/>
  <c r="AJ764" i="1"/>
  <c r="AK764" i="1"/>
  <c r="AL764" i="1"/>
  <c r="AH936" i="1"/>
  <c r="AI936" i="1"/>
  <c r="AJ936" i="1"/>
  <c r="AK936" i="1"/>
  <c r="AL936" i="1"/>
  <c r="AH937" i="1"/>
  <c r="AI937" i="1"/>
  <c r="AJ937" i="1"/>
  <c r="AK937" i="1"/>
  <c r="AL937" i="1"/>
  <c r="AH938" i="1"/>
  <c r="AI938" i="1"/>
  <c r="AJ938" i="1"/>
  <c r="AK938" i="1"/>
  <c r="AL938" i="1"/>
  <c r="AH939" i="1"/>
  <c r="AI939" i="1"/>
  <c r="AJ939" i="1"/>
  <c r="AK939" i="1"/>
  <c r="AL939" i="1"/>
  <c r="AH940" i="1"/>
  <c r="AI940" i="1"/>
  <c r="AJ940" i="1"/>
  <c r="AK940" i="1"/>
  <c r="AL940" i="1"/>
  <c r="AH860" i="1"/>
  <c r="AI860" i="1"/>
  <c r="AJ860" i="1"/>
  <c r="AK860" i="1"/>
  <c r="AL860" i="1"/>
  <c r="AH942" i="1"/>
  <c r="AI942" i="1"/>
  <c r="AJ942" i="1"/>
  <c r="AK942" i="1"/>
  <c r="AL942" i="1"/>
  <c r="AH943" i="1"/>
  <c r="AI943" i="1"/>
  <c r="AJ943" i="1"/>
  <c r="AK943" i="1"/>
  <c r="AL943" i="1"/>
  <c r="AH944" i="1"/>
  <c r="AI944" i="1"/>
  <c r="AJ944" i="1"/>
  <c r="AK944" i="1"/>
  <c r="AL944" i="1"/>
  <c r="AH945" i="1"/>
  <c r="AI945" i="1"/>
  <c r="AJ945" i="1"/>
  <c r="AK945" i="1"/>
  <c r="AL945" i="1"/>
  <c r="AH946" i="1"/>
  <c r="AI946" i="1"/>
  <c r="AJ946" i="1"/>
  <c r="AK946" i="1"/>
  <c r="AL946" i="1"/>
  <c r="AH947" i="1"/>
  <c r="AI947" i="1"/>
  <c r="AJ947" i="1"/>
  <c r="AK947" i="1"/>
  <c r="AL947" i="1"/>
  <c r="AH948" i="1"/>
  <c r="AI948" i="1"/>
  <c r="AJ948" i="1"/>
  <c r="AK948" i="1"/>
  <c r="AL948" i="1"/>
  <c r="AH1159" i="1"/>
  <c r="AI1159" i="1"/>
  <c r="AJ1159" i="1"/>
  <c r="AK1159" i="1"/>
  <c r="AL1159" i="1"/>
  <c r="AH950" i="1"/>
  <c r="AI950" i="1"/>
  <c r="AJ950" i="1"/>
  <c r="AK950" i="1"/>
  <c r="AL950" i="1"/>
  <c r="AH951" i="1"/>
  <c r="AI951" i="1"/>
  <c r="AJ951" i="1"/>
  <c r="AK951" i="1"/>
  <c r="AL951" i="1"/>
  <c r="AH952" i="1"/>
  <c r="AI952" i="1"/>
  <c r="AJ952" i="1"/>
  <c r="AK952" i="1"/>
  <c r="AL952" i="1"/>
  <c r="AH953" i="1"/>
  <c r="AI953" i="1"/>
  <c r="AJ953" i="1"/>
  <c r="AK953" i="1"/>
  <c r="AL953" i="1"/>
  <c r="AH954" i="1"/>
  <c r="AI954" i="1"/>
  <c r="AJ954" i="1"/>
  <c r="AK954" i="1"/>
  <c r="AL954" i="1"/>
  <c r="AH866" i="1"/>
  <c r="AI866" i="1"/>
  <c r="AJ866" i="1"/>
  <c r="AK866" i="1"/>
  <c r="AL866" i="1"/>
  <c r="AH955" i="1"/>
  <c r="AI955" i="1"/>
  <c r="AJ955" i="1"/>
  <c r="AK955" i="1"/>
  <c r="AL955" i="1"/>
  <c r="AH957" i="1"/>
  <c r="AI957" i="1"/>
  <c r="AJ957" i="1"/>
  <c r="AK957" i="1"/>
  <c r="AL957" i="1"/>
  <c r="AH958" i="1"/>
  <c r="AI958" i="1"/>
  <c r="AJ958" i="1"/>
  <c r="AK958" i="1"/>
  <c r="AL958" i="1"/>
  <c r="AH59" i="1"/>
  <c r="AI59" i="1"/>
  <c r="AJ59" i="1"/>
  <c r="AK59" i="1"/>
  <c r="AL59" i="1"/>
  <c r="AH960" i="1"/>
  <c r="AI960" i="1"/>
  <c r="AJ960" i="1"/>
  <c r="AK960" i="1"/>
  <c r="AL960" i="1"/>
  <c r="AH961" i="1"/>
  <c r="AI961" i="1"/>
  <c r="AJ961" i="1"/>
  <c r="AK961" i="1"/>
  <c r="AL961" i="1"/>
  <c r="AH962" i="1"/>
  <c r="AI962" i="1"/>
  <c r="AJ962" i="1"/>
  <c r="AK962" i="1"/>
  <c r="AL962" i="1"/>
  <c r="AH176" i="1"/>
  <c r="AI176" i="1"/>
  <c r="AJ176" i="1"/>
  <c r="AK176" i="1"/>
  <c r="AL176" i="1"/>
  <c r="AH964" i="1"/>
  <c r="AI964" i="1"/>
  <c r="AJ964" i="1"/>
  <c r="AK964" i="1"/>
  <c r="AL964" i="1"/>
  <c r="AH965" i="1"/>
  <c r="AI965" i="1"/>
  <c r="AJ965" i="1"/>
  <c r="AK965" i="1"/>
  <c r="AL965" i="1"/>
  <c r="AH966" i="1"/>
  <c r="AI966" i="1"/>
  <c r="AJ966" i="1"/>
  <c r="AK966" i="1"/>
  <c r="AL966" i="1"/>
  <c r="AH967" i="1"/>
  <c r="AI967" i="1"/>
  <c r="AJ967" i="1"/>
  <c r="AK967" i="1"/>
  <c r="AL967" i="1"/>
  <c r="AH968" i="1"/>
  <c r="AI968" i="1"/>
  <c r="AJ968" i="1"/>
  <c r="AK968" i="1"/>
  <c r="AL968" i="1"/>
  <c r="AH969" i="1"/>
  <c r="AI969" i="1"/>
  <c r="AJ969" i="1"/>
  <c r="AK969" i="1"/>
  <c r="AL969" i="1"/>
  <c r="AH970" i="1"/>
  <c r="AI970" i="1"/>
  <c r="AJ970" i="1"/>
  <c r="AK970" i="1"/>
  <c r="AL970" i="1"/>
  <c r="AH971" i="1"/>
  <c r="AI971" i="1"/>
  <c r="AJ971" i="1"/>
  <c r="AK971" i="1"/>
  <c r="AL971" i="1"/>
  <c r="AH972" i="1"/>
  <c r="AI972" i="1"/>
  <c r="AJ972" i="1"/>
  <c r="AK972" i="1"/>
  <c r="AL972" i="1"/>
  <c r="AH973" i="1"/>
  <c r="AI973" i="1"/>
  <c r="AJ973" i="1"/>
  <c r="AK973" i="1"/>
  <c r="AL973" i="1"/>
  <c r="AH974" i="1"/>
  <c r="AI974" i="1"/>
  <c r="AJ974" i="1"/>
  <c r="AK974" i="1"/>
  <c r="AL974" i="1"/>
  <c r="AH975" i="1"/>
  <c r="AI975" i="1"/>
  <c r="AJ975" i="1"/>
  <c r="AK975" i="1"/>
  <c r="AL975" i="1"/>
  <c r="AH976" i="1"/>
  <c r="AI976" i="1"/>
  <c r="AJ976" i="1"/>
  <c r="AK976" i="1"/>
  <c r="AL976" i="1"/>
  <c r="AH977" i="1"/>
  <c r="AI977" i="1"/>
  <c r="AJ977" i="1"/>
  <c r="AK977" i="1"/>
  <c r="AL977" i="1"/>
  <c r="AH978" i="1"/>
  <c r="AI978" i="1"/>
  <c r="AJ978" i="1"/>
  <c r="AK978" i="1"/>
  <c r="AL978" i="1"/>
  <c r="AH979" i="1"/>
  <c r="AI979" i="1"/>
  <c r="AJ979" i="1"/>
  <c r="AK979" i="1"/>
  <c r="AL979" i="1"/>
  <c r="AH980" i="1"/>
  <c r="AI980" i="1"/>
  <c r="AJ980" i="1"/>
  <c r="AK980" i="1"/>
  <c r="AL980" i="1"/>
  <c r="AH981" i="1"/>
  <c r="AI981" i="1"/>
  <c r="AJ981" i="1"/>
  <c r="AK981" i="1"/>
  <c r="AL981" i="1"/>
  <c r="AH982" i="1"/>
  <c r="AI982" i="1"/>
  <c r="AJ982" i="1"/>
  <c r="AK982" i="1"/>
  <c r="AL982" i="1"/>
  <c r="AH983" i="1"/>
  <c r="AI983" i="1"/>
  <c r="AJ983" i="1"/>
  <c r="AK983" i="1"/>
  <c r="AL983" i="1"/>
  <c r="AH984" i="1"/>
  <c r="AI984" i="1"/>
  <c r="AJ984" i="1"/>
  <c r="AK984" i="1"/>
  <c r="AL984" i="1"/>
  <c r="AH985" i="1"/>
  <c r="AI985" i="1"/>
  <c r="AJ985" i="1"/>
  <c r="AK985" i="1"/>
  <c r="AL985" i="1"/>
  <c r="AH986" i="1"/>
  <c r="AI986" i="1"/>
  <c r="AJ986" i="1"/>
  <c r="AK986" i="1"/>
  <c r="AL986" i="1"/>
  <c r="AH987" i="1"/>
  <c r="AI987" i="1"/>
  <c r="AJ987" i="1"/>
  <c r="AK987" i="1"/>
  <c r="AL987" i="1"/>
  <c r="AH988" i="1"/>
  <c r="AI988" i="1"/>
  <c r="AJ988" i="1"/>
  <c r="AK988" i="1"/>
  <c r="AL988" i="1"/>
  <c r="AH989" i="1"/>
  <c r="AI989" i="1"/>
  <c r="AJ989" i="1"/>
  <c r="AK989" i="1"/>
  <c r="AL989" i="1"/>
  <c r="AH990" i="1"/>
  <c r="AI990" i="1"/>
  <c r="AJ990" i="1"/>
  <c r="AK990" i="1"/>
  <c r="AL990" i="1"/>
  <c r="AH991" i="1"/>
  <c r="AI991" i="1"/>
  <c r="AJ991" i="1"/>
  <c r="AK991" i="1"/>
  <c r="AL991" i="1"/>
  <c r="AH742" i="1"/>
  <c r="AI742" i="1"/>
  <c r="AJ742" i="1"/>
  <c r="AK742" i="1"/>
  <c r="AL742" i="1"/>
  <c r="AH993" i="1"/>
  <c r="AI993" i="1"/>
  <c r="AJ993" i="1"/>
  <c r="AK993" i="1"/>
  <c r="AL993" i="1"/>
  <c r="AH994" i="1"/>
  <c r="AI994" i="1"/>
  <c r="AJ994" i="1"/>
  <c r="AK994" i="1"/>
  <c r="AL994" i="1"/>
  <c r="AH995" i="1"/>
  <c r="AI995" i="1"/>
  <c r="AJ995" i="1"/>
  <c r="AK995" i="1"/>
  <c r="AL995" i="1"/>
  <c r="AH996" i="1"/>
  <c r="AI996" i="1"/>
  <c r="AJ996" i="1"/>
  <c r="AK996" i="1"/>
  <c r="AL996" i="1"/>
  <c r="AH997" i="1"/>
  <c r="AI997" i="1"/>
  <c r="AJ997" i="1"/>
  <c r="AK997" i="1"/>
  <c r="AL997" i="1"/>
  <c r="AH998" i="1"/>
  <c r="AI998" i="1"/>
  <c r="AJ998" i="1"/>
  <c r="AK998" i="1"/>
  <c r="AL998" i="1"/>
  <c r="AH999" i="1"/>
  <c r="AI999" i="1"/>
  <c r="AJ999" i="1"/>
  <c r="AK999" i="1"/>
  <c r="AL999" i="1"/>
  <c r="AH1000" i="1"/>
  <c r="AI1000" i="1"/>
  <c r="AJ1000" i="1"/>
  <c r="AK1000" i="1"/>
  <c r="AL1000" i="1"/>
  <c r="AH1001" i="1"/>
  <c r="AI1001" i="1"/>
  <c r="AJ1001" i="1"/>
  <c r="AK1001" i="1"/>
  <c r="AL1001" i="1"/>
  <c r="AH1002" i="1"/>
  <c r="AI1002" i="1"/>
  <c r="AJ1002" i="1"/>
  <c r="AK1002" i="1"/>
  <c r="AL1002" i="1"/>
  <c r="AH1003" i="1"/>
  <c r="AI1003" i="1"/>
  <c r="AJ1003" i="1"/>
  <c r="AK1003" i="1"/>
  <c r="AL1003" i="1"/>
  <c r="AH1004" i="1"/>
  <c r="AI1004" i="1"/>
  <c r="AJ1004" i="1"/>
  <c r="AK1004" i="1"/>
  <c r="AL1004" i="1"/>
  <c r="AH1005" i="1"/>
  <c r="AI1005" i="1"/>
  <c r="AJ1005" i="1"/>
  <c r="AK1005" i="1"/>
  <c r="AL1005" i="1"/>
  <c r="AH1006" i="1"/>
  <c r="AI1006" i="1"/>
  <c r="AJ1006" i="1"/>
  <c r="AK1006" i="1"/>
  <c r="AL1006" i="1"/>
  <c r="AH1007" i="1"/>
  <c r="AI1007" i="1"/>
  <c r="AJ1007" i="1"/>
  <c r="AK1007" i="1"/>
  <c r="AL1007" i="1"/>
  <c r="AH1008" i="1"/>
  <c r="AI1008" i="1"/>
  <c r="AJ1008" i="1"/>
  <c r="AK1008" i="1"/>
  <c r="AL1008" i="1"/>
  <c r="AH868" i="1"/>
  <c r="AI868" i="1"/>
  <c r="AJ868" i="1"/>
  <c r="AK868" i="1"/>
  <c r="AL868" i="1"/>
  <c r="AH1010" i="1"/>
  <c r="AI1010" i="1"/>
  <c r="AJ1010" i="1"/>
  <c r="AK1010" i="1"/>
  <c r="AL1010" i="1"/>
  <c r="AH1011" i="1"/>
  <c r="AI1011" i="1"/>
  <c r="AJ1011" i="1"/>
  <c r="AK1011" i="1"/>
  <c r="AL1011" i="1"/>
  <c r="AH1012" i="1"/>
  <c r="AI1012" i="1"/>
  <c r="AJ1012" i="1"/>
  <c r="AK1012" i="1"/>
  <c r="AL1012" i="1"/>
  <c r="AH1013" i="1"/>
  <c r="AI1013" i="1"/>
  <c r="AJ1013" i="1"/>
  <c r="AK1013" i="1"/>
  <c r="AL1013" i="1"/>
  <c r="AH1014" i="1"/>
  <c r="AI1014" i="1"/>
  <c r="AJ1014" i="1"/>
  <c r="AK1014" i="1"/>
  <c r="AL1014" i="1"/>
  <c r="AH667" i="1"/>
  <c r="AI667" i="1"/>
  <c r="AJ667" i="1"/>
  <c r="AK667" i="1"/>
  <c r="AL667" i="1"/>
  <c r="AH677" i="1"/>
  <c r="AI677" i="1"/>
  <c r="AJ677" i="1"/>
  <c r="AK677" i="1"/>
  <c r="AL677" i="1"/>
  <c r="AH1017" i="1"/>
  <c r="AI1017" i="1"/>
  <c r="AJ1017" i="1"/>
  <c r="AK1017" i="1"/>
  <c r="AL1017" i="1"/>
  <c r="AH1018" i="1"/>
  <c r="AI1018" i="1"/>
  <c r="AJ1018" i="1"/>
  <c r="AK1018" i="1"/>
  <c r="AL1018" i="1"/>
  <c r="AH873" i="1"/>
  <c r="AI873" i="1"/>
  <c r="AJ873" i="1"/>
  <c r="AK873" i="1"/>
  <c r="AL873" i="1"/>
  <c r="AH876" i="1"/>
  <c r="AI876" i="1"/>
  <c r="AJ876" i="1"/>
  <c r="AK876" i="1"/>
  <c r="AL876" i="1"/>
  <c r="AH1021" i="1"/>
  <c r="AI1021" i="1"/>
  <c r="AJ1021" i="1"/>
  <c r="AK1021" i="1"/>
  <c r="AL1021" i="1"/>
  <c r="AH1022" i="1"/>
  <c r="AI1022" i="1"/>
  <c r="AJ1022" i="1"/>
  <c r="AK1022" i="1"/>
  <c r="AL1022" i="1"/>
  <c r="AH1023" i="1"/>
  <c r="AI1023" i="1"/>
  <c r="AJ1023" i="1"/>
  <c r="AK1023" i="1"/>
  <c r="AL1023" i="1"/>
  <c r="AH1024" i="1"/>
  <c r="AI1024" i="1"/>
  <c r="AJ1024" i="1"/>
  <c r="AK1024" i="1"/>
  <c r="AL1024" i="1"/>
  <c r="AH1025" i="1"/>
  <c r="AI1025" i="1"/>
  <c r="AJ1025" i="1"/>
  <c r="AK1025" i="1"/>
  <c r="AL1025" i="1"/>
  <c r="AH900" i="1"/>
  <c r="AI900" i="1"/>
  <c r="AJ900" i="1"/>
  <c r="AK900" i="1"/>
  <c r="AL900" i="1"/>
  <c r="AH1027" i="1"/>
  <c r="AI1027" i="1"/>
  <c r="AJ1027" i="1"/>
  <c r="AK1027" i="1"/>
  <c r="AL1027" i="1"/>
  <c r="AH1028" i="1"/>
  <c r="AI1028" i="1"/>
  <c r="AJ1028" i="1"/>
  <c r="AK1028" i="1"/>
  <c r="AL1028" i="1"/>
  <c r="AH1029" i="1"/>
  <c r="AI1029" i="1"/>
  <c r="AJ1029" i="1"/>
  <c r="AK1029" i="1"/>
  <c r="AL1029" i="1"/>
  <c r="AH1030" i="1"/>
  <c r="AI1030" i="1"/>
  <c r="AJ1030" i="1"/>
  <c r="AK1030" i="1"/>
  <c r="AL1030" i="1"/>
  <c r="AH1031" i="1"/>
  <c r="AI1031" i="1"/>
  <c r="AJ1031" i="1"/>
  <c r="AK1031" i="1"/>
  <c r="AL1031" i="1"/>
  <c r="AH1032" i="1"/>
  <c r="AI1032" i="1"/>
  <c r="AJ1032" i="1"/>
  <c r="AK1032" i="1"/>
  <c r="AL1032" i="1"/>
  <c r="AH912" i="1"/>
  <c r="AI912" i="1"/>
  <c r="AJ912" i="1"/>
  <c r="AK912" i="1"/>
  <c r="AL912" i="1"/>
  <c r="AH29" i="1"/>
  <c r="AI29" i="1"/>
  <c r="AJ29" i="1"/>
  <c r="AK29" i="1"/>
  <c r="AL29" i="1"/>
  <c r="AH21" i="1"/>
  <c r="AI21" i="1"/>
  <c r="AJ21" i="1"/>
  <c r="AK21" i="1"/>
  <c r="AL21" i="1"/>
  <c r="AH913" i="1"/>
  <c r="AI913" i="1"/>
  <c r="AJ913" i="1"/>
  <c r="AK913" i="1"/>
  <c r="AL913" i="1"/>
  <c r="AH1037" i="1"/>
  <c r="AI1037" i="1"/>
  <c r="AJ1037" i="1"/>
  <c r="AK1037" i="1"/>
  <c r="AL1037" i="1"/>
  <c r="AH1038" i="1"/>
  <c r="AI1038" i="1"/>
  <c r="AJ1038" i="1"/>
  <c r="AK1038" i="1"/>
  <c r="AL1038" i="1"/>
  <c r="AH1039" i="1"/>
  <c r="AI1039" i="1"/>
  <c r="AJ1039" i="1"/>
  <c r="AK1039" i="1"/>
  <c r="AL1039" i="1"/>
  <c r="AH1040" i="1"/>
  <c r="AI1040" i="1"/>
  <c r="AJ1040" i="1"/>
  <c r="AK1040" i="1"/>
  <c r="AL1040" i="1"/>
  <c r="AH1041" i="1"/>
  <c r="AI1041" i="1"/>
  <c r="AJ1041" i="1"/>
  <c r="AK1041" i="1"/>
  <c r="AL1041" i="1"/>
  <c r="AH1042" i="1"/>
  <c r="AI1042" i="1"/>
  <c r="AJ1042" i="1"/>
  <c r="AK1042" i="1"/>
  <c r="AL1042" i="1"/>
  <c r="AH1043" i="1"/>
  <c r="AI1043" i="1"/>
  <c r="AJ1043" i="1"/>
  <c r="AK1043" i="1"/>
  <c r="AL1043" i="1"/>
  <c r="AH1044" i="1"/>
  <c r="AI1044" i="1"/>
  <c r="AJ1044" i="1"/>
  <c r="AK1044" i="1"/>
  <c r="AL1044" i="1"/>
  <c r="AH1045" i="1"/>
  <c r="AI1045" i="1"/>
  <c r="AJ1045" i="1"/>
  <c r="AK1045" i="1"/>
  <c r="AL1045" i="1"/>
  <c r="AH1046" i="1"/>
  <c r="AI1046" i="1"/>
  <c r="AJ1046" i="1"/>
  <c r="AK1046" i="1"/>
  <c r="AL1046" i="1"/>
  <c r="AH1047" i="1"/>
  <c r="AI1047" i="1"/>
  <c r="AJ1047" i="1"/>
  <c r="AK1047" i="1"/>
  <c r="AL1047" i="1"/>
  <c r="AH1048" i="1"/>
  <c r="AI1048" i="1"/>
  <c r="AJ1048" i="1"/>
  <c r="AK1048" i="1"/>
  <c r="AL1048" i="1"/>
  <c r="AH1049" i="1"/>
  <c r="AI1049" i="1"/>
  <c r="AJ1049" i="1"/>
  <c r="AK1049" i="1"/>
  <c r="AL1049" i="1"/>
  <c r="AH1050" i="1"/>
  <c r="AI1050" i="1"/>
  <c r="AJ1050" i="1"/>
  <c r="AK1050" i="1"/>
  <c r="AL1050" i="1"/>
  <c r="AH1051" i="1"/>
  <c r="AI1051" i="1"/>
  <c r="AJ1051" i="1"/>
  <c r="AK1051" i="1"/>
  <c r="AL1051" i="1"/>
  <c r="AH1052" i="1"/>
  <c r="AI1052" i="1"/>
  <c r="AJ1052" i="1"/>
  <c r="AK1052" i="1"/>
  <c r="AL1052" i="1"/>
  <c r="AH1053" i="1"/>
  <c r="AI1053" i="1"/>
  <c r="AJ1053" i="1"/>
  <c r="AK1053" i="1"/>
  <c r="AL1053" i="1"/>
  <c r="AH1054" i="1"/>
  <c r="AI1054" i="1"/>
  <c r="AJ1054" i="1"/>
  <c r="AK1054" i="1"/>
  <c r="AL1054" i="1"/>
  <c r="AH1055" i="1"/>
  <c r="AI1055" i="1"/>
  <c r="AJ1055" i="1"/>
  <c r="AK1055" i="1"/>
  <c r="AL1055" i="1"/>
  <c r="AH1056" i="1"/>
  <c r="AI1056" i="1"/>
  <c r="AJ1056" i="1"/>
  <c r="AK1056" i="1"/>
  <c r="AL1056" i="1"/>
  <c r="AH916" i="1"/>
  <c r="AI916" i="1"/>
  <c r="AJ916" i="1"/>
  <c r="AK916" i="1"/>
  <c r="AL916" i="1"/>
  <c r="AH1058" i="1"/>
  <c r="AI1058" i="1"/>
  <c r="AJ1058" i="1"/>
  <c r="AK1058" i="1"/>
  <c r="AL1058" i="1"/>
  <c r="AH314" i="1"/>
  <c r="AI314" i="1"/>
  <c r="AJ314" i="1"/>
  <c r="AK314" i="1"/>
  <c r="AL314" i="1"/>
  <c r="AH1060" i="1"/>
  <c r="AI1060" i="1"/>
  <c r="AJ1060" i="1"/>
  <c r="AK1060" i="1"/>
  <c r="AL1060" i="1"/>
  <c r="AH1061" i="1"/>
  <c r="AI1061" i="1"/>
  <c r="AJ1061" i="1"/>
  <c r="AK1061" i="1"/>
  <c r="AL1061" i="1"/>
  <c r="AH1062" i="1"/>
  <c r="AI1062" i="1"/>
  <c r="AJ1062" i="1"/>
  <c r="AK1062" i="1"/>
  <c r="AL1062" i="1"/>
  <c r="AH1063" i="1"/>
  <c r="AI1063" i="1"/>
  <c r="AJ1063" i="1"/>
  <c r="AK1063" i="1"/>
  <c r="AL1063" i="1"/>
  <c r="AH1064" i="1"/>
  <c r="AI1064" i="1"/>
  <c r="AJ1064" i="1"/>
  <c r="AK1064" i="1"/>
  <c r="AL1064" i="1"/>
  <c r="AH1065" i="1"/>
  <c r="AI1065" i="1"/>
  <c r="AJ1065" i="1"/>
  <c r="AK1065" i="1"/>
  <c r="AL1065" i="1"/>
  <c r="AH1066" i="1"/>
  <c r="AI1066" i="1"/>
  <c r="AJ1066" i="1"/>
  <c r="AK1066" i="1"/>
  <c r="AL1066" i="1"/>
  <c r="AH587" i="1"/>
  <c r="AI587" i="1"/>
  <c r="AJ587" i="1"/>
  <c r="AK587" i="1"/>
  <c r="AL587" i="1"/>
  <c r="AH1068" i="1"/>
  <c r="AI1068" i="1"/>
  <c r="AJ1068" i="1"/>
  <c r="AK1068" i="1"/>
  <c r="AL1068" i="1"/>
  <c r="AH1069" i="1"/>
  <c r="AI1069" i="1"/>
  <c r="AJ1069" i="1"/>
  <c r="AK1069" i="1"/>
  <c r="AL1069" i="1"/>
  <c r="AH1070" i="1"/>
  <c r="AI1070" i="1"/>
  <c r="AJ1070" i="1"/>
  <c r="AK1070" i="1"/>
  <c r="AL1070" i="1"/>
  <c r="AH1071" i="1"/>
  <c r="AI1071" i="1"/>
  <c r="AJ1071" i="1"/>
  <c r="AK1071" i="1"/>
  <c r="AL1071" i="1"/>
  <c r="AH1072" i="1"/>
  <c r="AI1072" i="1"/>
  <c r="AJ1072" i="1"/>
  <c r="AK1072" i="1"/>
  <c r="AL1072" i="1"/>
  <c r="AH1073" i="1"/>
  <c r="AI1073" i="1"/>
  <c r="AJ1073" i="1"/>
  <c r="AK1073" i="1"/>
  <c r="AL1073" i="1"/>
  <c r="AH1074" i="1"/>
  <c r="AI1074" i="1"/>
  <c r="AJ1074" i="1"/>
  <c r="AK1074" i="1"/>
  <c r="AL1074" i="1"/>
  <c r="AH1075" i="1"/>
  <c r="AI1075" i="1"/>
  <c r="AJ1075" i="1"/>
  <c r="AK1075" i="1"/>
  <c r="AL1075" i="1"/>
  <c r="AH1076" i="1"/>
  <c r="AI1076" i="1"/>
  <c r="AJ1076" i="1"/>
  <c r="AK1076" i="1"/>
  <c r="AL1076" i="1"/>
  <c r="AH1077" i="1"/>
  <c r="AI1077" i="1"/>
  <c r="AJ1077" i="1"/>
  <c r="AK1077" i="1"/>
  <c r="AL1077" i="1"/>
  <c r="AH1078" i="1"/>
  <c r="AI1078" i="1"/>
  <c r="AJ1078" i="1"/>
  <c r="AK1078" i="1"/>
  <c r="AL1078" i="1"/>
  <c r="AH1079" i="1"/>
  <c r="AI1079" i="1"/>
  <c r="AJ1079" i="1"/>
  <c r="AK1079" i="1"/>
  <c r="AL1079" i="1"/>
  <c r="AH917" i="1"/>
  <c r="AI917" i="1"/>
  <c r="AJ917" i="1"/>
  <c r="AK917" i="1"/>
  <c r="AL917" i="1"/>
  <c r="AH1081" i="1"/>
  <c r="AI1081" i="1"/>
  <c r="AJ1081" i="1"/>
  <c r="AK1081" i="1"/>
  <c r="AL1081" i="1"/>
  <c r="AH918" i="1"/>
  <c r="AI918" i="1"/>
  <c r="AJ918" i="1"/>
  <c r="AK918" i="1"/>
  <c r="AL918" i="1"/>
  <c r="AH1083" i="1"/>
  <c r="AI1083" i="1"/>
  <c r="AJ1083" i="1"/>
  <c r="AK1083" i="1"/>
  <c r="AL1083" i="1"/>
  <c r="AH590" i="1"/>
  <c r="AI590" i="1"/>
  <c r="AJ590" i="1"/>
  <c r="AK590" i="1"/>
  <c r="AL590" i="1"/>
  <c r="AH719" i="1"/>
  <c r="AI719" i="1"/>
  <c r="AJ719" i="1"/>
  <c r="AK719" i="1"/>
  <c r="AL719" i="1"/>
  <c r="AH1086" i="1"/>
  <c r="AI1086" i="1"/>
  <c r="AJ1086" i="1"/>
  <c r="AK1086" i="1"/>
  <c r="AL1086" i="1"/>
  <c r="AH1087" i="1"/>
  <c r="AI1087" i="1"/>
  <c r="AJ1087" i="1"/>
  <c r="AK1087" i="1"/>
  <c r="AL1087" i="1"/>
  <c r="AH193" i="1"/>
  <c r="AI193" i="1"/>
  <c r="AJ193" i="1"/>
  <c r="AK193" i="1"/>
  <c r="AL193" i="1"/>
  <c r="AH205" i="1"/>
  <c r="AI205" i="1"/>
  <c r="AJ205" i="1"/>
  <c r="AK205" i="1"/>
  <c r="AL205" i="1"/>
  <c r="AH180" i="1"/>
  <c r="AI180" i="1"/>
  <c r="AJ180" i="1"/>
  <c r="AK180" i="1"/>
  <c r="AL180" i="1"/>
  <c r="AH1091" i="1"/>
  <c r="AI1091" i="1"/>
  <c r="AJ1091" i="1"/>
  <c r="AK1091" i="1"/>
  <c r="AL1091" i="1"/>
  <c r="AH1092" i="1"/>
  <c r="AI1092" i="1"/>
  <c r="AJ1092" i="1"/>
  <c r="AK1092" i="1"/>
  <c r="AL1092" i="1"/>
  <c r="AH1093" i="1"/>
  <c r="AI1093" i="1"/>
  <c r="AJ1093" i="1"/>
  <c r="AK1093" i="1"/>
  <c r="AL1093" i="1"/>
  <c r="AH1094" i="1"/>
  <c r="AI1094" i="1"/>
  <c r="AJ1094" i="1"/>
  <c r="AK1094" i="1"/>
  <c r="AL1094" i="1"/>
  <c r="AH1095" i="1"/>
  <c r="AI1095" i="1"/>
  <c r="AJ1095" i="1"/>
  <c r="AK1095" i="1"/>
  <c r="AL1095" i="1"/>
  <c r="AH1096" i="1"/>
  <c r="AI1096" i="1"/>
  <c r="AJ1096" i="1"/>
  <c r="AK1096" i="1"/>
  <c r="AL1096" i="1"/>
  <c r="AH1097" i="1"/>
  <c r="AI1097" i="1"/>
  <c r="AJ1097" i="1"/>
  <c r="AK1097" i="1"/>
  <c r="AL1097" i="1"/>
  <c r="AH926" i="1"/>
  <c r="AI926" i="1"/>
  <c r="AJ926" i="1"/>
  <c r="AK926" i="1"/>
  <c r="AL926" i="1"/>
  <c r="AH1099" i="1"/>
  <c r="AI1099" i="1"/>
  <c r="AJ1099" i="1"/>
  <c r="AK1099" i="1"/>
  <c r="AL1099" i="1"/>
  <c r="AH1100" i="1"/>
  <c r="AI1100" i="1"/>
  <c r="AJ1100" i="1"/>
  <c r="AK1100" i="1"/>
  <c r="AL1100" i="1"/>
  <c r="AH1101" i="1"/>
  <c r="AI1101" i="1"/>
  <c r="AJ1101" i="1"/>
  <c r="AK1101" i="1"/>
  <c r="AL1101" i="1"/>
  <c r="AH1102" i="1"/>
  <c r="AI1102" i="1"/>
  <c r="AJ1102" i="1"/>
  <c r="AK1102" i="1"/>
  <c r="AL1102" i="1"/>
  <c r="AH1103" i="1"/>
  <c r="AI1103" i="1"/>
  <c r="AJ1103" i="1"/>
  <c r="AK1103" i="1"/>
  <c r="AL1103" i="1"/>
  <c r="AH1104" i="1"/>
  <c r="AI1104" i="1"/>
  <c r="AJ1104" i="1"/>
  <c r="AK1104" i="1"/>
  <c r="AL1104" i="1"/>
  <c r="AH1105" i="1"/>
  <c r="AI1105" i="1"/>
  <c r="AJ1105" i="1"/>
  <c r="AK1105" i="1"/>
  <c r="AL1105" i="1"/>
  <c r="AH1106" i="1"/>
  <c r="AI1106" i="1"/>
  <c r="AJ1106" i="1"/>
  <c r="AK1106" i="1"/>
  <c r="AL1106" i="1"/>
  <c r="AH1107" i="1"/>
  <c r="AI1107" i="1"/>
  <c r="AJ1107" i="1"/>
  <c r="AK1107" i="1"/>
  <c r="AL1107" i="1"/>
  <c r="AH1108" i="1"/>
  <c r="AI1108" i="1"/>
  <c r="AJ1108" i="1"/>
  <c r="AK1108" i="1"/>
  <c r="AL1108" i="1"/>
  <c r="AH1109" i="1"/>
  <c r="AI1109" i="1"/>
  <c r="AJ1109" i="1"/>
  <c r="AK1109" i="1"/>
  <c r="AL1109" i="1"/>
  <c r="AH1110" i="1"/>
  <c r="AI1110" i="1"/>
  <c r="AJ1110" i="1"/>
  <c r="AK1110" i="1"/>
  <c r="AL1110" i="1"/>
  <c r="AH1111" i="1"/>
  <c r="AI1111" i="1"/>
  <c r="AJ1111" i="1"/>
  <c r="AK1111" i="1"/>
  <c r="AL1111" i="1"/>
  <c r="AH1112" i="1"/>
  <c r="AI1112" i="1"/>
  <c r="AJ1112" i="1"/>
  <c r="AK1112" i="1"/>
  <c r="AL1112" i="1"/>
  <c r="AH1113" i="1"/>
  <c r="AI1113" i="1"/>
  <c r="AJ1113" i="1"/>
  <c r="AK1113" i="1"/>
  <c r="AL1113" i="1"/>
  <c r="AH1114" i="1"/>
  <c r="AI1114" i="1"/>
  <c r="AJ1114" i="1"/>
  <c r="AK1114" i="1"/>
  <c r="AL1114" i="1"/>
  <c r="AH1115" i="1"/>
  <c r="AI1115" i="1"/>
  <c r="AJ1115" i="1"/>
  <c r="AK1115" i="1"/>
  <c r="AL1115" i="1"/>
  <c r="AH737" i="1"/>
  <c r="AI737" i="1"/>
  <c r="AJ737" i="1"/>
  <c r="AK737" i="1"/>
  <c r="AL737" i="1"/>
  <c r="AH1117" i="1"/>
  <c r="AI1117" i="1"/>
  <c r="AJ1117" i="1"/>
  <c r="AK1117" i="1"/>
  <c r="AL1117" i="1"/>
  <c r="AH1118" i="1"/>
  <c r="AI1118" i="1"/>
  <c r="AJ1118" i="1"/>
  <c r="AK1118" i="1"/>
  <c r="AL1118" i="1"/>
  <c r="AH929" i="1"/>
  <c r="AI929" i="1"/>
  <c r="AJ929" i="1"/>
  <c r="AK929" i="1"/>
  <c r="AL929" i="1"/>
  <c r="AH1120" i="1"/>
  <c r="AI1120" i="1"/>
  <c r="AJ1120" i="1"/>
  <c r="AK1120" i="1"/>
  <c r="AL1120" i="1"/>
  <c r="AH1121" i="1"/>
  <c r="AI1121" i="1"/>
  <c r="AJ1121" i="1"/>
  <c r="AK1121" i="1"/>
  <c r="AL1121" i="1"/>
  <c r="AH1122" i="1"/>
  <c r="AI1122" i="1"/>
  <c r="AJ1122" i="1"/>
  <c r="AK1122" i="1"/>
  <c r="AL1122" i="1"/>
  <c r="AH1123" i="1"/>
  <c r="AI1123" i="1"/>
  <c r="AJ1123" i="1"/>
  <c r="AK1123" i="1"/>
  <c r="AL1123" i="1"/>
  <c r="AH1124" i="1"/>
  <c r="AI1124" i="1"/>
  <c r="AJ1124" i="1"/>
  <c r="AK1124" i="1"/>
  <c r="AL1124" i="1"/>
  <c r="AH1125" i="1"/>
  <c r="AI1125" i="1"/>
  <c r="AJ1125" i="1"/>
  <c r="AK1125" i="1"/>
  <c r="AL1125" i="1"/>
  <c r="AH1126" i="1"/>
  <c r="AI1126" i="1"/>
  <c r="AJ1126" i="1"/>
  <c r="AK1126" i="1"/>
  <c r="AL1126" i="1"/>
  <c r="AH1127" i="1"/>
  <c r="AI1127" i="1"/>
  <c r="AJ1127" i="1"/>
  <c r="AK1127" i="1"/>
  <c r="AL1127" i="1"/>
  <c r="AH1128" i="1"/>
  <c r="AI1128" i="1"/>
  <c r="AJ1128" i="1"/>
  <c r="AK1128" i="1"/>
  <c r="AL1128" i="1"/>
  <c r="AH1129" i="1"/>
  <c r="AI1129" i="1"/>
  <c r="AJ1129" i="1"/>
  <c r="AK1129" i="1"/>
  <c r="AL1129" i="1"/>
  <c r="AH1130" i="1"/>
  <c r="AI1130" i="1"/>
  <c r="AJ1130" i="1"/>
  <c r="AK1130" i="1"/>
  <c r="AL1130" i="1"/>
  <c r="AH1131" i="1"/>
  <c r="AI1131" i="1"/>
  <c r="AJ1131" i="1"/>
  <c r="AK1131" i="1"/>
  <c r="AL1131" i="1"/>
  <c r="AH1132" i="1"/>
  <c r="AI1132" i="1"/>
  <c r="AJ1132" i="1"/>
  <c r="AK1132" i="1"/>
  <c r="AL1132" i="1"/>
  <c r="AH1133" i="1"/>
  <c r="AI1133" i="1"/>
  <c r="AJ1133" i="1"/>
  <c r="AK1133" i="1"/>
  <c r="AL1133" i="1"/>
  <c r="AH1134" i="1"/>
  <c r="AI1134" i="1"/>
  <c r="AJ1134" i="1"/>
  <c r="AK1134" i="1"/>
  <c r="AL1134" i="1"/>
  <c r="AH935" i="1"/>
  <c r="AI935" i="1"/>
  <c r="AJ935" i="1"/>
  <c r="AK935" i="1"/>
  <c r="AL935" i="1"/>
  <c r="AH1136" i="1"/>
  <c r="AI1136" i="1"/>
  <c r="AJ1136" i="1"/>
  <c r="AK1136" i="1"/>
  <c r="AL1136" i="1"/>
  <c r="AH1137" i="1"/>
  <c r="AI1137" i="1"/>
  <c r="AJ1137" i="1"/>
  <c r="AK1137" i="1"/>
  <c r="AL1137" i="1"/>
  <c r="AH1138" i="1"/>
  <c r="AI1138" i="1"/>
  <c r="AJ1138" i="1"/>
  <c r="AK1138" i="1"/>
  <c r="AL1138" i="1"/>
  <c r="AH1139" i="1"/>
  <c r="AI1139" i="1"/>
  <c r="AJ1139" i="1"/>
  <c r="AK1139" i="1"/>
  <c r="AL1139" i="1"/>
  <c r="AH1140" i="1"/>
  <c r="AI1140" i="1"/>
  <c r="AJ1140" i="1"/>
  <c r="AK1140" i="1"/>
  <c r="AL1140" i="1"/>
  <c r="AH1141" i="1"/>
  <c r="AI1141" i="1"/>
  <c r="AJ1141" i="1"/>
  <c r="AK1141" i="1"/>
  <c r="AL1141" i="1"/>
  <c r="AH1142" i="1"/>
  <c r="AI1142" i="1"/>
  <c r="AJ1142" i="1"/>
  <c r="AK1142" i="1"/>
  <c r="AL1142" i="1"/>
  <c r="AH1143" i="1"/>
  <c r="AI1143" i="1"/>
  <c r="AJ1143" i="1"/>
  <c r="AK1143" i="1"/>
  <c r="AL1143" i="1"/>
  <c r="AH941" i="1"/>
  <c r="AI941" i="1"/>
  <c r="AJ941" i="1"/>
  <c r="AK941" i="1"/>
  <c r="AL941" i="1"/>
  <c r="AH1145" i="1"/>
  <c r="AI1145" i="1"/>
  <c r="AJ1145" i="1"/>
  <c r="AK1145" i="1"/>
  <c r="AL1145" i="1"/>
  <c r="AH1146" i="1"/>
  <c r="AI1146" i="1"/>
  <c r="AJ1146" i="1"/>
  <c r="AK1146" i="1"/>
  <c r="AL1146" i="1"/>
  <c r="AH1147" i="1"/>
  <c r="AI1147" i="1"/>
  <c r="AJ1147" i="1"/>
  <c r="AK1147" i="1"/>
  <c r="AL1147" i="1"/>
  <c r="AH1148" i="1"/>
  <c r="AI1148" i="1"/>
  <c r="AJ1148" i="1"/>
  <c r="AK1148" i="1"/>
  <c r="AL1148" i="1"/>
  <c r="AH1149" i="1"/>
  <c r="AI1149" i="1"/>
  <c r="AJ1149" i="1"/>
  <c r="AK1149" i="1"/>
  <c r="AL1149" i="1"/>
  <c r="AH1150" i="1"/>
  <c r="AI1150" i="1"/>
  <c r="AJ1150" i="1"/>
  <c r="AK1150" i="1"/>
  <c r="AL1150" i="1"/>
  <c r="AH1151" i="1"/>
  <c r="AI1151" i="1"/>
  <c r="AJ1151" i="1"/>
  <c r="AK1151" i="1"/>
  <c r="AL1151" i="1"/>
  <c r="AH1152" i="1"/>
  <c r="AI1152" i="1"/>
  <c r="AJ1152" i="1"/>
  <c r="AK1152" i="1"/>
  <c r="AL1152" i="1"/>
  <c r="AH1153" i="1"/>
  <c r="AI1153" i="1"/>
  <c r="AJ1153" i="1"/>
  <c r="AK1153" i="1"/>
  <c r="AL1153" i="1"/>
  <c r="AH1154" i="1"/>
  <c r="AI1154" i="1"/>
  <c r="AJ1154" i="1"/>
  <c r="AK1154" i="1"/>
  <c r="AL1154" i="1"/>
  <c r="AH1155" i="1"/>
  <c r="AI1155" i="1"/>
  <c r="AJ1155" i="1"/>
  <c r="AK1155" i="1"/>
  <c r="AL1155" i="1"/>
  <c r="AH1156" i="1"/>
  <c r="AI1156" i="1"/>
  <c r="AJ1156" i="1"/>
  <c r="AK1156" i="1"/>
  <c r="AL1156" i="1"/>
  <c r="AH1157" i="1"/>
  <c r="AI1157" i="1"/>
  <c r="AJ1157" i="1"/>
  <c r="AK1157" i="1"/>
  <c r="AL1157" i="1"/>
  <c r="AH1158" i="1"/>
  <c r="AI1158" i="1"/>
  <c r="AJ1158" i="1"/>
  <c r="AK1158" i="1"/>
  <c r="AL1158" i="1"/>
  <c r="AH956" i="1"/>
  <c r="AI956" i="1"/>
  <c r="AJ956" i="1"/>
  <c r="AK956" i="1"/>
  <c r="AL956" i="1"/>
  <c r="AH1160" i="1"/>
  <c r="AI1160" i="1"/>
  <c r="AJ1160" i="1"/>
  <c r="AK1160" i="1"/>
  <c r="AL1160" i="1"/>
  <c r="AH1161" i="1"/>
  <c r="AI1161" i="1"/>
  <c r="AJ1161" i="1"/>
  <c r="AK1161" i="1"/>
  <c r="AL1161" i="1"/>
  <c r="AH1162" i="1"/>
  <c r="AI1162" i="1"/>
  <c r="AJ1162" i="1"/>
  <c r="AK1162" i="1"/>
  <c r="AL1162" i="1"/>
  <c r="AH1163" i="1"/>
  <c r="AI1163" i="1"/>
  <c r="AJ1163" i="1"/>
  <c r="AK1163" i="1"/>
  <c r="AL1163" i="1"/>
  <c r="AH703" i="1"/>
  <c r="AI703" i="1"/>
  <c r="AJ703" i="1"/>
  <c r="AK703" i="1"/>
  <c r="AL703" i="1"/>
  <c r="AH1165" i="1"/>
  <c r="AI1165" i="1"/>
  <c r="AJ1165" i="1"/>
  <c r="AK1165" i="1"/>
  <c r="AL1165" i="1"/>
  <c r="AH711" i="1"/>
  <c r="AI711" i="1"/>
  <c r="AJ711" i="1"/>
  <c r="AK711" i="1"/>
  <c r="AL711" i="1"/>
  <c r="AH1167" i="1"/>
  <c r="AI1167" i="1"/>
  <c r="AJ1167" i="1"/>
  <c r="AK1167" i="1"/>
  <c r="AL1167" i="1"/>
  <c r="AH1168" i="1"/>
  <c r="AI1168" i="1"/>
  <c r="AJ1168" i="1"/>
  <c r="AK1168" i="1"/>
  <c r="AL1168" i="1"/>
  <c r="AH1169" i="1"/>
  <c r="AI1169" i="1"/>
  <c r="AJ1169" i="1"/>
  <c r="AK1169" i="1"/>
  <c r="AL1169" i="1"/>
  <c r="AH1170" i="1"/>
  <c r="AI1170" i="1"/>
  <c r="AJ1170" i="1"/>
  <c r="AK1170" i="1"/>
  <c r="AL1170" i="1"/>
  <c r="AI2" i="1"/>
  <c r="AJ2" i="1"/>
  <c r="AK2" i="1"/>
  <c r="AL2" i="1"/>
  <c r="AH2" i="1"/>
  <c r="BT562" i="1"/>
  <c r="BS562" i="1"/>
  <c r="BR562" i="1"/>
  <c r="BQ562" i="1"/>
  <c r="BP562" i="1"/>
  <c r="BO562" i="1"/>
  <c r="BN562" i="1"/>
  <c r="BM562" i="1"/>
  <c r="BL562" i="1"/>
  <c r="BK562" i="1"/>
  <c r="BA562" i="1"/>
  <c r="AW562" i="1"/>
  <c r="AV562" i="1"/>
  <c r="AU562" i="1"/>
  <c r="AX562" i="1" s="1"/>
  <c r="AT562" i="1"/>
  <c r="AS562" i="1"/>
  <c r="AR562" i="1"/>
  <c r="AQ562" i="1"/>
  <c r="AD562" i="1"/>
  <c r="AF562" i="1" s="1"/>
  <c r="Z562" i="1"/>
  <c r="K562" i="1"/>
  <c r="H562" i="1"/>
  <c r="F20" i="21"/>
  <c r="F19" i="21"/>
  <c r="F18" i="21"/>
  <c r="U1172" i="1"/>
  <c r="U1173" i="1" s="1"/>
  <c r="M1172" i="1"/>
  <c r="N1172" i="1"/>
  <c r="O1172" i="1"/>
  <c r="P1172" i="1"/>
  <c r="Q1172" i="1"/>
  <c r="R1172" i="1"/>
  <c r="S1172" i="1"/>
  <c r="S1173" i="1" s="1"/>
  <c r="T1172" i="1"/>
  <c r="T1173" i="1" s="1"/>
  <c r="L1172" i="1"/>
  <c r="L1173" i="1" s="1"/>
  <c r="AD1033" i="1"/>
  <c r="AD949" i="1"/>
  <c r="AD955" i="1"/>
  <c r="AD1150" i="1"/>
  <c r="AD956" i="1"/>
  <c r="BA479" i="1"/>
  <c r="AB562" i="1" l="1"/>
  <c r="AD905" i="1"/>
  <c r="AB905" i="1"/>
  <c r="R1173" i="1" l="1"/>
  <c r="Z2" i="1"/>
  <c r="K2" i="1"/>
  <c r="AB2" i="1" l="1"/>
  <c r="Q1173" i="1"/>
  <c r="P1173" i="1"/>
  <c r="O1173" i="1"/>
  <c r="N1173" i="1"/>
  <c r="M1173" i="1"/>
  <c r="AD596" i="1" l="1"/>
  <c r="Z982" i="1" l="1"/>
  <c r="AD508" i="1" l="1"/>
  <c r="AD507" i="1"/>
  <c r="AD505" i="1"/>
  <c r="AD503" i="1"/>
  <c r="BT905" i="1" l="1"/>
  <c r="BA96" i="1" l="1"/>
  <c r="BA31" i="1"/>
  <c r="BA208" i="1"/>
  <c r="BA33" i="1"/>
  <c r="BA34" i="1"/>
  <c r="BA35" i="1"/>
  <c r="BA36" i="1"/>
  <c r="BA37" i="1"/>
  <c r="BA38" i="1"/>
  <c r="BA39" i="1"/>
  <c r="BA622" i="1"/>
  <c r="BA41" i="1"/>
  <c r="BA42" i="1"/>
  <c r="BA424" i="1"/>
  <c r="BA56" i="1"/>
  <c r="BA45" i="1"/>
  <c r="BA46" i="1"/>
  <c r="BA47" i="1"/>
  <c r="BA48" i="1"/>
  <c r="BA49" i="1"/>
  <c r="BA50" i="1"/>
  <c r="BA51" i="1"/>
  <c r="BA52" i="1"/>
  <c r="BA53" i="1"/>
  <c r="BA97" i="1"/>
  <c r="BA55" i="1"/>
  <c r="BA644" i="1"/>
  <c r="BA57" i="1"/>
  <c r="BA58" i="1"/>
  <c r="BA217" i="1"/>
  <c r="BA60" i="1"/>
  <c r="BA61" i="1"/>
  <c r="BA62" i="1"/>
  <c r="BA63" i="1"/>
  <c r="BA64" i="1"/>
  <c r="BA65" i="1"/>
  <c r="BA66" i="1"/>
  <c r="BA67" i="1"/>
  <c r="BA433" i="1"/>
  <c r="BA69" i="1"/>
  <c r="BA1116" i="1"/>
  <c r="BA71" i="1"/>
  <c r="BA72" i="1"/>
  <c r="BA73" i="1"/>
  <c r="BA435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43" i="1"/>
  <c r="BA88" i="1"/>
  <c r="BA89" i="1"/>
  <c r="BA90" i="1"/>
  <c r="BA426" i="1"/>
  <c r="BA609" i="1"/>
  <c r="BA430" i="1"/>
  <c r="BA94" i="1"/>
  <c r="BA95" i="1"/>
  <c r="BA397" i="1"/>
  <c r="BA635" i="1"/>
  <c r="BA631" i="1"/>
  <c r="BA403" i="1"/>
  <c r="BA100" i="1"/>
  <c r="BA101" i="1"/>
  <c r="BA453" i="1"/>
  <c r="BA455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457" i="1"/>
  <c r="BA117" i="1"/>
  <c r="BA118" i="1"/>
  <c r="BA119" i="1"/>
  <c r="BA120" i="1"/>
  <c r="BA121" i="1"/>
  <c r="BA122" i="1"/>
  <c r="BA123" i="1"/>
  <c r="BA124" i="1"/>
  <c r="BA125" i="1"/>
  <c r="BA126" i="1"/>
  <c r="BA127" i="1"/>
  <c r="BA68" i="1"/>
  <c r="BA129" i="1"/>
  <c r="BA130" i="1"/>
  <c r="BA131" i="1"/>
  <c r="BA132" i="1"/>
  <c r="BA133" i="1"/>
  <c r="BA134" i="1"/>
  <c r="BA135" i="1"/>
  <c r="BA136" i="1"/>
  <c r="BA137" i="1"/>
  <c r="BA138" i="1"/>
  <c r="BA139" i="1"/>
  <c r="BA353" i="1"/>
  <c r="BA141" i="1"/>
  <c r="BA142" i="1"/>
  <c r="BA143" i="1"/>
  <c r="BA144" i="1"/>
  <c r="BA145" i="1"/>
  <c r="BA70" i="1"/>
  <c r="BA147" i="1"/>
  <c r="BA148" i="1"/>
  <c r="BA149" i="1"/>
  <c r="BA175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03" i="1"/>
  <c r="BA99" i="1"/>
  <c r="BA102" i="1"/>
  <c r="BA177" i="1"/>
  <c r="BA178" i="1"/>
  <c r="BA179" i="1"/>
  <c r="BA320" i="1"/>
  <c r="BA174" i="1"/>
  <c r="BA182" i="1"/>
  <c r="BA1166" i="1"/>
  <c r="BA459" i="1"/>
  <c r="BA185" i="1"/>
  <c r="BA186" i="1"/>
  <c r="BA187" i="1"/>
  <c r="BA188" i="1"/>
  <c r="BA487" i="1"/>
  <c r="BA190" i="1"/>
  <c r="BA191" i="1"/>
  <c r="BA192" i="1"/>
  <c r="BA355" i="1"/>
  <c r="BA194" i="1"/>
  <c r="BA195" i="1"/>
  <c r="BA196" i="1"/>
  <c r="BA197" i="1"/>
  <c r="BA198" i="1"/>
  <c r="BA199" i="1"/>
  <c r="BA200" i="1"/>
  <c r="BA201" i="1"/>
  <c r="BA202" i="1"/>
  <c r="BA203" i="1"/>
  <c r="BA204" i="1"/>
  <c r="BA93" i="1"/>
  <c r="BA959" i="1"/>
  <c r="BA207" i="1"/>
  <c r="BA1016" i="1"/>
  <c r="BA209" i="1"/>
  <c r="BA210" i="1"/>
  <c r="BA211" i="1"/>
  <c r="BA212" i="1"/>
  <c r="BA213" i="1"/>
  <c r="BA214" i="1"/>
  <c r="BA215" i="1"/>
  <c r="BA216" i="1"/>
  <c r="BA54" i="1"/>
  <c r="BA218" i="1"/>
  <c r="BA219" i="1"/>
  <c r="BA220" i="1"/>
  <c r="BA221" i="1"/>
  <c r="BA222" i="1"/>
  <c r="BA116" i="1"/>
  <c r="BA224" i="1"/>
  <c r="BA225" i="1"/>
  <c r="BA74" i="1"/>
  <c r="BA87" i="1"/>
  <c r="BA228" i="1"/>
  <c r="BA229" i="1"/>
  <c r="BA230" i="1"/>
  <c r="BA231" i="1"/>
  <c r="BA232" i="1"/>
  <c r="BA233" i="1"/>
  <c r="BA234" i="1"/>
  <c r="BA1015" i="1"/>
  <c r="BA236" i="1"/>
  <c r="BA237" i="1"/>
  <c r="BA238" i="1"/>
  <c r="BA239" i="1"/>
  <c r="BA240" i="1"/>
  <c r="BA241" i="1"/>
  <c r="BA1088" i="1"/>
  <c r="BA243" i="1"/>
  <c r="BA244" i="1"/>
  <c r="BA432" i="1"/>
  <c r="BA246" i="1"/>
  <c r="BA247" i="1"/>
  <c r="BA248" i="1"/>
  <c r="BA249" i="1"/>
  <c r="BA250" i="1"/>
  <c r="BA269" i="1"/>
  <c r="BA350" i="1"/>
  <c r="BA235" i="1"/>
  <c r="BA254" i="1"/>
  <c r="BA255" i="1"/>
  <c r="BA256" i="1"/>
  <c r="BA257" i="1"/>
  <c r="BA258" i="1"/>
  <c r="BA30" i="1"/>
  <c r="BA260" i="1"/>
  <c r="BA261" i="1"/>
  <c r="BA262" i="1"/>
  <c r="BA263" i="1"/>
  <c r="BA264" i="1"/>
  <c r="BA189" i="1"/>
  <c r="BA266" i="1"/>
  <c r="BA267" i="1"/>
  <c r="BA268" i="1"/>
  <c r="BA287" i="1"/>
  <c r="BA270" i="1"/>
  <c r="BA32" i="1"/>
  <c r="BA272" i="1"/>
  <c r="BA273" i="1"/>
  <c r="BA274" i="1"/>
  <c r="BA275" i="1"/>
  <c r="BA276" i="1"/>
  <c r="BA128" i="1"/>
  <c r="BA278" i="1"/>
  <c r="BA279" i="1"/>
  <c r="BA280" i="1"/>
  <c r="BA281" i="1"/>
  <c r="BA282" i="1"/>
  <c r="BA283" i="1"/>
  <c r="BA284" i="1"/>
  <c r="BA288" i="1"/>
  <c r="BA286" i="1"/>
  <c r="BA312" i="1"/>
  <c r="BA411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1089" i="1"/>
  <c r="BA302" i="1"/>
  <c r="BA303" i="1"/>
  <c r="BA304" i="1"/>
  <c r="BA305" i="1"/>
  <c r="BA1090" i="1"/>
  <c r="BA1020" i="1"/>
  <c r="BA637" i="1"/>
  <c r="BA309" i="1"/>
  <c r="BA310" i="1"/>
  <c r="BA311" i="1"/>
  <c r="BA16" i="1"/>
  <c r="BA313" i="1"/>
  <c r="BA641" i="1"/>
  <c r="BA315" i="1"/>
  <c r="BA316" i="1"/>
  <c r="BA317" i="1"/>
  <c r="BA318" i="1"/>
  <c r="BA319" i="1"/>
  <c r="BA184" i="1"/>
  <c r="BA321" i="1"/>
  <c r="BA322" i="1"/>
  <c r="BA245" i="1"/>
  <c r="BA1019" i="1"/>
  <c r="BA1098" i="1"/>
  <c r="BA326" i="1"/>
  <c r="BA327" i="1"/>
  <c r="BA328" i="1"/>
  <c r="BA329" i="1"/>
  <c r="BA226" i="1"/>
  <c r="BA331" i="1"/>
  <c r="BA13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15" i="1"/>
  <c r="BA347" i="1"/>
  <c r="BA348" i="1"/>
  <c r="BA349" i="1"/>
  <c r="BA271" i="1"/>
  <c r="BA351" i="1"/>
  <c r="BA352" i="1"/>
  <c r="BA277" i="1"/>
  <c r="BA354" i="1"/>
  <c r="BA489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183" i="1"/>
  <c r="BA242" i="1"/>
  <c r="BA394" i="1"/>
  <c r="BA395" i="1"/>
  <c r="BA396" i="1"/>
  <c r="BA227" i="1"/>
  <c r="BA398" i="1"/>
  <c r="BA400" i="1"/>
  <c r="BA401" i="1"/>
  <c r="BA402" i="1"/>
  <c r="BA513" i="1"/>
  <c r="BA404" i="1"/>
  <c r="BA405" i="1"/>
  <c r="BA406" i="1"/>
  <c r="BA407" i="1"/>
  <c r="BA181" i="1"/>
  <c r="BA409" i="1"/>
  <c r="BA410" i="1"/>
  <c r="BA150" i="1"/>
  <c r="BA412" i="1"/>
  <c r="BA413" i="1"/>
  <c r="BA414" i="1"/>
  <c r="BA415" i="1"/>
  <c r="BA518" i="1"/>
  <c r="BA417" i="1"/>
  <c r="BA418" i="1"/>
  <c r="BA419" i="1"/>
  <c r="BA420" i="1"/>
  <c r="BA522" i="1"/>
  <c r="BA422" i="1"/>
  <c r="BA423" i="1"/>
  <c r="BA259" i="1"/>
  <c r="BA425" i="1"/>
  <c r="BA206" i="1"/>
  <c r="BA427" i="1"/>
  <c r="BA428" i="1"/>
  <c r="BA429" i="1"/>
  <c r="BA323" i="1"/>
  <c r="BA252" i="1"/>
  <c r="BA251" i="1"/>
  <c r="BA265" i="1"/>
  <c r="BA434" i="1"/>
  <c r="BA59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992" i="1"/>
  <c r="BA454" i="1"/>
  <c r="BA1009" i="1"/>
  <c r="BA456" i="1"/>
  <c r="BA140" i="1"/>
  <c r="BA458" i="1"/>
  <c r="BA1135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80" i="1"/>
  <c r="BA481" i="1"/>
  <c r="BA482" i="1"/>
  <c r="BA483" i="1"/>
  <c r="BA484" i="1"/>
  <c r="BA485" i="1"/>
  <c r="BA486" i="1"/>
  <c r="BA20" i="1"/>
  <c r="BA488" i="1"/>
  <c r="BA146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3" i="1"/>
  <c r="BA514" i="1"/>
  <c r="BA515" i="1"/>
  <c r="BA516" i="1"/>
  <c r="BA517" i="1"/>
  <c r="BA621" i="1"/>
  <c r="BA519" i="1"/>
  <c r="BA520" i="1"/>
  <c r="BA521" i="1"/>
  <c r="BA325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416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655" i="1"/>
  <c r="BA554" i="1"/>
  <c r="BA555" i="1"/>
  <c r="BA556" i="1"/>
  <c r="BA557" i="1"/>
  <c r="BA559" i="1"/>
  <c r="BA560" i="1"/>
  <c r="BA561" i="1"/>
  <c r="BA558" i="1"/>
  <c r="BA563" i="1"/>
  <c r="BA564" i="1"/>
  <c r="BA565" i="1"/>
  <c r="BA566" i="1"/>
  <c r="BA567" i="1"/>
  <c r="BA568" i="1"/>
  <c r="BA307" i="1"/>
  <c r="BA570" i="1"/>
  <c r="BA571" i="1"/>
  <c r="BA306" i="1"/>
  <c r="BA308" i="1"/>
  <c r="BA574" i="1"/>
  <c r="BA575" i="1"/>
  <c r="BA576" i="1"/>
  <c r="BA577" i="1"/>
  <c r="BA578" i="1"/>
  <c r="BA579" i="1"/>
  <c r="BA580" i="1"/>
  <c r="BA581" i="1"/>
  <c r="BA44" i="1"/>
  <c r="BA583" i="1"/>
  <c r="BA584" i="1"/>
  <c r="BA585" i="1"/>
  <c r="BA586" i="1"/>
  <c r="BA963" i="1"/>
  <c r="BA588" i="1"/>
  <c r="BA589" i="1"/>
  <c r="BA98" i="1"/>
  <c r="BA591" i="1"/>
  <c r="BA592" i="1"/>
  <c r="BA593" i="1"/>
  <c r="BA594" i="1"/>
  <c r="BA53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553" i="1"/>
  <c r="BA610" i="1"/>
  <c r="BA611" i="1"/>
  <c r="BA612" i="1"/>
  <c r="BA613" i="1"/>
  <c r="BA614" i="1"/>
  <c r="BA615" i="1"/>
  <c r="BA616" i="1"/>
  <c r="BA617" i="1"/>
  <c r="BA618" i="1"/>
  <c r="BA619" i="1"/>
  <c r="BA620" i="1"/>
  <c r="BA253" i="1"/>
  <c r="BA285" i="1"/>
  <c r="BA623" i="1"/>
  <c r="BA624" i="1"/>
  <c r="BA625" i="1"/>
  <c r="BA626" i="1"/>
  <c r="BA627" i="1"/>
  <c r="BA628" i="1"/>
  <c r="BA629" i="1"/>
  <c r="BA630" i="1"/>
  <c r="BA569" i="1"/>
  <c r="BA632" i="1"/>
  <c r="BA633" i="1"/>
  <c r="BA634" i="1"/>
  <c r="BA572" i="1"/>
  <c r="BA636" i="1"/>
  <c r="BA573" i="1"/>
  <c r="BA638" i="1"/>
  <c r="BA639" i="1"/>
  <c r="BA640" i="1"/>
  <c r="BA431" i="1"/>
  <c r="BA642" i="1"/>
  <c r="BA643" i="1"/>
  <c r="BA332" i="1"/>
  <c r="BA645" i="1"/>
  <c r="BA646" i="1"/>
  <c r="BA647" i="1"/>
  <c r="BA648" i="1"/>
  <c r="BA649" i="1"/>
  <c r="BA650" i="1"/>
  <c r="BA651" i="1"/>
  <c r="BA652" i="1"/>
  <c r="BA1026" i="1"/>
  <c r="BA654" i="1"/>
  <c r="BA392" i="1"/>
  <c r="BA393" i="1"/>
  <c r="BA28" i="1"/>
  <c r="BA658" i="1"/>
  <c r="BA659" i="1"/>
  <c r="BA660" i="1"/>
  <c r="BA661" i="1"/>
  <c r="BA662" i="1"/>
  <c r="BA663" i="1"/>
  <c r="BA664" i="1"/>
  <c r="BA665" i="1"/>
  <c r="BA666" i="1"/>
  <c r="BA653" i="1"/>
  <c r="BA668" i="1"/>
  <c r="BA669" i="1"/>
  <c r="BA670" i="1"/>
  <c r="BA671" i="1"/>
  <c r="BA672" i="1"/>
  <c r="BA673" i="1"/>
  <c r="BA674" i="1"/>
  <c r="BA675" i="1"/>
  <c r="BA676" i="1"/>
  <c r="BA1033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949" i="1"/>
  <c r="BA704" i="1"/>
  <c r="BA705" i="1"/>
  <c r="BA706" i="1"/>
  <c r="BA707" i="1"/>
  <c r="BA708" i="1"/>
  <c r="BA709" i="1"/>
  <c r="BA710" i="1"/>
  <c r="BA1034" i="1"/>
  <c r="BA743" i="1"/>
  <c r="BA713" i="1"/>
  <c r="BA714" i="1"/>
  <c r="BA715" i="1"/>
  <c r="BA716" i="1"/>
  <c r="BA717" i="1"/>
  <c r="BA718" i="1"/>
  <c r="BA735" i="1"/>
  <c r="BA720" i="1"/>
  <c r="BA721" i="1"/>
  <c r="BA722" i="1"/>
  <c r="BA778" i="1"/>
  <c r="BA724" i="1"/>
  <c r="BA725" i="1"/>
  <c r="BA726" i="1"/>
  <c r="BA727" i="1"/>
  <c r="BA728" i="1"/>
  <c r="BA729" i="1"/>
  <c r="BA730" i="1"/>
  <c r="BA712" i="1"/>
  <c r="BA732" i="1"/>
  <c r="BA733" i="1"/>
  <c r="BA734" i="1"/>
  <c r="BA1035" i="1"/>
  <c r="BA1036" i="1"/>
  <c r="BA1057" i="1"/>
  <c r="BA738" i="1"/>
  <c r="BA739" i="1"/>
  <c r="BA740" i="1"/>
  <c r="BA1059" i="1"/>
  <c r="BA1067" i="1"/>
  <c r="BA1080" i="1"/>
  <c r="BA1082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301" i="1"/>
  <c r="BA758" i="1"/>
  <c r="BA759" i="1"/>
  <c r="BA408" i="1"/>
  <c r="BA761" i="1"/>
  <c r="BA762" i="1"/>
  <c r="BA763" i="1"/>
  <c r="BA780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1084" i="1"/>
  <c r="BA779" i="1"/>
  <c r="BA790" i="1"/>
  <c r="BA781" i="1"/>
  <c r="BA782" i="1"/>
  <c r="BA783" i="1"/>
  <c r="BA784" i="1"/>
  <c r="BA785" i="1"/>
  <c r="BA786" i="1"/>
  <c r="BA787" i="1"/>
  <c r="BA788" i="1"/>
  <c r="BA789" i="1"/>
  <c r="BA40" i="1"/>
  <c r="BA791" i="1"/>
  <c r="BA792" i="1"/>
  <c r="BA793" i="1"/>
  <c r="BA794" i="1"/>
  <c r="BA1085" i="1"/>
  <c r="BA796" i="1"/>
  <c r="BA797" i="1"/>
  <c r="BA798" i="1"/>
  <c r="BA744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757" i="1"/>
  <c r="BA816" i="1"/>
  <c r="BA817" i="1"/>
  <c r="BA795" i="1"/>
  <c r="BA1164" i="1"/>
  <c r="BA820" i="1"/>
  <c r="BA821" i="1"/>
  <c r="BA822" i="1"/>
  <c r="BA823" i="1"/>
  <c r="BA824" i="1"/>
  <c r="BA656" i="1"/>
  <c r="BA826" i="1"/>
  <c r="BA827" i="1"/>
  <c r="BA828" i="1"/>
  <c r="BA829" i="1"/>
  <c r="BA76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741" i="1"/>
  <c r="BA861" i="1"/>
  <c r="BA862" i="1"/>
  <c r="BA863" i="1"/>
  <c r="BA864" i="1"/>
  <c r="BA865" i="1"/>
  <c r="BA346" i="1"/>
  <c r="BA867" i="1"/>
  <c r="BA723" i="1"/>
  <c r="BA869" i="1"/>
  <c r="BA870" i="1"/>
  <c r="BA871" i="1"/>
  <c r="BA872" i="1"/>
  <c r="BA731" i="1"/>
  <c r="BA874" i="1"/>
  <c r="BA875" i="1"/>
  <c r="BA657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582" i="1"/>
  <c r="BA901" i="1"/>
  <c r="BA902" i="1"/>
  <c r="BA903" i="1"/>
  <c r="BA904" i="1"/>
  <c r="BA906" i="1"/>
  <c r="BA907" i="1"/>
  <c r="BA908" i="1"/>
  <c r="BA909" i="1"/>
  <c r="BA910" i="1"/>
  <c r="BA911" i="1"/>
  <c r="BA799" i="1"/>
  <c r="BA815" i="1"/>
  <c r="BA914" i="1"/>
  <c r="BA915" i="1"/>
  <c r="BA818" i="1"/>
  <c r="BA819" i="1"/>
  <c r="BA825" i="1"/>
  <c r="BA919" i="1"/>
  <c r="BA920" i="1"/>
  <c r="BA921" i="1"/>
  <c r="BA922" i="1"/>
  <c r="BA923" i="1"/>
  <c r="BA924" i="1"/>
  <c r="BA925" i="1"/>
  <c r="BA736" i="1"/>
  <c r="BA927" i="1"/>
  <c r="BA928" i="1"/>
  <c r="BA830" i="1"/>
  <c r="BA930" i="1"/>
  <c r="BA931" i="1"/>
  <c r="BA932" i="1"/>
  <c r="BA933" i="1"/>
  <c r="BA934" i="1"/>
  <c r="BA764" i="1"/>
  <c r="BA936" i="1"/>
  <c r="BA937" i="1"/>
  <c r="BA938" i="1"/>
  <c r="BA939" i="1"/>
  <c r="BA940" i="1"/>
  <c r="BA860" i="1"/>
  <c r="BA942" i="1"/>
  <c r="BA943" i="1"/>
  <c r="BA944" i="1"/>
  <c r="BA945" i="1"/>
  <c r="BA946" i="1"/>
  <c r="BA947" i="1"/>
  <c r="BA948" i="1"/>
  <c r="BA1159" i="1"/>
  <c r="BA950" i="1"/>
  <c r="BA951" i="1"/>
  <c r="BA952" i="1"/>
  <c r="BA953" i="1"/>
  <c r="BA954" i="1"/>
  <c r="BA866" i="1"/>
  <c r="BA955" i="1"/>
  <c r="BA957" i="1"/>
  <c r="BA958" i="1"/>
  <c r="BA59" i="1"/>
  <c r="BA960" i="1"/>
  <c r="BA961" i="1"/>
  <c r="BA962" i="1"/>
  <c r="BA176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74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868" i="1"/>
  <c r="BA1010" i="1"/>
  <c r="BA1011" i="1"/>
  <c r="BA1012" i="1"/>
  <c r="BA1013" i="1"/>
  <c r="BA1014" i="1"/>
  <c r="BA667" i="1"/>
  <c r="BA677" i="1"/>
  <c r="BA1017" i="1"/>
  <c r="BA1018" i="1"/>
  <c r="BA873" i="1"/>
  <c r="BA876" i="1"/>
  <c r="BA1021" i="1"/>
  <c r="BA1022" i="1"/>
  <c r="BA1023" i="1"/>
  <c r="BA1024" i="1"/>
  <c r="BA1025" i="1"/>
  <c r="BA900" i="1"/>
  <c r="BA1027" i="1"/>
  <c r="BA1028" i="1"/>
  <c r="BA1029" i="1"/>
  <c r="BA1030" i="1"/>
  <c r="BA1031" i="1"/>
  <c r="BA1032" i="1"/>
  <c r="BA912" i="1"/>
  <c r="BA29" i="1"/>
  <c r="BA21" i="1"/>
  <c r="BA913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916" i="1"/>
  <c r="BA1058" i="1"/>
  <c r="BA314" i="1"/>
  <c r="BA1060" i="1"/>
  <c r="BA1061" i="1"/>
  <c r="BA1063" i="1"/>
  <c r="BA1064" i="1"/>
  <c r="BA1065" i="1"/>
  <c r="BA1066" i="1"/>
  <c r="BA58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917" i="1"/>
  <c r="BA1081" i="1"/>
  <c r="BA918" i="1"/>
  <c r="BA1083" i="1"/>
  <c r="BA590" i="1"/>
  <c r="BA719" i="1"/>
  <c r="BA1086" i="1"/>
  <c r="BA1087" i="1"/>
  <c r="BA193" i="1"/>
  <c r="BA205" i="1"/>
  <c r="BA180" i="1"/>
  <c r="BA1091" i="1"/>
  <c r="BA1092" i="1"/>
  <c r="BA1093" i="1"/>
  <c r="BA1094" i="1"/>
  <c r="BA1095" i="1"/>
  <c r="BA1096" i="1"/>
  <c r="BA1097" i="1"/>
  <c r="BA926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737" i="1"/>
  <c r="BA1117" i="1"/>
  <c r="BA1118" i="1"/>
  <c r="BA92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935" i="1"/>
  <c r="BA1136" i="1"/>
  <c r="BA1137" i="1"/>
  <c r="BA1138" i="1"/>
  <c r="BA1139" i="1"/>
  <c r="BA1140" i="1"/>
  <c r="BA1141" i="1"/>
  <c r="BA1142" i="1"/>
  <c r="BA1143" i="1"/>
  <c r="BA941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956" i="1"/>
  <c r="BA1160" i="1"/>
  <c r="BA1161" i="1"/>
  <c r="BA1162" i="1"/>
  <c r="BA1163" i="1"/>
  <c r="BA703" i="1"/>
  <c r="BA1165" i="1"/>
  <c r="BA711" i="1"/>
  <c r="BA1167" i="1"/>
  <c r="BA1168" i="1"/>
  <c r="BA1169" i="1"/>
  <c r="BA1170" i="1"/>
  <c r="BA1171" i="1"/>
  <c r="BA324" i="1"/>
  <c r="BA4" i="1"/>
  <c r="BA5" i="1"/>
  <c r="BA6" i="1"/>
  <c r="BA7" i="1"/>
  <c r="BA8" i="1"/>
  <c r="BA9" i="1"/>
  <c r="BA10" i="1"/>
  <c r="BA11" i="1"/>
  <c r="BA12" i="1"/>
  <c r="BA330" i="1"/>
  <c r="BA14" i="1"/>
  <c r="BA223" i="1"/>
  <c r="BA1119" i="1"/>
  <c r="BA17" i="1"/>
  <c r="BA18" i="1"/>
  <c r="BA19" i="1"/>
  <c r="BA421" i="1"/>
  <c r="BA1144" i="1"/>
  <c r="BA22" i="1"/>
  <c r="BA23" i="1"/>
  <c r="BA24" i="1"/>
  <c r="BA25" i="1"/>
  <c r="BA26" i="1"/>
  <c r="BA27" i="1"/>
  <c r="BA91" i="1"/>
  <c r="BA92" i="1"/>
  <c r="BA2" i="1"/>
  <c r="BT324" i="1"/>
  <c r="BT4" i="1"/>
  <c r="BT5" i="1"/>
  <c r="BT6" i="1"/>
  <c r="BT7" i="1"/>
  <c r="BT8" i="1"/>
  <c r="BT9" i="1"/>
  <c r="BT10" i="1"/>
  <c r="BT11" i="1"/>
  <c r="BT12" i="1"/>
  <c r="BT330" i="1"/>
  <c r="BT14" i="1"/>
  <c r="BT223" i="1"/>
  <c r="BT1119" i="1"/>
  <c r="BT17" i="1"/>
  <c r="BT18" i="1"/>
  <c r="BT19" i="1"/>
  <c r="BT421" i="1"/>
  <c r="BT1144" i="1"/>
  <c r="BT22" i="1"/>
  <c r="BT23" i="1"/>
  <c r="BT24" i="1"/>
  <c r="BT25" i="1"/>
  <c r="BT26" i="1"/>
  <c r="BT27" i="1"/>
  <c r="BT91" i="1"/>
  <c r="BT92" i="1"/>
  <c r="BT96" i="1"/>
  <c r="BT31" i="1"/>
  <c r="BT208" i="1"/>
  <c r="BT33" i="1"/>
  <c r="BT34" i="1"/>
  <c r="BT35" i="1"/>
  <c r="BT36" i="1"/>
  <c r="BT37" i="1"/>
  <c r="BT38" i="1"/>
  <c r="BT39" i="1"/>
  <c r="BT622" i="1"/>
  <c r="BT41" i="1"/>
  <c r="BT42" i="1"/>
  <c r="BT424" i="1"/>
  <c r="BT56" i="1"/>
  <c r="BT45" i="1"/>
  <c r="BT46" i="1"/>
  <c r="BT47" i="1"/>
  <c r="BT48" i="1"/>
  <c r="BT49" i="1"/>
  <c r="BT50" i="1"/>
  <c r="BT51" i="1"/>
  <c r="BT52" i="1"/>
  <c r="BT53" i="1"/>
  <c r="BT97" i="1"/>
  <c r="BT55" i="1"/>
  <c r="BT644" i="1"/>
  <c r="BT57" i="1"/>
  <c r="BT58" i="1"/>
  <c r="BT217" i="1"/>
  <c r="BT60" i="1"/>
  <c r="BT61" i="1"/>
  <c r="BT62" i="1"/>
  <c r="BT63" i="1"/>
  <c r="BT64" i="1"/>
  <c r="BT65" i="1"/>
  <c r="BT66" i="1"/>
  <c r="BT67" i="1"/>
  <c r="BT433" i="1"/>
  <c r="BT69" i="1"/>
  <c r="BT1116" i="1"/>
  <c r="BT71" i="1"/>
  <c r="BT72" i="1"/>
  <c r="BT73" i="1"/>
  <c r="BT435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43" i="1"/>
  <c r="BT88" i="1"/>
  <c r="BT89" i="1"/>
  <c r="BT90" i="1"/>
  <c r="BT426" i="1"/>
  <c r="BT609" i="1"/>
  <c r="BT430" i="1"/>
  <c r="BT94" i="1"/>
  <c r="BT95" i="1"/>
  <c r="BT397" i="1"/>
  <c r="BT635" i="1"/>
  <c r="BT631" i="1"/>
  <c r="BT403" i="1"/>
  <c r="BT100" i="1"/>
  <c r="BT101" i="1"/>
  <c r="BT453" i="1"/>
  <c r="BT455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457" i="1"/>
  <c r="BT117" i="1"/>
  <c r="BT118" i="1"/>
  <c r="BT119" i="1"/>
  <c r="BT120" i="1"/>
  <c r="BT121" i="1"/>
  <c r="BT122" i="1"/>
  <c r="BT123" i="1"/>
  <c r="BT124" i="1"/>
  <c r="BT125" i="1"/>
  <c r="BT126" i="1"/>
  <c r="BT127" i="1"/>
  <c r="BT68" i="1"/>
  <c r="BT129" i="1"/>
  <c r="BT130" i="1"/>
  <c r="BT131" i="1"/>
  <c r="BT132" i="1"/>
  <c r="BT133" i="1"/>
  <c r="BT134" i="1"/>
  <c r="BT135" i="1"/>
  <c r="BT136" i="1"/>
  <c r="BT137" i="1"/>
  <c r="BT138" i="1"/>
  <c r="BT139" i="1"/>
  <c r="BT353" i="1"/>
  <c r="BT141" i="1"/>
  <c r="BT142" i="1"/>
  <c r="BT143" i="1"/>
  <c r="BT144" i="1"/>
  <c r="BT145" i="1"/>
  <c r="BT70" i="1"/>
  <c r="BT147" i="1"/>
  <c r="BT148" i="1"/>
  <c r="BT149" i="1"/>
  <c r="BT175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03" i="1"/>
  <c r="BT99" i="1"/>
  <c r="BT102" i="1"/>
  <c r="BT177" i="1"/>
  <c r="BT178" i="1"/>
  <c r="BT179" i="1"/>
  <c r="BT320" i="1"/>
  <c r="BT174" i="1"/>
  <c r="BT182" i="1"/>
  <c r="BT1166" i="1"/>
  <c r="BT459" i="1"/>
  <c r="BT185" i="1"/>
  <c r="BT186" i="1"/>
  <c r="BT187" i="1"/>
  <c r="BT188" i="1"/>
  <c r="BT487" i="1"/>
  <c r="BT190" i="1"/>
  <c r="BT191" i="1"/>
  <c r="BT192" i="1"/>
  <c r="BT355" i="1"/>
  <c r="BT194" i="1"/>
  <c r="BT195" i="1"/>
  <c r="BT196" i="1"/>
  <c r="BT197" i="1"/>
  <c r="BT198" i="1"/>
  <c r="BT199" i="1"/>
  <c r="BT200" i="1"/>
  <c r="BT201" i="1"/>
  <c r="BT202" i="1"/>
  <c r="BT203" i="1"/>
  <c r="BT204" i="1"/>
  <c r="BT93" i="1"/>
  <c r="BT959" i="1"/>
  <c r="BT207" i="1"/>
  <c r="BT1016" i="1"/>
  <c r="BT209" i="1"/>
  <c r="BT210" i="1"/>
  <c r="BT211" i="1"/>
  <c r="BT212" i="1"/>
  <c r="BT213" i="1"/>
  <c r="BT214" i="1"/>
  <c r="BT215" i="1"/>
  <c r="BT216" i="1"/>
  <c r="BT54" i="1"/>
  <c r="BT218" i="1"/>
  <c r="BT219" i="1"/>
  <c r="BT220" i="1"/>
  <c r="BT221" i="1"/>
  <c r="BT222" i="1"/>
  <c r="BT116" i="1"/>
  <c r="BT224" i="1"/>
  <c r="BT225" i="1"/>
  <c r="BT74" i="1"/>
  <c r="BT87" i="1"/>
  <c r="BT228" i="1"/>
  <c r="BT229" i="1"/>
  <c r="BT230" i="1"/>
  <c r="BT231" i="1"/>
  <c r="BT232" i="1"/>
  <c r="BT233" i="1"/>
  <c r="BT234" i="1"/>
  <c r="BT1015" i="1"/>
  <c r="BT236" i="1"/>
  <c r="BT237" i="1"/>
  <c r="BT238" i="1"/>
  <c r="BT239" i="1"/>
  <c r="BT240" i="1"/>
  <c r="BT241" i="1"/>
  <c r="BT1088" i="1"/>
  <c r="BT243" i="1"/>
  <c r="BT244" i="1"/>
  <c r="BT432" i="1"/>
  <c r="BT246" i="1"/>
  <c r="BT247" i="1"/>
  <c r="BT248" i="1"/>
  <c r="BT249" i="1"/>
  <c r="BT250" i="1"/>
  <c r="BT269" i="1"/>
  <c r="BT350" i="1"/>
  <c r="BT235" i="1"/>
  <c r="BT254" i="1"/>
  <c r="BT255" i="1"/>
  <c r="BT256" i="1"/>
  <c r="BT257" i="1"/>
  <c r="BT258" i="1"/>
  <c r="BT30" i="1"/>
  <c r="BT260" i="1"/>
  <c r="BT261" i="1"/>
  <c r="BT262" i="1"/>
  <c r="BT263" i="1"/>
  <c r="BT264" i="1"/>
  <c r="BT189" i="1"/>
  <c r="BT266" i="1"/>
  <c r="BT267" i="1"/>
  <c r="BT268" i="1"/>
  <c r="BT287" i="1"/>
  <c r="BT270" i="1"/>
  <c r="BT32" i="1"/>
  <c r="BT272" i="1"/>
  <c r="BT273" i="1"/>
  <c r="BT274" i="1"/>
  <c r="BT275" i="1"/>
  <c r="BT276" i="1"/>
  <c r="BT128" i="1"/>
  <c r="BT278" i="1"/>
  <c r="BT279" i="1"/>
  <c r="BT280" i="1"/>
  <c r="BT281" i="1"/>
  <c r="BT282" i="1"/>
  <c r="BT283" i="1"/>
  <c r="BT284" i="1"/>
  <c r="BT288" i="1"/>
  <c r="BT286" i="1"/>
  <c r="BT312" i="1"/>
  <c r="BT411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1089" i="1"/>
  <c r="BT302" i="1"/>
  <c r="BT303" i="1"/>
  <c r="BT304" i="1"/>
  <c r="BT305" i="1"/>
  <c r="BT1090" i="1"/>
  <c r="BT1020" i="1"/>
  <c r="BT637" i="1"/>
  <c r="BT309" i="1"/>
  <c r="BT310" i="1"/>
  <c r="BT311" i="1"/>
  <c r="BT16" i="1"/>
  <c r="BT313" i="1"/>
  <c r="BT641" i="1"/>
  <c r="BT315" i="1"/>
  <c r="BT316" i="1"/>
  <c r="BT317" i="1"/>
  <c r="BT318" i="1"/>
  <c r="BT319" i="1"/>
  <c r="BT184" i="1"/>
  <c r="BT321" i="1"/>
  <c r="BT322" i="1"/>
  <c r="BT245" i="1"/>
  <c r="BT1019" i="1"/>
  <c r="BT1098" i="1"/>
  <c r="BT326" i="1"/>
  <c r="BT327" i="1"/>
  <c r="BT328" i="1"/>
  <c r="BT329" i="1"/>
  <c r="BT226" i="1"/>
  <c r="BT331" i="1"/>
  <c r="BT13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15" i="1"/>
  <c r="BT347" i="1"/>
  <c r="BT348" i="1"/>
  <c r="BT349" i="1"/>
  <c r="BT271" i="1"/>
  <c r="BT351" i="1"/>
  <c r="BT352" i="1"/>
  <c r="BT277" i="1"/>
  <c r="BT354" i="1"/>
  <c r="BT489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183" i="1"/>
  <c r="BT242" i="1"/>
  <c r="BT394" i="1"/>
  <c r="BT395" i="1"/>
  <c r="BT396" i="1"/>
  <c r="BT227" i="1"/>
  <c r="BT398" i="1"/>
  <c r="BT400" i="1"/>
  <c r="BT401" i="1"/>
  <c r="BT402" i="1"/>
  <c r="BT513" i="1"/>
  <c r="BT404" i="1"/>
  <c r="BT405" i="1"/>
  <c r="BT406" i="1"/>
  <c r="BT407" i="1"/>
  <c r="BT181" i="1"/>
  <c r="BT409" i="1"/>
  <c r="BT410" i="1"/>
  <c r="BT150" i="1"/>
  <c r="BT412" i="1"/>
  <c r="BT413" i="1"/>
  <c r="BT414" i="1"/>
  <c r="BT415" i="1"/>
  <c r="BT518" i="1"/>
  <c r="BT417" i="1"/>
  <c r="BT418" i="1"/>
  <c r="BT419" i="1"/>
  <c r="BT420" i="1"/>
  <c r="BT522" i="1"/>
  <c r="BT422" i="1"/>
  <c r="BT423" i="1"/>
  <c r="BT259" i="1"/>
  <c r="BT425" i="1"/>
  <c r="BT206" i="1"/>
  <c r="BT427" i="1"/>
  <c r="BT428" i="1"/>
  <c r="BT429" i="1"/>
  <c r="BT323" i="1"/>
  <c r="BT252" i="1"/>
  <c r="BT251" i="1"/>
  <c r="BT265" i="1"/>
  <c r="BT434" i="1"/>
  <c r="BT59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992" i="1"/>
  <c r="BT454" i="1"/>
  <c r="BT1009" i="1"/>
  <c r="BT456" i="1"/>
  <c r="BT140" i="1"/>
  <c r="BT458" i="1"/>
  <c r="BT1135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20" i="1"/>
  <c r="BT488" i="1"/>
  <c r="BT146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3" i="1"/>
  <c r="BT514" i="1"/>
  <c r="BT515" i="1"/>
  <c r="BT516" i="1"/>
  <c r="BT517" i="1"/>
  <c r="BT621" i="1"/>
  <c r="BT519" i="1"/>
  <c r="BT520" i="1"/>
  <c r="BT521" i="1"/>
  <c r="BT325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416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655" i="1"/>
  <c r="BT554" i="1"/>
  <c r="BT555" i="1"/>
  <c r="BT556" i="1"/>
  <c r="BT557" i="1"/>
  <c r="BT559" i="1"/>
  <c r="BT560" i="1"/>
  <c r="BT561" i="1"/>
  <c r="BT558" i="1"/>
  <c r="BT563" i="1"/>
  <c r="BT564" i="1"/>
  <c r="BT565" i="1"/>
  <c r="BT566" i="1"/>
  <c r="BT567" i="1"/>
  <c r="BT568" i="1"/>
  <c r="BT307" i="1"/>
  <c r="BT570" i="1"/>
  <c r="BT571" i="1"/>
  <c r="BT306" i="1"/>
  <c r="BT308" i="1"/>
  <c r="BT574" i="1"/>
  <c r="BT575" i="1"/>
  <c r="BT576" i="1"/>
  <c r="BT577" i="1"/>
  <c r="BT578" i="1"/>
  <c r="BT579" i="1"/>
  <c r="BT580" i="1"/>
  <c r="BT581" i="1"/>
  <c r="BT44" i="1"/>
  <c r="BT583" i="1"/>
  <c r="BT584" i="1"/>
  <c r="BT585" i="1"/>
  <c r="BT586" i="1"/>
  <c r="BT963" i="1"/>
  <c r="BT588" i="1"/>
  <c r="BT589" i="1"/>
  <c r="BT98" i="1"/>
  <c r="BT591" i="1"/>
  <c r="BT592" i="1"/>
  <c r="BT593" i="1"/>
  <c r="BT594" i="1"/>
  <c r="BT53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553" i="1"/>
  <c r="BT610" i="1"/>
  <c r="BT611" i="1"/>
  <c r="BT612" i="1"/>
  <c r="BT613" i="1"/>
  <c r="BT614" i="1"/>
  <c r="BT615" i="1"/>
  <c r="BT616" i="1"/>
  <c r="BT617" i="1"/>
  <c r="BT618" i="1"/>
  <c r="BT619" i="1"/>
  <c r="BT620" i="1"/>
  <c r="BT253" i="1"/>
  <c r="BT285" i="1"/>
  <c r="BT623" i="1"/>
  <c r="BT624" i="1"/>
  <c r="BT625" i="1"/>
  <c r="BT626" i="1"/>
  <c r="BT627" i="1"/>
  <c r="BT628" i="1"/>
  <c r="BT629" i="1"/>
  <c r="BT630" i="1"/>
  <c r="BT569" i="1"/>
  <c r="BT632" i="1"/>
  <c r="BT633" i="1"/>
  <c r="BT634" i="1"/>
  <c r="BT572" i="1"/>
  <c r="BT636" i="1"/>
  <c r="BT573" i="1"/>
  <c r="BT638" i="1"/>
  <c r="BT639" i="1"/>
  <c r="BT640" i="1"/>
  <c r="BT431" i="1"/>
  <c r="BT642" i="1"/>
  <c r="BT643" i="1"/>
  <c r="BT332" i="1"/>
  <c r="BT645" i="1"/>
  <c r="BT646" i="1"/>
  <c r="BT647" i="1"/>
  <c r="BT648" i="1"/>
  <c r="BT649" i="1"/>
  <c r="BT650" i="1"/>
  <c r="BT651" i="1"/>
  <c r="BT652" i="1"/>
  <c r="BT1026" i="1"/>
  <c r="BT654" i="1"/>
  <c r="BT392" i="1"/>
  <c r="BT393" i="1"/>
  <c r="BT28" i="1"/>
  <c r="BT658" i="1"/>
  <c r="BT659" i="1"/>
  <c r="BT660" i="1"/>
  <c r="BT661" i="1"/>
  <c r="BT662" i="1"/>
  <c r="BT663" i="1"/>
  <c r="BT664" i="1"/>
  <c r="BT665" i="1"/>
  <c r="BT666" i="1"/>
  <c r="BT653" i="1"/>
  <c r="BT668" i="1"/>
  <c r="BT669" i="1"/>
  <c r="BT670" i="1"/>
  <c r="BT671" i="1"/>
  <c r="BT672" i="1"/>
  <c r="BT673" i="1"/>
  <c r="BT674" i="1"/>
  <c r="BT675" i="1"/>
  <c r="BT676" i="1"/>
  <c r="BT1033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949" i="1"/>
  <c r="BT704" i="1"/>
  <c r="BT705" i="1"/>
  <c r="BT706" i="1"/>
  <c r="BT707" i="1"/>
  <c r="BT708" i="1"/>
  <c r="BT709" i="1"/>
  <c r="BT710" i="1"/>
  <c r="BT1034" i="1"/>
  <c r="BT743" i="1"/>
  <c r="BT713" i="1"/>
  <c r="BT714" i="1"/>
  <c r="BT715" i="1"/>
  <c r="BT716" i="1"/>
  <c r="BT717" i="1"/>
  <c r="BT718" i="1"/>
  <c r="BT735" i="1"/>
  <c r="BT720" i="1"/>
  <c r="BT721" i="1"/>
  <c r="BT722" i="1"/>
  <c r="BT778" i="1"/>
  <c r="BT724" i="1"/>
  <c r="BT725" i="1"/>
  <c r="BT726" i="1"/>
  <c r="BT727" i="1"/>
  <c r="BT728" i="1"/>
  <c r="BT729" i="1"/>
  <c r="BT730" i="1"/>
  <c r="BT712" i="1"/>
  <c r="BT732" i="1"/>
  <c r="BT733" i="1"/>
  <c r="BT734" i="1"/>
  <c r="BT1035" i="1"/>
  <c r="BT1036" i="1"/>
  <c r="BT1057" i="1"/>
  <c r="BT738" i="1"/>
  <c r="BT739" i="1"/>
  <c r="BT740" i="1"/>
  <c r="BT1059" i="1"/>
  <c r="BT1067" i="1"/>
  <c r="BT1080" i="1"/>
  <c r="BT1082" i="1"/>
  <c r="BT745" i="1"/>
  <c r="BT746" i="1"/>
  <c r="BT747" i="1"/>
  <c r="BT748" i="1"/>
  <c r="BT749" i="1"/>
  <c r="BT750" i="1"/>
  <c r="BT751" i="1"/>
  <c r="BT752" i="1"/>
  <c r="BT753" i="1"/>
  <c r="BT754" i="1"/>
  <c r="BT755" i="1"/>
  <c r="BT756" i="1"/>
  <c r="BT301" i="1"/>
  <c r="BT758" i="1"/>
  <c r="BT759" i="1"/>
  <c r="BT408" i="1"/>
  <c r="BT761" i="1"/>
  <c r="BT762" i="1"/>
  <c r="BT763" i="1"/>
  <c r="BT780" i="1"/>
  <c r="BT765" i="1"/>
  <c r="BT766" i="1"/>
  <c r="BT767" i="1"/>
  <c r="BT768" i="1"/>
  <c r="BT769" i="1"/>
  <c r="BT770" i="1"/>
  <c r="BT771" i="1"/>
  <c r="BT772" i="1"/>
  <c r="BT773" i="1"/>
  <c r="BT774" i="1"/>
  <c r="BT775" i="1"/>
  <c r="BT776" i="1"/>
  <c r="BT777" i="1"/>
  <c r="BT1084" i="1"/>
  <c r="BT779" i="1"/>
  <c r="BT790" i="1"/>
  <c r="BT781" i="1"/>
  <c r="BT782" i="1"/>
  <c r="BT783" i="1"/>
  <c r="BT784" i="1"/>
  <c r="BT785" i="1"/>
  <c r="BT786" i="1"/>
  <c r="BT787" i="1"/>
  <c r="BT788" i="1"/>
  <c r="BT789" i="1"/>
  <c r="BT40" i="1"/>
  <c r="BT791" i="1"/>
  <c r="BT792" i="1"/>
  <c r="BT793" i="1"/>
  <c r="BT794" i="1"/>
  <c r="BT1085" i="1"/>
  <c r="BT796" i="1"/>
  <c r="BT797" i="1"/>
  <c r="BT798" i="1"/>
  <c r="BT744" i="1"/>
  <c r="BT800" i="1"/>
  <c r="BT801" i="1"/>
  <c r="BT802" i="1"/>
  <c r="BT803" i="1"/>
  <c r="BT804" i="1"/>
  <c r="BT805" i="1"/>
  <c r="BT806" i="1"/>
  <c r="BT807" i="1"/>
  <c r="BT808" i="1"/>
  <c r="BT809" i="1"/>
  <c r="BT810" i="1"/>
  <c r="BT811" i="1"/>
  <c r="BT812" i="1"/>
  <c r="BT813" i="1"/>
  <c r="BT814" i="1"/>
  <c r="BT757" i="1"/>
  <c r="BT816" i="1"/>
  <c r="BT817" i="1"/>
  <c r="BT795" i="1"/>
  <c r="BT1164" i="1"/>
  <c r="BT820" i="1"/>
  <c r="BT821" i="1"/>
  <c r="BT822" i="1"/>
  <c r="BT823" i="1"/>
  <c r="BT824" i="1"/>
  <c r="BT656" i="1"/>
  <c r="BT826" i="1"/>
  <c r="BT827" i="1"/>
  <c r="BT828" i="1"/>
  <c r="BT829" i="1"/>
  <c r="BT760" i="1"/>
  <c r="BT831" i="1"/>
  <c r="BT832" i="1"/>
  <c r="BT833" i="1"/>
  <c r="BT834" i="1"/>
  <c r="BT835" i="1"/>
  <c r="BT836" i="1"/>
  <c r="BT837" i="1"/>
  <c r="BT838" i="1"/>
  <c r="BT839" i="1"/>
  <c r="BT840" i="1"/>
  <c r="BT841" i="1"/>
  <c r="BT842" i="1"/>
  <c r="BT843" i="1"/>
  <c r="BT844" i="1"/>
  <c r="BT845" i="1"/>
  <c r="BT846" i="1"/>
  <c r="BT847" i="1"/>
  <c r="BT848" i="1"/>
  <c r="BT849" i="1"/>
  <c r="BT850" i="1"/>
  <c r="BT851" i="1"/>
  <c r="BT852" i="1"/>
  <c r="BT853" i="1"/>
  <c r="BT854" i="1"/>
  <c r="BT855" i="1"/>
  <c r="BT856" i="1"/>
  <c r="BT857" i="1"/>
  <c r="BT858" i="1"/>
  <c r="BT859" i="1"/>
  <c r="BT741" i="1"/>
  <c r="BT861" i="1"/>
  <c r="BT862" i="1"/>
  <c r="BT863" i="1"/>
  <c r="BT864" i="1"/>
  <c r="BT865" i="1"/>
  <c r="BT346" i="1"/>
  <c r="BT867" i="1"/>
  <c r="BT723" i="1"/>
  <c r="BT869" i="1"/>
  <c r="BT870" i="1"/>
  <c r="BT871" i="1"/>
  <c r="BT872" i="1"/>
  <c r="BT731" i="1"/>
  <c r="BT874" i="1"/>
  <c r="BT875" i="1"/>
  <c r="BT657" i="1"/>
  <c r="BT877" i="1"/>
  <c r="BT878" i="1"/>
  <c r="BT879" i="1"/>
  <c r="BT880" i="1"/>
  <c r="BT881" i="1"/>
  <c r="BT882" i="1"/>
  <c r="BT883" i="1"/>
  <c r="BT884" i="1"/>
  <c r="BT885" i="1"/>
  <c r="BT886" i="1"/>
  <c r="BT887" i="1"/>
  <c r="BT888" i="1"/>
  <c r="BT889" i="1"/>
  <c r="BT890" i="1"/>
  <c r="BT891" i="1"/>
  <c r="BT892" i="1"/>
  <c r="BT893" i="1"/>
  <c r="BT894" i="1"/>
  <c r="BT895" i="1"/>
  <c r="BT896" i="1"/>
  <c r="BT897" i="1"/>
  <c r="BT898" i="1"/>
  <c r="BT899" i="1"/>
  <c r="BT582" i="1"/>
  <c r="BT901" i="1"/>
  <c r="BT902" i="1"/>
  <c r="BT903" i="1"/>
  <c r="BT904" i="1"/>
  <c r="BT906" i="1"/>
  <c r="BT907" i="1"/>
  <c r="BT908" i="1"/>
  <c r="BT909" i="1"/>
  <c r="BT910" i="1"/>
  <c r="BT911" i="1"/>
  <c r="BT799" i="1"/>
  <c r="BT815" i="1"/>
  <c r="BT914" i="1"/>
  <c r="BT915" i="1"/>
  <c r="BT818" i="1"/>
  <c r="BT819" i="1"/>
  <c r="BT825" i="1"/>
  <c r="BT919" i="1"/>
  <c r="BT920" i="1"/>
  <c r="BT921" i="1"/>
  <c r="BT922" i="1"/>
  <c r="BT923" i="1"/>
  <c r="BT924" i="1"/>
  <c r="BT925" i="1"/>
  <c r="BT736" i="1"/>
  <c r="BT927" i="1"/>
  <c r="BT928" i="1"/>
  <c r="BT830" i="1"/>
  <c r="BT930" i="1"/>
  <c r="BT931" i="1"/>
  <c r="BT932" i="1"/>
  <c r="BT933" i="1"/>
  <c r="BT934" i="1"/>
  <c r="BT764" i="1"/>
  <c r="BT936" i="1"/>
  <c r="BT937" i="1"/>
  <c r="BT938" i="1"/>
  <c r="BT939" i="1"/>
  <c r="BT940" i="1"/>
  <c r="BT860" i="1"/>
  <c r="BT942" i="1"/>
  <c r="BT943" i="1"/>
  <c r="BT944" i="1"/>
  <c r="BT945" i="1"/>
  <c r="BT946" i="1"/>
  <c r="BT947" i="1"/>
  <c r="BT948" i="1"/>
  <c r="BT1159" i="1"/>
  <c r="BT950" i="1"/>
  <c r="BT951" i="1"/>
  <c r="BT952" i="1"/>
  <c r="BT953" i="1"/>
  <c r="BT954" i="1"/>
  <c r="BT866" i="1"/>
  <c r="BT955" i="1"/>
  <c r="BT957" i="1"/>
  <c r="BT958" i="1"/>
  <c r="BT59" i="1"/>
  <c r="BT960" i="1"/>
  <c r="BT961" i="1"/>
  <c r="BT962" i="1"/>
  <c r="BT176" i="1"/>
  <c r="BT964" i="1"/>
  <c r="BT965" i="1"/>
  <c r="BT966" i="1"/>
  <c r="BT967" i="1"/>
  <c r="BT968" i="1"/>
  <c r="BT969" i="1"/>
  <c r="BT970" i="1"/>
  <c r="BT971" i="1"/>
  <c r="BT972" i="1"/>
  <c r="BT974" i="1"/>
  <c r="BT975" i="1"/>
  <c r="BT976" i="1"/>
  <c r="BT977" i="1"/>
  <c r="BT978" i="1"/>
  <c r="BT979" i="1"/>
  <c r="BT980" i="1"/>
  <c r="BT981" i="1"/>
  <c r="BT982" i="1"/>
  <c r="BT983" i="1"/>
  <c r="BT984" i="1"/>
  <c r="BT985" i="1"/>
  <c r="BT986" i="1"/>
  <c r="BT987" i="1"/>
  <c r="BT988" i="1"/>
  <c r="BT989" i="1"/>
  <c r="BT990" i="1"/>
  <c r="BT991" i="1"/>
  <c r="BT742" i="1"/>
  <c r="BT993" i="1"/>
  <c r="BT994" i="1"/>
  <c r="BT995" i="1"/>
  <c r="BT996" i="1"/>
  <c r="BT997" i="1"/>
  <c r="BT998" i="1"/>
  <c r="BT999" i="1"/>
  <c r="BT1000" i="1"/>
  <c r="BT1001" i="1"/>
  <c r="BT1002" i="1"/>
  <c r="BT1003" i="1"/>
  <c r="BT1004" i="1"/>
  <c r="BT1005" i="1"/>
  <c r="BT1006" i="1"/>
  <c r="BT1007" i="1"/>
  <c r="BT1008" i="1"/>
  <c r="BT868" i="1"/>
  <c r="BT1010" i="1"/>
  <c r="BT1011" i="1"/>
  <c r="BT1012" i="1"/>
  <c r="BT1013" i="1"/>
  <c r="BT1014" i="1"/>
  <c r="BT667" i="1"/>
  <c r="BT677" i="1"/>
  <c r="BT1017" i="1"/>
  <c r="BT1018" i="1"/>
  <c r="BT873" i="1"/>
  <c r="BT876" i="1"/>
  <c r="BT1021" i="1"/>
  <c r="BT1022" i="1"/>
  <c r="BT1023" i="1"/>
  <c r="BT1024" i="1"/>
  <c r="BT1025" i="1"/>
  <c r="BT900" i="1"/>
  <c r="BT1027" i="1"/>
  <c r="BT1028" i="1"/>
  <c r="BT1029" i="1"/>
  <c r="BT1030" i="1"/>
  <c r="BT1031" i="1"/>
  <c r="BT1032" i="1"/>
  <c r="BT912" i="1"/>
  <c r="BT29" i="1"/>
  <c r="BT21" i="1"/>
  <c r="BT913" i="1"/>
  <c r="BT1037" i="1"/>
  <c r="BT1038" i="1"/>
  <c r="BT1039" i="1"/>
  <c r="BT1040" i="1"/>
  <c r="BT1041" i="1"/>
  <c r="BT1042" i="1"/>
  <c r="BT1043" i="1"/>
  <c r="BT1044" i="1"/>
  <c r="BT1045" i="1"/>
  <c r="BT1046" i="1"/>
  <c r="BT1047" i="1"/>
  <c r="BT1048" i="1"/>
  <c r="BT1049" i="1"/>
  <c r="BT1050" i="1"/>
  <c r="BT1051" i="1"/>
  <c r="BT1052" i="1"/>
  <c r="BT1053" i="1"/>
  <c r="BT1054" i="1"/>
  <c r="BT1055" i="1"/>
  <c r="BT1056" i="1"/>
  <c r="BT916" i="1"/>
  <c r="BT1058" i="1"/>
  <c r="BT314" i="1"/>
  <c r="BT1060" i="1"/>
  <c r="BT1061" i="1"/>
  <c r="BT1062" i="1"/>
  <c r="BT1063" i="1"/>
  <c r="BT1064" i="1"/>
  <c r="BT1065" i="1"/>
  <c r="BT1066" i="1"/>
  <c r="BT587" i="1"/>
  <c r="BT1068" i="1"/>
  <c r="BT1069" i="1"/>
  <c r="BT1070" i="1"/>
  <c r="BT1071" i="1"/>
  <c r="BT1072" i="1"/>
  <c r="BT1073" i="1"/>
  <c r="BT1074" i="1"/>
  <c r="BT1075" i="1"/>
  <c r="BT1076" i="1"/>
  <c r="BT1077" i="1"/>
  <c r="BT1078" i="1"/>
  <c r="BT1079" i="1"/>
  <c r="BT917" i="1"/>
  <c r="BT1081" i="1"/>
  <c r="BT918" i="1"/>
  <c r="BT1083" i="1"/>
  <c r="BT590" i="1"/>
  <c r="BT719" i="1"/>
  <c r="BT1086" i="1"/>
  <c r="BT1087" i="1"/>
  <c r="BT193" i="1"/>
  <c r="BT205" i="1"/>
  <c r="BT180" i="1"/>
  <c r="BT1091" i="1"/>
  <c r="BT1092" i="1"/>
  <c r="BT1093" i="1"/>
  <c r="BT1094" i="1"/>
  <c r="BT1095" i="1"/>
  <c r="BT1096" i="1"/>
  <c r="BT1097" i="1"/>
  <c r="BT926" i="1"/>
  <c r="BT1099" i="1"/>
  <c r="BT1100" i="1"/>
  <c r="BT1101" i="1"/>
  <c r="BT1102" i="1"/>
  <c r="BT1103" i="1"/>
  <c r="BT1104" i="1"/>
  <c r="BT1105" i="1"/>
  <c r="BT1106" i="1"/>
  <c r="BT1107" i="1"/>
  <c r="BT1108" i="1"/>
  <c r="BT1109" i="1"/>
  <c r="BT1110" i="1"/>
  <c r="BT1111" i="1"/>
  <c r="BT1112" i="1"/>
  <c r="BT1113" i="1"/>
  <c r="BT1114" i="1"/>
  <c r="BT1115" i="1"/>
  <c r="BT737" i="1"/>
  <c r="BT1117" i="1"/>
  <c r="BT1118" i="1"/>
  <c r="BT929" i="1"/>
  <c r="BT1120" i="1"/>
  <c r="BT1121" i="1"/>
  <c r="BT1122" i="1"/>
  <c r="BT1123" i="1"/>
  <c r="BT1124" i="1"/>
  <c r="BT1125" i="1"/>
  <c r="BT1126" i="1"/>
  <c r="BT1127" i="1"/>
  <c r="BT1128" i="1"/>
  <c r="BT1129" i="1"/>
  <c r="BT1130" i="1"/>
  <c r="BT1131" i="1"/>
  <c r="BT1132" i="1"/>
  <c r="BT1133" i="1"/>
  <c r="BT1134" i="1"/>
  <c r="BT935" i="1"/>
  <c r="BT1136" i="1"/>
  <c r="BT1137" i="1"/>
  <c r="BT1138" i="1"/>
  <c r="BT1139" i="1"/>
  <c r="BT1140" i="1"/>
  <c r="BT1141" i="1"/>
  <c r="BT1142" i="1"/>
  <c r="BT1143" i="1"/>
  <c r="BT941" i="1"/>
  <c r="BT1145" i="1"/>
  <c r="BT1146" i="1"/>
  <c r="BT1147" i="1"/>
  <c r="BT1148" i="1"/>
  <c r="BT1149" i="1"/>
  <c r="BT1150" i="1"/>
  <c r="BT1151" i="1"/>
  <c r="BT1152" i="1"/>
  <c r="BT1153" i="1"/>
  <c r="BT1154" i="1"/>
  <c r="BT1155" i="1"/>
  <c r="BT1156" i="1"/>
  <c r="BT1157" i="1"/>
  <c r="BT1158" i="1"/>
  <c r="BT956" i="1"/>
  <c r="BT1160" i="1"/>
  <c r="BT1161" i="1"/>
  <c r="BT1162" i="1"/>
  <c r="BT1163" i="1"/>
  <c r="BT703" i="1"/>
  <c r="BT1165" i="1"/>
  <c r="BT711" i="1"/>
  <c r="BT1167" i="1"/>
  <c r="BT1168" i="1"/>
  <c r="BT1169" i="1"/>
  <c r="BT1170" i="1"/>
  <c r="BT1171" i="1"/>
  <c r="BT2" i="1"/>
  <c r="B2" i="32" l="1"/>
  <c r="D32" i="32"/>
  <c r="D33" i="32" s="1"/>
  <c r="D34" i="32" s="1"/>
  <c r="D35" i="32" s="1"/>
  <c r="D36" i="32" s="1"/>
  <c r="D27" i="32"/>
  <c r="D28" i="32" s="1"/>
  <c r="D29" i="32" s="1"/>
  <c r="D30" i="32" s="1"/>
  <c r="D31" i="32" s="1"/>
  <c r="D22" i="32"/>
  <c r="D23" i="32" s="1"/>
  <c r="D24" i="32" s="1"/>
  <c r="D25" i="32" s="1"/>
  <c r="D26" i="32" s="1"/>
  <c r="D17" i="32"/>
  <c r="D18" i="32" s="1"/>
  <c r="D19" i="32" s="1"/>
  <c r="D20" i="32" s="1"/>
  <c r="D21" i="32" s="1"/>
  <c r="D12" i="32"/>
  <c r="D13" i="32" s="1"/>
  <c r="D14" i="32" s="1"/>
  <c r="D15" i="32" s="1"/>
  <c r="D16" i="32" s="1"/>
  <c r="D7" i="32"/>
  <c r="D8" i="32" s="1"/>
  <c r="D9" i="32" s="1"/>
  <c r="D10" i="32" s="1"/>
  <c r="D11" i="32" s="1"/>
  <c r="D2" i="32"/>
  <c r="D3" i="32" s="1"/>
  <c r="D4" i="32" s="1"/>
  <c r="D5" i="32" s="1"/>
  <c r="D6" i="32" s="1"/>
  <c r="A7" i="32"/>
  <c r="A8" i="32" s="1"/>
  <c r="A9" i="32" s="1"/>
  <c r="A10" i="32" s="1"/>
  <c r="A11" i="32" s="1"/>
  <c r="A3" i="32"/>
  <c r="B3" i="32" s="1"/>
  <c r="A12" i="32" l="1"/>
  <c r="A13" i="32" s="1"/>
  <c r="A14" i="32" s="1"/>
  <c r="A15" i="32" s="1"/>
  <c r="A16" i="32" s="1"/>
  <c r="B16" i="32" s="1"/>
  <c r="A4" i="32"/>
  <c r="B12" i="32" l="1"/>
  <c r="B15" i="32"/>
  <c r="B13" i="32"/>
  <c r="B14" i="32"/>
  <c r="A17" i="32"/>
  <c r="A18" i="32" s="1"/>
  <c r="A5" i="32"/>
  <c r="B4" i="32"/>
  <c r="B17" i="32" l="1"/>
  <c r="A22" i="32"/>
  <c r="A23" i="32" s="1"/>
  <c r="B5" i="32"/>
  <c r="A6" i="32"/>
  <c r="B6" i="32" s="1"/>
  <c r="A19" i="32"/>
  <c r="B18" i="32"/>
  <c r="B22" i="32" l="1"/>
  <c r="A27" i="32"/>
  <c r="A28" i="32" s="1"/>
  <c r="A20" i="32"/>
  <c r="B19" i="32"/>
  <c r="A24" i="32"/>
  <c r="B23" i="32"/>
  <c r="B27" i="32" l="1"/>
  <c r="A32" i="32"/>
  <c r="A33" i="32" s="1"/>
  <c r="A29" i="32"/>
  <c r="B28" i="32"/>
  <c r="A25" i="32"/>
  <c r="B24" i="32"/>
  <c r="B32" i="32"/>
  <c r="A21" i="32"/>
  <c r="B21" i="32" s="1"/>
  <c r="B20" i="32"/>
  <c r="AW1164" i="1"/>
  <c r="AV1164" i="1"/>
  <c r="AU1164" i="1"/>
  <c r="AX1164" i="1" s="1"/>
  <c r="AT1164" i="1"/>
  <c r="AS1164" i="1"/>
  <c r="AR1164" i="1"/>
  <c r="AQ1164" i="1"/>
  <c r="AF1164" i="1"/>
  <c r="K1164" i="1"/>
  <c r="A26" i="32" l="1"/>
  <c r="B26" i="32" s="1"/>
  <c r="B25" i="32"/>
  <c r="A34" i="32"/>
  <c r="B33" i="32"/>
  <c r="A30" i="32"/>
  <c r="B29" i="32"/>
  <c r="G19" i="21"/>
  <c r="G18" i="21"/>
  <c r="G20" i="21"/>
  <c r="AW409" i="1"/>
  <c r="AV409" i="1"/>
  <c r="AU409" i="1"/>
  <c r="AX409" i="1" s="1"/>
  <c r="AT409" i="1"/>
  <c r="AS409" i="1"/>
  <c r="AD409" i="1"/>
  <c r="AF409" i="1" s="1"/>
  <c r="A31" i="32" l="1"/>
  <c r="B31" i="32" s="1"/>
  <c r="B30" i="32"/>
  <c r="A35" i="32"/>
  <c r="B34" i="32"/>
  <c r="AW756" i="1"/>
  <c r="AV756" i="1"/>
  <c r="AU756" i="1"/>
  <c r="AT756" i="1"/>
  <c r="AS756" i="1"/>
  <c r="AR756" i="1"/>
  <c r="AQ756" i="1"/>
  <c r="AQ762" i="1"/>
  <c r="AD756" i="1"/>
  <c r="AF756" i="1" s="1"/>
  <c r="A36" i="32" l="1"/>
  <c r="B36" i="32" s="1"/>
  <c r="B35" i="32"/>
  <c r="BS964" i="1"/>
  <c r="BR964" i="1"/>
  <c r="BQ964" i="1"/>
  <c r="BP964" i="1"/>
  <c r="BO964" i="1"/>
  <c r="BN964" i="1"/>
  <c r="BM964" i="1"/>
  <c r="BL964" i="1"/>
  <c r="BK964" i="1"/>
  <c r="AW964" i="1"/>
  <c r="AV964" i="1"/>
  <c r="AU964" i="1"/>
  <c r="AX964" i="1" s="1"/>
  <c r="AT964" i="1"/>
  <c r="AS964" i="1"/>
  <c r="AR964" i="1"/>
  <c r="AQ964" i="1"/>
  <c r="AD964" i="1"/>
  <c r="AF964" i="1" s="1"/>
  <c r="Z964" i="1"/>
  <c r="K964" i="1"/>
  <c r="H964" i="1"/>
  <c r="AB964" i="1" l="1"/>
  <c r="BK249" i="1"/>
  <c r="BL249" i="1"/>
  <c r="BM249" i="1"/>
  <c r="BN249" i="1"/>
  <c r="BO249" i="1"/>
  <c r="BP249" i="1"/>
  <c r="BQ249" i="1"/>
  <c r="BR249" i="1"/>
  <c r="BS249" i="1"/>
  <c r="AQ249" i="1"/>
  <c r="AR249" i="1"/>
  <c r="AS249" i="1"/>
  <c r="AT249" i="1"/>
  <c r="AU249" i="1"/>
  <c r="AX249" i="1" s="1"/>
  <c r="AV249" i="1"/>
  <c r="AW249" i="1"/>
  <c r="AD249" i="1"/>
  <c r="K249" i="1"/>
  <c r="AB249" i="1" s="1"/>
  <c r="I5" i="18" l="1"/>
  <c r="I6" i="18"/>
  <c r="I7" i="18"/>
  <c r="I8" i="18"/>
  <c r="I9" i="18"/>
  <c r="I10" i="18"/>
  <c r="I4" i="18"/>
  <c r="AU584" i="1"/>
  <c r="AS324" i="1"/>
  <c r="AT324" i="1"/>
  <c r="AU324" i="1"/>
  <c r="AV324" i="1"/>
  <c r="AW324" i="1"/>
  <c r="AS4" i="1"/>
  <c r="AT4" i="1"/>
  <c r="AU4" i="1"/>
  <c r="AV4" i="1"/>
  <c r="AW4" i="1"/>
  <c r="AS5" i="1"/>
  <c r="AT5" i="1"/>
  <c r="AU5" i="1"/>
  <c r="AV5" i="1"/>
  <c r="AW5" i="1"/>
  <c r="AS6" i="1"/>
  <c r="AT6" i="1"/>
  <c r="AU6" i="1"/>
  <c r="AV6" i="1"/>
  <c r="AW6" i="1"/>
  <c r="AS7" i="1"/>
  <c r="AT7" i="1"/>
  <c r="AU7" i="1"/>
  <c r="AV7" i="1"/>
  <c r="AW7" i="1"/>
  <c r="AS8" i="1"/>
  <c r="AT8" i="1"/>
  <c r="AU8" i="1"/>
  <c r="AV8" i="1"/>
  <c r="AW8" i="1"/>
  <c r="AS9" i="1"/>
  <c r="AT9" i="1"/>
  <c r="AU9" i="1"/>
  <c r="AV9" i="1"/>
  <c r="AW9" i="1"/>
  <c r="AS10" i="1"/>
  <c r="AT10" i="1"/>
  <c r="AU10" i="1"/>
  <c r="AV10" i="1"/>
  <c r="AW10" i="1"/>
  <c r="AS11" i="1"/>
  <c r="AT11" i="1"/>
  <c r="AU11" i="1"/>
  <c r="AV11" i="1"/>
  <c r="AW11" i="1"/>
  <c r="AS12" i="1"/>
  <c r="AT12" i="1"/>
  <c r="AU12" i="1"/>
  <c r="AV12" i="1"/>
  <c r="AW12" i="1"/>
  <c r="AS330" i="1"/>
  <c r="AT330" i="1"/>
  <c r="AU330" i="1"/>
  <c r="AV330" i="1"/>
  <c r="AW330" i="1"/>
  <c r="AS14" i="1"/>
  <c r="AT14" i="1"/>
  <c r="AU14" i="1"/>
  <c r="AV14" i="1"/>
  <c r="AW14" i="1"/>
  <c r="AS223" i="1"/>
  <c r="AT223" i="1"/>
  <c r="AU223" i="1"/>
  <c r="AV223" i="1"/>
  <c r="AW223" i="1"/>
  <c r="AS1119" i="1"/>
  <c r="AT1119" i="1"/>
  <c r="AU1119" i="1"/>
  <c r="AV1119" i="1"/>
  <c r="AW1119" i="1"/>
  <c r="AS17" i="1"/>
  <c r="AT17" i="1"/>
  <c r="AU17" i="1"/>
  <c r="AV17" i="1"/>
  <c r="AW17" i="1"/>
  <c r="AS18" i="1"/>
  <c r="AT18" i="1"/>
  <c r="AU18" i="1"/>
  <c r="AV18" i="1"/>
  <c r="AW18" i="1"/>
  <c r="AS19" i="1"/>
  <c r="AT19" i="1"/>
  <c r="AU19" i="1"/>
  <c r="AV19" i="1"/>
  <c r="AW19" i="1"/>
  <c r="AS421" i="1"/>
  <c r="AT421" i="1"/>
  <c r="AU421" i="1"/>
  <c r="AV421" i="1"/>
  <c r="AW421" i="1"/>
  <c r="AS1144" i="1"/>
  <c r="AT1144" i="1"/>
  <c r="AU1144" i="1"/>
  <c r="AV1144" i="1"/>
  <c r="AW1144" i="1"/>
  <c r="AS22" i="1"/>
  <c r="AT22" i="1"/>
  <c r="AU22" i="1"/>
  <c r="AV22" i="1"/>
  <c r="AW22" i="1"/>
  <c r="AS23" i="1"/>
  <c r="AT23" i="1"/>
  <c r="AU23" i="1"/>
  <c r="AV23" i="1"/>
  <c r="AW23" i="1"/>
  <c r="AS24" i="1"/>
  <c r="AT24" i="1"/>
  <c r="AU24" i="1"/>
  <c r="AV24" i="1"/>
  <c r="AW24" i="1"/>
  <c r="AS25" i="1"/>
  <c r="AT25" i="1"/>
  <c r="AU25" i="1"/>
  <c r="AV25" i="1"/>
  <c r="AW25" i="1"/>
  <c r="AS26" i="1"/>
  <c r="AT26" i="1"/>
  <c r="AU26" i="1"/>
  <c r="AV26" i="1"/>
  <c r="AW26" i="1"/>
  <c r="AS27" i="1"/>
  <c r="AT27" i="1"/>
  <c r="AU27" i="1"/>
  <c r="AV27" i="1"/>
  <c r="AW27" i="1"/>
  <c r="AS91" i="1"/>
  <c r="AT91" i="1"/>
  <c r="AU91" i="1"/>
  <c r="AV91" i="1"/>
  <c r="AW91" i="1"/>
  <c r="AS92" i="1"/>
  <c r="AT92" i="1"/>
  <c r="AU92" i="1"/>
  <c r="AV92" i="1"/>
  <c r="AW92" i="1"/>
  <c r="AS96" i="1"/>
  <c r="AT96" i="1"/>
  <c r="AU96" i="1"/>
  <c r="AV96" i="1"/>
  <c r="AW96" i="1"/>
  <c r="AS31" i="1"/>
  <c r="AT31" i="1"/>
  <c r="AU31" i="1"/>
  <c r="AV31" i="1"/>
  <c r="AW31" i="1"/>
  <c r="AS208" i="1"/>
  <c r="AT208" i="1"/>
  <c r="AU208" i="1"/>
  <c r="AV208" i="1"/>
  <c r="AW208" i="1"/>
  <c r="AS33" i="1"/>
  <c r="AT33" i="1"/>
  <c r="AU33" i="1"/>
  <c r="AV33" i="1"/>
  <c r="AW33" i="1"/>
  <c r="AS34" i="1"/>
  <c r="AT34" i="1"/>
  <c r="AU34" i="1"/>
  <c r="AV34" i="1"/>
  <c r="AW34" i="1"/>
  <c r="AS35" i="1"/>
  <c r="AT35" i="1"/>
  <c r="AU35" i="1"/>
  <c r="AV35" i="1"/>
  <c r="AW35" i="1"/>
  <c r="AS36" i="1"/>
  <c r="AT36" i="1"/>
  <c r="AU36" i="1"/>
  <c r="AV36" i="1"/>
  <c r="AW36" i="1"/>
  <c r="AS37" i="1"/>
  <c r="AT37" i="1"/>
  <c r="AU37" i="1"/>
  <c r="AV37" i="1"/>
  <c r="AW37" i="1"/>
  <c r="AS38" i="1"/>
  <c r="AT38" i="1"/>
  <c r="AU38" i="1"/>
  <c r="AV38" i="1"/>
  <c r="AW38" i="1"/>
  <c r="AS39" i="1"/>
  <c r="AT39" i="1"/>
  <c r="AU39" i="1"/>
  <c r="AV39" i="1"/>
  <c r="AW39" i="1"/>
  <c r="AS622" i="1"/>
  <c r="AT622" i="1"/>
  <c r="AU622" i="1"/>
  <c r="AV622" i="1"/>
  <c r="AW622" i="1"/>
  <c r="AS41" i="1"/>
  <c r="AT41" i="1"/>
  <c r="AU41" i="1"/>
  <c r="AV41" i="1"/>
  <c r="AW41" i="1"/>
  <c r="AS42" i="1"/>
  <c r="AT42" i="1"/>
  <c r="AU42" i="1"/>
  <c r="AV42" i="1"/>
  <c r="AW42" i="1"/>
  <c r="AS424" i="1"/>
  <c r="AT424" i="1"/>
  <c r="AU424" i="1"/>
  <c r="AV424" i="1"/>
  <c r="AW424" i="1"/>
  <c r="AS56" i="1"/>
  <c r="AT56" i="1"/>
  <c r="AU56" i="1"/>
  <c r="AV56" i="1"/>
  <c r="AW56" i="1"/>
  <c r="AS45" i="1"/>
  <c r="AT45" i="1"/>
  <c r="AU45" i="1"/>
  <c r="AV45" i="1"/>
  <c r="AW45" i="1"/>
  <c r="AS46" i="1"/>
  <c r="AT46" i="1"/>
  <c r="AU46" i="1"/>
  <c r="AV46" i="1"/>
  <c r="AW46" i="1"/>
  <c r="AS47" i="1"/>
  <c r="AT47" i="1"/>
  <c r="AU47" i="1"/>
  <c r="AV47" i="1"/>
  <c r="AW47" i="1"/>
  <c r="AS48" i="1"/>
  <c r="AT48" i="1"/>
  <c r="AU48" i="1"/>
  <c r="AV48" i="1"/>
  <c r="AW48" i="1"/>
  <c r="AS49" i="1"/>
  <c r="AT49" i="1"/>
  <c r="AU49" i="1"/>
  <c r="AV49" i="1"/>
  <c r="AW49" i="1"/>
  <c r="AS50" i="1"/>
  <c r="AT50" i="1"/>
  <c r="AU50" i="1"/>
  <c r="AV50" i="1"/>
  <c r="AW50" i="1"/>
  <c r="AS51" i="1"/>
  <c r="AT51" i="1"/>
  <c r="AU51" i="1"/>
  <c r="AV51" i="1"/>
  <c r="AW51" i="1"/>
  <c r="AS52" i="1"/>
  <c r="AT52" i="1"/>
  <c r="AU52" i="1"/>
  <c r="AV52" i="1"/>
  <c r="AW52" i="1"/>
  <c r="AS53" i="1"/>
  <c r="AT53" i="1"/>
  <c r="AU53" i="1"/>
  <c r="AV53" i="1"/>
  <c r="AW53" i="1"/>
  <c r="AS97" i="1"/>
  <c r="AT97" i="1"/>
  <c r="AU97" i="1"/>
  <c r="AV97" i="1"/>
  <c r="AW97" i="1"/>
  <c r="AS55" i="1"/>
  <c r="AT55" i="1"/>
  <c r="AU55" i="1"/>
  <c r="AV55" i="1"/>
  <c r="AW55" i="1"/>
  <c r="AS644" i="1"/>
  <c r="AT644" i="1"/>
  <c r="AU644" i="1"/>
  <c r="AV644" i="1"/>
  <c r="AW644" i="1"/>
  <c r="AS57" i="1"/>
  <c r="AT57" i="1"/>
  <c r="AU57" i="1"/>
  <c r="AV57" i="1"/>
  <c r="AW57" i="1"/>
  <c r="AS58" i="1"/>
  <c r="AT58" i="1"/>
  <c r="AU58" i="1"/>
  <c r="AV58" i="1"/>
  <c r="AW58" i="1"/>
  <c r="AS217" i="1"/>
  <c r="AT217" i="1"/>
  <c r="AU217" i="1"/>
  <c r="AV217" i="1"/>
  <c r="AW217" i="1"/>
  <c r="AS60" i="1"/>
  <c r="AT60" i="1"/>
  <c r="AU60" i="1"/>
  <c r="AV60" i="1"/>
  <c r="AW60" i="1"/>
  <c r="AS61" i="1"/>
  <c r="AT61" i="1"/>
  <c r="AU61" i="1"/>
  <c r="AV61" i="1"/>
  <c r="AW61" i="1"/>
  <c r="AS62" i="1"/>
  <c r="AT62" i="1"/>
  <c r="AU62" i="1"/>
  <c r="AV62" i="1"/>
  <c r="AW62" i="1"/>
  <c r="AS63" i="1"/>
  <c r="AT63" i="1"/>
  <c r="AU63" i="1"/>
  <c r="AV63" i="1"/>
  <c r="AW63" i="1"/>
  <c r="AS64" i="1"/>
  <c r="AT64" i="1"/>
  <c r="AU64" i="1"/>
  <c r="AV64" i="1"/>
  <c r="AW64" i="1"/>
  <c r="AS65" i="1"/>
  <c r="AT65" i="1"/>
  <c r="AU65" i="1"/>
  <c r="AV65" i="1"/>
  <c r="AW65" i="1"/>
  <c r="AS66" i="1"/>
  <c r="AT66" i="1"/>
  <c r="AU66" i="1"/>
  <c r="AV66" i="1"/>
  <c r="AW66" i="1"/>
  <c r="AS67" i="1"/>
  <c r="AT67" i="1"/>
  <c r="AU67" i="1"/>
  <c r="AV67" i="1"/>
  <c r="AW67" i="1"/>
  <c r="AS433" i="1"/>
  <c r="AT433" i="1"/>
  <c r="AU433" i="1"/>
  <c r="AV433" i="1"/>
  <c r="AW433" i="1"/>
  <c r="AS69" i="1"/>
  <c r="AT69" i="1"/>
  <c r="AU69" i="1"/>
  <c r="AV69" i="1"/>
  <c r="AW69" i="1"/>
  <c r="AS1116" i="1"/>
  <c r="AT1116" i="1"/>
  <c r="AU1116" i="1"/>
  <c r="AV1116" i="1"/>
  <c r="AW1116" i="1"/>
  <c r="AS71" i="1"/>
  <c r="AT71" i="1"/>
  <c r="AU71" i="1"/>
  <c r="AV71" i="1"/>
  <c r="AW71" i="1"/>
  <c r="AS72" i="1"/>
  <c r="AT72" i="1"/>
  <c r="AU72" i="1"/>
  <c r="AV72" i="1"/>
  <c r="AW72" i="1"/>
  <c r="AS73" i="1"/>
  <c r="AT73" i="1"/>
  <c r="AU73" i="1"/>
  <c r="AV73" i="1"/>
  <c r="AW73" i="1"/>
  <c r="AS435" i="1"/>
  <c r="AT435" i="1"/>
  <c r="AU435" i="1"/>
  <c r="AV435" i="1"/>
  <c r="AW435" i="1"/>
  <c r="AS75" i="1"/>
  <c r="AT75" i="1"/>
  <c r="AU75" i="1"/>
  <c r="AV75" i="1"/>
  <c r="AW75" i="1"/>
  <c r="AS76" i="1"/>
  <c r="AT76" i="1"/>
  <c r="AU76" i="1"/>
  <c r="AV76" i="1"/>
  <c r="AW76" i="1"/>
  <c r="AS77" i="1"/>
  <c r="AT77" i="1"/>
  <c r="AU77" i="1"/>
  <c r="AV77" i="1"/>
  <c r="AW77" i="1"/>
  <c r="AS78" i="1"/>
  <c r="AT78" i="1"/>
  <c r="AU78" i="1"/>
  <c r="AV78" i="1"/>
  <c r="AW78" i="1"/>
  <c r="AS79" i="1"/>
  <c r="AT79" i="1"/>
  <c r="AU79" i="1"/>
  <c r="AV79" i="1"/>
  <c r="AW79" i="1"/>
  <c r="AS80" i="1"/>
  <c r="AT80" i="1"/>
  <c r="AU80" i="1"/>
  <c r="AV80" i="1"/>
  <c r="AW80" i="1"/>
  <c r="AS81" i="1"/>
  <c r="AT81" i="1"/>
  <c r="AU81" i="1"/>
  <c r="AV81" i="1"/>
  <c r="AW81" i="1"/>
  <c r="AS82" i="1"/>
  <c r="AT82" i="1"/>
  <c r="AU82" i="1"/>
  <c r="AV82" i="1"/>
  <c r="AW82" i="1"/>
  <c r="AS83" i="1"/>
  <c r="AT83" i="1"/>
  <c r="AU83" i="1"/>
  <c r="AV83" i="1"/>
  <c r="AW83" i="1"/>
  <c r="AS84" i="1"/>
  <c r="AT84" i="1"/>
  <c r="AU84" i="1"/>
  <c r="AV84" i="1"/>
  <c r="AW84" i="1"/>
  <c r="AS85" i="1"/>
  <c r="AT85" i="1"/>
  <c r="AU85" i="1"/>
  <c r="AV85" i="1"/>
  <c r="AW85" i="1"/>
  <c r="AS86" i="1"/>
  <c r="AT86" i="1"/>
  <c r="AU86" i="1"/>
  <c r="AV86" i="1"/>
  <c r="AW86" i="1"/>
  <c r="AS43" i="1"/>
  <c r="AT43" i="1"/>
  <c r="AU43" i="1"/>
  <c r="AV43" i="1"/>
  <c r="AW43" i="1"/>
  <c r="AS88" i="1"/>
  <c r="AT88" i="1"/>
  <c r="AU88" i="1"/>
  <c r="AV88" i="1"/>
  <c r="AW88" i="1"/>
  <c r="AS89" i="1"/>
  <c r="AT89" i="1"/>
  <c r="AU89" i="1"/>
  <c r="AV89" i="1"/>
  <c r="AW89" i="1"/>
  <c r="AS90" i="1"/>
  <c r="AT90" i="1"/>
  <c r="AU90" i="1"/>
  <c r="AV90" i="1"/>
  <c r="AW90" i="1"/>
  <c r="AS426" i="1"/>
  <c r="AT426" i="1"/>
  <c r="AU426" i="1"/>
  <c r="AV426" i="1"/>
  <c r="AW426" i="1"/>
  <c r="AS609" i="1"/>
  <c r="AT609" i="1"/>
  <c r="AU609" i="1"/>
  <c r="AV609" i="1"/>
  <c r="AW609" i="1"/>
  <c r="AS430" i="1"/>
  <c r="AT430" i="1"/>
  <c r="AU430" i="1"/>
  <c r="AV430" i="1"/>
  <c r="AW430" i="1"/>
  <c r="AS94" i="1"/>
  <c r="AT94" i="1"/>
  <c r="AU94" i="1"/>
  <c r="AV94" i="1"/>
  <c r="AW94" i="1"/>
  <c r="AS95" i="1"/>
  <c r="AT95" i="1"/>
  <c r="AU95" i="1"/>
  <c r="AV95" i="1"/>
  <c r="AW95" i="1"/>
  <c r="AS397" i="1"/>
  <c r="AT397" i="1"/>
  <c r="AU397" i="1"/>
  <c r="AV397" i="1"/>
  <c r="AW397" i="1"/>
  <c r="AS635" i="1"/>
  <c r="AT635" i="1"/>
  <c r="AU635" i="1"/>
  <c r="AV635" i="1"/>
  <c r="AW635" i="1"/>
  <c r="AS631" i="1"/>
  <c r="AT631" i="1"/>
  <c r="AU631" i="1"/>
  <c r="AV631" i="1"/>
  <c r="AW631" i="1"/>
  <c r="AS403" i="1"/>
  <c r="AT403" i="1"/>
  <c r="AU403" i="1"/>
  <c r="AV403" i="1"/>
  <c r="AW403" i="1"/>
  <c r="AS100" i="1"/>
  <c r="AT100" i="1"/>
  <c r="AU100" i="1"/>
  <c r="AV100" i="1"/>
  <c r="AW100" i="1"/>
  <c r="AS101" i="1"/>
  <c r="AT101" i="1"/>
  <c r="AU101" i="1"/>
  <c r="AV101" i="1"/>
  <c r="AW101" i="1"/>
  <c r="AS455" i="1"/>
  <c r="AT455" i="1"/>
  <c r="AU455" i="1"/>
  <c r="AV455" i="1"/>
  <c r="AW455" i="1"/>
  <c r="AS104" i="1"/>
  <c r="AT104" i="1"/>
  <c r="AU104" i="1"/>
  <c r="AV104" i="1"/>
  <c r="AW104" i="1"/>
  <c r="AS453" i="1"/>
  <c r="AT453" i="1"/>
  <c r="AU453" i="1"/>
  <c r="AV453" i="1"/>
  <c r="AW453" i="1"/>
  <c r="AS105" i="1"/>
  <c r="AT105" i="1"/>
  <c r="AU105" i="1"/>
  <c r="AV105" i="1"/>
  <c r="AW105" i="1"/>
  <c r="AS106" i="1"/>
  <c r="AT106" i="1"/>
  <c r="AU106" i="1"/>
  <c r="AV106" i="1"/>
  <c r="AW106" i="1"/>
  <c r="AS107" i="1"/>
  <c r="AT107" i="1"/>
  <c r="AU107" i="1"/>
  <c r="AV107" i="1"/>
  <c r="AW107" i="1"/>
  <c r="AS108" i="1"/>
  <c r="AT108" i="1"/>
  <c r="AU108" i="1"/>
  <c r="AV108" i="1"/>
  <c r="AW108" i="1"/>
  <c r="AS109" i="1"/>
  <c r="AT109" i="1"/>
  <c r="AU109" i="1"/>
  <c r="AV109" i="1"/>
  <c r="AW109" i="1"/>
  <c r="AS110" i="1"/>
  <c r="AT110" i="1"/>
  <c r="AU110" i="1"/>
  <c r="AV110" i="1"/>
  <c r="AW110" i="1"/>
  <c r="AS111" i="1"/>
  <c r="AT111" i="1"/>
  <c r="AU111" i="1"/>
  <c r="AV111" i="1"/>
  <c r="AW111" i="1"/>
  <c r="AS112" i="1"/>
  <c r="AT112" i="1"/>
  <c r="AU112" i="1"/>
  <c r="AV112" i="1"/>
  <c r="AW112" i="1"/>
  <c r="AS113" i="1"/>
  <c r="AT113" i="1"/>
  <c r="AU113" i="1"/>
  <c r="AV113" i="1"/>
  <c r="AW113" i="1"/>
  <c r="AS114" i="1"/>
  <c r="AT114" i="1"/>
  <c r="AU114" i="1"/>
  <c r="AV114" i="1"/>
  <c r="AW114" i="1"/>
  <c r="AS115" i="1"/>
  <c r="AT115" i="1"/>
  <c r="AU115" i="1"/>
  <c r="AV115" i="1"/>
  <c r="AW115" i="1"/>
  <c r="AS457" i="1"/>
  <c r="AT457" i="1"/>
  <c r="AU457" i="1"/>
  <c r="AV457" i="1"/>
  <c r="AW457" i="1"/>
  <c r="AS117" i="1"/>
  <c r="AT117" i="1"/>
  <c r="AU117" i="1"/>
  <c r="AV117" i="1"/>
  <c r="AW117" i="1"/>
  <c r="AS118" i="1"/>
  <c r="AT118" i="1"/>
  <c r="AU118" i="1"/>
  <c r="AV118" i="1"/>
  <c r="AW118" i="1"/>
  <c r="AS119" i="1"/>
  <c r="AT119" i="1"/>
  <c r="AU119" i="1"/>
  <c r="AV119" i="1"/>
  <c r="AW119" i="1"/>
  <c r="AS120" i="1"/>
  <c r="AT120" i="1"/>
  <c r="AU120" i="1"/>
  <c r="AV120" i="1"/>
  <c r="AW120" i="1"/>
  <c r="AS121" i="1"/>
  <c r="AT121" i="1"/>
  <c r="AU121" i="1"/>
  <c r="AV121" i="1"/>
  <c r="AW121" i="1"/>
  <c r="AS122" i="1"/>
  <c r="AT122" i="1"/>
  <c r="AU122" i="1"/>
  <c r="AV122" i="1"/>
  <c r="AW122" i="1"/>
  <c r="AS123" i="1"/>
  <c r="AT123" i="1"/>
  <c r="AU123" i="1"/>
  <c r="AV123" i="1"/>
  <c r="AW123" i="1"/>
  <c r="AS124" i="1"/>
  <c r="AT124" i="1"/>
  <c r="AU124" i="1"/>
  <c r="AV124" i="1"/>
  <c r="AW124" i="1"/>
  <c r="AS125" i="1"/>
  <c r="AT125" i="1"/>
  <c r="AU125" i="1"/>
  <c r="AV125" i="1"/>
  <c r="AW125" i="1"/>
  <c r="AS126" i="1"/>
  <c r="AT126" i="1"/>
  <c r="AU126" i="1"/>
  <c r="AV126" i="1"/>
  <c r="AW126" i="1"/>
  <c r="AS127" i="1"/>
  <c r="AT127" i="1"/>
  <c r="AU127" i="1"/>
  <c r="AV127" i="1"/>
  <c r="AW127" i="1"/>
  <c r="AS68" i="1"/>
  <c r="AT68" i="1"/>
  <c r="AU68" i="1"/>
  <c r="AV68" i="1"/>
  <c r="AW68" i="1"/>
  <c r="AS129" i="1"/>
  <c r="AT129" i="1"/>
  <c r="AU129" i="1"/>
  <c r="AV129" i="1"/>
  <c r="AW129" i="1"/>
  <c r="AS130" i="1"/>
  <c r="AT130" i="1"/>
  <c r="AU130" i="1"/>
  <c r="AV130" i="1"/>
  <c r="AW130" i="1"/>
  <c r="AS131" i="1"/>
  <c r="AT131" i="1"/>
  <c r="AU131" i="1"/>
  <c r="AV131" i="1"/>
  <c r="AW131" i="1"/>
  <c r="AS132" i="1"/>
  <c r="AT132" i="1"/>
  <c r="AU132" i="1"/>
  <c r="AV132" i="1"/>
  <c r="AW132" i="1"/>
  <c r="AS133" i="1"/>
  <c r="AT133" i="1"/>
  <c r="AU133" i="1"/>
  <c r="AV133" i="1"/>
  <c r="AW133" i="1"/>
  <c r="AS134" i="1"/>
  <c r="AT134" i="1"/>
  <c r="AU134" i="1"/>
  <c r="AV134" i="1"/>
  <c r="AW134" i="1"/>
  <c r="AS135" i="1"/>
  <c r="AT135" i="1"/>
  <c r="AU135" i="1"/>
  <c r="AV135" i="1"/>
  <c r="AW135" i="1"/>
  <c r="AS136" i="1"/>
  <c r="AT136" i="1"/>
  <c r="AU136" i="1"/>
  <c r="AV136" i="1"/>
  <c r="AW136" i="1"/>
  <c r="AS137" i="1"/>
  <c r="AT137" i="1"/>
  <c r="AU137" i="1"/>
  <c r="AV137" i="1"/>
  <c r="AW137" i="1"/>
  <c r="AS138" i="1"/>
  <c r="AT138" i="1"/>
  <c r="AU138" i="1"/>
  <c r="AV138" i="1"/>
  <c r="AW138" i="1"/>
  <c r="AS139" i="1"/>
  <c r="AT139" i="1"/>
  <c r="AU139" i="1"/>
  <c r="AV139" i="1"/>
  <c r="AW139" i="1"/>
  <c r="AS353" i="1"/>
  <c r="AT353" i="1"/>
  <c r="AU353" i="1"/>
  <c r="AV353" i="1"/>
  <c r="AW353" i="1"/>
  <c r="AS141" i="1"/>
  <c r="AT141" i="1"/>
  <c r="AU141" i="1"/>
  <c r="AV141" i="1"/>
  <c r="AW141" i="1"/>
  <c r="AS142" i="1"/>
  <c r="AT142" i="1"/>
  <c r="AU142" i="1"/>
  <c r="AV142" i="1"/>
  <c r="AW142" i="1"/>
  <c r="AS143" i="1"/>
  <c r="AT143" i="1"/>
  <c r="AU143" i="1"/>
  <c r="AV143" i="1"/>
  <c r="AW143" i="1"/>
  <c r="AS144" i="1"/>
  <c r="AT144" i="1"/>
  <c r="AU144" i="1"/>
  <c r="AV144" i="1"/>
  <c r="AW144" i="1"/>
  <c r="AS145" i="1"/>
  <c r="AT145" i="1"/>
  <c r="AU145" i="1"/>
  <c r="AV145" i="1"/>
  <c r="AW145" i="1"/>
  <c r="AS70" i="1"/>
  <c r="AT70" i="1"/>
  <c r="AU70" i="1"/>
  <c r="AV70" i="1"/>
  <c r="AW70" i="1"/>
  <c r="AS147" i="1"/>
  <c r="AT147" i="1"/>
  <c r="AU147" i="1"/>
  <c r="AV147" i="1"/>
  <c r="AW147" i="1"/>
  <c r="AS148" i="1"/>
  <c r="AT148" i="1"/>
  <c r="AU148" i="1"/>
  <c r="AV148" i="1"/>
  <c r="AW148" i="1"/>
  <c r="AS149" i="1"/>
  <c r="AT149" i="1"/>
  <c r="AU149" i="1"/>
  <c r="AV149" i="1"/>
  <c r="AW149" i="1"/>
  <c r="AS175" i="1"/>
  <c r="AT175" i="1"/>
  <c r="AU175" i="1"/>
  <c r="AV175" i="1"/>
  <c r="AW175" i="1"/>
  <c r="AS151" i="1"/>
  <c r="AT151" i="1"/>
  <c r="AU151" i="1"/>
  <c r="AV151" i="1"/>
  <c r="AW151" i="1"/>
  <c r="AS152" i="1"/>
  <c r="AT152" i="1"/>
  <c r="AU152" i="1"/>
  <c r="AV152" i="1"/>
  <c r="AW152" i="1"/>
  <c r="AS153" i="1"/>
  <c r="AT153" i="1"/>
  <c r="AU153" i="1"/>
  <c r="AV153" i="1"/>
  <c r="AW153" i="1"/>
  <c r="AS154" i="1"/>
  <c r="AT154" i="1"/>
  <c r="AU154" i="1"/>
  <c r="AV154" i="1"/>
  <c r="AW154" i="1"/>
  <c r="AS155" i="1"/>
  <c r="AT155" i="1"/>
  <c r="AU155" i="1"/>
  <c r="AV155" i="1"/>
  <c r="AW155" i="1"/>
  <c r="AS156" i="1"/>
  <c r="AT156" i="1"/>
  <c r="AU156" i="1"/>
  <c r="AV156" i="1"/>
  <c r="AW156" i="1"/>
  <c r="AS157" i="1"/>
  <c r="AT157" i="1"/>
  <c r="AU157" i="1"/>
  <c r="AV157" i="1"/>
  <c r="AW157" i="1"/>
  <c r="AS158" i="1"/>
  <c r="AT158" i="1"/>
  <c r="AU158" i="1"/>
  <c r="AV158" i="1"/>
  <c r="AW158" i="1"/>
  <c r="AS159" i="1"/>
  <c r="AT159" i="1"/>
  <c r="AU159" i="1"/>
  <c r="AV159" i="1"/>
  <c r="AW159" i="1"/>
  <c r="AS160" i="1"/>
  <c r="AT160" i="1"/>
  <c r="AU160" i="1"/>
  <c r="AV160" i="1"/>
  <c r="AW160" i="1"/>
  <c r="AS161" i="1"/>
  <c r="AT161" i="1"/>
  <c r="AU161" i="1"/>
  <c r="AV161" i="1"/>
  <c r="AW161" i="1"/>
  <c r="AS162" i="1"/>
  <c r="AT162" i="1"/>
  <c r="AU162" i="1"/>
  <c r="AV162" i="1"/>
  <c r="AW162" i="1"/>
  <c r="AS163" i="1"/>
  <c r="AT163" i="1"/>
  <c r="AU163" i="1"/>
  <c r="AV163" i="1"/>
  <c r="AW163" i="1"/>
  <c r="AS164" i="1"/>
  <c r="AT164" i="1"/>
  <c r="AU164" i="1"/>
  <c r="AV164" i="1"/>
  <c r="AW164" i="1"/>
  <c r="AS165" i="1"/>
  <c r="AT165" i="1"/>
  <c r="AU165" i="1"/>
  <c r="AV165" i="1"/>
  <c r="AW165" i="1"/>
  <c r="AS166" i="1"/>
  <c r="AT166" i="1"/>
  <c r="AU166" i="1"/>
  <c r="AV166" i="1"/>
  <c r="AW166" i="1"/>
  <c r="AS167" i="1"/>
  <c r="AT167" i="1"/>
  <c r="AU167" i="1"/>
  <c r="AV167" i="1"/>
  <c r="AW167" i="1"/>
  <c r="AS168" i="1"/>
  <c r="AT168" i="1"/>
  <c r="AU168" i="1"/>
  <c r="AV168" i="1"/>
  <c r="AW168" i="1"/>
  <c r="AS169" i="1"/>
  <c r="AT169" i="1"/>
  <c r="AU169" i="1"/>
  <c r="AV169" i="1"/>
  <c r="AW169" i="1"/>
  <c r="AS170" i="1"/>
  <c r="AT170" i="1"/>
  <c r="AU170" i="1"/>
  <c r="AV170" i="1"/>
  <c r="AW170" i="1"/>
  <c r="AS171" i="1"/>
  <c r="AT171" i="1"/>
  <c r="AU171" i="1"/>
  <c r="AV171" i="1"/>
  <c r="AW171" i="1"/>
  <c r="AS172" i="1"/>
  <c r="AT172" i="1"/>
  <c r="AU172" i="1"/>
  <c r="AV172" i="1"/>
  <c r="AW172" i="1"/>
  <c r="AS173" i="1"/>
  <c r="AT173" i="1"/>
  <c r="AU173" i="1"/>
  <c r="AV173" i="1"/>
  <c r="AW173" i="1"/>
  <c r="AS103" i="1"/>
  <c r="AT103" i="1"/>
  <c r="AU103" i="1"/>
  <c r="AV103" i="1"/>
  <c r="AW103" i="1"/>
  <c r="AS99" i="1"/>
  <c r="AT99" i="1"/>
  <c r="AU99" i="1"/>
  <c r="AV99" i="1"/>
  <c r="AW99" i="1"/>
  <c r="AS102" i="1"/>
  <c r="AT102" i="1"/>
  <c r="AU102" i="1"/>
  <c r="AV102" i="1"/>
  <c r="AW102" i="1"/>
  <c r="AS177" i="1"/>
  <c r="AT177" i="1"/>
  <c r="AU177" i="1"/>
  <c r="AV177" i="1"/>
  <c r="AW177" i="1"/>
  <c r="AS178" i="1"/>
  <c r="AT178" i="1"/>
  <c r="AU178" i="1"/>
  <c r="AV178" i="1"/>
  <c r="AW178" i="1"/>
  <c r="AS179" i="1"/>
  <c r="AT179" i="1"/>
  <c r="AU179" i="1"/>
  <c r="AV179" i="1"/>
  <c r="AW179" i="1"/>
  <c r="AS320" i="1"/>
  <c r="AT320" i="1"/>
  <c r="AU320" i="1"/>
  <c r="AV320" i="1"/>
  <c r="AW320" i="1"/>
  <c r="AS174" i="1"/>
  <c r="AT174" i="1"/>
  <c r="AU174" i="1"/>
  <c r="AV174" i="1"/>
  <c r="AW174" i="1"/>
  <c r="AS182" i="1"/>
  <c r="AT182" i="1"/>
  <c r="AU182" i="1"/>
  <c r="AV182" i="1"/>
  <c r="AW182" i="1"/>
  <c r="AS1166" i="1"/>
  <c r="AT1166" i="1"/>
  <c r="AU1166" i="1"/>
  <c r="AV1166" i="1"/>
  <c r="AW1166" i="1"/>
  <c r="AS459" i="1"/>
  <c r="AT459" i="1"/>
  <c r="AU459" i="1"/>
  <c r="AV459" i="1"/>
  <c r="AW459" i="1"/>
  <c r="AS185" i="1"/>
  <c r="AT185" i="1"/>
  <c r="AU185" i="1"/>
  <c r="AV185" i="1"/>
  <c r="AW185" i="1"/>
  <c r="AS186" i="1"/>
  <c r="AT186" i="1"/>
  <c r="AU186" i="1"/>
  <c r="AV186" i="1"/>
  <c r="AW186" i="1"/>
  <c r="AS187" i="1"/>
  <c r="AT187" i="1"/>
  <c r="AU187" i="1"/>
  <c r="AV187" i="1"/>
  <c r="AW187" i="1"/>
  <c r="AS188" i="1"/>
  <c r="AT188" i="1"/>
  <c r="AU188" i="1"/>
  <c r="AV188" i="1"/>
  <c r="AW188" i="1"/>
  <c r="AS487" i="1"/>
  <c r="AT487" i="1"/>
  <c r="AU487" i="1"/>
  <c r="AV487" i="1"/>
  <c r="AW487" i="1"/>
  <c r="AS190" i="1"/>
  <c r="AT190" i="1"/>
  <c r="AU190" i="1"/>
  <c r="AV190" i="1"/>
  <c r="AW190" i="1"/>
  <c r="AS191" i="1"/>
  <c r="AT191" i="1"/>
  <c r="AU191" i="1"/>
  <c r="AV191" i="1"/>
  <c r="AW191" i="1"/>
  <c r="AS192" i="1"/>
  <c r="AT192" i="1"/>
  <c r="AU192" i="1"/>
  <c r="AV192" i="1"/>
  <c r="AW192" i="1"/>
  <c r="AS355" i="1"/>
  <c r="AT355" i="1"/>
  <c r="AU355" i="1"/>
  <c r="AV355" i="1"/>
  <c r="AW355" i="1"/>
  <c r="AS194" i="1"/>
  <c r="AT194" i="1"/>
  <c r="AU194" i="1"/>
  <c r="AV194" i="1"/>
  <c r="AW194" i="1"/>
  <c r="AS195" i="1"/>
  <c r="AT195" i="1"/>
  <c r="AU195" i="1"/>
  <c r="AV195" i="1"/>
  <c r="AW195" i="1"/>
  <c r="AS196" i="1"/>
  <c r="AT196" i="1"/>
  <c r="AU196" i="1"/>
  <c r="AV196" i="1"/>
  <c r="AW196" i="1"/>
  <c r="AS197" i="1"/>
  <c r="AT197" i="1"/>
  <c r="AU197" i="1"/>
  <c r="AV197" i="1"/>
  <c r="AW197" i="1"/>
  <c r="AS198" i="1"/>
  <c r="AT198" i="1"/>
  <c r="AU198" i="1"/>
  <c r="AV198" i="1"/>
  <c r="AW198" i="1"/>
  <c r="AS199" i="1"/>
  <c r="AT199" i="1"/>
  <c r="AU199" i="1"/>
  <c r="AV199" i="1"/>
  <c r="AW199" i="1"/>
  <c r="AS200" i="1"/>
  <c r="AT200" i="1"/>
  <c r="AU200" i="1"/>
  <c r="AV200" i="1"/>
  <c r="AW200" i="1"/>
  <c r="AS201" i="1"/>
  <c r="AT201" i="1"/>
  <c r="AU201" i="1"/>
  <c r="AV201" i="1"/>
  <c r="AW201" i="1"/>
  <c r="AS202" i="1"/>
  <c r="AT202" i="1"/>
  <c r="AU202" i="1"/>
  <c r="AV202" i="1"/>
  <c r="AW202" i="1"/>
  <c r="AS203" i="1"/>
  <c r="AT203" i="1"/>
  <c r="AU203" i="1"/>
  <c r="AV203" i="1"/>
  <c r="AW203" i="1"/>
  <c r="AS204" i="1"/>
  <c r="AT204" i="1"/>
  <c r="AU204" i="1"/>
  <c r="AV204" i="1"/>
  <c r="AW204" i="1"/>
  <c r="AS93" i="1"/>
  <c r="AT93" i="1"/>
  <c r="AU93" i="1"/>
  <c r="AV93" i="1"/>
  <c r="AW93" i="1"/>
  <c r="AS959" i="1"/>
  <c r="AT959" i="1"/>
  <c r="AU959" i="1"/>
  <c r="AV959" i="1"/>
  <c r="AW959" i="1"/>
  <c r="AS207" i="1"/>
  <c r="AT207" i="1"/>
  <c r="AU207" i="1"/>
  <c r="AV207" i="1"/>
  <c r="AW207" i="1"/>
  <c r="AS1016" i="1"/>
  <c r="AT1016" i="1"/>
  <c r="AU1016" i="1"/>
  <c r="AV1016" i="1"/>
  <c r="AW1016" i="1"/>
  <c r="AS209" i="1"/>
  <c r="AT209" i="1"/>
  <c r="AU209" i="1"/>
  <c r="AV209" i="1"/>
  <c r="AW209" i="1"/>
  <c r="AS210" i="1"/>
  <c r="AT210" i="1"/>
  <c r="AU210" i="1"/>
  <c r="AV210" i="1"/>
  <c r="AW210" i="1"/>
  <c r="AS211" i="1"/>
  <c r="AT211" i="1"/>
  <c r="AU211" i="1"/>
  <c r="AV211" i="1"/>
  <c r="AW211" i="1"/>
  <c r="AS212" i="1"/>
  <c r="AT212" i="1"/>
  <c r="AU212" i="1"/>
  <c r="AV212" i="1"/>
  <c r="AW212" i="1"/>
  <c r="AS213" i="1"/>
  <c r="AT213" i="1"/>
  <c r="AU213" i="1"/>
  <c r="AV213" i="1"/>
  <c r="AW213" i="1"/>
  <c r="AS214" i="1"/>
  <c r="AT214" i="1"/>
  <c r="AU214" i="1"/>
  <c r="AV214" i="1"/>
  <c r="AW214" i="1"/>
  <c r="AS215" i="1"/>
  <c r="AT215" i="1"/>
  <c r="AU215" i="1"/>
  <c r="AV215" i="1"/>
  <c r="AW215" i="1"/>
  <c r="AS216" i="1"/>
  <c r="AT216" i="1"/>
  <c r="AU216" i="1"/>
  <c r="AV216" i="1"/>
  <c r="AW216" i="1"/>
  <c r="AS54" i="1"/>
  <c r="AT54" i="1"/>
  <c r="AU54" i="1"/>
  <c r="AV54" i="1"/>
  <c r="AW54" i="1"/>
  <c r="AS218" i="1"/>
  <c r="AT218" i="1"/>
  <c r="AU218" i="1"/>
  <c r="AV218" i="1"/>
  <c r="AW218" i="1"/>
  <c r="AS219" i="1"/>
  <c r="AT219" i="1"/>
  <c r="AU219" i="1"/>
  <c r="AV219" i="1"/>
  <c r="AW219" i="1"/>
  <c r="AS220" i="1"/>
  <c r="AT220" i="1"/>
  <c r="AU220" i="1"/>
  <c r="AV220" i="1"/>
  <c r="AW220" i="1"/>
  <c r="AS221" i="1"/>
  <c r="AT221" i="1"/>
  <c r="AU221" i="1"/>
  <c r="AV221" i="1"/>
  <c r="AW221" i="1"/>
  <c r="AS222" i="1"/>
  <c r="AT222" i="1"/>
  <c r="AU222" i="1"/>
  <c r="AV222" i="1"/>
  <c r="AW222" i="1"/>
  <c r="AS116" i="1"/>
  <c r="AT116" i="1"/>
  <c r="AU116" i="1"/>
  <c r="AV116" i="1"/>
  <c r="AW116" i="1"/>
  <c r="AS224" i="1"/>
  <c r="AT224" i="1"/>
  <c r="AU224" i="1"/>
  <c r="AV224" i="1"/>
  <c r="AW224" i="1"/>
  <c r="AS225" i="1"/>
  <c r="AT225" i="1"/>
  <c r="AU225" i="1"/>
  <c r="AV225" i="1"/>
  <c r="AW225" i="1"/>
  <c r="AS74" i="1"/>
  <c r="AT74" i="1"/>
  <c r="AU74" i="1"/>
  <c r="AV74" i="1"/>
  <c r="AW74" i="1"/>
  <c r="AS87" i="1"/>
  <c r="AT87" i="1"/>
  <c r="AU87" i="1"/>
  <c r="AV87" i="1"/>
  <c r="AW87" i="1"/>
  <c r="AS228" i="1"/>
  <c r="AT228" i="1"/>
  <c r="AU228" i="1"/>
  <c r="AV228" i="1"/>
  <c r="AW228" i="1"/>
  <c r="AS229" i="1"/>
  <c r="AT229" i="1"/>
  <c r="AU229" i="1"/>
  <c r="AV229" i="1"/>
  <c r="AW229" i="1"/>
  <c r="AS230" i="1"/>
  <c r="AT230" i="1"/>
  <c r="AU230" i="1"/>
  <c r="AV230" i="1"/>
  <c r="AW230" i="1"/>
  <c r="AS231" i="1"/>
  <c r="AT231" i="1"/>
  <c r="AU231" i="1"/>
  <c r="AV231" i="1"/>
  <c r="AW231" i="1"/>
  <c r="AS232" i="1"/>
  <c r="AT232" i="1"/>
  <c r="AU232" i="1"/>
  <c r="AV232" i="1"/>
  <c r="AW232" i="1"/>
  <c r="AS233" i="1"/>
  <c r="AT233" i="1"/>
  <c r="AU233" i="1"/>
  <c r="AV233" i="1"/>
  <c r="AW233" i="1"/>
  <c r="AS234" i="1"/>
  <c r="AT234" i="1"/>
  <c r="AU234" i="1"/>
  <c r="AV234" i="1"/>
  <c r="AW234" i="1"/>
  <c r="AS1015" i="1"/>
  <c r="AT1015" i="1"/>
  <c r="AU1015" i="1"/>
  <c r="AV1015" i="1"/>
  <c r="AW1015" i="1"/>
  <c r="AS236" i="1"/>
  <c r="AT236" i="1"/>
  <c r="AU236" i="1"/>
  <c r="AV236" i="1"/>
  <c r="AW236" i="1"/>
  <c r="AS237" i="1"/>
  <c r="AT237" i="1"/>
  <c r="AU237" i="1"/>
  <c r="AV237" i="1"/>
  <c r="AW237" i="1"/>
  <c r="AS238" i="1"/>
  <c r="AT238" i="1"/>
  <c r="AU238" i="1"/>
  <c r="AV238" i="1"/>
  <c r="AW238" i="1"/>
  <c r="AS239" i="1"/>
  <c r="AT239" i="1"/>
  <c r="AU239" i="1"/>
  <c r="AV239" i="1"/>
  <c r="AW239" i="1"/>
  <c r="AS240" i="1"/>
  <c r="AT240" i="1"/>
  <c r="AU240" i="1"/>
  <c r="AV240" i="1"/>
  <c r="AW240" i="1"/>
  <c r="AS241" i="1"/>
  <c r="AT241" i="1"/>
  <c r="AU241" i="1"/>
  <c r="AV241" i="1"/>
  <c r="AW241" i="1"/>
  <c r="AS1088" i="1"/>
  <c r="AT1088" i="1"/>
  <c r="AU1088" i="1"/>
  <c r="AV1088" i="1"/>
  <c r="AW1088" i="1"/>
  <c r="AS243" i="1"/>
  <c r="AT243" i="1"/>
  <c r="AU243" i="1"/>
  <c r="AV243" i="1"/>
  <c r="AW243" i="1"/>
  <c r="AS244" i="1"/>
  <c r="AT244" i="1"/>
  <c r="AU244" i="1"/>
  <c r="AV244" i="1"/>
  <c r="AW244" i="1"/>
  <c r="AS432" i="1"/>
  <c r="AT432" i="1"/>
  <c r="AU432" i="1"/>
  <c r="AV432" i="1"/>
  <c r="AW432" i="1"/>
  <c r="AS246" i="1"/>
  <c r="AT246" i="1"/>
  <c r="AU246" i="1"/>
  <c r="AV246" i="1"/>
  <c r="AW246" i="1"/>
  <c r="AS247" i="1"/>
  <c r="AT247" i="1"/>
  <c r="AU247" i="1"/>
  <c r="AV247" i="1"/>
  <c r="AW247" i="1"/>
  <c r="AS248" i="1"/>
  <c r="AT248" i="1"/>
  <c r="AU248" i="1"/>
  <c r="AV248" i="1"/>
  <c r="AW248" i="1"/>
  <c r="AS250" i="1"/>
  <c r="AT250" i="1"/>
  <c r="AU250" i="1"/>
  <c r="AV250" i="1"/>
  <c r="AW250" i="1"/>
  <c r="AS269" i="1"/>
  <c r="AT269" i="1"/>
  <c r="AU269" i="1"/>
  <c r="AV269" i="1"/>
  <c r="AW269" i="1"/>
  <c r="AS350" i="1"/>
  <c r="AT350" i="1"/>
  <c r="AU350" i="1"/>
  <c r="AV350" i="1"/>
  <c r="AW350" i="1"/>
  <c r="AS235" i="1"/>
  <c r="AT235" i="1"/>
  <c r="AU235" i="1"/>
  <c r="AV235" i="1"/>
  <c r="AW235" i="1"/>
  <c r="AS254" i="1"/>
  <c r="AT254" i="1"/>
  <c r="AU254" i="1"/>
  <c r="AV254" i="1"/>
  <c r="AW254" i="1"/>
  <c r="AS255" i="1"/>
  <c r="AT255" i="1"/>
  <c r="AU255" i="1"/>
  <c r="AV255" i="1"/>
  <c r="AW255" i="1"/>
  <c r="AS256" i="1"/>
  <c r="AT256" i="1"/>
  <c r="AU256" i="1"/>
  <c r="AV256" i="1"/>
  <c r="AW256" i="1"/>
  <c r="AS257" i="1"/>
  <c r="AT257" i="1"/>
  <c r="AU257" i="1"/>
  <c r="AV257" i="1"/>
  <c r="AW257" i="1"/>
  <c r="AS258" i="1"/>
  <c r="AT258" i="1"/>
  <c r="AU258" i="1"/>
  <c r="AV258" i="1"/>
  <c r="AW258" i="1"/>
  <c r="AS30" i="1"/>
  <c r="AT30" i="1"/>
  <c r="AU30" i="1"/>
  <c r="AV30" i="1"/>
  <c r="AW30" i="1"/>
  <c r="AS260" i="1"/>
  <c r="AT260" i="1"/>
  <c r="AU260" i="1"/>
  <c r="AV260" i="1"/>
  <c r="AW260" i="1"/>
  <c r="AS261" i="1"/>
  <c r="AT261" i="1"/>
  <c r="AU261" i="1"/>
  <c r="AV261" i="1"/>
  <c r="AW261" i="1"/>
  <c r="AS262" i="1"/>
  <c r="AT262" i="1"/>
  <c r="AU262" i="1"/>
  <c r="AV262" i="1"/>
  <c r="AW262" i="1"/>
  <c r="AS263" i="1"/>
  <c r="AT263" i="1"/>
  <c r="AU263" i="1"/>
  <c r="AV263" i="1"/>
  <c r="AW263" i="1"/>
  <c r="AS264" i="1"/>
  <c r="AT264" i="1"/>
  <c r="AU264" i="1"/>
  <c r="AV264" i="1"/>
  <c r="AW264" i="1"/>
  <c r="AS189" i="1"/>
  <c r="AT189" i="1"/>
  <c r="AU189" i="1"/>
  <c r="AV189" i="1"/>
  <c r="AW189" i="1"/>
  <c r="AS266" i="1"/>
  <c r="AT266" i="1"/>
  <c r="AU266" i="1"/>
  <c r="AV266" i="1"/>
  <c r="AW266" i="1"/>
  <c r="AS267" i="1"/>
  <c r="AT267" i="1"/>
  <c r="AU267" i="1"/>
  <c r="AV267" i="1"/>
  <c r="AW267" i="1"/>
  <c r="AS268" i="1"/>
  <c r="AT268" i="1"/>
  <c r="AU268" i="1"/>
  <c r="AV268" i="1"/>
  <c r="AW268" i="1"/>
  <c r="AS287" i="1"/>
  <c r="AT287" i="1"/>
  <c r="AU287" i="1"/>
  <c r="AV287" i="1"/>
  <c r="AW287" i="1"/>
  <c r="AS270" i="1"/>
  <c r="AT270" i="1"/>
  <c r="AU270" i="1"/>
  <c r="AV270" i="1"/>
  <c r="AW270" i="1"/>
  <c r="AS32" i="1"/>
  <c r="AT32" i="1"/>
  <c r="AU32" i="1"/>
  <c r="AV32" i="1"/>
  <c r="AW32" i="1"/>
  <c r="AS272" i="1"/>
  <c r="AT272" i="1"/>
  <c r="AU272" i="1"/>
  <c r="AV272" i="1"/>
  <c r="AW272" i="1"/>
  <c r="AS273" i="1"/>
  <c r="AT273" i="1"/>
  <c r="AU273" i="1"/>
  <c r="AV273" i="1"/>
  <c r="AW273" i="1"/>
  <c r="AS274" i="1"/>
  <c r="AT274" i="1"/>
  <c r="AU274" i="1"/>
  <c r="AV274" i="1"/>
  <c r="AW274" i="1"/>
  <c r="AS275" i="1"/>
  <c r="AT275" i="1"/>
  <c r="AU275" i="1"/>
  <c r="AV275" i="1"/>
  <c r="AW275" i="1"/>
  <c r="AS276" i="1"/>
  <c r="AT276" i="1"/>
  <c r="AU276" i="1"/>
  <c r="AV276" i="1"/>
  <c r="AW276" i="1"/>
  <c r="AS128" i="1"/>
  <c r="AT128" i="1"/>
  <c r="AU128" i="1"/>
  <c r="AV128" i="1"/>
  <c r="AW128" i="1"/>
  <c r="AS278" i="1"/>
  <c r="AT278" i="1"/>
  <c r="AU278" i="1"/>
  <c r="AV278" i="1"/>
  <c r="AW278" i="1"/>
  <c r="AS279" i="1"/>
  <c r="AT279" i="1"/>
  <c r="AU279" i="1"/>
  <c r="AV279" i="1"/>
  <c r="AW279" i="1"/>
  <c r="AS280" i="1"/>
  <c r="AT280" i="1"/>
  <c r="AU280" i="1"/>
  <c r="AV280" i="1"/>
  <c r="AW280" i="1"/>
  <c r="AS281" i="1"/>
  <c r="AT281" i="1"/>
  <c r="AU281" i="1"/>
  <c r="AV281" i="1"/>
  <c r="AW281" i="1"/>
  <c r="AS282" i="1"/>
  <c r="AT282" i="1"/>
  <c r="AU282" i="1"/>
  <c r="AV282" i="1"/>
  <c r="AW282" i="1"/>
  <c r="AS283" i="1"/>
  <c r="AT283" i="1"/>
  <c r="AU283" i="1"/>
  <c r="AV283" i="1"/>
  <c r="AW283" i="1"/>
  <c r="AS284" i="1"/>
  <c r="AT284" i="1"/>
  <c r="AU284" i="1"/>
  <c r="AV284" i="1"/>
  <c r="AW284" i="1"/>
  <c r="AS288" i="1"/>
  <c r="AT288" i="1"/>
  <c r="AU288" i="1"/>
  <c r="AV288" i="1"/>
  <c r="AW288" i="1"/>
  <c r="AS286" i="1"/>
  <c r="AT286" i="1"/>
  <c r="AU286" i="1"/>
  <c r="AV286" i="1"/>
  <c r="AW286" i="1"/>
  <c r="AS312" i="1"/>
  <c r="AT312" i="1"/>
  <c r="AU312" i="1"/>
  <c r="AV312" i="1"/>
  <c r="AW312" i="1"/>
  <c r="AS411" i="1"/>
  <c r="AT411" i="1"/>
  <c r="AU411" i="1"/>
  <c r="AV411" i="1"/>
  <c r="AW411" i="1"/>
  <c r="AS289" i="1"/>
  <c r="AT289" i="1"/>
  <c r="AU289" i="1"/>
  <c r="AV289" i="1"/>
  <c r="AW289" i="1"/>
  <c r="AS290" i="1"/>
  <c r="AT290" i="1"/>
  <c r="AU290" i="1"/>
  <c r="AV290" i="1"/>
  <c r="AW290" i="1"/>
  <c r="AS291" i="1"/>
  <c r="AT291" i="1"/>
  <c r="AU291" i="1"/>
  <c r="AV291" i="1"/>
  <c r="AW291" i="1"/>
  <c r="AS292" i="1"/>
  <c r="AT292" i="1"/>
  <c r="AU292" i="1"/>
  <c r="AV292" i="1"/>
  <c r="AW292" i="1"/>
  <c r="AS293" i="1"/>
  <c r="AT293" i="1"/>
  <c r="AU293" i="1"/>
  <c r="AV293" i="1"/>
  <c r="AW293" i="1"/>
  <c r="AS294" i="1"/>
  <c r="AT294" i="1"/>
  <c r="AU294" i="1"/>
  <c r="AV294" i="1"/>
  <c r="AW294" i="1"/>
  <c r="AS295" i="1"/>
  <c r="AT295" i="1"/>
  <c r="AU295" i="1"/>
  <c r="AV295" i="1"/>
  <c r="AW295" i="1"/>
  <c r="AS296" i="1"/>
  <c r="AT296" i="1"/>
  <c r="AU296" i="1"/>
  <c r="AV296" i="1"/>
  <c r="AW296" i="1"/>
  <c r="AS297" i="1"/>
  <c r="AT297" i="1"/>
  <c r="AU297" i="1"/>
  <c r="AV297" i="1"/>
  <c r="AW297" i="1"/>
  <c r="AS298" i="1"/>
  <c r="AT298" i="1"/>
  <c r="AU298" i="1"/>
  <c r="AV298" i="1"/>
  <c r="AW298" i="1"/>
  <c r="AS299" i="1"/>
  <c r="AT299" i="1"/>
  <c r="AU299" i="1"/>
  <c r="AV299" i="1"/>
  <c r="AW299" i="1"/>
  <c r="AS300" i="1"/>
  <c r="AT300" i="1"/>
  <c r="AU300" i="1"/>
  <c r="AV300" i="1"/>
  <c r="AW300" i="1"/>
  <c r="AS1089" i="1"/>
  <c r="AT1089" i="1"/>
  <c r="AU1089" i="1"/>
  <c r="AV1089" i="1"/>
  <c r="AW1089" i="1"/>
  <c r="AS302" i="1"/>
  <c r="AT302" i="1"/>
  <c r="AU302" i="1"/>
  <c r="AV302" i="1"/>
  <c r="AW302" i="1"/>
  <c r="AS303" i="1"/>
  <c r="AT303" i="1"/>
  <c r="AU303" i="1"/>
  <c r="AV303" i="1"/>
  <c r="AW303" i="1"/>
  <c r="AS304" i="1"/>
  <c r="AT304" i="1"/>
  <c r="AU304" i="1"/>
  <c r="AV304" i="1"/>
  <c r="AW304" i="1"/>
  <c r="AS305" i="1"/>
  <c r="AT305" i="1"/>
  <c r="AU305" i="1"/>
  <c r="AV305" i="1"/>
  <c r="AW305" i="1"/>
  <c r="AS1090" i="1"/>
  <c r="AT1090" i="1"/>
  <c r="AU1090" i="1"/>
  <c r="AV1090" i="1"/>
  <c r="AW1090" i="1"/>
  <c r="AS1020" i="1"/>
  <c r="AT1020" i="1"/>
  <c r="AU1020" i="1"/>
  <c r="AV1020" i="1"/>
  <c r="AW1020" i="1"/>
  <c r="AS637" i="1"/>
  <c r="AT637" i="1"/>
  <c r="AU637" i="1"/>
  <c r="AV637" i="1"/>
  <c r="AW637" i="1"/>
  <c r="AS309" i="1"/>
  <c r="AT309" i="1"/>
  <c r="AU309" i="1"/>
  <c r="AV309" i="1"/>
  <c r="AW309" i="1"/>
  <c r="AS310" i="1"/>
  <c r="AT310" i="1"/>
  <c r="AU310" i="1"/>
  <c r="AV310" i="1"/>
  <c r="AW310" i="1"/>
  <c r="AS311" i="1"/>
  <c r="AT311" i="1"/>
  <c r="AU311" i="1"/>
  <c r="AV311" i="1"/>
  <c r="AW311" i="1"/>
  <c r="AS16" i="1"/>
  <c r="AT16" i="1"/>
  <c r="AU16" i="1"/>
  <c r="AV16" i="1"/>
  <c r="AW16" i="1"/>
  <c r="AS313" i="1"/>
  <c r="AT313" i="1"/>
  <c r="AU313" i="1"/>
  <c r="AV313" i="1"/>
  <c r="AW313" i="1"/>
  <c r="AS641" i="1"/>
  <c r="AT641" i="1"/>
  <c r="AU641" i="1"/>
  <c r="AV641" i="1"/>
  <c r="AW641" i="1"/>
  <c r="AS315" i="1"/>
  <c r="AT315" i="1"/>
  <c r="AU315" i="1"/>
  <c r="AV315" i="1"/>
  <c r="AW315" i="1"/>
  <c r="AS316" i="1"/>
  <c r="AT316" i="1"/>
  <c r="AU316" i="1"/>
  <c r="AV316" i="1"/>
  <c r="AW316" i="1"/>
  <c r="AS317" i="1"/>
  <c r="AT317" i="1"/>
  <c r="AU317" i="1"/>
  <c r="AV317" i="1"/>
  <c r="AW317" i="1"/>
  <c r="AS318" i="1"/>
  <c r="AT318" i="1"/>
  <c r="AU318" i="1"/>
  <c r="AV318" i="1"/>
  <c r="AW318" i="1"/>
  <c r="AS319" i="1"/>
  <c r="AT319" i="1"/>
  <c r="AU319" i="1"/>
  <c r="AV319" i="1"/>
  <c r="AW319" i="1"/>
  <c r="AS184" i="1"/>
  <c r="AT184" i="1"/>
  <c r="AU184" i="1"/>
  <c r="AV184" i="1"/>
  <c r="AW184" i="1"/>
  <c r="AS321" i="1"/>
  <c r="AT321" i="1"/>
  <c r="AU321" i="1"/>
  <c r="AV321" i="1"/>
  <c r="AW321" i="1"/>
  <c r="AS322" i="1"/>
  <c r="AT322" i="1"/>
  <c r="AU322" i="1"/>
  <c r="AV322" i="1"/>
  <c r="AW322" i="1"/>
  <c r="AS245" i="1"/>
  <c r="AT245" i="1"/>
  <c r="AU245" i="1"/>
  <c r="AV245" i="1"/>
  <c r="AW245" i="1"/>
  <c r="AS1019" i="1"/>
  <c r="AT1019" i="1"/>
  <c r="AU1019" i="1"/>
  <c r="AV1019" i="1"/>
  <c r="AW1019" i="1"/>
  <c r="AS1098" i="1"/>
  <c r="AT1098" i="1"/>
  <c r="AU1098" i="1"/>
  <c r="AV1098" i="1"/>
  <c r="AW1098" i="1"/>
  <c r="AS326" i="1"/>
  <c r="AT326" i="1"/>
  <c r="AU326" i="1"/>
  <c r="AV326" i="1"/>
  <c r="AW326" i="1"/>
  <c r="AS327" i="1"/>
  <c r="AT327" i="1"/>
  <c r="AU327" i="1"/>
  <c r="AV327" i="1"/>
  <c r="AW327" i="1"/>
  <c r="AS328" i="1"/>
  <c r="AT328" i="1"/>
  <c r="AU328" i="1"/>
  <c r="AV328" i="1"/>
  <c r="AW328" i="1"/>
  <c r="AS329" i="1"/>
  <c r="AT329" i="1"/>
  <c r="AU329" i="1"/>
  <c r="AV329" i="1"/>
  <c r="AW329" i="1"/>
  <c r="AS226" i="1"/>
  <c r="AT226" i="1"/>
  <c r="AU226" i="1"/>
  <c r="AV226" i="1"/>
  <c r="AW226" i="1"/>
  <c r="AS331" i="1"/>
  <c r="AT331" i="1"/>
  <c r="AU331" i="1"/>
  <c r="AV331" i="1"/>
  <c r="AW331" i="1"/>
  <c r="AS13" i="1"/>
  <c r="AT13" i="1"/>
  <c r="AU13" i="1"/>
  <c r="AV13" i="1"/>
  <c r="AW13" i="1"/>
  <c r="AS333" i="1"/>
  <c r="AT333" i="1"/>
  <c r="AU333" i="1"/>
  <c r="AV333" i="1"/>
  <c r="AW333" i="1"/>
  <c r="AS334" i="1"/>
  <c r="AT334" i="1"/>
  <c r="AU334" i="1"/>
  <c r="AV334" i="1"/>
  <c r="AW334" i="1"/>
  <c r="AS335" i="1"/>
  <c r="AT335" i="1"/>
  <c r="AU335" i="1"/>
  <c r="AV335" i="1"/>
  <c r="AW335" i="1"/>
  <c r="AS336" i="1"/>
  <c r="AT336" i="1"/>
  <c r="AU336" i="1"/>
  <c r="AV336" i="1"/>
  <c r="AW336" i="1"/>
  <c r="AS337" i="1"/>
  <c r="AT337" i="1"/>
  <c r="AU337" i="1"/>
  <c r="AV337" i="1"/>
  <c r="AW337" i="1"/>
  <c r="AS338" i="1"/>
  <c r="AT338" i="1"/>
  <c r="AU338" i="1"/>
  <c r="AV338" i="1"/>
  <c r="AW338" i="1"/>
  <c r="AS339" i="1"/>
  <c r="AT339" i="1"/>
  <c r="AU339" i="1"/>
  <c r="AV339" i="1"/>
  <c r="AW339" i="1"/>
  <c r="AS340" i="1"/>
  <c r="AT340" i="1"/>
  <c r="AU340" i="1"/>
  <c r="AV340" i="1"/>
  <c r="AW340" i="1"/>
  <c r="AS341" i="1"/>
  <c r="AT341" i="1"/>
  <c r="AU341" i="1"/>
  <c r="AV341" i="1"/>
  <c r="AW341" i="1"/>
  <c r="AS342" i="1"/>
  <c r="AT342" i="1"/>
  <c r="AU342" i="1"/>
  <c r="AV342" i="1"/>
  <c r="AW342" i="1"/>
  <c r="AS343" i="1"/>
  <c r="AT343" i="1"/>
  <c r="AU343" i="1"/>
  <c r="AV343" i="1"/>
  <c r="AW343" i="1"/>
  <c r="AS344" i="1"/>
  <c r="AT344" i="1"/>
  <c r="AU344" i="1"/>
  <c r="AV344" i="1"/>
  <c r="AW344" i="1"/>
  <c r="AS345" i="1"/>
  <c r="AT345" i="1"/>
  <c r="AU345" i="1"/>
  <c r="AV345" i="1"/>
  <c r="AW345" i="1"/>
  <c r="AS15" i="1"/>
  <c r="AT15" i="1"/>
  <c r="AU15" i="1"/>
  <c r="AV15" i="1"/>
  <c r="AW15" i="1"/>
  <c r="AS347" i="1"/>
  <c r="AT347" i="1"/>
  <c r="AU347" i="1"/>
  <c r="AV347" i="1"/>
  <c r="AW347" i="1"/>
  <c r="AS348" i="1"/>
  <c r="AT348" i="1"/>
  <c r="AU348" i="1"/>
  <c r="AV348" i="1"/>
  <c r="AW348" i="1"/>
  <c r="AS349" i="1"/>
  <c r="AT349" i="1"/>
  <c r="AU349" i="1"/>
  <c r="AV349" i="1"/>
  <c r="AW349" i="1"/>
  <c r="AS271" i="1"/>
  <c r="AT271" i="1"/>
  <c r="AU271" i="1"/>
  <c r="AV271" i="1"/>
  <c r="AW271" i="1"/>
  <c r="AS351" i="1"/>
  <c r="AT351" i="1"/>
  <c r="AU351" i="1"/>
  <c r="AV351" i="1"/>
  <c r="AW351" i="1"/>
  <c r="AS352" i="1"/>
  <c r="AT352" i="1"/>
  <c r="AU352" i="1"/>
  <c r="AV352" i="1"/>
  <c r="AW352" i="1"/>
  <c r="AS277" i="1"/>
  <c r="AT277" i="1"/>
  <c r="AU277" i="1"/>
  <c r="AV277" i="1"/>
  <c r="AW277" i="1"/>
  <c r="AS354" i="1"/>
  <c r="AT354" i="1"/>
  <c r="AU354" i="1"/>
  <c r="AV354" i="1"/>
  <c r="AW354" i="1"/>
  <c r="AS489" i="1"/>
  <c r="AT489" i="1"/>
  <c r="AU489" i="1"/>
  <c r="AV489" i="1"/>
  <c r="AW489" i="1"/>
  <c r="AS356" i="1"/>
  <c r="AT356" i="1"/>
  <c r="AU356" i="1"/>
  <c r="AV356" i="1"/>
  <c r="AW356" i="1"/>
  <c r="AS357" i="1"/>
  <c r="AT357" i="1"/>
  <c r="AU357" i="1"/>
  <c r="AV357" i="1"/>
  <c r="AW357" i="1"/>
  <c r="AS358" i="1"/>
  <c r="AT358" i="1"/>
  <c r="AU358" i="1"/>
  <c r="AV358" i="1"/>
  <c r="AW358" i="1"/>
  <c r="AS359" i="1"/>
  <c r="AT359" i="1"/>
  <c r="AU359" i="1"/>
  <c r="AV359" i="1"/>
  <c r="AW359" i="1"/>
  <c r="AS360" i="1"/>
  <c r="AT360" i="1"/>
  <c r="AU360" i="1"/>
  <c r="AV360" i="1"/>
  <c r="AW360" i="1"/>
  <c r="AS361" i="1"/>
  <c r="AT361" i="1"/>
  <c r="AU361" i="1"/>
  <c r="AV361" i="1"/>
  <c r="AW361" i="1"/>
  <c r="AS362" i="1"/>
  <c r="AT362" i="1"/>
  <c r="AU362" i="1"/>
  <c r="AV362" i="1"/>
  <c r="AW362" i="1"/>
  <c r="AS363" i="1"/>
  <c r="AT363" i="1"/>
  <c r="AU363" i="1"/>
  <c r="AV363" i="1"/>
  <c r="AW363" i="1"/>
  <c r="AS364" i="1"/>
  <c r="AT364" i="1"/>
  <c r="AU364" i="1"/>
  <c r="AV364" i="1"/>
  <c r="AW364" i="1"/>
  <c r="AS365" i="1"/>
  <c r="AT365" i="1"/>
  <c r="AU365" i="1"/>
  <c r="AV365" i="1"/>
  <c r="AW365" i="1"/>
  <c r="AS366" i="1"/>
  <c r="AT366" i="1"/>
  <c r="AU366" i="1"/>
  <c r="AV366" i="1"/>
  <c r="AW366" i="1"/>
  <c r="AS367" i="1"/>
  <c r="AT367" i="1"/>
  <c r="AU367" i="1"/>
  <c r="AV367" i="1"/>
  <c r="AW367" i="1"/>
  <c r="AS368" i="1"/>
  <c r="AT368" i="1"/>
  <c r="AU368" i="1"/>
  <c r="AV368" i="1"/>
  <c r="AW368" i="1"/>
  <c r="AS369" i="1"/>
  <c r="AT369" i="1"/>
  <c r="AU369" i="1"/>
  <c r="AV369" i="1"/>
  <c r="AW369" i="1"/>
  <c r="AS370" i="1"/>
  <c r="AT370" i="1"/>
  <c r="AU370" i="1"/>
  <c r="AV370" i="1"/>
  <c r="AW370" i="1"/>
  <c r="AS371" i="1"/>
  <c r="AT371" i="1"/>
  <c r="AU371" i="1"/>
  <c r="AV371" i="1"/>
  <c r="AW371" i="1"/>
  <c r="AS372" i="1"/>
  <c r="AT372" i="1"/>
  <c r="AU372" i="1"/>
  <c r="AV372" i="1"/>
  <c r="AW372" i="1"/>
  <c r="AS373" i="1"/>
  <c r="AT373" i="1"/>
  <c r="AU373" i="1"/>
  <c r="AV373" i="1"/>
  <c r="AW373" i="1"/>
  <c r="AS374" i="1"/>
  <c r="AT374" i="1"/>
  <c r="AU374" i="1"/>
  <c r="AV374" i="1"/>
  <c r="AW374" i="1"/>
  <c r="AS375" i="1"/>
  <c r="AT375" i="1"/>
  <c r="AU375" i="1"/>
  <c r="AV375" i="1"/>
  <c r="AW375" i="1"/>
  <c r="AS376" i="1"/>
  <c r="AT376" i="1"/>
  <c r="AU376" i="1"/>
  <c r="AV376" i="1"/>
  <c r="AW376" i="1"/>
  <c r="AS377" i="1"/>
  <c r="AT377" i="1"/>
  <c r="AU377" i="1"/>
  <c r="AV377" i="1"/>
  <c r="AW377" i="1"/>
  <c r="AS378" i="1"/>
  <c r="AT378" i="1"/>
  <c r="AU378" i="1"/>
  <c r="AV378" i="1"/>
  <c r="AW378" i="1"/>
  <c r="AS379" i="1"/>
  <c r="AT379" i="1"/>
  <c r="AU379" i="1"/>
  <c r="AV379" i="1"/>
  <c r="AW379" i="1"/>
  <c r="AS380" i="1"/>
  <c r="AT380" i="1"/>
  <c r="AU380" i="1"/>
  <c r="AV380" i="1"/>
  <c r="AW380" i="1"/>
  <c r="AS381" i="1"/>
  <c r="AT381" i="1"/>
  <c r="AU381" i="1"/>
  <c r="AV381" i="1"/>
  <c r="AW381" i="1"/>
  <c r="AS382" i="1"/>
  <c r="AT382" i="1"/>
  <c r="AU382" i="1"/>
  <c r="AV382" i="1"/>
  <c r="AW382" i="1"/>
  <c r="AS383" i="1"/>
  <c r="AT383" i="1"/>
  <c r="AU383" i="1"/>
  <c r="AV383" i="1"/>
  <c r="AW383" i="1"/>
  <c r="AS384" i="1"/>
  <c r="AT384" i="1"/>
  <c r="AU384" i="1"/>
  <c r="AV384" i="1"/>
  <c r="AW384" i="1"/>
  <c r="AS385" i="1"/>
  <c r="AT385" i="1"/>
  <c r="AU385" i="1"/>
  <c r="AV385" i="1"/>
  <c r="AW385" i="1"/>
  <c r="AS386" i="1"/>
  <c r="AT386" i="1"/>
  <c r="AU386" i="1"/>
  <c r="AV386" i="1"/>
  <c r="AW386" i="1"/>
  <c r="AS387" i="1"/>
  <c r="AT387" i="1"/>
  <c r="AU387" i="1"/>
  <c r="AV387" i="1"/>
  <c r="AW387" i="1"/>
  <c r="AS388" i="1"/>
  <c r="AT388" i="1"/>
  <c r="AU388" i="1"/>
  <c r="AV388" i="1"/>
  <c r="AW388" i="1"/>
  <c r="AS389" i="1"/>
  <c r="AT389" i="1"/>
  <c r="AU389" i="1"/>
  <c r="AV389" i="1"/>
  <c r="AW389" i="1"/>
  <c r="AS390" i="1"/>
  <c r="AT390" i="1"/>
  <c r="AU390" i="1"/>
  <c r="AV390" i="1"/>
  <c r="AW390" i="1"/>
  <c r="AS391" i="1"/>
  <c r="AT391" i="1"/>
  <c r="AU391" i="1"/>
  <c r="AV391" i="1"/>
  <c r="AW391" i="1"/>
  <c r="AS183" i="1"/>
  <c r="AT183" i="1"/>
  <c r="AU183" i="1"/>
  <c r="AV183" i="1"/>
  <c r="AW183" i="1"/>
  <c r="AS242" i="1"/>
  <c r="AT242" i="1"/>
  <c r="AU242" i="1"/>
  <c r="AV242" i="1"/>
  <c r="AW242" i="1"/>
  <c r="AS394" i="1"/>
  <c r="AT394" i="1"/>
  <c r="AU394" i="1"/>
  <c r="AV394" i="1"/>
  <c r="AW394" i="1"/>
  <c r="AS395" i="1"/>
  <c r="AT395" i="1"/>
  <c r="AU395" i="1"/>
  <c r="AV395" i="1"/>
  <c r="AW395" i="1"/>
  <c r="AS396" i="1"/>
  <c r="AT396" i="1"/>
  <c r="AU396" i="1"/>
  <c r="AV396" i="1"/>
  <c r="AW396" i="1"/>
  <c r="AS227" i="1"/>
  <c r="AT227" i="1"/>
  <c r="AU227" i="1"/>
  <c r="AV227" i="1"/>
  <c r="AW227" i="1"/>
  <c r="AS398" i="1"/>
  <c r="AT398" i="1"/>
  <c r="AU398" i="1"/>
  <c r="AV398" i="1"/>
  <c r="AW398" i="1"/>
  <c r="AS400" i="1"/>
  <c r="AT400" i="1"/>
  <c r="AU400" i="1"/>
  <c r="AV400" i="1"/>
  <c r="AW400" i="1"/>
  <c r="AS401" i="1"/>
  <c r="AT401" i="1"/>
  <c r="AU401" i="1"/>
  <c r="AV401" i="1"/>
  <c r="AW401" i="1"/>
  <c r="AS402" i="1"/>
  <c r="AT402" i="1"/>
  <c r="AU402" i="1"/>
  <c r="AV402" i="1"/>
  <c r="AW402" i="1"/>
  <c r="AS513" i="1"/>
  <c r="AT513" i="1"/>
  <c r="AU513" i="1"/>
  <c r="AV513" i="1"/>
  <c r="AW513" i="1"/>
  <c r="AS404" i="1"/>
  <c r="AT404" i="1"/>
  <c r="AU404" i="1"/>
  <c r="AV404" i="1"/>
  <c r="AW404" i="1"/>
  <c r="AS405" i="1"/>
  <c r="AT405" i="1"/>
  <c r="AU405" i="1"/>
  <c r="AV405" i="1"/>
  <c r="AW405" i="1"/>
  <c r="AS406" i="1"/>
  <c r="AT406" i="1"/>
  <c r="AU406" i="1"/>
  <c r="AV406" i="1"/>
  <c r="AW406" i="1"/>
  <c r="AS407" i="1"/>
  <c r="AT407" i="1"/>
  <c r="AU407" i="1"/>
  <c r="AV407" i="1"/>
  <c r="AW407" i="1"/>
  <c r="AS181" i="1"/>
  <c r="AT181" i="1"/>
  <c r="AU181" i="1"/>
  <c r="AV181" i="1"/>
  <c r="AW181" i="1"/>
  <c r="AS410" i="1"/>
  <c r="AT410" i="1"/>
  <c r="AU410" i="1"/>
  <c r="AV410" i="1"/>
  <c r="AW410" i="1"/>
  <c r="AS150" i="1"/>
  <c r="AT150" i="1"/>
  <c r="AU150" i="1"/>
  <c r="AV150" i="1"/>
  <c r="AW150" i="1"/>
  <c r="AS412" i="1"/>
  <c r="AT412" i="1"/>
  <c r="AU412" i="1"/>
  <c r="AV412" i="1"/>
  <c r="AW412" i="1"/>
  <c r="AS413" i="1"/>
  <c r="AT413" i="1"/>
  <c r="AU413" i="1"/>
  <c r="AV413" i="1"/>
  <c r="AW413" i="1"/>
  <c r="AS414" i="1"/>
  <c r="AT414" i="1"/>
  <c r="AU414" i="1"/>
  <c r="AV414" i="1"/>
  <c r="AW414" i="1"/>
  <c r="AS415" i="1"/>
  <c r="AT415" i="1"/>
  <c r="AU415" i="1"/>
  <c r="AV415" i="1"/>
  <c r="AW415" i="1"/>
  <c r="AS518" i="1"/>
  <c r="AT518" i="1"/>
  <c r="AU518" i="1"/>
  <c r="AV518" i="1"/>
  <c r="AW518" i="1"/>
  <c r="AS417" i="1"/>
  <c r="AT417" i="1"/>
  <c r="AU417" i="1"/>
  <c r="AV417" i="1"/>
  <c r="AW417" i="1"/>
  <c r="AS418" i="1"/>
  <c r="AT418" i="1"/>
  <c r="AU418" i="1"/>
  <c r="AV418" i="1"/>
  <c r="AW418" i="1"/>
  <c r="AS419" i="1"/>
  <c r="AT419" i="1"/>
  <c r="AU419" i="1"/>
  <c r="AV419" i="1"/>
  <c r="AW419" i="1"/>
  <c r="AS420" i="1"/>
  <c r="AT420" i="1"/>
  <c r="AU420" i="1"/>
  <c r="AV420" i="1"/>
  <c r="AW420" i="1"/>
  <c r="AS522" i="1"/>
  <c r="AT522" i="1"/>
  <c r="AU522" i="1"/>
  <c r="AV522" i="1"/>
  <c r="AW522" i="1"/>
  <c r="AS422" i="1"/>
  <c r="AT422" i="1"/>
  <c r="AU422" i="1"/>
  <c r="AV422" i="1"/>
  <c r="AW422" i="1"/>
  <c r="AS423" i="1"/>
  <c r="AT423" i="1"/>
  <c r="AU423" i="1"/>
  <c r="AV423" i="1"/>
  <c r="AW423" i="1"/>
  <c r="AS259" i="1"/>
  <c r="AT259" i="1"/>
  <c r="AU259" i="1"/>
  <c r="AV259" i="1"/>
  <c r="AW259" i="1"/>
  <c r="AS425" i="1"/>
  <c r="AT425" i="1"/>
  <c r="AU425" i="1"/>
  <c r="AV425" i="1"/>
  <c r="AW425" i="1"/>
  <c r="AS206" i="1"/>
  <c r="AT206" i="1"/>
  <c r="AU206" i="1"/>
  <c r="AV206" i="1"/>
  <c r="AW206" i="1"/>
  <c r="AS427" i="1"/>
  <c r="AT427" i="1"/>
  <c r="AU427" i="1"/>
  <c r="AV427" i="1"/>
  <c r="AW427" i="1"/>
  <c r="AS428" i="1"/>
  <c r="AT428" i="1"/>
  <c r="AU428" i="1"/>
  <c r="AV428" i="1"/>
  <c r="AW428" i="1"/>
  <c r="AS429" i="1"/>
  <c r="AT429" i="1"/>
  <c r="AU429" i="1"/>
  <c r="AV429" i="1"/>
  <c r="AW429" i="1"/>
  <c r="AS323" i="1"/>
  <c r="AT323" i="1"/>
  <c r="AU323" i="1"/>
  <c r="AV323" i="1"/>
  <c r="AW323" i="1"/>
  <c r="AS252" i="1"/>
  <c r="AT252" i="1"/>
  <c r="AU252" i="1"/>
  <c r="AV252" i="1"/>
  <c r="AW252" i="1"/>
  <c r="AS251" i="1"/>
  <c r="AT251" i="1"/>
  <c r="AU251" i="1"/>
  <c r="AV251" i="1"/>
  <c r="AW251" i="1"/>
  <c r="AS265" i="1"/>
  <c r="AT265" i="1"/>
  <c r="AU265" i="1"/>
  <c r="AV265" i="1"/>
  <c r="AW265" i="1"/>
  <c r="AS434" i="1"/>
  <c r="AT434" i="1"/>
  <c r="AU434" i="1"/>
  <c r="AV434" i="1"/>
  <c r="AW434" i="1"/>
  <c r="AS595" i="1"/>
  <c r="AT595" i="1"/>
  <c r="AU595" i="1"/>
  <c r="AV595" i="1"/>
  <c r="AW595" i="1"/>
  <c r="AS436" i="1"/>
  <c r="AT436" i="1"/>
  <c r="AU436" i="1"/>
  <c r="AV436" i="1"/>
  <c r="AW436" i="1"/>
  <c r="AS437" i="1"/>
  <c r="AT437" i="1"/>
  <c r="AU437" i="1"/>
  <c r="AV437" i="1"/>
  <c r="AW437" i="1"/>
  <c r="AS438" i="1"/>
  <c r="AT438" i="1"/>
  <c r="AU438" i="1"/>
  <c r="AV438" i="1"/>
  <c r="AW438" i="1"/>
  <c r="AS439" i="1"/>
  <c r="AT439" i="1"/>
  <c r="AU439" i="1"/>
  <c r="AV439" i="1"/>
  <c r="AW439" i="1"/>
  <c r="AS440" i="1"/>
  <c r="AT440" i="1"/>
  <c r="AU440" i="1"/>
  <c r="AV440" i="1"/>
  <c r="AW440" i="1"/>
  <c r="AS441" i="1"/>
  <c r="AT441" i="1"/>
  <c r="AU441" i="1"/>
  <c r="AV441" i="1"/>
  <c r="AW441" i="1"/>
  <c r="AS442" i="1"/>
  <c r="AT442" i="1"/>
  <c r="AU442" i="1"/>
  <c r="AV442" i="1"/>
  <c r="AW442" i="1"/>
  <c r="AS443" i="1"/>
  <c r="AT443" i="1"/>
  <c r="AU443" i="1"/>
  <c r="AV443" i="1"/>
  <c r="AW443" i="1"/>
  <c r="AS444" i="1"/>
  <c r="AT444" i="1"/>
  <c r="AU444" i="1"/>
  <c r="AV444" i="1"/>
  <c r="AW444" i="1"/>
  <c r="AS445" i="1"/>
  <c r="AT445" i="1"/>
  <c r="AU445" i="1"/>
  <c r="AV445" i="1"/>
  <c r="AW445" i="1"/>
  <c r="AS446" i="1"/>
  <c r="AT446" i="1"/>
  <c r="AU446" i="1"/>
  <c r="AV446" i="1"/>
  <c r="AW446" i="1"/>
  <c r="AS447" i="1"/>
  <c r="AT447" i="1"/>
  <c r="AU447" i="1"/>
  <c r="AV447" i="1"/>
  <c r="AW447" i="1"/>
  <c r="AS448" i="1"/>
  <c r="AT448" i="1"/>
  <c r="AU448" i="1"/>
  <c r="AV448" i="1"/>
  <c r="AW448" i="1"/>
  <c r="AS449" i="1"/>
  <c r="AT449" i="1"/>
  <c r="AU449" i="1"/>
  <c r="AV449" i="1"/>
  <c r="AW449" i="1"/>
  <c r="AS450" i="1"/>
  <c r="AT450" i="1"/>
  <c r="AU450" i="1"/>
  <c r="AV450" i="1"/>
  <c r="AW450" i="1"/>
  <c r="AS451" i="1"/>
  <c r="AT451" i="1"/>
  <c r="AU451" i="1"/>
  <c r="AV451" i="1"/>
  <c r="AW451" i="1"/>
  <c r="AS452" i="1"/>
  <c r="AT452" i="1"/>
  <c r="AU452" i="1"/>
  <c r="AV452" i="1"/>
  <c r="AW452" i="1"/>
  <c r="AS992" i="1"/>
  <c r="AT992" i="1"/>
  <c r="AU992" i="1"/>
  <c r="AV992" i="1"/>
  <c r="AW992" i="1"/>
  <c r="AS454" i="1"/>
  <c r="AT454" i="1"/>
  <c r="AU454" i="1"/>
  <c r="AV454" i="1"/>
  <c r="AW454" i="1"/>
  <c r="AS1009" i="1"/>
  <c r="AT1009" i="1"/>
  <c r="AU1009" i="1"/>
  <c r="AV1009" i="1"/>
  <c r="AW1009" i="1"/>
  <c r="AS456" i="1"/>
  <c r="AT456" i="1"/>
  <c r="AU456" i="1"/>
  <c r="AV456" i="1"/>
  <c r="AW456" i="1"/>
  <c r="AS140" i="1"/>
  <c r="AT140" i="1"/>
  <c r="AU140" i="1"/>
  <c r="AV140" i="1"/>
  <c r="AW140" i="1"/>
  <c r="AS458" i="1"/>
  <c r="AT458" i="1"/>
  <c r="AU458" i="1"/>
  <c r="AV458" i="1"/>
  <c r="AW458" i="1"/>
  <c r="AS1135" i="1"/>
  <c r="AT1135" i="1"/>
  <c r="AU1135" i="1"/>
  <c r="AV1135" i="1"/>
  <c r="AW1135" i="1"/>
  <c r="AS460" i="1"/>
  <c r="AT460" i="1"/>
  <c r="AU460" i="1"/>
  <c r="AV460" i="1"/>
  <c r="AW460" i="1"/>
  <c r="AS461" i="1"/>
  <c r="AT461" i="1"/>
  <c r="AU461" i="1"/>
  <c r="AV461" i="1"/>
  <c r="AW461" i="1"/>
  <c r="AS462" i="1"/>
  <c r="AT462" i="1"/>
  <c r="AU462" i="1"/>
  <c r="AV462" i="1"/>
  <c r="AW462" i="1"/>
  <c r="AS463" i="1"/>
  <c r="AT463" i="1"/>
  <c r="AU463" i="1"/>
  <c r="AV463" i="1"/>
  <c r="AW463" i="1"/>
  <c r="AS464" i="1"/>
  <c r="AT464" i="1"/>
  <c r="AU464" i="1"/>
  <c r="AV464" i="1"/>
  <c r="AW464" i="1"/>
  <c r="AS465" i="1"/>
  <c r="AT465" i="1"/>
  <c r="AU465" i="1"/>
  <c r="AV465" i="1"/>
  <c r="AW465" i="1"/>
  <c r="AS466" i="1"/>
  <c r="AT466" i="1"/>
  <c r="AU466" i="1"/>
  <c r="AV466" i="1"/>
  <c r="AW466" i="1"/>
  <c r="AS467" i="1"/>
  <c r="AT467" i="1"/>
  <c r="AU467" i="1"/>
  <c r="AV467" i="1"/>
  <c r="AW467" i="1"/>
  <c r="AS468" i="1"/>
  <c r="AT468" i="1"/>
  <c r="AU468" i="1"/>
  <c r="AV468" i="1"/>
  <c r="AW468" i="1"/>
  <c r="AS469" i="1"/>
  <c r="AT469" i="1"/>
  <c r="AU469" i="1"/>
  <c r="AV469" i="1"/>
  <c r="AW469" i="1"/>
  <c r="AS470" i="1"/>
  <c r="AT470" i="1"/>
  <c r="AU470" i="1"/>
  <c r="AV470" i="1"/>
  <c r="AW470" i="1"/>
  <c r="AS471" i="1"/>
  <c r="AT471" i="1"/>
  <c r="AU471" i="1"/>
  <c r="AV471" i="1"/>
  <c r="AW471" i="1"/>
  <c r="AS472" i="1"/>
  <c r="AT472" i="1"/>
  <c r="AU472" i="1"/>
  <c r="AV472" i="1"/>
  <c r="AW472" i="1"/>
  <c r="AS473" i="1"/>
  <c r="AT473" i="1"/>
  <c r="AU473" i="1"/>
  <c r="AV473" i="1"/>
  <c r="AW473" i="1"/>
  <c r="AS474" i="1"/>
  <c r="AT474" i="1"/>
  <c r="AU474" i="1"/>
  <c r="AV474" i="1"/>
  <c r="AW474" i="1"/>
  <c r="AS475" i="1"/>
  <c r="AT475" i="1"/>
  <c r="AU475" i="1"/>
  <c r="AV475" i="1"/>
  <c r="AW475" i="1"/>
  <c r="AS476" i="1"/>
  <c r="AT476" i="1"/>
  <c r="AU476" i="1"/>
  <c r="AV476" i="1"/>
  <c r="AW476" i="1"/>
  <c r="AS477" i="1"/>
  <c r="AT477" i="1"/>
  <c r="AU477" i="1"/>
  <c r="AV477" i="1"/>
  <c r="AW477" i="1"/>
  <c r="AS478" i="1"/>
  <c r="AT478" i="1"/>
  <c r="AU478" i="1"/>
  <c r="AV478" i="1"/>
  <c r="AW478" i="1"/>
  <c r="AS479" i="1"/>
  <c r="AT479" i="1"/>
  <c r="AU479" i="1"/>
  <c r="AV479" i="1"/>
  <c r="AW479" i="1"/>
  <c r="AS480" i="1"/>
  <c r="AT480" i="1"/>
  <c r="AU480" i="1"/>
  <c r="AV480" i="1"/>
  <c r="AW480" i="1"/>
  <c r="AS481" i="1"/>
  <c r="AT481" i="1"/>
  <c r="AU481" i="1"/>
  <c r="AV481" i="1"/>
  <c r="AW481" i="1"/>
  <c r="AS482" i="1"/>
  <c r="AT482" i="1"/>
  <c r="AU482" i="1"/>
  <c r="AV482" i="1"/>
  <c r="AW482" i="1"/>
  <c r="AS483" i="1"/>
  <c r="AT483" i="1"/>
  <c r="AU483" i="1"/>
  <c r="AV483" i="1"/>
  <c r="AW483" i="1"/>
  <c r="AS484" i="1"/>
  <c r="AT484" i="1"/>
  <c r="AU484" i="1"/>
  <c r="AV484" i="1"/>
  <c r="AW484" i="1"/>
  <c r="AS485" i="1"/>
  <c r="AT485" i="1"/>
  <c r="AU485" i="1"/>
  <c r="AV485" i="1"/>
  <c r="AW485" i="1"/>
  <c r="AS486" i="1"/>
  <c r="AT486" i="1"/>
  <c r="AU486" i="1"/>
  <c r="AV486" i="1"/>
  <c r="AW486" i="1"/>
  <c r="AS20" i="1"/>
  <c r="AT20" i="1"/>
  <c r="AU20" i="1"/>
  <c r="AV20" i="1"/>
  <c r="AW20" i="1"/>
  <c r="AS488" i="1"/>
  <c r="AT488" i="1"/>
  <c r="AU488" i="1"/>
  <c r="AV488" i="1"/>
  <c r="AW488" i="1"/>
  <c r="AS146" i="1"/>
  <c r="AT146" i="1"/>
  <c r="AU146" i="1"/>
  <c r="AV146" i="1"/>
  <c r="AW146" i="1"/>
  <c r="AS490" i="1"/>
  <c r="AT490" i="1"/>
  <c r="AU490" i="1"/>
  <c r="AV490" i="1"/>
  <c r="AW490" i="1"/>
  <c r="AS491" i="1"/>
  <c r="AT491" i="1"/>
  <c r="AU491" i="1"/>
  <c r="AV491" i="1"/>
  <c r="AW491" i="1"/>
  <c r="AS492" i="1"/>
  <c r="AT492" i="1"/>
  <c r="AU492" i="1"/>
  <c r="AV492" i="1"/>
  <c r="AW492" i="1"/>
  <c r="AS493" i="1"/>
  <c r="AT493" i="1"/>
  <c r="AU493" i="1"/>
  <c r="AV493" i="1"/>
  <c r="AW493" i="1"/>
  <c r="AS494" i="1"/>
  <c r="AT494" i="1"/>
  <c r="AU494" i="1"/>
  <c r="AV494" i="1"/>
  <c r="AW494" i="1"/>
  <c r="AS495" i="1"/>
  <c r="AT495" i="1"/>
  <c r="AU495" i="1"/>
  <c r="AV495" i="1"/>
  <c r="AW495" i="1"/>
  <c r="AS496" i="1"/>
  <c r="AT496" i="1"/>
  <c r="AU496" i="1"/>
  <c r="AV496" i="1"/>
  <c r="AW496" i="1"/>
  <c r="AS497" i="1"/>
  <c r="AT497" i="1"/>
  <c r="AU497" i="1"/>
  <c r="AV497" i="1"/>
  <c r="AW497" i="1"/>
  <c r="AS498" i="1"/>
  <c r="AT498" i="1"/>
  <c r="AU498" i="1"/>
  <c r="AV498" i="1"/>
  <c r="AW498" i="1"/>
  <c r="AS499" i="1"/>
  <c r="AT499" i="1"/>
  <c r="AU499" i="1"/>
  <c r="AV499" i="1"/>
  <c r="AW499" i="1"/>
  <c r="AS500" i="1"/>
  <c r="AT500" i="1"/>
  <c r="AU500" i="1"/>
  <c r="AV500" i="1"/>
  <c r="AW500" i="1"/>
  <c r="AS501" i="1"/>
  <c r="AT501" i="1"/>
  <c r="AU501" i="1"/>
  <c r="AV501" i="1"/>
  <c r="AW501" i="1"/>
  <c r="AS502" i="1"/>
  <c r="AT502" i="1"/>
  <c r="AU502" i="1"/>
  <c r="AV502" i="1"/>
  <c r="AW502" i="1"/>
  <c r="AS503" i="1"/>
  <c r="AT503" i="1"/>
  <c r="AU503" i="1"/>
  <c r="AV503" i="1"/>
  <c r="AW503" i="1"/>
  <c r="AS504" i="1"/>
  <c r="AT504" i="1"/>
  <c r="AU504" i="1"/>
  <c r="AV504" i="1"/>
  <c r="AW504" i="1"/>
  <c r="AS505" i="1"/>
  <c r="AT505" i="1"/>
  <c r="AU505" i="1"/>
  <c r="AV505" i="1"/>
  <c r="AW505" i="1"/>
  <c r="AS506" i="1"/>
  <c r="AT506" i="1"/>
  <c r="AU506" i="1"/>
  <c r="AV506" i="1"/>
  <c r="AW506" i="1"/>
  <c r="AS507" i="1"/>
  <c r="AT507" i="1"/>
  <c r="AU507" i="1"/>
  <c r="AV507" i="1"/>
  <c r="AW507" i="1"/>
  <c r="AS508" i="1"/>
  <c r="AT508" i="1"/>
  <c r="AU508" i="1"/>
  <c r="AV508" i="1"/>
  <c r="AW508" i="1"/>
  <c r="AS509" i="1"/>
  <c r="AT509" i="1"/>
  <c r="AU509" i="1"/>
  <c r="AV509" i="1"/>
  <c r="AW509" i="1"/>
  <c r="AS510" i="1"/>
  <c r="AT510" i="1"/>
  <c r="AU510" i="1"/>
  <c r="AV510" i="1"/>
  <c r="AW510" i="1"/>
  <c r="AS511" i="1"/>
  <c r="AT511" i="1"/>
  <c r="AU511" i="1"/>
  <c r="AV511" i="1"/>
  <c r="AW511" i="1"/>
  <c r="AS512" i="1"/>
  <c r="AT512" i="1"/>
  <c r="AU512" i="1"/>
  <c r="AV512" i="1"/>
  <c r="AW512" i="1"/>
  <c r="AS3" i="1"/>
  <c r="AT3" i="1"/>
  <c r="AU3" i="1"/>
  <c r="AV3" i="1"/>
  <c r="AW3" i="1"/>
  <c r="AS514" i="1"/>
  <c r="AT514" i="1"/>
  <c r="AU514" i="1"/>
  <c r="AV514" i="1"/>
  <c r="AW514" i="1"/>
  <c r="AS515" i="1"/>
  <c r="AT515" i="1"/>
  <c r="AU515" i="1"/>
  <c r="AV515" i="1"/>
  <c r="AW515" i="1"/>
  <c r="AS516" i="1"/>
  <c r="AT516" i="1"/>
  <c r="AU516" i="1"/>
  <c r="AV516" i="1"/>
  <c r="AW516" i="1"/>
  <c r="AS517" i="1"/>
  <c r="AT517" i="1"/>
  <c r="AU517" i="1"/>
  <c r="AV517" i="1"/>
  <c r="AW517" i="1"/>
  <c r="AS621" i="1"/>
  <c r="AT621" i="1"/>
  <c r="AU621" i="1"/>
  <c r="AV621" i="1"/>
  <c r="AW621" i="1"/>
  <c r="AS519" i="1"/>
  <c r="AT519" i="1"/>
  <c r="AU519" i="1"/>
  <c r="AV519" i="1"/>
  <c r="AW519" i="1"/>
  <c r="AS520" i="1"/>
  <c r="AT520" i="1"/>
  <c r="AU520" i="1"/>
  <c r="AV520" i="1"/>
  <c r="AW520" i="1"/>
  <c r="AS521" i="1"/>
  <c r="AT521" i="1"/>
  <c r="AU521" i="1"/>
  <c r="AV521" i="1"/>
  <c r="AW521" i="1"/>
  <c r="AS325" i="1"/>
  <c r="AT325" i="1"/>
  <c r="AU325" i="1"/>
  <c r="AV325" i="1"/>
  <c r="AW325" i="1"/>
  <c r="AS523" i="1"/>
  <c r="AT523" i="1"/>
  <c r="AU523" i="1"/>
  <c r="AV523" i="1"/>
  <c r="AW523" i="1"/>
  <c r="AS524" i="1"/>
  <c r="AT524" i="1"/>
  <c r="AU524" i="1"/>
  <c r="AV524" i="1"/>
  <c r="AW524" i="1"/>
  <c r="AS525" i="1"/>
  <c r="AT525" i="1"/>
  <c r="AU525" i="1"/>
  <c r="AV525" i="1"/>
  <c r="AW525" i="1"/>
  <c r="AS526" i="1"/>
  <c r="AT526" i="1"/>
  <c r="AU526" i="1"/>
  <c r="AV526" i="1"/>
  <c r="AW526" i="1"/>
  <c r="AS527" i="1"/>
  <c r="AT527" i="1"/>
  <c r="AU527" i="1"/>
  <c r="AV527" i="1"/>
  <c r="AW527" i="1"/>
  <c r="AS528" i="1"/>
  <c r="AT528" i="1"/>
  <c r="AU528" i="1"/>
  <c r="AV528" i="1"/>
  <c r="AW528" i="1"/>
  <c r="AS529" i="1"/>
  <c r="AT529" i="1"/>
  <c r="AU529" i="1"/>
  <c r="AV529" i="1"/>
  <c r="AW529" i="1"/>
  <c r="AS530" i="1"/>
  <c r="AT530" i="1"/>
  <c r="AU530" i="1"/>
  <c r="AV530" i="1"/>
  <c r="AW530" i="1"/>
  <c r="AS531" i="1"/>
  <c r="AT531" i="1"/>
  <c r="AU531" i="1"/>
  <c r="AV531" i="1"/>
  <c r="AW531" i="1"/>
  <c r="AS532" i="1"/>
  <c r="AT532" i="1"/>
  <c r="AU532" i="1"/>
  <c r="AV532" i="1"/>
  <c r="AW532" i="1"/>
  <c r="AS533" i="1"/>
  <c r="AT533" i="1"/>
  <c r="AU533" i="1"/>
  <c r="AV533" i="1"/>
  <c r="AW533" i="1"/>
  <c r="AS534" i="1"/>
  <c r="AT534" i="1"/>
  <c r="AU534" i="1"/>
  <c r="AV534" i="1"/>
  <c r="AW534" i="1"/>
  <c r="AS416" i="1"/>
  <c r="AT416" i="1"/>
  <c r="AU416" i="1"/>
  <c r="AV416" i="1"/>
  <c r="AW416" i="1"/>
  <c r="AS536" i="1"/>
  <c r="AT536" i="1"/>
  <c r="AU536" i="1"/>
  <c r="AV536" i="1"/>
  <c r="AW536" i="1"/>
  <c r="AS537" i="1"/>
  <c r="AT537" i="1"/>
  <c r="AU537" i="1"/>
  <c r="AV537" i="1"/>
  <c r="AW537" i="1"/>
  <c r="AS538" i="1"/>
  <c r="AT538" i="1"/>
  <c r="AU538" i="1"/>
  <c r="AV538" i="1"/>
  <c r="AW538" i="1"/>
  <c r="AS539" i="1"/>
  <c r="AT539" i="1"/>
  <c r="AU539" i="1"/>
  <c r="AV539" i="1"/>
  <c r="AW539" i="1"/>
  <c r="AS540" i="1"/>
  <c r="AT540" i="1"/>
  <c r="AU540" i="1"/>
  <c r="AV540" i="1"/>
  <c r="AW540" i="1"/>
  <c r="AS541" i="1"/>
  <c r="AT541" i="1"/>
  <c r="AU541" i="1"/>
  <c r="AV541" i="1"/>
  <c r="AW541" i="1"/>
  <c r="AS542" i="1"/>
  <c r="AT542" i="1"/>
  <c r="AU542" i="1"/>
  <c r="AV542" i="1"/>
  <c r="AW542" i="1"/>
  <c r="AS543" i="1"/>
  <c r="AT543" i="1"/>
  <c r="AU543" i="1"/>
  <c r="AV543" i="1"/>
  <c r="AW543" i="1"/>
  <c r="AS544" i="1"/>
  <c r="AT544" i="1"/>
  <c r="AU544" i="1"/>
  <c r="AV544" i="1"/>
  <c r="AW544" i="1"/>
  <c r="AS545" i="1"/>
  <c r="AT545" i="1"/>
  <c r="AU545" i="1"/>
  <c r="AV545" i="1"/>
  <c r="AW545" i="1"/>
  <c r="AS546" i="1"/>
  <c r="AT546" i="1"/>
  <c r="AU546" i="1"/>
  <c r="AV546" i="1"/>
  <c r="AW546" i="1"/>
  <c r="AS547" i="1"/>
  <c r="AT547" i="1"/>
  <c r="AU547" i="1"/>
  <c r="AV547" i="1"/>
  <c r="AW547" i="1"/>
  <c r="AS548" i="1"/>
  <c r="AT548" i="1"/>
  <c r="AU548" i="1"/>
  <c r="AV548" i="1"/>
  <c r="AW548" i="1"/>
  <c r="AS549" i="1"/>
  <c r="AT549" i="1"/>
  <c r="AU549" i="1"/>
  <c r="AV549" i="1"/>
  <c r="AW549" i="1"/>
  <c r="AS550" i="1"/>
  <c r="AT550" i="1"/>
  <c r="AU550" i="1"/>
  <c r="AV550" i="1"/>
  <c r="AW550" i="1"/>
  <c r="AS551" i="1"/>
  <c r="AT551" i="1"/>
  <c r="AU551" i="1"/>
  <c r="AV551" i="1"/>
  <c r="AW551" i="1"/>
  <c r="AS552" i="1"/>
  <c r="AT552" i="1"/>
  <c r="AU552" i="1"/>
  <c r="AV552" i="1"/>
  <c r="AW552" i="1"/>
  <c r="AS655" i="1"/>
  <c r="AT655" i="1"/>
  <c r="AU655" i="1"/>
  <c r="AV655" i="1"/>
  <c r="AW655" i="1"/>
  <c r="AS554" i="1"/>
  <c r="AT554" i="1"/>
  <c r="AU554" i="1"/>
  <c r="AV554" i="1"/>
  <c r="AW554" i="1"/>
  <c r="AS555" i="1"/>
  <c r="AT555" i="1"/>
  <c r="AU555" i="1"/>
  <c r="AV555" i="1"/>
  <c r="AW555" i="1"/>
  <c r="AS556" i="1"/>
  <c r="AT556" i="1"/>
  <c r="AU556" i="1"/>
  <c r="AV556" i="1"/>
  <c r="AW556" i="1"/>
  <c r="AS557" i="1"/>
  <c r="AT557" i="1"/>
  <c r="AU557" i="1"/>
  <c r="AV557" i="1"/>
  <c r="AW557" i="1"/>
  <c r="AS559" i="1"/>
  <c r="AT559" i="1"/>
  <c r="AU559" i="1"/>
  <c r="AV559" i="1"/>
  <c r="AW559" i="1"/>
  <c r="AS560" i="1"/>
  <c r="AT560" i="1"/>
  <c r="AU560" i="1"/>
  <c r="AV560" i="1"/>
  <c r="AW560" i="1"/>
  <c r="AS561" i="1"/>
  <c r="AT561" i="1"/>
  <c r="AU561" i="1"/>
  <c r="AV561" i="1"/>
  <c r="AW561" i="1"/>
  <c r="AS558" i="1"/>
  <c r="AT558" i="1"/>
  <c r="AU558" i="1"/>
  <c r="AV558" i="1"/>
  <c r="AW558" i="1"/>
  <c r="AS563" i="1"/>
  <c r="AT563" i="1"/>
  <c r="AU563" i="1"/>
  <c r="AV563" i="1"/>
  <c r="AW563" i="1"/>
  <c r="AS564" i="1"/>
  <c r="AT564" i="1"/>
  <c r="AU564" i="1"/>
  <c r="AV564" i="1"/>
  <c r="AW564" i="1"/>
  <c r="AS565" i="1"/>
  <c r="AT565" i="1"/>
  <c r="AU565" i="1"/>
  <c r="AV565" i="1"/>
  <c r="AW565" i="1"/>
  <c r="AS566" i="1"/>
  <c r="AT566" i="1"/>
  <c r="AU566" i="1"/>
  <c r="AV566" i="1"/>
  <c r="AW566" i="1"/>
  <c r="AS567" i="1"/>
  <c r="AT567" i="1"/>
  <c r="AU567" i="1"/>
  <c r="AV567" i="1"/>
  <c r="AW567" i="1"/>
  <c r="AS568" i="1"/>
  <c r="AT568" i="1"/>
  <c r="AU568" i="1"/>
  <c r="AV568" i="1"/>
  <c r="AW568" i="1"/>
  <c r="AS307" i="1"/>
  <c r="AT307" i="1"/>
  <c r="AU307" i="1"/>
  <c r="AV307" i="1"/>
  <c r="AW307" i="1"/>
  <c r="AS570" i="1"/>
  <c r="AT570" i="1"/>
  <c r="AU570" i="1"/>
  <c r="AV570" i="1"/>
  <c r="AW570" i="1"/>
  <c r="AS571" i="1"/>
  <c r="AT571" i="1"/>
  <c r="AU571" i="1"/>
  <c r="AV571" i="1"/>
  <c r="AW571" i="1"/>
  <c r="AS306" i="1"/>
  <c r="AT306" i="1"/>
  <c r="AU306" i="1"/>
  <c r="AV306" i="1"/>
  <c r="AW306" i="1"/>
  <c r="AS308" i="1"/>
  <c r="AT308" i="1"/>
  <c r="AU308" i="1"/>
  <c r="AV308" i="1"/>
  <c r="AW308" i="1"/>
  <c r="AS574" i="1"/>
  <c r="AT574" i="1"/>
  <c r="AU574" i="1"/>
  <c r="AV574" i="1"/>
  <c r="AW574" i="1"/>
  <c r="AS575" i="1"/>
  <c r="AT575" i="1"/>
  <c r="AU575" i="1"/>
  <c r="AV575" i="1"/>
  <c r="AW575" i="1"/>
  <c r="AS576" i="1"/>
  <c r="AT576" i="1"/>
  <c r="AU576" i="1"/>
  <c r="AV576" i="1"/>
  <c r="AW576" i="1"/>
  <c r="AS577" i="1"/>
  <c r="AT577" i="1"/>
  <c r="AU577" i="1"/>
  <c r="AV577" i="1"/>
  <c r="AW577" i="1"/>
  <c r="AS578" i="1"/>
  <c r="AT578" i="1"/>
  <c r="AU578" i="1"/>
  <c r="AV578" i="1"/>
  <c r="AW578" i="1"/>
  <c r="AS579" i="1"/>
  <c r="AT579" i="1"/>
  <c r="AU579" i="1"/>
  <c r="AV579" i="1"/>
  <c r="AW579" i="1"/>
  <c r="AS580" i="1"/>
  <c r="AT580" i="1"/>
  <c r="AU580" i="1"/>
  <c r="AV580" i="1"/>
  <c r="AW580" i="1"/>
  <c r="AS581" i="1"/>
  <c r="AT581" i="1"/>
  <c r="AU581" i="1"/>
  <c r="AV581" i="1"/>
  <c r="AW581" i="1"/>
  <c r="AS44" i="1"/>
  <c r="AT44" i="1"/>
  <c r="AU44" i="1"/>
  <c r="AV44" i="1"/>
  <c r="AW44" i="1"/>
  <c r="AS583" i="1"/>
  <c r="AT583" i="1"/>
  <c r="AU583" i="1"/>
  <c r="AV583" i="1"/>
  <c r="AW583" i="1"/>
  <c r="AS584" i="1"/>
  <c r="AT584" i="1"/>
  <c r="AV584" i="1"/>
  <c r="AW584" i="1"/>
  <c r="AS585" i="1"/>
  <c r="AT585" i="1"/>
  <c r="AU585" i="1"/>
  <c r="AV585" i="1"/>
  <c r="AW585" i="1"/>
  <c r="AS586" i="1"/>
  <c r="AT586" i="1"/>
  <c r="AU586" i="1"/>
  <c r="AV586" i="1"/>
  <c r="AW586" i="1"/>
  <c r="AS963" i="1"/>
  <c r="AT963" i="1"/>
  <c r="AU963" i="1"/>
  <c r="AV963" i="1"/>
  <c r="AW963" i="1"/>
  <c r="AS588" i="1"/>
  <c r="AT588" i="1"/>
  <c r="AU588" i="1"/>
  <c r="AV588" i="1"/>
  <c r="AW588" i="1"/>
  <c r="AS589" i="1"/>
  <c r="AT589" i="1"/>
  <c r="AU589" i="1"/>
  <c r="AV589" i="1"/>
  <c r="AW589" i="1"/>
  <c r="AS98" i="1"/>
  <c r="AT98" i="1"/>
  <c r="AU98" i="1"/>
  <c r="AV98" i="1"/>
  <c r="AW98" i="1"/>
  <c r="AS591" i="1"/>
  <c r="AT591" i="1"/>
  <c r="AU591" i="1"/>
  <c r="AV591" i="1"/>
  <c r="AW591" i="1"/>
  <c r="AS592" i="1"/>
  <c r="AT592" i="1"/>
  <c r="AU592" i="1"/>
  <c r="AV592" i="1"/>
  <c r="AW592" i="1"/>
  <c r="AS593" i="1"/>
  <c r="AT593" i="1"/>
  <c r="AU593" i="1"/>
  <c r="AV593" i="1"/>
  <c r="AW593" i="1"/>
  <c r="AS594" i="1"/>
  <c r="AT594" i="1"/>
  <c r="AU594" i="1"/>
  <c r="AV594" i="1"/>
  <c r="AW594" i="1"/>
  <c r="AS535" i="1"/>
  <c r="AT535" i="1"/>
  <c r="AU535" i="1"/>
  <c r="AV535" i="1"/>
  <c r="AW535" i="1"/>
  <c r="AS596" i="1"/>
  <c r="AT596" i="1"/>
  <c r="AU596" i="1"/>
  <c r="AV596" i="1"/>
  <c r="AW596" i="1"/>
  <c r="AS597" i="1"/>
  <c r="AT597" i="1"/>
  <c r="AU597" i="1"/>
  <c r="AV597" i="1"/>
  <c r="AW597" i="1"/>
  <c r="AS598" i="1"/>
  <c r="AT598" i="1"/>
  <c r="AU598" i="1"/>
  <c r="AV598" i="1"/>
  <c r="AW598" i="1"/>
  <c r="AS599" i="1"/>
  <c r="AT599" i="1"/>
  <c r="AU599" i="1"/>
  <c r="AV599" i="1"/>
  <c r="AW599" i="1"/>
  <c r="AS600" i="1"/>
  <c r="AT600" i="1"/>
  <c r="AU600" i="1"/>
  <c r="AV600" i="1"/>
  <c r="AW600" i="1"/>
  <c r="AS601" i="1"/>
  <c r="AT601" i="1"/>
  <c r="AU601" i="1"/>
  <c r="AV601" i="1"/>
  <c r="AW601" i="1"/>
  <c r="AS602" i="1"/>
  <c r="AT602" i="1"/>
  <c r="AU602" i="1"/>
  <c r="AV602" i="1"/>
  <c r="AW602" i="1"/>
  <c r="AS603" i="1"/>
  <c r="AT603" i="1"/>
  <c r="AU603" i="1"/>
  <c r="AV603" i="1"/>
  <c r="AW603" i="1"/>
  <c r="AS604" i="1"/>
  <c r="AT604" i="1"/>
  <c r="AU604" i="1"/>
  <c r="AV604" i="1"/>
  <c r="AW604" i="1"/>
  <c r="AS605" i="1"/>
  <c r="AT605" i="1"/>
  <c r="AU605" i="1"/>
  <c r="AV605" i="1"/>
  <c r="AW605" i="1"/>
  <c r="AS606" i="1"/>
  <c r="AT606" i="1"/>
  <c r="AU606" i="1"/>
  <c r="AV606" i="1"/>
  <c r="AW606" i="1"/>
  <c r="AS607" i="1"/>
  <c r="AT607" i="1"/>
  <c r="AU607" i="1"/>
  <c r="AV607" i="1"/>
  <c r="AW607" i="1"/>
  <c r="AS608" i="1"/>
  <c r="AT608" i="1"/>
  <c r="AU608" i="1"/>
  <c r="AV608" i="1"/>
  <c r="AW608" i="1"/>
  <c r="AS553" i="1"/>
  <c r="AT553" i="1"/>
  <c r="AU553" i="1"/>
  <c r="AV553" i="1"/>
  <c r="AW553" i="1"/>
  <c r="AS610" i="1"/>
  <c r="AT610" i="1"/>
  <c r="AU610" i="1"/>
  <c r="AV610" i="1"/>
  <c r="AW610" i="1"/>
  <c r="AS611" i="1"/>
  <c r="AT611" i="1"/>
  <c r="AU611" i="1"/>
  <c r="AV611" i="1"/>
  <c r="AW611" i="1"/>
  <c r="AS612" i="1"/>
  <c r="AT612" i="1"/>
  <c r="AU612" i="1"/>
  <c r="AV612" i="1"/>
  <c r="AW612" i="1"/>
  <c r="AS613" i="1"/>
  <c r="AT613" i="1"/>
  <c r="AU613" i="1"/>
  <c r="AV613" i="1"/>
  <c r="AW613" i="1"/>
  <c r="AS614" i="1"/>
  <c r="AT614" i="1"/>
  <c r="AU614" i="1"/>
  <c r="AV614" i="1"/>
  <c r="AW614" i="1"/>
  <c r="AS615" i="1"/>
  <c r="AT615" i="1"/>
  <c r="AU615" i="1"/>
  <c r="AV615" i="1"/>
  <c r="AW615" i="1"/>
  <c r="AS616" i="1"/>
  <c r="AT616" i="1"/>
  <c r="AU616" i="1"/>
  <c r="AV616" i="1"/>
  <c r="AW616" i="1"/>
  <c r="AS617" i="1"/>
  <c r="AT617" i="1"/>
  <c r="AU617" i="1"/>
  <c r="AV617" i="1"/>
  <c r="AW617" i="1"/>
  <c r="AS618" i="1"/>
  <c r="AT618" i="1"/>
  <c r="AU618" i="1"/>
  <c r="AV618" i="1"/>
  <c r="AW618" i="1"/>
  <c r="AS619" i="1"/>
  <c r="AT619" i="1"/>
  <c r="AU619" i="1"/>
  <c r="AV619" i="1"/>
  <c r="AW619" i="1"/>
  <c r="AS620" i="1"/>
  <c r="AT620" i="1"/>
  <c r="AU620" i="1"/>
  <c r="AV620" i="1"/>
  <c r="AW620" i="1"/>
  <c r="AS253" i="1"/>
  <c r="AT253" i="1"/>
  <c r="AU253" i="1"/>
  <c r="AV253" i="1"/>
  <c r="AW253" i="1"/>
  <c r="AS285" i="1"/>
  <c r="AT285" i="1"/>
  <c r="AU285" i="1"/>
  <c r="AV285" i="1"/>
  <c r="AW285" i="1"/>
  <c r="AS623" i="1"/>
  <c r="AT623" i="1"/>
  <c r="AU623" i="1"/>
  <c r="AV623" i="1"/>
  <c r="AW623" i="1"/>
  <c r="AS624" i="1"/>
  <c r="AT624" i="1"/>
  <c r="AU624" i="1"/>
  <c r="AV624" i="1"/>
  <c r="AW624" i="1"/>
  <c r="AS625" i="1"/>
  <c r="AT625" i="1"/>
  <c r="AU625" i="1"/>
  <c r="AV625" i="1"/>
  <c r="AW625" i="1"/>
  <c r="AS626" i="1"/>
  <c r="AT626" i="1"/>
  <c r="AU626" i="1"/>
  <c r="AV626" i="1"/>
  <c r="AW626" i="1"/>
  <c r="AS627" i="1"/>
  <c r="AT627" i="1"/>
  <c r="AU627" i="1"/>
  <c r="AV627" i="1"/>
  <c r="AW627" i="1"/>
  <c r="AS628" i="1"/>
  <c r="AT628" i="1"/>
  <c r="AU628" i="1"/>
  <c r="AV628" i="1"/>
  <c r="AW628" i="1"/>
  <c r="AS629" i="1"/>
  <c r="AT629" i="1"/>
  <c r="AU629" i="1"/>
  <c r="AV629" i="1"/>
  <c r="AW629" i="1"/>
  <c r="AS630" i="1"/>
  <c r="AT630" i="1"/>
  <c r="AU630" i="1"/>
  <c r="AV630" i="1"/>
  <c r="AW630" i="1"/>
  <c r="AS569" i="1"/>
  <c r="AT569" i="1"/>
  <c r="AU569" i="1"/>
  <c r="AV569" i="1"/>
  <c r="AW569" i="1"/>
  <c r="AS632" i="1"/>
  <c r="AT632" i="1"/>
  <c r="AU632" i="1"/>
  <c r="AV632" i="1"/>
  <c r="AW632" i="1"/>
  <c r="AS633" i="1"/>
  <c r="AT633" i="1"/>
  <c r="AU633" i="1"/>
  <c r="AV633" i="1"/>
  <c r="AW633" i="1"/>
  <c r="AS634" i="1"/>
  <c r="AT634" i="1"/>
  <c r="AU634" i="1"/>
  <c r="AV634" i="1"/>
  <c r="AW634" i="1"/>
  <c r="AS572" i="1"/>
  <c r="AT572" i="1"/>
  <c r="AU572" i="1"/>
  <c r="AV572" i="1"/>
  <c r="AW572" i="1"/>
  <c r="AS636" i="1"/>
  <c r="AT636" i="1"/>
  <c r="AU636" i="1"/>
  <c r="AV636" i="1"/>
  <c r="AW636" i="1"/>
  <c r="AS573" i="1"/>
  <c r="AT573" i="1"/>
  <c r="AU573" i="1"/>
  <c r="AV573" i="1"/>
  <c r="AW573" i="1"/>
  <c r="AS638" i="1"/>
  <c r="AT638" i="1"/>
  <c r="AU638" i="1"/>
  <c r="AV638" i="1"/>
  <c r="AW638" i="1"/>
  <c r="AS639" i="1"/>
  <c r="AT639" i="1"/>
  <c r="AU639" i="1"/>
  <c r="AV639" i="1"/>
  <c r="AW639" i="1"/>
  <c r="AS640" i="1"/>
  <c r="AT640" i="1"/>
  <c r="AU640" i="1"/>
  <c r="AV640" i="1"/>
  <c r="AW640" i="1"/>
  <c r="AS431" i="1"/>
  <c r="AT431" i="1"/>
  <c r="AU431" i="1"/>
  <c r="AV431" i="1"/>
  <c r="AW431" i="1"/>
  <c r="AS642" i="1"/>
  <c r="AT642" i="1"/>
  <c r="AU642" i="1"/>
  <c r="AV642" i="1"/>
  <c r="AW642" i="1"/>
  <c r="AS643" i="1"/>
  <c r="AT643" i="1"/>
  <c r="AU643" i="1"/>
  <c r="AV643" i="1"/>
  <c r="AW643" i="1"/>
  <c r="AS332" i="1"/>
  <c r="AT332" i="1"/>
  <c r="AU332" i="1"/>
  <c r="AV332" i="1"/>
  <c r="AW332" i="1"/>
  <c r="AS645" i="1"/>
  <c r="AT645" i="1"/>
  <c r="AU645" i="1"/>
  <c r="AV645" i="1"/>
  <c r="AW645" i="1"/>
  <c r="AS646" i="1"/>
  <c r="AT646" i="1"/>
  <c r="AU646" i="1"/>
  <c r="AV646" i="1"/>
  <c r="AW646" i="1"/>
  <c r="AS647" i="1"/>
  <c r="AT647" i="1"/>
  <c r="AU647" i="1"/>
  <c r="AV647" i="1"/>
  <c r="AW647" i="1"/>
  <c r="AS648" i="1"/>
  <c r="AT648" i="1"/>
  <c r="AU648" i="1"/>
  <c r="AV648" i="1"/>
  <c r="AW648" i="1"/>
  <c r="AS649" i="1"/>
  <c r="AT649" i="1"/>
  <c r="AU649" i="1"/>
  <c r="AV649" i="1"/>
  <c r="AW649" i="1"/>
  <c r="AS650" i="1"/>
  <c r="AT650" i="1"/>
  <c r="AU650" i="1"/>
  <c r="AV650" i="1"/>
  <c r="AW650" i="1"/>
  <c r="AS651" i="1"/>
  <c r="AT651" i="1"/>
  <c r="AU651" i="1"/>
  <c r="AV651" i="1"/>
  <c r="AW651" i="1"/>
  <c r="AS652" i="1"/>
  <c r="AT652" i="1"/>
  <c r="AU652" i="1"/>
  <c r="AV652" i="1"/>
  <c r="AW652" i="1"/>
  <c r="AS1026" i="1"/>
  <c r="AT1026" i="1"/>
  <c r="AU1026" i="1"/>
  <c r="AV1026" i="1"/>
  <c r="AW1026" i="1"/>
  <c r="AS654" i="1"/>
  <c r="AT654" i="1"/>
  <c r="AU654" i="1"/>
  <c r="AV654" i="1"/>
  <c r="AW654" i="1"/>
  <c r="AS392" i="1"/>
  <c r="AT392" i="1"/>
  <c r="AU392" i="1"/>
  <c r="AV392" i="1"/>
  <c r="AW392" i="1"/>
  <c r="AS393" i="1"/>
  <c r="AT393" i="1"/>
  <c r="AU393" i="1"/>
  <c r="AV393" i="1"/>
  <c r="AW393" i="1"/>
  <c r="AS28" i="1"/>
  <c r="AT28" i="1"/>
  <c r="AU28" i="1"/>
  <c r="AV28" i="1"/>
  <c r="AW28" i="1"/>
  <c r="AS658" i="1"/>
  <c r="AT658" i="1"/>
  <c r="AU658" i="1"/>
  <c r="AV658" i="1"/>
  <c r="AW658" i="1"/>
  <c r="AS659" i="1"/>
  <c r="AT659" i="1"/>
  <c r="AU659" i="1"/>
  <c r="AV659" i="1"/>
  <c r="AW659" i="1"/>
  <c r="AS660" i="1"/>
  <c r="AT660" i="1"/>
  <c r="AU660" i="1"/>
  <c r="AV660" i="1"/>
  <c r="AW660" i="1"/>
  <c r="AS661" i="1"/>
  <c r="AT661" i="1"/>
  <c r="AU661" i="1"/>
  <c r="AV661" i="1"/>
  <c r="AW661" i="1"/>
  <c r="AS662" i="1"/>
  <c r="AT662" i="1"/>
  <c r="AU662" i="1"/>
  <c r="AV662" i="1"/>
  <c r="AW662" i="1"/>
  <c r="AS663" i="1"/>
  <c r="AT663" i="1"/>
  <c r="AU663" i="1"/>
  <c r="AV663" i="1"/>
  <c r="AW663" i="1"/>
  <c r="AS664" i="1"/>
  <c r="AT664" i="1"/>
  <c r="AU664" i="1"/>
  <c r="AV664" i="1"/>
  <c r="AW664" i="1"/>
  <c r="AS665" i="1"/>
  <c r="AT665" i="1"/>
  <c r="AU665" i="1"/>
  <c r="AV665" i="1"/>
  <c r="AW665" i="1"/>
  <c r="AS666" i="1"/>
  <c r="AT666" i="1"/>
  <c r="AU666" i="1"/>
  <c r="AV666" i="1"/>
  <c r="AW666" i="1"/>
  <c r="AS653" i="1"/>
  <c r="AT653" i="1"/>
  <c r="AU653" i="1"/>
  <c r="AV653" i="1"/>
  <c r="AW653" i="1"/>
  <c r="AS668" i="1"/>
  <c r="AT668" i="1"/>
  <c r="AU668" i="1"/>
  <c r="AV668" i="1"/>
  <c r="AW668" i="1"/>
  <c r="AS669" i="1"/>
  <c r="AT669" i="1"/>
  <c r="AU669" i="1"/>
  <c r="AV669" i="1"/>
  <c r="AW669" i="1"/>
  <c r="AS670" i="1"/>
  <c r="AT670" i="1"/>
  <c r="AU670" i="1"/>
  <c r="AV670" i="1"/>
  <c r="AW670" i="1"/>
  <c r="AS671" i="1"/>
  <c r="AT671" i="1"/>
  <c r="AU671" i="1"/>
  <c r="AV671" i="1"/>
  <c r="AW671" i="1"/>
  <c r="AS672" i="1"/>
  <c r="AT672" i="1"/>
  <c r="AU672" i="1"/>
  <c r="AV672" i="1"/>
  <c r="AW672" i="1"/>
  <c r="AS673" i="1"/>
  <c r="AT673" i="1"/>
  <c r="AU673" i="1"/>
  <c r="AV673" i="1"/>
  <c r="AW673" i="1"/>
  <c r="AS674" i="1"/>
  <c r="AT674" i="1"/>
  <c r="AU674" i="1"/>
  <c r="AV674" i="1"/>
  <c r="AW674" i="1"/>
  <c r="AS675" i="1"/>
  <c r="AT675" i="1"/>
  <c r="AU675" i="1"/>
  <c r="AV675" i="1"/>
  <c r="AW675" i="1"/>
  <c r="AS676" i="1"/>
  <c r="AT676" i="1"/>
  <c r="AU676" i="1"/>
  <c r="AV676" i="1"/>
  <c r="AW676" i="1"/>
  <c r="AS1033" i="1"/>
  <c r="AT1033" i="1"/>
  <c r="AU1033" i="1"/>
  <c r="AV1033" i="1"/>
  <c r="AW1033" i="1"/>
  <c r="AS678" i="1"/>
  <c r="AT678" i="1"/>
  <c r="AU678" i="1"/>
  <c r="AV678" i="1"/>
  <c r="AW678" i="1"/>
  <c r="AS679" i="1"/>
  <c r="AT679" i="1"/>
  <c r="AU679" i="1"/>
  <c r="AV679" i="1"/>
  <c r="AW679" i="1"/>
  <c r="AS680" i="1"/>
  <c r="AT680" i="1"/>
  <c r="AU680" i="1"/>
  <c r="AV680" i="1"/>
  <c r="AW680" i="1"/>
  <c r="AS681" i="1"/>
  <c r="AT681" i="1"/>
  <c r="AU681" i="1"/>
  <c r="AV681" i="1"/>
  <c r="AW681" i="1"/>
  <c r="AS682" i="1"/>
  <c r="AT682" i="1"/>
  <c r="AU682" i="1"/>
  <c r="AV682" i="1"/>
  <c r="AW682" i="1"/>
  <c r="AS683" i="1"/>
  <c r="AT683" i="1"/>
  <c r="AU683" i="1"/>
  <c r="AV683" i="1"/>
  <c r="AW683" i="1"/>
  <c r="AS684" i="1"/>
  <c r="AT684" i="1"/>
  <c r="AU684" i="1"/>
  <c r="AV684" i="1"/>
  <c r="AW684" i="1"/>
  <c r="AS685" i="1"/>
  <c r="AT685" i="1"/>
  <c r="AU685" i="1"/>
  <c r="AV685" i="1"/>
  <c r="AW685" i="1"/>
  <c r="AS686" i="1"/>
  <c r="AT686" i="1"/>
  <c r="AU686" i="1"/>
  <c r="AV686" i="1"/>
  <c r="AW686" i="1"/>
  <c r="AS687" i="1"/>
  <c r="AT687" i="1"/>
  <c r="AU687" i="1"/>
  <c r="AV687" i="1"/>
  <c r="AW687" i="1"/>
  <c r="AS688" i="1"/>
  <c r="AT688" i="1"/>
  <c r="AU688" i="1"/>
  <c r="AV688" i="1"/>
  <c r="AW688" i="1"/>
  <c r="AS689" i="1"/>
  <c r="AT689" i="1"/>
  <c r="AU689" i="1"/>
  <c r="AV689" i="1"/>
  <c r="AW689" i="1"/>
  <c r="AS690" i="1"/>
  <c r="AT690" i="1"/>
  <c r="AU690" i="1"/>
  <c r="AV690" i="1"/>
  <c r="AW690" i="1"/>
  <c r="AS691" i="1"/>
  <c r="AT691" i="1"/>
  <c r="AU691" i="1"/>
  <c r="AV691" i="1"/>
  <c r="AW691" i="1"/>
  <c r="AS692" i="1"/>
  <c r="AT692" i="1"/>
  <c r="AU692" i="1"/>
  <c r="AV692" i="1"/>
  <c r="AW692" i="1"/>
  <c r="AS693" i="1"/>
  <c r="AT693" i="1"/>
  <c r="AU693" i="1"/>
  <c r="AV693" i="1"/>
  <c r="AW693" i="1"/>
  <c r="AS694" i="1"/>
  <c r="AT694" i="1"/>
  <c r="AU694" i="1"/>
  <c r="AV694" i="1"/>
  <c r="AW694" i="1"/>
  <c r="AS695" i="1"/>
  <c r="AT695" i="1"/>
  <c r="AU695" i="1"/>
  <c r="AV695" i="1"/>
  <c r="AW695" i="1"/>
  <c r="AS696" i="1"/>
  <c r="AT696" i="1"/>
  <c r="AU696" i="1"/>
  <c r="AV696" i="1"/>
  <c r="AW696" i="1"/>
  <c r="AS697" i="1"/>
  <c r="AT697" i="1"/>
  <c r="AU697" i="1"/>
  <c r="AV697" i="1"/>
  <c r="AW697" i="1"/>
  <c r="AS698" i="1"/>
  <c r="AT698" i="1"/>
  <c r="AU698" i="1"/>
  <c r="AV698" i="1"/>
  <c r="AW698" i="1"/>
  <c r="AS699" i="1"/>
  <c r="AT699" i="1"/>
  <c r="AU699" i="1"/>
  <c r="AV699" i="1"/>
  <c r="AW699" i="1"/>
  <c r="AS700" i="1"/>
  <c r="AT700" i="1"/>
  <c r="AU700" i="1"/>
  <c r="AV700" i="1"/>
  <c r="AW700" i="1"/>
  <c r="AS701" i="1"/>
  <c r="AT701" i="1"/>
  <c r="AU701" i="1"/>
  <c r="AV701" i="1"/>
  <c r="AW701" i="1"/>
  <c r="AS702" i="1"/>
  <c r="AT702" i="1"/>
  <c r="AU702" i="1"/>
  <c r="AV702" i="1"/>
  <c r="AW702" i="1"/>
  <c r="AS949" i="1"/>
  <c r="AT949" i="1"/>
  <c r="AU949" i="1"/>
  <c r="AV949" i="1"/>
  <c r="AW949" i="1"/>
  <c r="AS704" i="1"/>
  <c r="AT704" i="1"/>
  <c r="AU704" i="1"/>
  <c r="AV704" i="1"/>
  <c r="AW704" i="1"/>
  <c r="AS705" i="1"/>
  <c r="AT705" i="1"/>
  <c r="AU705" i="1"/>
  <c r="AV705" i="1"/>
  <c r="AW705" i="1"/>
  <c r="AS706" i="1"/>
  <c r="AT706" i="1"/>
  <c r="AU706" i="1"/>
  <c r="AV706" i="1"/>
  <c r="AW706" i="1"/>
  <c r="AS707" i="1"/>
  <c r="AT707" i="1"/>
  <c r="AU707" i="1"/>
  <c r="AV707" i="1"/>
  <c r="AW707" i="1"/>
  <c r="AS708" i="1"/>
  <c r="AT708" i="1"/>
  <c r="AU708" i="1"/>
  <c r="AV708" i="1"/>
  <c r="AW708" i="1"/>
  <c r="AS709" i="1"/>
  <c r="AT709" i="1"/>
  <c r="AU709" i="1"/>
  <c r="AV709" i="1"/>
  <c r="AW709" i="1"/>
  <c r="AS710" i="1"/>
  <c r="AT710" i="1"/>
  <c r="AU710" i="1"/>
  <c r="AV710" i="1"/>
  <c r="AW710" i="1"/>
  <c r="AS1034" i="1"/>
  <c r="AT1034" i="1"/>
  <c r="AU1034" i="1"/>
  <c r="AV1034" i="1"/>
  <c r="AW1034" i="1"/>
  <c r="AS743" i="1"/>
  <c r="AT743" i="1"/>
  <c r="AU743" i="1"/>
  <c r="AV743" i="1"/>
  <c r="AW743" i="1"/>
  <c r="AS713" i="1"/>
  <c r="AT713" i="1"/>
  <c r="AU713" i="1"/>
  <c r="AV713" i="1"/>
  <c r="AW713" i="1"/>
  <c r="AS714" i="1"/>
  <c r="AT714" i="1"/>
  <c r="AU714" i="1"/>
  <c r="AV714" i="1"/>
  <c r="AW714" i="1"/>
  <c r="AS715" i="1"/>
  <c r="AT715" i="1"/>
  <c r="AU715" i="1"/>
  <c r="AV715" i="1"/>
  <c r="AW715" i="1"/>
  <c r="AS716" i="1"/>
  <c r="AT716" i="1"/>
  <c r="AU716" i="1"/>
  <c r="AV716" i="1"/>
  <c r="AW716" i="1"/>
  <c r="AS717" i="1"/>
  <c r="AT717" i="1"/>
  <c r="AU717" i="1"/>
  <c r="AV717" i="1"/>
  <c r="AW717" i="1"/>
  <c r="AS718" i="1"/>
  <c r="AT718" i="1"/>
  <c r="AU718" i="1"/>
  <c r="AV718" i="1"/>
  <c r="AW718" i="1"/>
  <c r="AS735" i="1"/>
  <c r="AT735" i="1"/>
  <c r="AU735" i="1"/>
  <c r="AV735" i="1"/>
  <c r="AW735" i="1"/>
  <c r="AS720" i="1"/>
  <c r="AT720" i="1"/>
  <c r="AU720" i="1"/>
  <c r="AV720" i="1"/>
  <c r="AW720" i="1"/>
  <c r="AS721" i="1"/>
  <c r="AT721" i="1"/>
  <c r="AU721" i="1"/>
  <c r="AV721" i="1"/>
  <c r="AW721" i="1"/>
  <c r="AS722" i="1"/>
  <c r="AT722" i="1"/>
  <c r="AU722" i="1"/>
  <c r="AV722" i="1"/>
  <c r="AW722" i="1"/>
  <c r="AS778" i="1"/>
  <c r="AT778" i="1"/>
  <c r="AU778" i="1"/>
  <c r="AV778" i="1"/>
  <c r="AW778" i="1"/>
  <c r="AS724" i="1"/>
  <c r="AT724" i="1"/>
  <c r="AU724" i="1"/>
  <c r="AV724" i="1"/>
  <c r="AW724" i="1"/>
  <c r="AS725" i="1"/>
  <c r="AT725" i="1"/>
  <c r="AU725" i="1"/>
  <c r="AV725" i="1"/>
  <c r="AW725" i="1"/>
  <c r="AS726" i="1"/>
  <c r="AT726" i="1"/>
  <c r="AU726" i="1"/>
  <c r="AV726" i="1"/>
  <c r="AW726" i="1"/>
  <c r="AS727" i="1"/>
  <c r="AT727" i="1"/>
  <c r="AU727" i="1"/>
  <c r="AV727" i="1"/>
  <c r="AW727" i="1"/>
  <c r="AS728" i="1"/>
  <c r="AT728" i="1"/>
  <c r="AU728" i="1"/>
  <c r="AV728" i="1"/>
  <c r="AW728" i="1"/>
  <c r="AS729" i="1"/>
  <c r="AT729" i="1"/>
  <c r="AU729" i="1"/>
  <c r="AV729" i="1"/>
  <c r="AW729" i="1"/>
  <c r="AS730" i="1"/>
  <c r="AT730" i="1"/>
  <c r="AU730" i="1"/>
  <c r="AV730" i="1"/>
  <c r="AW730" i="1"/>
  <c r="AS712" i="1"/>
  <c r="AT712" i="1"/>
  <c r="AU712" i="1"/>
  <c r="AV712" i="1"/>
  <c r="AW712" i="1"/>
  <c r="AS732" i="1"/>
  <c r="AT732" i="1"/>
  <c r="AU732" i="1"/>
  <c r="AV732" i="1"/>
  <c r="AW732" i="1"/>
  <c r="AS733" i="1"/>
  <c r="AT733" i="1"/>
  <c r="AU733" i="1"/>
  <c r="AV733" i="1"/>
  <c r="AW733" i="1"/>
  <c r="AS734" i="1"/>
  <c r="AT734" i="1"/>
  <c r="AU734" i="1"/>
  <c r="AV734" i="1"/>
  <c r="AW734" i="1"/>
  <c r="AS1035" i="1"/>
  <c r="AT1035" i="1"/>
  <c r="AU1035" i="1"/>
  <c r="AV1035" i="1"/>
  <c r="AW1035" i="1"/>
  <c r="AS1036" i="1"/>
  <c r="AT1036" i="1"/>
  <c r="AU1036" i="1"/>
  <c r="AV1036" i="1"/>
  <c r="AW1036" i="1"/>
  <c r="AS1057" i="1"/>
  <c r="AT1057" i="1"/>
  <c r="AU1057" i="1"/>
  <c r="AV1057" i="1"/>
  <c r="AW1057" i="1"/>
  <c r="AS738" i="1"/>
  <c r="AT738" i="1"/>
  <c r="AU738" i="1"/>
  <c r="AV738" i="1"/>
  <c r="AW738" i="1"/>
  <c r="AS739" i="1"/>
  <c r="AT739" i="1"/>
  <c r="AU739" i="1"/>
  <c r="AV739" i="1"/>
  <c r="AW739" i="1"/>
  <c r="AS740" i="1"/>
  <c r="AT740" i="1"/>
  <c r="AU740" i="1"/>
  <c r="AV740" i="1"/>
  <c r="AW740" i="1"/>
  <c r="AS1059" i="1"/>
  <c r="AT1059" i="1"/>
  <c r="AU1059" i="1"/>
  <c r="AV1059" i="1"/>
  <c r="AW1059" i="1"/>
  <c r="AS1067" i="1"/>
  <c r="AT1067" i="1"/>
  <c r="AU1067" i="1"/>
  <c r="AV1067" i="1"/>
  <c r="AW1067" i="1"/>
  <c r="AS1080" i="1"/>
  <c r="AT1080" i="1"/>
  <c r="AU1080" i="1"/>
  <c r="AV1080" i="1"/>
  <c r="AW1080" i="1"/>
  <c r="AS1082" i="1"/>
  <c r="AT1082" i="1"/>
  <c r="AU1082" i="1"/>
  <c r="AV1082" i="1"/>
  <c r="AW1082" i="1"/>
  <c r="AS745" i="1"/>
  <c r="AT745" i="1"/>
  <c r="AU745" i="1"/>
  <c r="AV745" i="1"/>
  <c r="AW745" i="1"/>
  <c r="AS746" i="1"/>
  <c r="AT746" i="1"/>
  <c r="AU746" i="1"/>
  <c r="AV746" i="1"/>
  <c r="AW746" i="1"/>
  <c r="AS747" i="1"/>
  <c r="AT747" i="1"/>
  <c r="AU747" i="1"/>
  <c r="AV747" i="1"/>
  <c r="AW747" i="1"/>
  <c r="AS748" i="1"/>
  <c r="AT748" i="1"/>
  <c r="AU748" i="1"/>
  <c r="AV748" i="1"/>
  <c r="AW748" i="1"/>
  <c r="AS749" i="1"/>
  <c r="AT749" i="1"/>
  <c r="AU749" i="1"/>
  <c r="AV749" i="1"/>
  <c r="AW749" i="1"/>
  <c r="AS750" i="1"/>
  <c r="AT750" i="1"/>
  <c r="AU750" i="1"/>
  <c r="AV750" i="1"/>
  <c r="AW750" i="1"/>
  <c r="AS751" i="1"/>
  <c r="AT751" i="1"/>
  <c r="AU751" i="1"/>
  <c r="AV751" i="1"/>
  <c r="AW751" i="1"/>
  <c r="AS752" i="1"/>
  <c r="AT752" i="1"/>
  <c r="AU752" i="1"/>
  <c r="AV752" i="1"/>
  <c r="AW752" i="1"/>
  <c r="AS753" i="1"/>
  <c r="AT753" i="1"/>
  <c r="AU753" i="1"/>
  <c r="AV753" i="1"/>
  <c r="AW753" i="1"/>
  <c r="AS754" i="1"/>
  <c r="AT754" i="1"/>
  <c r="AU754" i="1"/>
  <c r="AV754" i="1"/>
  <c r="AW754" i="1"/>
  <c r="AS755" i="1"/>
  <c r="AT755" i="1"/>
  <c r="AU755" i="1"/>
  <c r="AV755" i="1"/>
  <c r="AW755" i="1"/>
  <c r="AS301" i="1"/>
  <c r="AT301" i="1"/>
  <c r="AU301" i="1"/>
  <c r="AV301" i="1"/>
  <c r="AW301" i="1"/>
  <c r="AS758" i="1"/>
  <c r="AT758" i="1"/>
  <c r="AU758" i="1"/>
  <c r="AV758" i="1"/>
  <c r="AW758" i="1"/>
  <c r="AS759" i="1"/>
  <c r="AT759" i="1"/>
  <c r="AU759" i="1"/>
  <c r="AV759" i="1"/>
  <c r="AW759" i="1"/>
  <c r="AS408" i="1"/>
  <c r="AT408" i="1"/>
  <c r="AU408" i="1"/>
  <c r="AV408" i="1"/>
  <c r="AW408" i="1"/>
  <c r="AS761" i="1"/>
  <c r="AT761" i="1"/>
  <c r="AU761" i="1"/>
  <c r="AV761" i="1"/>
  <c r="AW761" i="1"/>
  <c r="AS762" i="1"/>
  <c r="AT762" i="1"/>
  <c r="AU762" i="1"/>
  <c r="AV762" i="1"/>
  <c r="AW762" i="1"/>
  <c r="AS763" i="1"/>
  <c r="AT763" i="1"/>
  <c r="AU763" i="1"/>
  <c r="AV763" i="1"/>
  <c r="AW763" i="1"/>
  <c r="AS780" i="1"/>
  <c r="AT780" i="1"/>
  <c r="AU780" i="1"/>
  <c r="AV780" i="1"/>
  <c r="AW780" i="1"/>
  <c r="AS765" i="1"/>
  <c r="AT765" i="1"/>
  <c r="AU765" i="1"/>
  <c r="AV765" i="1"/>
  <c r="AW765" i="1"/>
  <c r="AS766" i="1"/>
  <c r="AT766" i="1"/>
  <c r="AU766" i="1"/>
  <c r="AV766" i="1"/>
  <c r="AW766" i="1"/>
  <c r="AS767" i="1"/>
  <c r="AT767" i="1"/>
  <c r="AU767" i="1"/>
  <c r="AV767" i="1"/>
  <c r="AW767" i="1"/>
  <c r="AS768" i="1"/>
  <c r="AT768" i="1"/>
  <c r="AU768" i="1"/>
  <c r="AV768" i="1"/>
  <c r="AW768" i="1"/>
  <c r="AS769" i="1"/>
  <c r="AT769" i="1"/>
  <c r="AU769" i="1"/>
  <c r="AV769" i="1"/>
  <c r="AW769" i="1"/>
  <c r="AS770" i="1"/>
  <c r="AT770" i="1"/>
  <c r="AU770" i="1"/>
  <c r="AV770" i="1"/>
  <c r="AW770" i="1"/>
  <c r="AS771" i="1"/>
  <c r="AT771" i="1"/>
  <c r="AU771" i="1"/>
  <c r="AV771" i="1"/>
  <c r="AW771" i="1"/>
  <c r="AS772" i="1"/>
  <c r="AT772" i="1"/>
  <c r="AU772" i="1"/>
  <c r="AV772" i="1"/>
  <c r="AW772" i="1"/>
  <c r="AS773" i="1"/>
  <c r="AT773" i="1"/>
  <c r="AU773" i="1"/>
  <c r="AV773" i="1"/>
  <c r="AW773" i="1"/>
  <c r="AS774" i="1"/>
  <c r="AT774" i="1"/>
  <c r="AU774" i="1"/>
  <c r="AV774" i="1"/>
  <c r="AW774" i="1"/>
  <c r="AS775" i="1"/>
  <c r="AT775" i="1"/>
  <c r="AU775" i="1"/>
  <c r="AV775" i="1"/>
  <c r="AW775" i="1"/>
  <c r="AS776" i="1"/>
  <c r="AT776" i="1"/>
  <c r="AU776" i="1"/>
  <c r="AV776" i="1"/>
  <c r="AW776" i="1"/>
  <c r="AS777" i="1"/>
  <c r="AT777" i="1"/>
  <c r="AU777" i="1"/>
  <c r="AV777" i="1"/>
  <c r="AW777" i="1"/>
  <c r="AS1084" i="1"/>
  <c r="AT1084" i="1"/>
  <c r="AU1084" i="1"/>
  <c r="AV1084" i="1"/>
  <c r="AW1084" i="1"/>
  <c r="AS779" i="1"/>
  <c r="AT779" i="1"/>
  <c r="AU779" i="1"/>
  <c r="AV779" i="1"/>
  <c r="AW779" i="1"/>
  <c r="AS790" i="1"/>
  <c r="AT790" i="1"/>
  <c r="AU790" i="1"/>
  <c r="AV790" i="1"/>
  <c r="AW790" i="1"/>
  <c r="AS781" i="1"/>
  <c r="AT781" i="1"/>
  <c r="AU781" i="1"/>
  <c r="AV781" i="1"/>
  <c r="AW781" i="1"/>
  <c r="AS782" i="1"/>
  <c r="AT782" i="1"/>
  <c r="AU782" i="1"/>
  <c r="AV782" i="1"/>
  <c r="AW782" i="1"/>
  <c r="AS783" i="1"/>
  <c r="AT783" i="1"/>
  <c r="AU783" i="1"/>
  <c r="AV783" i="1"/>
  <c r="AW783" i="1"/>
  <c r="AS784" i="1"/>
  <c r="AT784" i="1"/>
  <c r="AU784" i="1"/>
  <c r="AV784" i="1"/>
  <c r="AW784" i="1"/>
  <c r="AS785" i="1"/>
  <c r="AT785" i="1"/>
  <c r="AU785" i="1"/>
  <c r="AV785" i="1"/>
  <c r="AW785" i="1"/>
  <c r="AS786" i="1"/>
  <c r="AT786" i="1"/>
  <c r="AU786" i="1"/>
  <c r="AV786" i="1"/>
  <c r="AW786" i="1"/>
  <c r="AS787" i="1"/>
  <c r="AT787" i="1"/>
  <c r="AU787" i="1"/>
  <c r="AV787" i="1"/>
  <c r="AW787" i="1"/>
  <c r="AS788" i="1"/>
  <c r="AT788" i="1"/>
  <c r="AU788" i="1"/>
  <c r="AV788" i="1"/>
  <c r="AW788" i="1"/>
  <c r="AS789" i="1"/>
  <c r="AT789" i="1"/>
  <c r="AU789" i="1"/>
  <c r="AV789" i="1"/>
  <c r="AW789" i="1"/>
  <c r="AS40" i="1"/>
  <c r="AT40" i="1"/>
  <c r="AU40" i="1"/>
  <c r="AV40" i="1"/>
  <c r="AW40" i="1"/>
  <c r="AS791" i="1"/>
  <c r="AT791" i="1"/>
  <c r="AU791" i="1"/>
  <c r="AV791" i="1"/>
  <c r="AW791" i="1"/>
  <c r="AS792" i="1"/>
  <c r="AT792" i="1"/>
  <c r="AU792" i="1"/>
  <c r="AV792" i="1"/>
  <c r="AW792" i="1"/>
  <c r="AS793" i="1"/>
  <c r="AT793" i="1"/>
  <c r="AU793" i="1"/>
  <c r="AV793" i="1"/>
  <c r="AW793" i="1"/>
  <c r="AS794" i="1"/>
  <c r="AT794" i="1"/>
  <c r="AU794" i="1"/>
  <c r="AV794" i="1"/>
  <c r="AW794" i="1"/>
  <c r="AS1085" i="1"/>
  <c r="AT1085" i="1"/>
  <c r="AU1085" i="1"/>
  <c r="AV1085" i="1"/>
  <c r="AW1085" i="1"/>
  <c r="AS796" i="1"/>
  <c r="AT796" i="1"/>
  <c r="AU796" i="1"/>
  <c r="AV796" i="1"/>
  <c r="AW796" i="1"/>
  <c r="AS797" i="1"/>
  <c r="AT797" i="1"/>
  <c r="AU797" i="1"/>
  <c r="AV797" i="1"/>
  <c r="AW797" i="1"/>
  <c r="AS798" i="1"/>
  <c r="AT798" i="1"/>
  <c r="AU798" i="1"/>
  <c r="AV798" i="1"/>
  <c r="AW798" i="1"/>
  <c r="AS744" i="1"/>
  <c r="AT744" i="1"/>
  <c r="AU744" i="1"/>
  <c r="AV744" i="1"/>
  <c r="AW744" i="1"/>
  <c r="AS800" i="1"/>
  <c r="AT800" i="1"/>
  <c r="AU800" i="1"/>
  <c r="AV800" i="1"/>
  <c r="AW800" i="1"/>
  <c r="AS801" i="1"/>
  <c r="AT801" i="1"/>
  <c r="AU801" i="1"/>
  <c r="AV801" i="1"/>
  <c r="AW801" i="1"/>
  <c r="AS802" i="1"/>
  <c r="AT802" i="1"/>
  <c r="AU802" i="1"/>
  <c r="AV802" i="1"/>
  <c r="AW802" i="1"/>
  <c r="AS803" i="1"/>
  <c r="AT803" i="1"/>
  <c r="AU803" i="1"/>
  <c r="AV803" i="1"/>
  <c r="AW803" i="1"/>
  <c r="AS804" i="1"/>
  <c r="AT804" i="1"/>
  <c r="AU804" i="1"/>
  <c r="AV804" i="1"/>
  <c r="AW804" i="1"/>
  <c r="AS805" i="1"/>
  <c r="AT805" i="1"/>
  <c r="AU805" i="1"/>
  <c r="AV805" i="1"/>
  <c r="AW805" i="1"/>
  <c r="AS806" i="1"/>
  <c r="AT806" i="1"/>
  <c r="AU806" i="1"/>
  <c r="AV806" i="1"/>
  <c r="AW806" i="1"/>
  <c r="AS807" i="1"/>
  <c r="AT807" i="1"/>
  <c r="AU807" i="1"/>
  <c r="AV807" i="1"/>
  <c r="AW807" i="1"/>
  <c r="AS808" i="1"/>
  <c r="AT808" i="1"/>
  <c r="AU808" i="1"/>
  <c r="AV808" i="1"/>
  <c r="AW808" i="1"/>
  <c r="AS809" i="1"/>
  <c r="AT809" i="1"/>
  <c r="AU809" i="1"/>
  <c r="AV809" i="1"/>
  <c r="AW809" i="1"/>
  <c r="AS810" i="1"/>
  <c r="AT810" i="1"/>
  <c r="AU810" i="1"/>
  <c r="AV810" i="1"/>
  <c r="AW810" i="1"/>
  <c r="AS811" i="1"/>
  <c r="AT811" i="1"/>
  <c r="AU811" i="1"/>
  <c r="AV811" i="1"/>
  <c r="AW811" i="1"/>
  <c r="AS812" i="1"/>
  <c r="AT812" i="1"/>
  <c r="AU812" i="1"/>
  <c r="AV812" i="1"/>
  <c r="AW812" i="1"/>
  <c r="AS813" i="1"/>
  <c r="AT813" i="1"/>
  <c r="AU813" i="1"/>
  <c r="AV813" i="1"/>
  <c r="AW813" i="1"/>
  <c r="AS814" i="1"/>
  <c r="AT814" i="1"/>
  <c r="AU814" i="1"/>
  <c r="AV814" i="1"/>
  <c r="AW814" i="1"/>
  <c r="AS757" i="1"/>
  <c r="AT757" i="1"/>
  <c r="AU757" i="1"/>
  <c r="AV757" i="1"/>
  <c r="AW757" i="1"/>
  <c r="AS816" i="1"/>
  <c r="AT816" i="1"/>
  <c r="AU816" i="1"/>
  <c r="AV816" i="1"/>
  <c r="AW816" i="1"/>
  <c r="AS817" i="1"/>
  <c r="AT817" i="1"/>
  <c r="AU817" i="1"/>
  <c r="AV817" i="1"/>
  <c r="AW817" i="1"/>
  <c r="AS795" i="1"/>
  <c r="AT795" i="1"/>
  <c r="AU795" i="1"/>
  <c r="AV795" i="1"/>
  <c r="AW795" i="1"/>
  <c r="AS820" i="1"/>
  <c r="AT820" i="1"/>
  <c r="AU820" i="1"/>
  <c r="AV820" i="1"/>
  <c r="AW820" i="1"/>
  <c r="AS821" i="1"/>
  <c r="AT821" i="1"/>
  <c r="AU821" i="1"/>
  <c r="AV821" i="1"/>
  <c r="AW821" i="1"/>
  <c r="AS822" i="1"/>
  <c r="AT822" i="1"/>
  <c r="AU822" i="1"/>
  <c r="AV822" i="1"/>
  <c r="AW822" i="1"/>
  <c r="AS823" i="1"/>
  <c r="AT823" i="1"/>
  <c r="AU823" i="1"/>
  <c r="AV823" i="1"/>
  <c r="AW823" i="1"/>
  <c r="AS824" i="1"/>
  <c r="AT824" i="1"/>
  <c r="AU824" i="1"/>
  <c r="AV824" i="1"/>
  <c r="AW824" i="1"/>
  <c r="AS656" i="1"/>
  <c r="AT656" i="1"/>
  <c r="AU656" i="1"/>
  <c r="AV656" i="1"/>
  <c r="AW656" i="1"/>
  <c r="AS826" i="1"/>
  <c r="AT826" i="1"/>
  <c r="AU826" i="1"/>
  <c r="AV826" i="1"/>
  <c r="AW826" i="1"/>
  <c r="AS827" i="1"/>
  <c r="AT827" i="1"/>
  <c r="AU827" i="1"/>
  <c r="AV827" i="1"/>
  <c r="AW827" i="1"/>
  <c r="AS828" i="1"/>
  <c r="AT828" i="1"/>
  <c r="AU828" i="1"/>
  <c r="AV828" i="1"/>
  <c r="AW828" i="1"/>
  <c r="AS829" i="1"/>
  <c r="AT829" i="1"/>
  <c r="AU829" i="1"/>
  <c r="AV829" i="1"/>
  <c r="AW829" i="1"/>
  <c r="AS760" i="1"/>
  <c r="AT760" i="1"/>
  <c r="AU760" i="1"/>
  <c r="AV760" i="1"/>
  <c r="AW760" i="1"/>
  <c r="AS831" i="1"/>
  <c r="AT831" i="1"/>
  <c r="AU831" i="1"/>
  <c r="AV831" i="1"/>
  <c r="AW831" i="1"/>
  <c r="AS832" i="1"/>
  <c r="AT832" i="1"/>
  <c r="AU832" i="1"/>
  <c r="AV832" i="1"/>
  <c r="AW832" i="1"/>
  <c r="AS833" i="1"/>
  <c r="AT833" i="1"/>
  <c r="AU833" i="1"/>
  <c r="AV833" i="1"/>
  <c r="AW833" i="1"/>
  <c r="AS834" i="1"/>
  <c r="AT834" i="1"/>
  <c r="AU834" i="1"/>
  <c r="AV834" i="1"/>
  <c r="AW834" i="1"/>
  <c r="AS835" i="1"/>
  <c r="AT835" i="1"/>
  <c r="AU835" i="1"/>
  <c r="AV835" i="1"/>
  <c r="AW835" i="1"/>
  <c r="AS836" i="1"/>
  <c r="AT836" i="1"/>
  <c r="AU836" i="1"/>
  <c r="AV836" i="1"/>
  <c r="AW836" i="1"/>
  <c r="AS837" i="1"/>
  <c r="AT837" i="1"/>
  <c r="AU837" i="1"/>
  <c r="AV837" i="1"/>
  <c r="AW837" i="1"/>
  <c r="AS838" i="1"/>
  <c r="AT838" i="1"/>
  <c r="AU838" i="1"/>
  <c r="AV838" i="1"/>
  <c r="AW838" i="1"/>
  <c r="AS839" i="1"/>
  <c r="AT839" i="1"/>
  <c r="AU839" i="1"/>
  <c r="AV839" i="1"/>
  <c r="AW839" i="1"/>
  <c r="AS840" i="1"/>
  <c r="AT840" i="1"/>
  <c r="AU840" i="1"/>
  <c r="AV840" i="1"/>
  <c r="AW840" i="1"/>
  <c r="AS841" i="1"/>
  <c r="AT841" i="1"/>
  <c r="AU841" i="1"/>
  <c r="AV841" i="1"/>
  <c r="AW841" i="1"/>
  <c r="AS842" i="1"/>
  <c r="AT842" i="1"/>
  <c r="AU842" i="1"/>
  <c r="AV842" i="1"/>
  <c r="AW842" i="1"/>
  <c r="AS843" i="1"/>
  <c r="AT843" i="1"/>
  <c r="AU843" i="1"/>
  <c r="AV843" i="1"/>
  <c r="AW843" i="1"/>
  <c r="AS844" i="1"/>
  <c r="AT844" i="1"/>
  <c r="AU844" i="1"/>
  <c r="AV844" i="1"/>
  <c r="AW844" i="1"/>
  <c r="AS845" i="1"/>
  <c r="AT845" i="1"/>
  <c r="AU845" i="1"/>
  <c r="AV845" i="1"/>
  <c r="AW845" i="1"/>
  <c r="AS846" i="1"/>
  <c r="AT846" i="1"/>
  <c r="AU846" i="1"/>
  <c r="AV846" i="1"/>
  <c r="AW846" i="1"/>
  <c r="AS847" i="1"/>
  <c r="AT847" i="1"/>
  <c r="AU847" i="1"/>
  <c r="AV847" i="1"/>
  <c r="AW847" i="1"/>
  <c r="AS848" i="1"/>
  <c r="AT848" i="1"/>
  <c r="AU848" i="1"/>
  <c r="AV848" i="1"/>
  <c r="AW848" i="1"/>
  <c r="AS849" i="1"/>
  <c r="AT849" i="1"/>
  <c r="AU849" i="1"/>
  <c r="AV849" i="1"/>
  <c r="AW849" i="1"/>
  <c r="AS850" i="1"/>
  <c r="AT850" i="1"/>
  <c r="AU850" i="1"/>
  <c r="AV850" i="1"/>
  <c r="AW850" i="1"/>
  <c r="AS851" i="1"/>
  <c r="AT851" i="1"/>
  <c r="AU851" i="1"/>
  <c r="AV851" i="1"/>
  <c r="AW851" i="1"/>
  <c r="AS852" i="1"/>
  <c r="AT852" i="1"/>
  <c r="AU852" i="1"/>
  <c r="AV852" i="1"/>
  <c r="AW852" i="1"/>
  <c r="AS853" i="1"/>
  <c r="AT853" i="1"/>
  <c r="AU853" i="1"/>
  <c r="AV853" i="1"/>
  <c r="AW853" i="1"/>
  <c r="AS854" i="1"/>
  <c r="AT854" i="1"/>
  <c r="AU854" i="1"/>
  <c r="AV854" i="1"/>
  <c r="AW854" i="1"/>
  <c r="AS855" i="1"/>
  <c r="AT855" i="1"/>
  <c r="AU855" i="1"/>
  <c r="AV855" i="1"/>
  <c r="AW855" i="1"/>
  <c r="AS856" i="1"/>
  <c r="AT856" i="1"/>
  <c r="AU856" i="1"/>
  <c r="AV856" i="1"/>
  <c r="AW856" i="1"/>
  <c r="AS857" i="1"/>
  <c r="AT857" i="1"/>
  <c r="AU857" i="1"/>
  <c r="AV857" i="1"/>
  <c r="AW857" i="1"/>
  <c r="AS858" i="1"/>
  <c r="AT858" i="1"/>
  <c r="AU858" i="1"/>
  <c r="AV858" i="1"/>
  <c r="AW858" i="1"/>
  <c r="AS859" i="1"/>
  <c r="AT859" i="1"/>
  <c r="AU859" i="1"/>
  <c r="AV859" i="1"/>
  <c r="AW859" i="1"/>
  <c r="AS741" i="1"/>
  <c r="AT741" i="1"/>
  <c r="AU741" i="1"/>
  <c r="AV741" i="1"/>
  <c r="AW741" i="1"/>
  <c r="AS861" i="1"/>
  <c r="AT861" i="1"/>
  <c r="AU861" i="1"/>
  <c r="AV861" i="1"/>
  <c r="AW861" i="1"/>
  <c r="AS862" i="1"/>
  <c r="AT862" i="1"/>
  <c r="AU862" i="1"/>
  <c r="AV862" i="1"/>
  <c r="AW862" i="1"/>
  <c r="AS863" i="1"/>
  <c r="AT863" i="1"/>
  <c r="AU863" i="1"/>
  <c r="AV863" i="1"/>
  <c r="AW863" i="1"/>
  <c r="AS864" i="1"/>
  <c r="AT864" i="1"/>
  <c r="AU864" i="1"/>
  <c r="AV864" i="1"/>
  <c r="AW864" i="1"/>
  <c r="AS865" i="1"/>
  <c r="AT865" i="1"/>
  <c r="AU865" i="1"/>
  <c r="AV865" i="1"/>
  <c r="AW865" i="1"/>
  <c r="AS346" i="1"/>
  <c r="AT346" i="1"/>
  <c r="AU346" i="1"/>
  <c r="AV346" i="1"/>
  <c r="AW346" i="1"/>
  <c r="AS867" i="1"/>
  <c r="AT867" i="1"/>
  <c r="AU867" i="1"/>
  <c r="AV867" i="1"/>
  <c r="AW867" i="1"/>
  <c r="AS723" i="1"/>
  <c r="AT723" i="1"/>
  <c r="AU723" i="1"/>
  <c r="AV723" i="1"/>
  <c r="AW723" i="1"/>
  <c r="AS869" i="1"/>
  <c r="AT869" i="1"/>
  <c r="AU869" i="1"/>
  <c r="AV869" i="1"/>
  <c r="AW869" i="1"/>
  <c r="AS870" i="1"/>
  <c r="AT870" i="1"/>
  <c r="AU870" i="1"/>
  <c r="AV870" i="1"/>
  <c r="AW870" i="1"/>
  <c r="AS871" i="1"/>
  <c r="AT871" i="1"/>
  <c r="AU871" i="1"/>
  <c r="AV871" i="1"/>
  <c r="AW871" i="1"/>
  <c r="AS872" i="1"/>
  <c r="AT872" i="1"/>
  <c r="AU872" i="1"/>
  <c r="AV872" i="1"/>
  <c r="AW872" i="1"/>
  <c r="AS731" i="1"/>
  <c r="AT731" i="1"/>
  <c r="AU731" i="1"/>
  <c r="AV731" i="1"/>
  <c r="AW731" i="1"/>
  <c r="AS874" i="1"/>
  <c r="AT874" i="1"/>
  <c r="AU874" i="1"/>
  <c r="AV874" i="1"/>
  <c r="AW874" i="1"/>
  <c r="AS875" i="1"/>
  <c r="AT875" i="1"/>
  <c r="AU875" i="1"/>
  <c r="AV875" i="1"/>
  <c r="AW875" i="1"/>
  <c r="AS657" i="1"/>
  <c r="AT657" i="1"/>
  <c r="AU657" i="1"/>
  <c r="AV657" i="1"/>
  <c r="AW657" i="1"/>
  <c r="AS877" i="1"/>
  <c r="AT877" i="1"/>
  <c r="AU877" i="1"/>
  <c r="AV877" i="1"/>
  <c r="AW877" i="1"/>
  <c r="AS878" i="1"/>
  <c r="AT878" i="1"/>
  <c r="AU878" i="1"/>
  <c r="AV878" i="1"/>
  <c r="AW878" i="1"/>
  <c r="AS879" i="1"/>
  <c r="AT879" i="1"/>
  <c r="AU879" i="1"/>
  <c r="AV879" i="1"/>
  <c r="AW879" i="1"/>
  <c r="AS880" i="1"/>
  <c r="AT880" i="1"/>
  <c r="AU880" i="1"/>
  <c r="AV880" i="1"/>
  <c r="AW880" i="1"/>
  <c r="AS881" i="1"/>
  <c r="AT881" i="1"/>
  <c r="AU881" i="1"/>
  <c r="AV881" i="1"/>
  <c r="AW881" i="1"/>
  <c r="AS882" i="1"/>
  <c r="AT882" i="1"/>
  <c r="AU882" i="1"/>
  <c r="AV882" i="1"/>
  <c r="AW882" i="1"/>
  <c r="AS883" i="1"/>
  <c r="AT883" i="1"/>
  <c r="AU883" i="1"/>
  <c r="AV883" i="1"/>
  <c r="AW883" i="1"/>
  <c r="AS884" i="1"/>
  <c r="AT884" i="1"/>
  <c r="AU884" i="1"/>
  <c r="AV884" i="1"/>
  <c r="AW884" i="1"/>
  <c r="AS885" i="1"/>
  <c r="AT885" i="1"/>
  <c r="AU885" i="1"/>
  <c r="AV885" i="1"/>
  <c r="AW885" i="1"/>
  <c r="AS886" i="1"/>
  <c r="AT886" i="1"/>
  <c r="AU886" i="1"/>
  <c r="AV886" i="1"/>
  <c r="AW886" i="1"/>
  <c r="AS887" i="1"/>
  <c r="AT887" i="1"/>
  <c r="AU887" i="1"/>
  <c r="AV887" i="1"/>
  <c r="AW887" i="1"/>
  <c r="AS888" i="1"/>
  <c r="AT888" i="1"/>
  <c r="AU888" i="1"/>
  <c r="AV888" i="1"/>
  <c r="AW888" i="1"/>
  <c r="AS889" i="1"/>
  <c r="AT889" i="1"/>
  <c r="AU889" i="1"/>
  <c r="AV889" i="1"/>
  <c r="AW889" i="1"/>
  <c r="AS890" i="1"/>
  <c r="AT890" i="1"/>
  <c r="AU890" i="1"/>
  <c r="AV890" i="1"/>
  <c r="AW890" i="1"/>
  <c r="AS891" i="1"/>
  <c r="AT891" i="1"/>
  <c r="AU891" i="1"/>
  <c r="AV891" i="1"/>
  <c r="AW891" i="1"/>
  <c r="AS892" i="1"/>
  <c r="AT892" i="1"/>
  <c r="AU892" i="1"/>
  <c r="AV892" i="1"/>
  <c r="AW892" i="1"/>
  <c r="AS893" i="1"/>
  <c r="AT893" i="1"/>
  <c r="AU893" i="1"/>
  <c r="AV893" i="1"/>
  <c r="AW893" i="1"/>
  <c r="AS894" i="1"/>
  <c r="AT894" i="1"/>
  <c r="AU894" i="1"/>
  <c r="AV894" i="1"/>
  <c r="AW894" i="1"/>
  <c r="AS895" i="1"/>
  <c r="AT895" i="1"/>
  <c r="AU895" i="1"/>
  <c r="AV895" i="1"/>
  <c r="AW895" i="1"/>
  <c r="AS896" i="1"/>
  <c r="AT896" i="1"/>
  <c r="AU896" i="1"/>
  <c r="AV896" i="1"/>
  <c r="AW896" i="1"/>
  <c r="AS897" i="1"/>
  <c r="AT897" i="1"/>
  <c r="AU897" i="1"/>
  <c r="AV897" i="1"/>
  <c r="AW897" i="1"/>
  <c r="AS898" i="1"/>
  <c r="AT898" i="1"/>
  <c r="AU898" i="1"/>
  <c r="AV898" i="1"/>
  <c r="AW898" i="1"/>
  <c r="AS899" i="1"/>
  <c r="AT899" i="1"/>
  <c r="AU899" i="1"/>
  <c r="AV899" i="1"/>
  <c r="AW899" i="1"/>
  <c r="AS582" i="1"/>
  <c r="AT582" i="1"/>
  <c r="AU582" i="1"/>
  <c r="AV582" i="1"/>
  <c r="AW582" i="1"/>
  <c r="AS901" i="1"/>
  <c r="AT901" i="1"/>
  <c r="AU901" i="1"/>
  <c r="AV901" i="1"/>
  <c r="AW901" i="1"/>
  <c r="AS902" i="1"/>
  <c r="AT902" i="1"/>
  <c r="AU902" i="1"/>
  <c r="AV902" i="1"/>
  <c r="AW902" i="1"/>
  <c r="AS903" i="1"/>
  <c r="AT903" i="1"/>
  <c r="AU903" i="1"/>
  <c r="AV903" i="1"/>
  <c r="AW903" i="1"/>
  <c r="AS904" i="1"/>
  <c r="AT904" i="1"/>
  <c r="AU904" i="1"/>
  <c r="AV904" i="1"/>
  <c r="AW904" i="1"/>
  <c r="AS906" i="1"/>
  <c r="AT906" i="1"/>
  <c r="AU906" i="1"/>
  <c r="AV906" i="1"/>
  <c r="AW906" i="1"/>
  <c r="AS907" i="1"/>
  <c r="AT907" i="1"/>
  <c r="AU907" i="1"/>
  <c r="AV907" i="1"/>
  <c r="AW907" i="1"/>
  <c r="AS908" i="1"/>
  <c r="AT908" i="1"/>
  <c r="AU908" i="1"/>
  <c r="AV908" i="1"/>
  <c r="AW908" i="1"/>
  <c r="AS909" i="1"/>
  <c r="AT909" i="1"/>
  <c r="AU909" i="1"/>
  <c r="AV909" i="1"/>
  <c r="AW909" i="1"/>
  <c r="AS910" i="1"/>
  <c r="AT910" i="1"/>
  <c r="AU910" i="1"/>
  <c r="AV910" i="1"/>
  <c r="AW910" i="1"/>
  <c r="AS911" i="1"/>
  <c r="AT911" i="1"/>
  <c r="AU911" i="1"/>
  <c r="AV911" i="1"/>
  <c r="AW911" i="1"/>
  <c r="AS799" i="1"/>
  <c r="AT799" i="1"/>
  <c r="AU799" i="1"/>
  <c r="AV799" i="1"/>
  <c r="AW799" i="1"/>
  <c r="AS815" i="1"/>
  <c r="AT815" i="1"/>
  <c r="AU815" i="1"/>
  <c r="AV815" i="1"/>
  <c r="AW815" i="1"/>
  <c r="AS914" i="1"/>
  <c r="AT914" i="1"/>
  <c r="AU914" i="1"/>
  <c r="AV914" i="1"/>
  <c r="AW914" i="1"/>
  <c r="AS915" i="1"/>
  <c r="AT915" i="1"/>
  <c r="AU915" i="1"/>
  <c r="AV915" i="1"/>
  <c r="AW915" i="1"/>
  <c r="AS818" i="1"/>
  <c r="AT818" i="1"/>
  <c r="AU818" i="1"/>
  <c r="AV818" i="1"/>
  <c r="AW818" i="1"/>
  <c r="AS819" i="1"/>
  <c r="AT819" i="1"/>
  <c r="AU819" i="1"/>
  <c r="AV819" i="1"/>
  <c r="AW819" i="1"/>
  <c r="AS825" i="1"/>
  <c r="AT825" i="1"/>
  <c r="AU825" i="1"/>
  <c r="AV825" i="1"/>
  <c r="AW825" i="1"/>
  <c r="AS919" i="1"/>
  <c r="AT919" i="1"/>
  <c r="AU919" i="1"/>
  <c r="AV919" i="1"/>
  <c r="AW919" i="1"/>
  <c r="AS920" i="1"/>
  <c r="AT920" i="1"/>
  <c r="AU920" i="1"/>
  <c r="AV920" i="1"/>
  <c r="AW920" i="1"/>
  <c r="AS921" i="1"/>
  <c r="AT921" i="1"/>
  <c r="AU921" i="1"/>
  <c r="AV921" i="1"/>
  <c r="AW921" i="1"/>
  <c r="AS922" i="1"/>
  <c r="AT922" i="1"/>
  <c r="AU922" i="1"/>
  <c r="AV922" i="1"/>
  <c r="AW922" i="1"/>
  <c r="AS923" i="1"/>
  <c r="AT923" i="1"/>
  <c r="AU923" i="1"/>
  <c r="AV923" i="1"/>
  <c r="AW923" i="1"/>
  <c r="AS924" i="1"/>
  <c r="AT924" i="1"/>
  <c r="AU924" i="1"/>
  <c r="AV924" i="1"/>
  <c r="AW924" i="1"/>
  <c r="AS925" i="1"/>
  <c r="AT925" i="1"/>
  <c r="AU925" i="1"/>
  <c r="AV925" i="1"/>
  <c r="AW925" i="1"/>
  <c r="AS736" i="1"/>
  <c r="AT736" i="1"/>
  <c r="AU736" i="1"/>
  <c r="AV736" i="1"/>
  <c r="AW736" i="1"/>
  <c r="AS927" i="1"/>
  <c r="AT927" i="1"/>
  <c r="AU927" i="1"/>
  <c r="AV927" i="1"/>
  <c r="AW927" i="1"/>
  <c r="AS928" i="1"/>
  <c r="AT928" i="1"/>
  <c r="AU928" i="1"/>
  <c r="AV928" i="1"/>
  <c r="AW928" i="1"/>
  <c r="AS830" i="1"/>
  <c r="AT830" i="1"/>
  <c r="AU830" i="1"/>
  <c r="AV830" i="1"/>
  <c r="AW830" i="1"/>
  <c r="AS930" i="1"/>
  <c r="AT930" i="1"/>
  <c r="AU930" i="1"/>
  <c r="AV930" i="1"/>
  <c r="AW930" i="1"/>
  <c r="AS931" i="1"/>
  <c r="AT931" i="1"/>
  <c r="AU931" i="1"/>
  <c r="AV931" i="1"/>
  <c r="AW931" i="1"/>
  <c r="AS932" i="1"/>
  <c r="AT932" i="1"/>
  <c r="AU932" i="1"/>
  <c r="AV932" i="1"/>
  <c r="AW932" i="1"/>
  <c r="AS933" i="1"/>
  <c r="AT933" i="1"/>
  <c r="AU933" i="1"/>
  <c r="AV933" i="1"/>
  <c r="AW933" i="1"/>
  <c r="AS934" i="1"/>
  <c r="AT934" i="1"/>
  <c r="AU934" i="1"/>
  <c r="AV934" i="1"/>
  <c r="AW934" i="1"/>
  <c r="AS764" i="1"/>
  <c r="AT764" i="1"/>
  <c r="AU764" i="1"/>
  <c r="AV764" i="1"/>
  <c r="AW764" i="1"/>
  <c r="AS936" i="1"/>
  <c r="AT936" i="1"/>
  <c r="AU936" i="1"/>
  <c r="AV936" i="1"/>
  <c r="AW936" i="1"/>
  <c r="AS937" i="1"/>
  <c r="AT937" i="1"/>
  <c r="AU937" i="1"/>
  <c r="AV937" i="1"/>
  <c r="AW937" i="1"/>
  <c r="AS938" i="1"/>
  <c r="AT938" i="1"/>
  <c r="AU938" i="1"/>
  <c r="AV938" i="1"/>
  <c r="AW938" i="1"/>
  <c r="AS939" i="1"/>
  <c r="AT939" i="1"/>
  <c r="AU939" i="1"/>
  <c r="AV939" i="1"/>
  <c r="AW939" i="1"/>
  <c r="AS940" i="1"/>
  <c r="AT940" i="1"/>
  <c r="AU940" i="1"/>
  <c r="AV940" i="1"/>
  <c r="AW940" i="1"/>
  <c r="AS860" i="1"/>
  <c r="AT860" i="1"/>
  <c r="AU860" i="1"/>
  <c r="AV860" i="1"/>
  <c r="AW860" i="1"/>
  <c r="AS942" i="1"/>
  <c r="AT942" i="1"/>
  <c r="AU942" i="1"/>
  <c r="AV942" i="1"/>
  <c r="AW942" i="1"/>
  <c r="AS943" i="1"/>
  <c r="AT943" i="1"/>
  <c r="AU943" i="1"/>
  <c r="AV943" i="1"/>
  <c r="AW943" i="1"/>
  <c r="AS944" i="1"/>
  <c r="AT944" i="1"/>
  <c r="AU944" i="1"/>
  <c r="AV944" i="1"/>
  <c r="AW944" i="1"/>
  <c r="AS945" i="1"/>
  <c r="AT945" i="1"/>
  <c r="AU945" i="1"/>
  <c r="AV945" i="1"/>
  <c r="AW945" i="1"/>
  <c r="AS946" i="1"/>
  <c r="AT946" i="1"/>
  <c r="AU946" i="1"/>
  <c r="AV946" i="1"/>
  <c r="AW946" i="1"/>
  <c r="AS947" i="1"/>
  <c r="AT947" i="1"/>
  <c r="AU947" i="1"/>
  <c r="AV947" i="1"/>
  <c r="AW947" i="1"/>
  <c r="AS948" i="1"/>
  <c r="AT948" i="1"/>
  <c r="AU948" i="1"/>
  <c r="AV948" i="1"/>
  <c r="AW948" i="1"/>
  <c r="AS1159" i="1"/>
  <c r="AT1159" i="1"/>
  <c r="AU1159" i="1"/>
  <c r="AV1159" i="1"/>
  <c r="AW1159" i="1"/>
  <c r="AS950" i="1"/>
  <c r="AT950" i="1"/>
  <c r="AU950" i="1"/>
  <c r="AV950" i="1"/>
  <c r="AW950" i="1"/>
  <c r="AS951" i="1"/>
  <c r="AT951" i="1"/>
  <c r="AU951" i="1"/>
  <c r="AV951" i="1"/>
  <c r="AW951" i="1"/>
  <c r="AS952" i="1"/>
  <c r="AT952" i="1"/>
  <c r="AU952" i="1"/>
  <c r="AV952" i="1"/>
  <c r="AW952" i="1"/>
  <c r="AS953" i="1"/>
  <c r="AT953" i="1"/>
  <c r="AU953" i="1"/>
  <c r="AV953" i="1"/>
  <c r="AW953" i="1"/>
  <c r="AS954" i="1"/>
  <c r="AT954" i="1"/>
  <c r="AU954" i="1"/>
  <c r="AV954" i="1"/>
  <c r="AW954" i="1"/>
  <c r="AS866" i="1"/>
  <c r="AT866" i="1"/>
  <c r="AU866" i="1"/>
  <c r="AV866" i="1"/>
  <c r="AW866" i="1"/>
  <c r="AS955" i="1"/>
  <c r="AT955" i="1"/>
  <c r="AU955" i="1"/>
  <c r="AV955" i="1"/>
  <c r="AW955" i="1"/>
  <c r="AS957" i="1"/>
  <c r="AT957" i="1"/>
  <c r="AU957" i="1"/>
  <c r="AV957" i="1"/>
  <c r="AW957" i="1"/>
  <c r="AS958" i="1"/>
  <c r="AT958" i="1"/>
  <c r="AU958" i="1"/>
  <c r="AV958" i="1"/>
  <c r="AW958" i="1"/>
  <c r="AS59" i="1"/>
  <c r="AT59" i="1"/>
  <c r="AU59" i="1"/>
  <c r="AV59" i="1"/>
  <c r="AW59" i="1"/>
  <c r="AS960" i="1"/>
  <c r="AT960" i="1"/>
  <c r="AU960" i="1"/>
  <c r="AV960" i="1"/>
  <c r="AW960" i="1"/>
  <c r="AS961" i="1"/>
  <c r="AT961" i="1"/>
  <c r="AU961" i="1"/>
  <c r="AV961" i="1"/>
  <c r="AW961" i="1"/>
  <c r="AS962" i="1"/>
  <c r="AT962" i="1"/>
  <c r="AU962" i="1"/>
  <c r="AV962" i="1"/>
  <c r="AW962" i="1"/>
  <c r="AS176" i="1"/>
  <c r="AT176" i="1"/>
  <c r="AU176" i="1"/>
  <c r="AV176" i="1"/>
  <c r="AW176" i="1"/>
  <c r="AS965" i="1"/>
  <c r="AT965" i="1"/>
  <c r="AU965" i="1"/>
  <c r="AV965" i="1"/>
  <c r="AW965" i="1"/>
  <c r="AS966" i="1"/>
  <c r="AT966" i="1"/>
  <c r="AU966" i="1"/>
  <c r="AV966" i="1"/>
  <c r="AW966" i="1"/>
  <c r="AS967" i="1"/>
  <c r="AT967" i="1"/>
  <c r="AU967" i="1"/>
  <c r="AV967" i="1"/>
  <c r="AW967" i="1"/>
  <c r="AS968" i="1"/>
  <c r="AT968" i="1"/>
  <c r="AU968" i="1"/>
  <c r="AV968" i="1"/>
  <c r="AW968" i="1"/>
  <c r="AS969" i="1"/>
  <c r="AT969" i="1"/>
  <c r="AU969" i="1"/>
  <c r="AV969" i="1"/>
  <c r="AW969" i="1"/>
  <c r="AS970" i="1"/>
  <c r="AT970" i="1"/>
  <c r="AU970" i="1"/>
  <c r="AV970" i="1"/>
  <c r="AW970" i="1"/>
  <c r="AS971" i="1"/>
  <c r="AT971" i="1"/>
  <c r="AU971" i="1"/>
  <c r="AV971" i="1"/>
  <c r="AW971" i="1"/>
  <c r="AS972" i="1"/>
  <c r="AT972" i="1"/>
  <c r="AU972" i="1"/>
  <c r="AV972" i="1"/>
  <c r="AW972" i="1"/>
  <c r="AS973" i="1"/>
  <c r="AT973" i="1"/>
  <c r="AU973" i="1"/>
  <c r="AV973" i="1"/>
  <c r="AW973" i="1"/>
  <c r="AS974" i="1"/>
  <c r="AT974" i="1"/>
  <c r="AU974" i="1"/>
  <c r="AV974" i="1"/>
  <c r="AW974" i="1"/>
  <c r="AS975" i="1"/>
  <c r="AT975" i="1"/>
  <c r="AU975" i="1"/>
  <c r="AV975" i="1"/>
  <c r="AW975" i="1"/>
  <c r="AS976" i="1"/>
  <c r="AT976" i="1"/>
  <c r="AU976" i="1"/>
  <c r="AV976" i="1"/>
  <c r="AW976" i="1"/>
  <c r="AS977" i="1"/>
  <c r="AT977" i="1"/>
  <c r="AU977" i="1"/>
  <c r="AV977" i="1"/>
  <c r="AW977" i="1"/>
  <c r="AS978" i="1"/>
  <c r="AT978" i="1"/>
  <c r="AU978" i="1"/>
  <c r="AV978" i="1"/>
  <c r="AW978" i="1"/>
  <c r="AS979" i="1"/>
  <c r="AT979" i="1"/>
  <c r="AU979" i="1"/>
  <c r="AV979" i="1"/>
  <c r="AW979" i="1"/>
  <c r="AS980" i="1"/>
  <c r="AT980" i="1"/>
  <c r="AU980" i="1"/>
  <c r="AV980" i="1"/>
  <c r="AW980" i="1"/>
  <c r="AS981" i="1"/>
  <c r="AT981" i="1"/>
  <c r="AU981" i="1"/>
  <c r="AV981" i="1"/>
  <c r="AW981" i="1"/>
  <c r="AS982" i="1"/>
  <c r="AT982" i="1"/>
  <c r="AU982" i="1"/>
  <c r="AV982" i="1"/>
  <c r="AW982" i="1"/>
  <c r="AS983" i="1"/>
  <c r="AT983" i="1"/>
  <c r="AU983" i="1"/>
  <c r="AV983" i="1"/>
  <c r="AW983" i="1"/>
  <c r="AS984" i="1"/>
  <c r="AT984" i="1"/>
  <c r="AU984" i="1"/>
  <c r="AV984" i="1"/>
  <c r="AW984" i="1"/>
  <c r="AS985" i="1"/>
  <c r="AT985" i="1"/>
  <c r="AU985" i="1"/>
  <c r="AV985" i="1"/>
  <c r="AW985" i="1"/>
  <c r="AS986" i="1"/>
  <c r="AT986" i="1"/>
  <c r="AU986" i="1"/>
  <c r="AV986" i="1"/>
  <c r="AW986" i="1"/>
  <c r="AS987" i="1"/>
  <c r="AT987" i="1"/>
  <c r="AU987" i="1"/>
  <c r="AV987" i="1"/>
  <c r="AW987" i="1"/>
  <c r="AS988" i="1"/>
  <c r="AT988" i="1"/>
  <c r="AU988" i="1"/>
  <c r="AV988" i="1"/>
  <c r="AW988" i="1"/>
  <c r="AS989" i="1"/>
  <c r="AT989" i="1"/>
  <c r="AU989" i="1"/>
  <c r="AV989" i="1"/>
  <c r="AW989" i="1"/>
  <c r="AS990" i="1"/>
  <c r="AT990" i="1"/>
  <c r="AU990" i="1"/>
  <c r="AV990" i="1"/>
  <c r="AW990" i="1"/>
  <c r="AS991" i="1"/>
  <c r="AT991" i="1"/>
  <c r="AU991" i="1"/>
  <c r="AV991" i="1"/>
  <c r="AW991" i="1"/>
  <c r="AS742" i="1"/>
  <c r="AT742" i="1"/>
  <c r="AU742" i="1"/>
  <c r="AV742" i="1"/>
  <c r="AW742" i="1"/>
  <c r="AS993" i="1"/>
  <c r="AT993" i="1"/>
  <c r="AU993" i="1"/>
  <c r="AV993" i="1"/>
  <c r="AW993" i="1"/>
  <c r="AS994" i="1"/>
  <c r="AT994" i="1"/>
  <c r="AU994" i="1"/>
  <c r="AV994" i="1"/>
  <c r="AW994" i="1"/>
  <c r="AS995" i="1"/>
  <c r="AT995" i="1"/>
  <c r="AU995" i="1"/>
  <c r="AV995" i="1"/>
  <c r="AW995" i="1"/>
  <c r="AS996" i="1"/>
  <c r="AT996" i="1"/>
  <c r="AU996" i="1"/>
  <c r="AV996" i="1"/>
  <c r="AW996" i="1"/>
  <c r="AS997" i="1"/>
  <c r="AT997" i="1"/>
  <c r="AU997" i="1"/>
  <c r="AV997" i="1"/>
  <c r="AW997" i="1"/>
  <c r="AS998" i="1"/>
  <c r="AT998" i="1"/>
  <c r="AU998" i="1"/>
  <c r="AV998" i="1"/>
  <c r="AW998" i="1"/>
  <c r="AS999" i="1"/>
  <c r="AT999" i="1"/>
  <c r="AU999" i="1"/>
  <c r="AV999" i="1"/>
  <c r="AW999" i="1"/>
  <c r="AS1000" i="1"/>
  <c r="AT1000" i="1"/>
  <c r="AU1000" i="1"/>
  <c r="AV1000" i="1"/>
  <c r="AW1000" i="1"/>
  <c r="AS1001" i="1"/>
  <c r="AT1001" i="1"/>
  <c r="AU1001" i="1"/>
  <c r="AV1001" i="1"/>
  <c r="AW1001" i="1"/>
  <c r="AS1002" i="1"/>
  <c r="AT1002" i="1"/>
  <c r="AU1002" i="1"/>
  <c r="AV1002" i="1"/>
  <c r="AW1002" i="1"/>
  <c r="AS1003" i="1"/>
  <c r="AT1003" i="1"/>
  <c r="AU1003" i="1"/>
  <c r="AV1003" i="1"/>
  <c r="AW1003" i="1"/>
  <c r="AS1004" i="1"/>
  <c r="AT1004" i="1"/>
  <c r="AU1004" i="1"/>
  <c r="AV1004" i="1"/>
  <c r="AW1004" i="1"/>
  <c r="AS1005" i="1"/>
  <c r="AT1005" i="1"/>
  <c r="AU1005" i="1"/>
  <c r="AV1005" i="1"/>
  <c r="AW1005" i="1"/>
  <c r="AS1006" i="1"/>
  <c r="AT1006" i="1"/>
  <c r="AU1006" i="1"/>
  <c r="AV1006" i="1"/>
  <c r="AW1006" i="1"/>
  <c r="AS1007" i="1"/>
  <c r="AT1007" i="1"/>
  <c r="AU1007" i="1"/>
  <c r="AV1007" i="1"/>
  <c r="AW1007" i="1"/>
  <c r="AS1008" i="1"/>
  <c r="AT1008" i="1"/>
  <c r="AU1008" i="1"/>
  <c r="AV1008" i="1"/>
  <c r="AW1008" i="1"/>
  <c r="AS868" i="1"/>
  <c r="AT868" i="1"/>
  <c r="AU868" i="1"/>
  <c r="AV868" i="1"/>
  <c r="AW868" i="1"/>
  <c r="AS1010" i="1"/>
  <c r="AT1010" i="1"/>
  <c r="AU1010" i="1"/>
  <c r="AV1010" i="1"/>
  <c r="AW1010" i="1"/>
  <c r="AS1011" i="1"/>
  <c r="AT1011" i="1"/>
  <c r="AU1011" i="1"/>
  <c r="AV1011" i="1"/>
  <c r="AW1011" i="1"/>
  <c r="AS1012" i="1"/>
  <c r="AT1012" i="1"/>
  <c r="AU1012" i="1"/>
  <c r="AV1012" i="1"/>
  <c r="AW1012" i="1"/>
  <c r="AS1013" i="1"/>
  <c r="AT1013" i="1"/>
  <c r="AU1013" i="1"/>
  <c r="AV1013" i="1"/>
  <c r="AW1013" i="1"/>
  <c r="AS1014" i="1"/>
  <c r="AT1014" i="1"/>
  <c r="AU1014" i="1"/>
  <c r="AV1014" i="1"/>
  <c r="AW1014" i="1"/>
  <c r="AS667" i="1"/>
  <c r="AT667" i="1"/>
  <c r="AU667" i="1"/>
  <c r="AV667" i="1"/>
  <c r="AW667" i="1"/>
  <c r="AS677" i="1"/>
  <c r="AT677" i="1"/>
  <c r="AU677" i="1"/>
  <c r="AV677" i="1"/>
  <c r="AW677" i="1"/>
  <c r="AS1017" i="1"/>
  <c r="AT1017" i="1"/>
  <c r="AU1017" i="1"/>
  <c r="AV1017" i="1"/>
  <c r="AW1017" i="1"/>
  <c r="AS1018" i="1"/>
  <c r="AT1018" i="1"/>
  <c r="AU1018" i="1"/>
  <c r="AV1018" i="1"/>
  <c r="AW1018" i="1"/>
  <c r="AS873" i="1"/>
  <c r="AT873" i="1"/>
  <c r="AU873" i="1"/>
  <c r="AV873" i="1"/>
  <c r="AW873" i="1"/>
  <c r="AS876" i="1"/>
  <c r="AT876" i="1"/>
  <c r="AU876" i="1"/>
  <c r="AV876" i="1"/>
  <c r="AW876" i="1"/>
  <c r="AS1021" i="1"/>
  <c r="AT1021" i="1"/>
  <c r="AU1021" i="1"/>
  <c r="AV1021" i="1"/>
  <c r="AW1021" i="1"/>
  <c r="AS1022" i="1"/>
  <c r="AT1022" i="1"/>
  <c r="AU1022" i="1"/>
  <c r="AV1022" i="1"/>
  <c r="AW1022" i="1"/>
  <c r="AS1023" i="1"/>
  <c r="AT1023" i="1"/>
  <c r="AU1023" i="1"/>
  <c r="AV1023" i="1"/>
  <c r="AW1023" i="1"/>
  <c r="AS1024" i="1"/>
  <c r="AT1024" i="1"/>
  <c r="AU1024" i="1"/>
  <c r="AV1024" i="1"/>
  <c r="AW1024" i="1"/>
  <c r="AS1025" i="1"/>
  <c r="AT1025" i="1"/>
  <c r="AU1025" i="1"/>
  <c r="AV1025" i="1"/>
  <c r="AW1025" i="1"/>
  <c r="AS900" i="1"/>
  <c r="AT900" i="1"/>
  <c r="AU900" i="1"/>
  <c r="AV900" i="1"/>
  <c r="AW900" i="1"/>
  <c r="AS1027" i="1"/>
  <c r="AT1027" i="1"/>
  <c r="AU1027" i="1"/>
  <c r="AV1027" i="1"/>
  <c r="AW1027" i="1"/>
  <c r="AS1028" i="1"/>
  <c r="AT1028" i="1"/>
  <c r="AU1028" i="1"/>
  <c r="AV1028" i="1"/>
  <c r="AW1028" i="1"/>
  <c r="AS1029" i="1"/>
  <c r="AT1029" i="1"/>
  <c r="AU1029" i="1"/>
  <c r="AV1029" i="1"/>
  <c r="AW1029" i="1"/>
  <c r="AS1030" i="1"/>
  <c r="AT1030" i="1"/>
  <c r="AU1030" i="1"/>
  <c r="AV1030" i="1"/>
  <c r="AW1030" i="1"/>
  <c r="AS1031" i="1"/>
  <c r="AT1031" i="1"/>
  <c r="AU1031" i="1"/>
  <c r="AV1031" i="1"/>
  <c r="AW1031" i="1"/>
  <c r="AS1032" i="1"/>
  <c r="AT1032" i="1"/>
  <c r="AU1032" i="1"/>
  <c r="AV1032" i="1"/>
  <c r="AW1032" i="1"/>
  <c r="AS912" i="1"/>
  <c r="AT912" i="1"/>
  <c r="AU912" i="1"/>
  <c r="AV912" i="1"/>
  <c r="AW912" i="1"/>
  <c r="AS29" i="1"/>
  <c r="AT29" i="1"/>
  <c r="AU29" i="1"/>
  <c r="AV29" i="1"/>
  <c r="AW29" i="1"/>
  <c r="AS21" i="1"/>
  <c r="AT21" i="1"/>
  <c r="AU21" i="1"/>
  <c r="AV21" i="1"/>
  <c r="AW21" i="1"/>
  <c r="AS913" i="1"/>
  <c r="AT913" i="1"/>
  <c r="AU913" i="1"/>
  <c r="AV913" i="1"/>
  <c r="AW913" i="1"/>
  <c r="AS1037" i="1"/>
  <c r="AT1037" i="1"/>
  <c r="AU1037" i="1"/>
  <c r="AV1037" i="1"/>
  <c r="AW1037" i="1"/>
  <c r="AS1038" i="1"/>
  <c r="AT1038" i="1"/>
  <c r="AU1038" i="1"/>
  <c r="AV1038" i="1"/>
  <c r="AW1038" i="1"/>
  <c r="AS1039" i="1"/>
  <c r="AT1039" i="1"/>
  <c r="AU1039" i="1"/>
  <c r="AV1039" i="1"/>
  <c r="AW1039" i="1"/>
  <c r="AS1040" i="1"/>
  <c r="AT1040" i="1"/>
  <c r="AU1040" i="1"/>
  <c r="AV1040" i="1"/>
  <c r="AW1040" i="1"/>
  <c r="AS1041" i="1"/>
  <c r="AT1041" i="1"/>
  <c r="AU1041" i="1"/>
  <c r="AV1041" i="1"/>
  <c r="AW1041" i="1"/>
  <c r="AS1042" i="1"/>
  <c r="AT1042" i="1"/>
  <c r="AU1042" i="1"/>
  <c r="AV1042" i="1"/>
  <c r="AW1042" i="1"/>
  <c r="AS1043" i="1"/>
  <c r="AT1043" i="1"/>
  <c r="AU1043" i="1"/>
  <c r="AV1043" i="1"/>
  <c r="AW1043" i="1"/>
  <c r="AS1044" i="1"/>
  <c r="AT1044" i="1"/>
  <c r="AU1044" i="1"/>
  <c r="AV1044" i="1"/>
  <c r="AW1044" i="1"/>
  <c r="AS1045" i="1"/>
  <c r="AT1045" i="1"/>
  <c r="AU1045" i="1"/>
  <c r="AV1045" i="1"/>
  <c r="AW1045" i="1"/>
  <c r="AS1046" i="1"/>
  <c r="AT1046" i="1"/>
  <c r="AU1046" i="1"/>
  <c r="AV1046" i="1"/>
  <c r="AW1046" i="1"/>
  <c r="AS1047" i="1"/>
  <c r="AT1047" i="1"/>
  <c r="AU1047" i="1"/>
  <c r="AV1047" i="1"/>
  <c r="AW1047" i="1"/>
  <c r="AS1048" i="1"/>
  <c r="AT1048" i="1"/>
  <c r="AU1048" i="1"/>
  <c r="AV1048" i="1"/>
  <c r="AW1048" i="1"/>
  <c r="AS1049" i="1"/>
  <c r="AT1049" i="1"/>
  <c r="AU1049" i="1"/>
  <c r="AV1049" i="1"/>
  <c r="AW1049" i="1"/>
  <c r="AS1050" i="1"/>
  <c r="AT1050" i="1"/>
  <c r="AU1050" i="1"/>
  <c r="AV1050" i="1"/>
  <c r="AW1050" i="1"/>
  <c r="AS1051" i="1"/>
  <c r="AT1051" i="1"/>
  <c r="AU1051" i="1"/>
  <c r="AV1051" i="1"/>
  <c r="AW1051" i="1"/>
  <c r="AS1052" i="1"/>
  <c r="AT1052" i="1"/>
  <c r="AU1052" i="1"/>
  <c r="AV1052" i="1"/>
  <c r="AW1052" i="1"/>
  <c r="AS1053" i="1"/>
  <c r="AT1053" i="1"/>
  <c r="AU1053" i="1"/>
  <c r="AV1053" i="1"/>
  <c r="AW1053" i="1"/>
  <c r="AS1054" i="1"/>
  <c r="AT1054" i="1"/>
  <c r="AU1054" i="1"/>
  <c r="AV1054" i="1"/>
  <c r="AW1054" i="1"/>
  <c r="AS1055" i="1"/>
  <c r="AT1055" i="1"/>
  <c r="AU1055" i="1"/>
  <c r="AV1055" i="1"/>
  <c r="AW1055" i="1"/>
  <c r="AS1056" i="1"/>
  <c r="AT1056" i="1"/>
  <c r="AU1056" i="1"/>
  <c r="AV1056" i="1"/>
  <c r="AW1056" i="1"/>
  <c r="AS916" i="1"/>
  <c r="AT916" i="1"/>
  <c r="AU916" i="1"/>
  <c r="AV916" i="1"/>
  <c r="AW916" i="1"/>
  <c r="AS1058" i="1"/>
  <c r="AT1058" i="1"/>
  <c r="AU1058" i="1"/>
  <c r="AV1058" i="1"/>
  <c r="AW1058" i="1"/>
  <c r="AS314" i="1"/>
  <c r="AT314" i="1"/>
  <c r="AU314" i="1"/>
  <c r="AV314" i="1"/>
  <c r="AW314" i="1"/>
  <c r="AS1060" i="1"/>
  <c r="AT1060" i="1"/>
  <c r="AU1060" i="1"/>
  <c r="AV1060" i="1"/>
  <c r="AW1060" i="1"/>
  <c r="AS1061" i="1"/>
  <c r="AT1061" i="1"/>
  <c r="AU1061" i="1"/>
  <c r="AV1061" i="1"/>
  <c r="AW1061" i="1"/>
  <c r="AS1062" i="1"/>
  <c r="AT1062" i="1"/>
  <c r="AU1062" i="1"/>
  <c r="AV1062" i="1"/>
  <c r="AW1062" i="1"/>
  <c r="AS1063" i="1"/>
  <c r="AT1063" i="1"/>
  <c r="AU1063" i="1"/>
  <c r="AV1063" i="1"/>
  <c r="AW1063" i="1"/>
  <c r="AS1064" i="1"/>
  <c r="AT1064" i="1"/>
  <c r="AU1064" i="1"/>
  <c r="AV1064" i="1"/>
  <c r="AW1064" i="1"/>
  <c r="AS1065" i="1"/>
  <c r="AT1065" i="1"/>
  <c r="AU1065" i="1"/>
  <c r="AV1065" i="1"/>
  <c r="AW1065" i="1"/>
  <c r="AS1066" i="1"/>
  <c r="AT1066" i="1"/>
  <c r="AU1066" i="1"/>
  <c r="AV1066" i="1"/>
  <c r="AW1066" i="1"/>
  <c r="AS587" i="1"/>
  <c r="AT587" i="1"/>
  <c r="AU587" i="1"/>
  <c r="AV587" i="1"/>
  <c r="AW587" i="1"/>
  <c r="AS1068" i="1"/>
  <c r="AT1068" i="1"/>
  <c r="AU1068" i="1"/>
  <c r="AV1068" i="1"/>
  <c r="AW1068" i="1"/>
  <c r="AS1069" i="1"/>
  <c r="AT1069" i="1"/>
  <c r="AU1069" i="1"/>
  <c r="AV1069" i="1"/>
  <c r="AW1069" i="1"/>
  <c r="AS1070" i="1"/>
  <c r="AT1070" i="1"/>
  <c r="AU1070" i="1"/>
  <c r="AV1070" i="1"/>
  <c r="AW1070" i="1"/>
  <c r="AS1071" i="1"/>
  <c r="AT1071" i="1"/>
  <c r="AU1071" i="1"/>
  <c r="AV1071" i="1"/>
  <c r="AW1071" i="1"/>
  <c r="AS1072" i="1"/>
  <c r="AT1072" i="1"/>
  <c r="AU1072" i="1"/>
  <c r="AV1072" i="1"/>
  <c r="AW1072" i="1"/>
  <c r="AS1073" i="1"/>
  <c r="AT1073" i="1"/>
  <c r="AU1073" i="1"/>
  <c r="AV1073" i="1"/>
  <c r="AW1073" i="1"/>
  <c r="AS1074" i="1"/>
  <c r="AT1074" i="1"/>
  <c r="AU1074" i="1"/>
  <c r="AV1074" i="1"/>
  <c r="AW1074" i="1"/>
  <c r="AS1075" i="1"/>
  <c r="AT1075" i="1"/>
  <c r="AU1075" i="1"/>
  <c r="AV1075" i="1"/>
  <c r="AW1075" i="1"/>
  <c r="AS1076" i="1"/>
  <c r="AT1076" i="1"/>
  <c r="AU1076" i="1"/>
  <c r="AV1076" i="1"/>
  <c r="AW1076" i="1"/>
  <c r="AS1077" i="1"/>
  <c r="AT1077" i="1"/>
  <c r="AU1077" i="1"/>
  <c r="AV1077" i="1"/>
  <c r="AW1077" i="1"/>
  <c r="AS1078" i="1"/>
  <c r="AT1078" i="1"/>
  <c r="AU1078" i="1"/>
  <c r="AV1078" i="1"/>
  <c r="AW1078" i="1"/>
  <c r="AS1079" i="1"/>
  <c r="AT1079" i="1"/>
  <c r="AU1079" i="1"/>
  <c r="AV1079" i="1"/>
  <c r="AW1079" i="1"/>
  <c r="AS917" i="1"/>
  <c r="AT917" i="1"/>
  <c r="AU917" i="1"/>
  <c r="AV917" i="1"/>
  <c r="AW917" i="1"/>
  <c r="AS1081" i="1"/>
  <c r="AT1081" i="1"/>
  <c r="AU1081" i="1"/>
  <c r="AV1081" i="1"/>
  <c r="AW1081" i="1"/>
  <c r="AS918" i="1"/>
  <c r="AT918" i="1"/>
  <c r="AU918" i="1"/>
  <c r="AV918" i="1"/>
  <c r="AW918" i="1"/>
  <c r="AS1083" i="1"/>
  <c r="AT1083" i="1"/>
  <c r="AU1083" i="1"/>
  <c r="AV1083" i="1"/>
  <c r="AW1083" i="1"/>
  <c r="AS590" i="1"/>
  <c r="AT590" i="1"/>
  <c r="AU590" i="1"/>
  <c r="AV590" i="1"/>
  <c r="AW590" i="1"/>
  <c r="AS719" i="1"/>
  <c r="AT719" i="1"/>
  <c r="AU719" i="1"/>
  <c r="AV719" i="1"/>
  <c r="AW719" i="1"/>
  <c r="AS1086" i="1"/>
  <c r="AT1086" i="1"/>
  <c r="AU1086" i="1"/>
  <c r="AV1086" i="1"/>
  <c r="AW1086" i="1"/>
  <c r="AS1087" i="1"/>
  <c r="AT1087" i="1"/>
  <c r="AU1087" i="1"/>
  <c r="AV1087" i="1"/>
  <c r="AW1087" i="1"/>
  <c r="AS193" i="1"/>
  <c r="AT193" i="1"/>
  <c r="AU193" i="1"/>
  <c r="AV193" i="1"/>
  <c r="AW193" i="1"/>
  <c r="AS205" i="1"/>
  <c r="AT205" i="1"/>
  <c r="AU205" i="1"/>
  <c r="AV205" i="1"/>
  <c r="AW205" i="1"/>
  <c r="AS180" i="1"/>
  <c r="AT180" i="1"/>
  <c r="AU180" i="1"/>
  <c r="AV180" i="1"/>
  <c r="AW180" i="1"/>
  <c r="AS1091" i="1"/>
  <c r="AT1091" i="1"/>
  <c r="AU1091" i="1"/>
  <c r="AV1091" i="1"/>
  <c r="AW1091" i="1"/>
  <c r="AS1092" i="1"/>
  <c r="AT1092" i="1"/>
  <c r="AU1092" i="1"/>
  <c r="AV1092" i="1"/>
  <c r="AW1092" i="1"/>
  <c r="AS1093" i="1"/>
  <c r="AT1093" i="1"/>
  <c r="AU1093" i="1"/>
  <c r="AV1093" i="1"/>
  <c r="AW1093" i="1"/>
  <c r="AS1094" i="1"/>
  <c r="AT1094" i="1"/>
  <c r="AU1094" i="1"/>
  <c r="AV1094" i="1"/>
  <c r="AW1094" i="1"/>
  <c r="AS1095" i="1"/>
  <c r="AT1095" i="1"/>
  <c r="AU1095" i="1"/>
  <c r="AV1095" i="1"/>
  <c r="AW1095" i="1"/>
  <c r="AS1096" i="1"/>
  <c r="AT1096" i="1"/>
  <c r="AU1096" i="1"/>
  <c r="AV1096" i="1"/>
  <c r="AW1096" i="1"/>
  <c r="AS1097" i="1"/>
  <c r="AT1097" i="1"/>
  <c r="AU1097" i="1"/>
  <c r="AV1097" i="1"/>
  <c r="AW1097" i="1"/>
  <c r="AS926" i="1"/>
  <c r="AT926" i="1"/>
  <c r="AU926" i="1"/>
  <c r="AV926" i="1"/>
  <c r="AW926" i="1"/>
  <c r="AS1099" i="1"/>
  <c r="AT1099" i="1"/>
  <c r="AU1099" i="1"/>
  <c r="AV1099" i="1"/>
  <c r="AW1099" i="1"/>
  <c r="AS1100" i="1"/>
  <c r="AT1100" i="1"/>
  <c r="AU1100" i="1"/>
  <c r="AV1100" i="1"/>
  <c r="AW1100" i="1"/>
  <c r="AS1101" i="1"/>
  <c r="AT1101" i="1"/>
  <c r="AU1101" i="1"/>
  <c r="AV1101" i="1"/>
  <c r="AW1101" i="1"/>
  <c r="AS1102" i="1"/>
  <c r="AT1102" i="1"/>
  <c r="AU1102" i="1"/>
  <c r="AV1102" i="1"/>
  <c r="AW1102" i="1"/>
  <c r="AS1103" i="1"/>
  <c r="AT1103" i="1"/>
  <c r="AU1103" i="1"/>
  <c r="AV1103" i="1"/>
  <c r="AW1103" i="1"/>
  <c r="AS1104" i="1"/>
  <c r="AT1104" i="1"/>
  <c r="AU1104" i="1"/>
  <c r="AV1104" i="1"/>
  <c r="AW1104" i="1"/>
  <c r="AS1105" i="1"/>
  <c r="AT1105" i="1"/>
  <c r="AU1105" i="1"/>
  <c r="AV1105" i="1"/>
  <c r="AW1105" i="1"/>
  <c r="AS1106" i="1"/>
  <c r="AT1106" i="1"/>
  <c r="AU1106" i="1"/>
  <c r="AV1106" i="1"/>
  <c r="AW1106" i="1"/>
  <c r="AS1107" i="1"/>
  <c r="AT1107" i="1"/>
  <c r="AU1107" i="1"/>
  <c r="AV1107" i="1"/>
  <c r="AW1107" i="1"/>
  <c r="AS1108" i="1"/>
  <c r="AT1108" i="1"/>
  <c r="AU1108" i="1"/>
  <c r="AV1108" i="1"/>
  <c r="AW1108" i="1"/>
  <c r="AS1109" i="1"/>
  <c r="AT1109" i="1"/>
  <c r="AU1109" i="1"/>
  <c r="AV1109" i="1"/>
  <c r="AW1109" i="1"/>
  <c r="AS1110" i="1"/>
  <c r="AT1110" i="1"/>
  <c r="AU1110" i="1"/>
  <c r="AV1110" i="1"/>
  <c r="AW1110" i="1"/>
  <c r="AS1111" i="1"/>
  <c r="AT1111" i="1"/>
  <c r="AU1111" i="1"/>
  <c r="AV1111" i="1"/>
  <c r="AW1111" i="1"/>
  <c r="AS1112" i="1"/>
  <c r="AT1112" i="1"/>
  <c r="AU1112" i="1"/>
  <c r="AV1112" i="1"/>
  <c r="AW1112" i="1"/>
  <c r="AS1113" i="1"/>
  <c r="AT1113" i="1"/>
  <c r="AU1113" i="1"/>
  <c r="AV1113" i="1"/>
  <c r="AW1113" i="1"/>
  <c r="AS1114" i="1"/>
  <c r="AT1114" i="1"/>
  <c r="AU1114" i="1"/>
  <c r="AV1114" i="1"/>
  <c r="AW1114" i="1"/>
  <c r="AS1115" i="1"/>
  <c r="AT1115" i="1"/>
  <c r="AU1115" i="1"/>
  <c r="AV1115" i="1"/>
  <c r="AW1115" i="1"/>
  <c r="AS737" i="1"/>
  <c r="AT737" i="1"/>
  <c r="AU737" i="1"/>
  <c r="AV737" i="1"/>
  <c r="AW737" i="1"/>
  <c r="AS1117" i="1"/>
  <c r="AT1117" i="1"/>
  <c r="AU1117" i="1"/>
  <c r="AV1117" i="1"/>
  <c r="AW1117" i="1"/>
  <c r="AS1118" i="1"/>
  <c r="AT1118" i="1"/>
  <c r="AU1118" i="1"/>
  <c r="AV1118" i="1"/>
  <c r="AW1118" i="1"/>
  <c r="AS929" i="1"/>
  <c r="AT929" i="1"/>
  <c r="AU929" i="1"/>
  <c r="AV929" i="1"/>
  <c r="AW929" i="1"/>
  <c r="AS1120" i="1"/>
  <c r="AT1120" i="1"/>
  <c r="AU1120" i="1"/>
  <c r="AV1120" i="1"/>
  <c r="AW1120" i="1"/>
  <c r="AS1121" i="1"/>
  <c r="AT1121" i="1"/>
  <c r="AU1121" i="1"/>
  <c r="AV1121" i="1"/>
  <c r="AW1121" i="1"/>
  <c r="AS1122" i="1"/>
  <c r="AT1122" i="1"/>
  <c r="AU1122" i="1"/>
  <c r="AV1122" i="1"/>
  <c r="AW1122" i="1"/>
  <c r="AS1123" i="1"/>
  <c r="AT1123" i="1"/>
  <c r="AU1123" i="1"/>
  <c r="AV1123" i="1"/>
  <c r="AW1123" i="1"/>
  <c r="AS1124" i="1"/>
  <c r="AT1124" i="1"/>
  <c r="AU1124" i="1"/>
  <c r="AV1124" i="1"/>
  <c r="AW1124" i="1"/>
  <c r="AS1125" i="1"/>
  <c r="AT1125" i="1"/>
  <c r="AU1125" i="1"/>
  <c r="AV1125" i="1"/>
  <c r="AW1125" i="1"/>
  <c r="AS1126" i="1"/>
  <c r="AT1126" i="1"/>
  <c r="AU1126" i="1"/>
  <c r="AV1126" i="1"/>
  <c r="AW1126" i="1"/>
  <c r="AS1127" i="1"/>
  <c r="AT1127" i="1"/>
  <c r="AU1127" i="1"/>
  <c r="AV1127" i="1"/>
  <c r="AW1127" i="1"/>
  <c r="AS1128" i="1"/>
  <c r="AT1128" i="1"/>
  <c r="AU1128" i="1"/>
  <c r="AV1128" i="1"/>
  <c r="AW1128" i="1"/>
  <c r="AS1129" i="1"/>
  <c r="AT1129" i="1"/>
  <c r="AU1129" i="1"/>
  <c r="AV1129" i="1"/>
  <c r="AW1129" i="1"/>
  <c r="AS1130" i="1"/>
  <c r="AT1130" i="1"/>
  <c r="AU1130" i="1"/>
  <c r="AV1130" i="1"/>
  <c r="AW1130" i="1"/>
  <c r="AS1131" i="1"/>
  <c r="AT1131" i="1"/>
  <c r="AU1131" i="1"/>
  <c r="AV1131" i="1"/>
  <c r="AW1131" i="1"/>
  <c r="AS1132" i="1"/>
  <c r="AT1132" i="1"/>
  <c r="AU1132" i="1"/>
  <c r="AV1132" i="1"/>
  <c r="AW1132" i="1"/>
  <c r="AS1133" i="1"/>
  <c r="AT1133" i="1"/>
  <c r="AU1133" i="1"/>
  <c r="AV1133" i="1"/>
  <c r="AW1133" i="1"/>
  <c r="AS1134" i="1"/>
  <c r="AT1134" i="1"/>
  <c r="AU1134" i="1"/>
  <c r="AV1134" i="1"/>
  <c r="AW1134" i="1"/>
  <c r="AS935" i="1"/>
  <c r="AT935" i="1"/>
  <c r="AU935" i="1"/>
  <c r="AV935" i="1"/>
  <c r="AW935" i="1"/>
  <c r="AS1136" i="1"/>
  <c r="AT1136" i="1"/>
  <c r="AU1136" i="1"/>
  <c r="AV1136" i="1"/>
  <c r="AW1136" i="1"/>
  <c r="AS1137" i="1"/>
  <c r="AT1137" i="1"/>
  <c r="AU1137" i="1"/>
  <c r="AV1137" i="1"/>
  <c r="AW1137" i="1"/>
  <c r="AS1138" i="1"/>
  <c r="AT1138" i="1"/>
  <c r="AU1138" i="1"/>
  <c r="AV1138" i="1"/>
  <c r="AW1138" i="1"/>
  <c r="AS1139" i="1"/>
  <c r="AT1139" i="1"/>
  <c r="AU1139" i="1"/>
  <c r="AV1139" i="1"/>
  <c r="AW1139" i="1"/>
  <c r="AS1140" i="1"/>
  <c r="AT1140" i="1"/>
  <c r="AU1140" i="1"/>
  <c r="AV1140" i="1"/>
  <c r="AW1140" i="1"/>
  <c r="AS1141" i="1"/>
  <c r="AT1141" i="1"/>
  <c r="AU1141" i="1"/>
  <c r="AV1141" i="1"/>
  <c r="AW1141" i="1"/>
  <c r="AS1142" i="1"/>
  <c r="AT1142" i="1"/>
  <c r="AU1142" i="1"/>
  <c r="AV1142" i="1"/>
  <c r="AW1142" i="1"/>
  <c r="AS1143" i="1"/>
  <c r="AT1143" i="1"/>
  <c r="AU1143" i="1"/>
  <c r="AV1143" i="1"/>
  <c r="AW1143" i="1"/>
  <c r="AS941" i="1"/>
  <c r="AT941" i="1"/>
  <c r="AU941" i="1"/>
  <c r="AV941" i="1"/>
  <c r="AW941" i="1"/>
  <c r="AS1145" i="1"/>
  <c r="AT1145" i="1"/>
  <c r="AU1145" i="1"/>
  <c r="AV1145" i="1"/>
  <c r="AW1145" i="1"/>
  <c r="AS1146" i="1"/>
  <c r="AT1146" i="1"/>
  <c r="AU1146" i="1"/>
  <c r="AV1146" i="1"/>
  <c r="AW1146" i="1"/>
  <c r="AS1147" i="1"/>
  <c r="AT1147" i="1"/>
  <c r="AU1147" i="1"/>
  <c r="AV1147" i="1"/>
  <c r="AW1147" i="1"/>
  <c r="AS1148" i="1"/>
  <c r="AT1148" i="1"/>
  <c r="AU1148" i="1"/>
  <c r="AV1148" i="1"/>
  <c r="AW1148" i="1"/>
  <c r="AS1149" i="1"/>
  <c r="AT1149" i="1"/>
  <c r="AU1149" i="1"/>
  <c r="AV1149" i="1"/>
  <c r="AW1149" i="1"/>
  <c r="AS1150" i="1"/>
  <c r="AT1150" i="1"/>
  <c r="AU1150" i="1"/>
  <c r="AV1150" i="1"/>
  <c r="AW1150" i="1"/>
  <c r="AS1151" i="1"/>
  <c r="AT1151" i="1"/>
  <c r="AU1151" i="1"/>
  <c r="AV1151" i="1"/>
  <c r="AW1151" i="1"/>
  <c r="AS1152" i="1"/>
  <c r="AT1152" i="1"/>
  <c r="AU1152" i="1"/>
  <c r="AV1152" i="1"/>
  <c r="AW1152" i="1"/>
  <c r="AS1153" i="1"/>
  <c r="AT1153" i="1"/>
  <c r="AU1153" i="1"/>
  <c r="AV1153" i="1"/>
  <c r="AW1153" i="1"/>
  <c r="AS1154" i="1"/>
  <c r="AT1154" i="1"/>
  <c r="AU1154" i="1"/>
  <c r="AV1154" i="1"/>
  <c r="AW1154" i="1"/>
  <c r="AS1155" i="1"/>
  <c r="AT1155" i="1"/>
  <c r="AU1155" i="1"/>
  <c r="AV1155" i="1"/>
  <c r="AW1155" i="1"/>
  <c r="AS1156" i="1"/>
  <c r="AT1156" i="1"/>
  <c r="AU1156" i="1"/>
  <c r="AV1156" i="1"/>
  <c r="AW1156" i="1"/>
  <c r="AS1157" i="1"/>
  <c r="AT1157" i="1"/>
  <c r="AU1157" i="1"/>
  <c r="AV1157" i="1"/>
  <c r="AW1157" i="1"/>
  <c r="AS1158" i="1"/>
  <c r="AT1158" i="1"/>
  <c r="AU1158" i="1"/>
  <c r="AV1158" i="1"/>
  <c r="AW1158" i="1"/>
  <c r="AS956" i="1"/>
  <c r="AT956" i="1"/>
  <c r="AU956" i="1"/>
  <c r="AV956" i="1"/>
  <c r="AW956" i="1"/>
  <c r="AS1160" i="1"/>
  <c r="AT1160" i="1"/>
  <c r="AU1160" i="1"/>
  <c r="AV1160" i="1"/>
  <c r="AW1160" i="1"/>
  <c r="AS1161" i="1"/>
  <c r="AT1161" i="1"/>
  <c r="AU1161" i="1"/>
  <c r="AV1161" i="1"/>
  <c r="AW1161" i="1"/>
  <c r="AS1162" i="1"/>
  <c r="AT1162" i="1"/>
  <c r="AU1162" i="1"/>
  <c r="AV1162" i="1"/>
  <c r="AW1162" i="1"/>
  <c r="AS1163" i="1"/>
  <c r="AT1163" i="1"/>
  <c r="AU1163" i="1"/>
  <c r="AV1163" i="1"/>
  <c r="AW1163" i="1"/>
  <c r="AS703" i="1"/>
  <c r="AT703" i="1"/>
  <c r="AU703" i="1"/>
  <c r="AV703" i="1"/>
  <c r="AW703" i="1"/>
  <c r="AS1165" i="1"/>
  <c r="AT1165" i="1"/>
  <c r="AU1165" i="1"/>
  <c r="AV1165" i="1"/>
  <c r="AW1165" i="1"/>
  <c r="AS711" i="1"/>
  <c r="AT711" i="1"/>
  <c r="AU711" i="1"/>
  <c r="AV711" i="1"/>
  <c r="AW711" i="1"/>
  <c r="AS1167" i="1"/>
  <c r="AT1167" i="1"/>
  <c r="AU1167" i="1"/>
  <c r="AV1167" i="1"/>
  <c r="AW1167" i="1"/>
  <c r="AS1168" i="1"/>
  <c r="AT1168" i="1"/>
  <c r="AU1168" i="1"/>
  <c r="AV1168" i="1"/>
  <c r="AW1168" i="1"/>
  <c r="AS1169" i="1"/>
  <c r="AT1169" i="1"/>
  <c r="AU1169" i="1"/>
  <c r="AV1169" i="1"/>
  <c r="AW1169" i="1"/>
  <c r="AS1170" i="1"/>
  <c r="AT1170" i="1"/>
  <c r="AU1170" i="1"/>
  <c r="AV1170" i="1"/>
  <c r="AW1170" i="1"/>
  <c r="AS1171" i="1"/>
  <c r="AT1171" i="1"/>
  <c r="AU1171" i="1"/>
  <c r="AV1171" i="1"/>
  <c r="AW1171" i="1"/>
  <c r="AT2" i="1"/>
  <c r="AU2" i="1"/>
  <c r="AV2" i="1"/>
  <c r="AW2" i="1"/>
  <c r="AS2" i="1"/>
  <c r="AV1173" i="1" l="1"/>
  <c r="AT1173" i="1"/>
  <c r="AW1173" i="1"/>
  <c r="AS1173" i="1"/>
  <c r="AU1173" i="1"/>
  <c r="AD1156" i="1"/>
  <c r="C10" i="2" l="1"/>
  <c r="C13" i="2"/>
  <c r="AB1163" i="1" l="1"/>
  <c r="AB60" i="1"/>
  <c r="I16" i="24" l="1"/>
  <c r="I20" i="24" s="1"/>
  <c r="I19" i="24"/>
  <c r="E17" i="24" l="1"/>
  <c r="K21" i="24"/>
  <c r="AF1170" i="1"/>
  <c r="AF1158" i="1"/>
  <c r="AF1156" i="1"/>
  <c r="AF1101" i="1"/>
  <c r="AF1097" i="1"/>
  <c r="AF719" i="1"/>
  <c r="AF1053" i="1"/>
  <c r="AF1052" i="1"/>
  <c r="AF1051" i="1"/>
  <c r="AF1044" i="1"/>
  <c r="AF1042" i="1"/>
  <c r="AF1040" i="1"/>
  <c r="AF1029" i="1"/>
  <c r="AF742" i="1"/>
  <c r="AF974" i="1"/>
  <c r="AF954" i="1"/>
  <c r="AF942" i="1"/>
  <c r="AF914" i="1"/>
  <c r="AF891" i="1"/>
  <c r="AF731" i="1"/>
  <c r="AF723" i="1"/>
  <c r="AF853" i="1"/>
  <c r="AF812" i="1"/>
  <c r="AF806" i="1"/>
  <c r="AF762" i="1"/>
  <c r="AF761" i="1"/>
  <c r="AF746" i="1"/>
  <c r="AF745" i="1"/>
  <c r="AF733" i="1"/>
  <c r="AF712" i="1"/>
  <c r="AF730" i="1"/>
  <c r="AF735" i="1"/>
  <c r="AF715" i="1"/>
  <c r="AF60" i="1"/>
  <c r="H2" i="1" l="1"/>
  <c r="AD2" i="1"/>
  <c r="AF2" i="1" s="1"/>
  <c r="AQ2" i="1"/>
  <c r="AR2" i="1"/>
  <c r="BK2" i="1"/>
  <c r="BL2" i="1"/>
  <c r="BM2" i="1"/>
  <c r="BN2" i="1"/>
  <c r="BO2" i="1"/>
  <c r="BP2" i="1"/>
  <c r="BQ2" i="1"/>
  <c r="BR2" i="1"/>
  <c r="BS2" i="1"/>
  <c r="H324" i="1"/>
  <c r="K324" i="1"/>
  <c r="Z324" i="1"/>
  <c r="AD324" i="1"/>
  <c r="AF324" i="1" s="1"/>
  <c r="AQ324" i="1"/>
  <c r="AR324" i="1"/>
  <c r="AX324" i="1"/>
  <c r="BK324" i="1"/>
  <c r="BL324" i="1"/>
  <c r="BM324" i="1"/>
  <c r="BN324" i="1"/>
  <c r="BO324" i="1"/>
  <c r="BP324" i="1"/>
  <c r="BQ324" i="1"/>
  <c r="BR324" i="1"/>
  <c r="BS324" i="1"/>
  <c r="H4" i="1"/>
  <c r="K4" i="1"/>
  <c r="Z4" i="1"/>
  <c r="AD4" i="1"/>
  <c r="AF4" i="1" s="1"/>
  <c r="AQ4" i="1"/>
  <c r="AR4" i="1"/>
  <c r="AX4" i="1"/>
  <c r="BK4" i="1"/>
  <c r="BL4" i="1"/>
  <c r="BM4" i="1"/>
  <c r="BN4" i="1"/>
  <c r="BO4" i="1"/>
  <c r="BP4" i="1"/>
  <c r="BQ4" i="1"/>
  <c r="BR4" i="1"/>
  <c r="BS4" i="1"/>
  <c r="H5" i="1"/>
  <c r="K5" i="1"/>
  <c r="Z5" i="1"/>
  <c r="AD5" i="1"/>
  <c r="AQ5" i="1"/>
  <c r="AR5" i="1"/>
  <c r="AX5" i="1"/>
  <c r="BK5" i="1"/>
  <c r="BL5" i="1"/>
  <c r="BM5" i="1"/>
  <c r="BN5" i="1"/>
  <c r="BO5" i="1"/>
  <c r="BP5" i="1"/>
  <c r="BQ5" i="1"/>
  <c r="BR5" i="1"/>
  <c r="BS5" i="1"/>
  <c r="H6" i="1"/>
  <c r="K6" i="1"/>
  <c r="Z6" i="1"/>
  <c r="AD6" i="1"/>
  <c r="AF6" i="1" s="1"/>
  <c r="AQ6" i="1"/>
  <c r="AR6" i="1"/>
  <c r="AX6" i="1"/>
  <c r="BK6" i="1"/>
  <c r="BL6" i="1"/>
  <c r="BM6" i="1"/>
  <c r="BN6" i="1"/>
  <c r="BO6" i="1"/>
  <c r="BP6" i="1"/>
  <c r="BQ6" i="1"/>
  <c r="BR6" i="1"/>
  <c r="BS6" i="1"/>
  <c r="H7" i="1"/>
  <c r="K7" i="1"/>
  <c r="Z7" i="1"/>
  <c r="AD7" i="1"/>
  <c r="AF7" i="1" s="1"/>
  <c r="AQ7" i="1"/>
  <c r="AR7" i="1"/>
  <c r="AX7" i="1"/>
  <c r="BK7" i="1"/>
  <c r="BL7" i="1"/>
  <c r="BM7" i="1"/>
  <c r="BN7" i="1"/>
  <c r="BO7" i="1"/>
  <c r="BP7" i="1"/>
  <c r="BQ7" i="1"/>
  <c r="BR7" i="1"/>
  <c r="BS7" i="1"/>
  <c r="H8" i="1"/>
  <c r="K8" i="1"/>
  <c r="Z8" i="1"/>
  <c r="AD8" i="1"/>
  <c r="AQ8" i="1"/>
  <c r="AR8" i="1"/>
  <c r="AX8" i="1"/>
  <c r="BK8" i="1"/>
  <c r="BL8" i="1"/>
  <c r="BM8" i="1"/>
  <c r="BN8" i="1"/>
  <c r="BO8" i="1"/>
  <c r="BP8" i="1"/>
  <c r="BQ8" i="1"/>
  <c r="BR8" i="1"/>
  <c r="BS8" i="1"/>
  <c r="H9" i="1"/>
  <c r="K9" i="1"/>
  <c r="Z9" i="1"/>
  <c r="AD9" i="1"/>
  <c r="AF9" i="1" s="1"/>
  <c r="AQ9" i="1"/>
  <c r="AR9" i="1"/>
  <c r="AX9" i="1"/>
  <c r="BK9" i="1"/>
  <c r="BL9" i="1"/>
  <c r="BM9" i="1"/>
  <c r="BN9" i="1"/>
  <c r="BO9" i="1"/>
  <c r="BP9" i="1"/>
  <c r="BQ9" i="1"/>
  <c r="BR9" i="1"/>
  <c r="BS9" i="1"/>
  <c r="H10" i="1"/>
  <c r="K10" i="1"/>
  <c r="Z10" i="1"/>
  <c r="AD10" i="1"/>
  <c r="AF10" i="1" s="1"/>
  <c r="AQ10" i="1"/>
  <c r="AR10" i="1"/>
  <c r="AX10" i="1"/>
  <c r="BK10" i="1"/>
  <c r="BL10" i="1"/>
  <c r="BM10" i="1"/>
  <c r="BN10" i="1"/>
  <c r="BO10" i="1"/>
  <c r="BP10" i="1"/>
  <c r="BQ10" i="1"/>
  <c r="BR10" i="1"/>
  <c r="BS10" i="1"/>
  <c r="H11" i="1"/>
  <c r="K11" i="1"/>
  <c r="Z11" i="1"/>
  <c r="AD11" i="1"/>
  <c r="AQ11" i="1"/>
  <c r="AR11" i="1"/>
  <c r="AX11" i="1"/>
  <c r="BK11" i="1"/>
  <c r="BL11" i="1"/>
  <c r="BM11" i="1"/>
  <c r="BN11" i="1"/>
  <c r="BO11" i="1"/>
  <c r="BP11" i="1"/>
  <c r="BQ11" i="1"/>
  <c r="BR11" i="1"/>
  <c r="BS11" i="1"/>
  <c r="H12" i="1"/>
  <c r="K12" i="1"/>
  <c r="Z12" i="1"/>
  <c r="AD12" i="1"/>
  <c r="AF12" i="1" s="1"/>
  <c r="AQ12" i="1"/>
  <c r="AR12" i="1"/>
  <c r="AX12" i="1"/>
  <c r="BK12" i="1"/>
  <c r="BL12" i="1"/>
  <c r="BM12" i="1"/>
  <c r="BN12" i="1"/>
  <c r="BO12" i="1"/>
  <c r="BP12" i="1"/>
  <c r="BQ12" i="1"/>
  <c r="BR12" i="1"/>
  <c r="BS12" i="1"/>
  <c r="H330" i="1"/>
  <c r="K330" i="1"/>
  <c r="Z330" i="1"/>
  <c r="AD330" i="1"/>
  <c r="AF330" i="1" s="1"/>
  <c r="AQ330" i="1"/>
  <c r="AR330" i="1"/>
  <c r="AX330" i="1"/>
  <c r="BK330" i="1"/>
  <c r="BL330" i="1"/>
  <c r="BM330" i="1"/>
  <c r="BN330" i="1"/>
  <c r="BO330" i="1"/>
  <c r="BP330" i="1"/>
  <c r="BQ330" i="1"/>
  <c r="BR330" i="1"/>
  <c r="BS330" i="1"/>
  <c r="H14" i="1"/>
  <c r="K14" i="1"/>
  <c r="Z14" i="1"/>
  <c r="AD14" i="1"/>
  <c r="AF14" i="1" s="1"/>
  <c r="AQ14" i="1"/>
  <c r="AR14" i="1"/>
  <c r="AX14" i="1"/>
  <c r="BK14" i="1"/>
  <c r="BL14" i="1"/>
  <c r="BM14" i="1"/>
  <c r="BN14" i="1"/>
  <c r="BO14" i="1"/>
  <c r="BP14" i="1"/>
  <c r="BQ14" i="1"/>
  <c r="BR14" i="1"/>
  <c r="BS14" i="1"/>
  <c r="H223" i="1"/>
  <c r="K223" i="1"/>
  <c r="Z223" i="1"/>
  <c r="AD223" i="1"/>
  <c r="AF223" i="1" s="1"/>
  <c r="AQ223" i="1"/>
  <c r="AR223" i="1"/>
  <c r="AX223" i="1"/>
  <c r="BK223" i="1"/>
  <c r="BL223" i="1"/>
  <c r="BM223" i="1"/>
  <c r="BN223" i="1"/>
  <c r="BO223" i="1"/>
  <c r="BP223" i="1"/>
  <c r="BQ223" i="1"/>
  <c r="BR223" i="1"/>
  <c r="BS223" i="1"/>
  <c r="H1119" i="1"/>
  <c r="K1119" i="1"/>
  <c r="Z1119" i="1"/>
  <c r="AD1119" i="1"/>
  <c r="AF1119" i="1" s="1"/>
  <c r="AQ1119" i="1"/>
  <c r="AR1119" i="1"/>
  <c r="AX1119" i="1"/>
  <c r="BK1119" i="1"/>
  <c r="BL1119" i="1"/>
  <c r="BM1119" i="1"/>
  <c r="BN1119" i="1"/>
  <c r="BO1119" i="1"/>
  <c r="BP1119" i="1"/>
  <c r="BQ1119" i="1"/>
  <c r="BR1119" i="1"/>
  <c r="BS1119" i="1"/>
  <c r="H17" i="1"/>
  <c r="K17" i="1"/>
  <c r="Z17" i="1"/>
  <c r="AD17" i="1"/>
  <c r="AF17" i="1" s="1"/>
  <c r="AQ17" i="1"/>
  <c r="AR17" i="1"/>
  <c r="AX17" i="1"/>
  <c r="BK17" i="1"/>
  <c r="BL17" i="1"/>
  <c r="BM17" i="1"/>
  <c r="BN17" i="1"/>
  <c r="BO17" i="1"/>
  <c r="BP17" i="1"/>
  <c r="BQ17" i="1"/>
  <c r="BR17" i="1"/>
  <c r="BS17" i="1"/>
  <c r="H18" i="1"/>
  <c r="K18" i="1"/>
  <c r="Z18" i="1"/>
  <c r="AD18" i="1"/>
  <c r="AF18" i="1" s="1"/>
  <c r="AQ18" i="1"/>
  <c r="AR18" i="1"/>
  <c r="AX18" i="1"/>
  <c r="BK18" i="1"/>
  <c r="BL18" i="1"/>
  <c r="BM18" i="1"/>
  <c r="BN18" i="1"/>
  <c r="BO18" i="1"/>
  <c r="BP18" i="1"/>
  <c r="BQ18" i="1"/>
  <c r="BR18" i="1"/>
  <c r="BS18" i="1"/>
  <c r="H19" i="1"/>
  <c r="K19" i="1"/>
  <c r="Z19" i="1"/>
  <c r="AD19" i="1"/>
  <c r="AF19" i="1" s="1"/>
  <c r="AQ19" i="1"/>
  <c r="AR19" i="1"/>
  <c r="AX19" i="1"/>
  <c r="BK19" i="1"/>
  <c r="BL19" i="1"/>
  <c r="BM19" i="1"/>
  <c r="BN19" i="1"/>
  <c r="BO19" i="1"/>
  <c r="BP19" i="1"/>
  <c r="BQ19" i="1"/>
  <c r="BR19" i="1"/>
  <c r="BS19" i="1"/>
  <c r="H421" i="1"/>
  <c r="K421" i="1"/>
  <c r="Z421" i="1"/>
  <c r="AD421" i="1"/>
  <c r="AF421" i="1" s="1"/>
  <c r="AQ421" i="1"/>
  <c r="AR421" i="1"/>
  <c r="AX421" i="1"/>
  <c r="BK421" i="1"/>
  <c r="BL421" i="1"/>
  <c r="BM421" i="1"/>
  <c r="BN421" i="1"/>
  <c r="BO421" i="1"/>
  <c r="BP421" i="1"/>
  <c r="BQ421" i="1"/>
  <c r="BR421" i="1"/>
  <c r="BS421" i="1"/>
  <c r="H1144" i="1"/>
  <c r="K1144" i="1"/>
  <c r="Z1144" i="1"/>
  <c r="AD1144" i="1"/>
  <c r="AF1144" i="1" s="1"/>
  <c r="AQ1144" i="1"/>
  <c r="AR1144" i="1"/>
  <c r="AX1144" i="1"/>
  <c r="BK1144" i="1"/>
  <c r="BL1144" i="1"/>
  <c r="BM1144" i="1"/>
  <c r="BN1144" i="1"/>
  <c r="BO1144" i="1"/>
  <c r="BP1144" i="1"/>
  <c r="BQ1144" i="1"/>
  <c r="BR1144" i="1"/>
  <c r="BS1144" i="1"/>
  <c r="H22" i="1"/>
  <c r="K22" i="1"/>
  <c r="Z22" i="1"/>
  <c r="AD22" i="1"/>
  <c r="AF22" i="1" s="1"/>
  <c r="AQ22" i="1"/>
  <c r="AR22" i="1"/>
  <c r="AX22" i="1"/>
  <c r="BK22" i="1"/>
  <c r="BL22" i="1"/>
  <c r="BM22" i="1"/>
  <c r="BN22" i="1"/>
  <c r="BO22" i="1"/>
  <c r="BP22" i="1"/>
  <c r="BQ22" i="1"/>
  <c r="BR22" i="1"/>
  <c r="BS22" i="1"/>
  <c r="H23" i="1"/>
  <c r="K23" i="1"/>
  <c r="Z23" i="1"/>
  <c r="AD23" i="1"/>
  <c r="AF23" i="1" s="1"/>
  <c r="AQ23" i="1"/>
  <c r="AR23" i="1"/>
  <c r="AX23" i="1"/>
  <c r="BK23" i="1"/>
  <c r="BL23" i="1"/>
  <c r="BM23" i="1"/>
  <c r="BN23" i="1"/>
  <c r="BO23" i="1"/>
  <c r="BP23" i="1"/>
  <c r="BQ23" i="1"/>
  <c r="BR23" i="1"/>
  <c r="BS23" i="1"/>
  <c r="H24" i="1"/>
  <c r="K24" i="1"/>
  <c r="Z24" i="1"/>
  <c r="AD24" i="1"/>
  <c r="AF24" i="1" s="1"/>
  <c r="AQ24" i="1"/>
  <c r="AR24" i="1"/>
  <c r="AX24" i="1"/>
  <c r="BK24" i="1"/>
  <c r="BL24" i="1"/>
  <c r="BM24" i="1"/>
  <c r="BN24" i="1"/>
  <c r="BO24" i="1"/>
  <c r="BP24" i="1"/>
  <c r="BQ24" i="1"/>
  <c r="BR24" i="1"/>
  <c r="BS24" i="1"/>
  <c r="H25" i="1"/>
  <c r="K25" i="1"/>
  <c r="Z25" i="1"/>
  <c r="AD25" i="1"/>
  <c r="AF25" i="1" s="1"/>
  <c r="AQ25" i="1"/>
  <c r="AR25" i="1"/>
  <c r="AX25" i="1"/>
  <c r="BK25" i="1"/>
  <c r="BL25" i="1"/>
  <c r="BM25" i="1"/>
  <c r="BN25" i="1"/>
  <c r="BO25" i="1"/>
  <c r="BP25" i="1"/>
  <c r="BQ25" i="1"/>
  <c r="BR25" i="1"/>
  <c r="BS25" i="1"/>
  <c r="H26" i="1"/>
  <c r="K26" i="1"/>
  <c r="Z26" i="1"/>
  <c r="AD26" i="1"/>
  <c r="AF26" i="1" s="1"/>
  <c r="AQ26" i="1"/>
  <c r="AR26" i="1"/>
  <c r="AX26" i="1"/>
  <c r="BK26" i="1"/>
  <c r="BL26" i="1"/>
  <c r="BM26" i="1"/>
  <c r="BN26" i="1"/>
  <c r="BO26" i="1"/>
  <c r="BP26" i="1"/>
  <c r="BQ26" i="1"/>
  <c r="BR26" i="1"/>
  <c r="BS26" i="1"/>
  <c r="H27" i="1"/>
  <c r="K27" i="1"/>
  <c r="Z27" i="1"/>
  <c r="AD27" i="1"/>
  <c r="AF27" i="1" s="1"/>
  <c r="AQ27" i="1"/>
  <c r="AR27" i="1"/>
  <c r="AX27" i="1"/>
  <c r="BK27" i="1"/>
  <c r="BL27" i="1"/>
  <c r="BM27" i="1"/>
  <c r="BN27" i="1"/>
  <c r="BO27" i="1"/>
  <c r="BP27" i="1"/>
  <c r="BQ27" i="1"/>
  <c r="BR27" i="1"/>
  <c r="BS27" i="1"/>
  <c r="H91" i="1"/>
  <c r="Z91" i="1"/>
  <c r="AB91" i="1" s="1"/>
  <c r="AD91" i="1"/>
  <c r="AF91" i="1" s="1"/>
  <c r="AQ91" i="1"/>
  <c r="AR91" i="1"/>
  <c r="AX91" i="1"/>
  <c r="BK91" i="1"/>
  <c r="BL91" i="1"/>
  <c r="BM91" i="1"/>
  <c r="BN91" i="1"/>
  <c r="BO91" i="1"/>
  <c r="BP91" i="1"/>
  <c r="BQ91" i="1"/>
  <c r="BR91" i="1"/>
  <c r="BS91" i="1"/>
  <c r="H92" i="1"/>
  <c r="K92" i="1"/>
  <c r="Z92" i="1"/>
  <c r="AD92" i="1"/>
  <c r="AF92" i="1" s="1"/>
  <c r="AQ92" i="1"/>
  <c r="AR92" i="1"/>
  <c r="AX92" i="1"/>
  <c r="BK92" i="1"/>
  <c r="BL92" i="1"/>
  <c r="BM92" i="1"/>
  <c r="BN92" i="1"/>
  <c r="BO92" i="1"/>
  <c r="BP92" i="1"/>
  <c r="BQ92" i="1"/>
  <c r="BR92" i="1"/>
  <c r="BS92" i="1"/>
  <c r="H96" i="1"/>
  <c r="K96" i="1"/>
  <c r="Z96" i="1"/>
  <c r="AD96" i="1"/>
  <c r="AF96" i="1" s="1"/>
  <c r="AQ96" i="1"/>
  <c r="AR96" i="1"/>
  <c r="AX96" i="1"/>
  <c r="BK96" i="1"/>
  <c r="BL96" i="1"/>
  <c r="BM96" i="1"/>
  <c r="BN96" i="1"/>
  <c r="BO96" i="1"/>
  <c r="BP96" i="1"/>
  <c r="BQ96" i="1"/>
  <c r="BR96" i="1"/>
  <c r="BS96" i="1"/>
  <c r="H31" i="1"/>
  <c r="K31" i="1"/>
  <c r="Z31" i="1"/>
  <c r="AD31" i="1"/>
  <c r="AQ31" i="1"/>
  <c r="AR31" i="1"/>
  <c r="AX31" i="1"/>
  <c r="BK31" i="1"/>
  <c r="BL31" i="1"/>
  <c r="BM31" i="1"/>
  <c r="BN31" i="1"/>
  <c r="BO31" i="1"/>
  <c r="BP31" i="1"/>
  <c r="BQ31" i="1"/>
  <c r="BR31" i="1"/>
  <c r="BS31" i="1"/>
  <c r="H208" i="1"/>
  <c r="K208" i="1"/>
  <c r="Z208" i="1"/>
  <c r="AD208" i="1"/>
  <c r="AF208" i="1" s="1"/>
  <c r="AQ208" i="1"/>
  <c r="AR208" i="1"/>
  <c r="AX208" i="1"/>
  <c r="BK208" i="1"/>
  <c r="BL208" i="1"/>
  <c r="BM208" i="1"/>
  <c r="BN208" i="1"/>
  <c r="BO208" i="1"/>
  <c r="BP208" i="1"/>
  <c r="BQ208" i="1"/>
  <c r="BR208" i="1"/>
  <c r="BS208" i="1"/>
  <c r="H33" i="1"/>
  <c r="Z33" i="1"/>
  <c r="AB33" i="1" s="1"/>
  <c r="AD33" i="1"/>
  <c r="AF33" i="1" s="1"/>
  <c r="AQ33" i="1"/>
  <c r="AR33" i="1"/>
  <c r="AX33" i="1"/>
  <c r="BK33" i="1"/>
  <c r="BL33" i="1"/>
  <c r="BM33" i="1"/>
  <c r="BN33" i="1"/>
  <c r="BO33" i="1"/>
  <c r="BP33" i="1"/>
  <c r="BQ33" i="1"/>
  <c r="BR33" i="1"/>
  <c r="BS33" i="1"/>
  <c r="H34" i="1"/>
  <c r="Z34" i="1"/>
  <c r="AB34" i="1" s="1"/>
  <c r="AD34" i="1"/>
  <c r="AF34" i="1" s="1"/>
  <c r="AQ34" i="1"/>
  <c r="AR34" i="1"/>
  <c r="AX34" i="1"/>
  <c r="BK34" i="1"/>
  <c r="BL34" i="1"/>
  <c r="BM34" i="1"/>
  <c r="BN34" i="1"/>
  <c r="BO34" i="1"/>
  <c r="BP34" i="1"/>
  <c r="BQ34" i="1"/>
  <c r="BR34" i="1"/>
  <c r="BS34" i="1"/>
  <c r="H35" i="1"/>
  <c r="K35" i="1"/>
  <c r="Z35" i="1"/>
  <c r="AD35" i="1"/>
  <c r="AF35" i="1" s="1"/>
  <c r="AQ35" i="1"/>
  <c r="AR35" i="1"/>
  <c r="AX35" i="1"/>
  <c r="BK35" i="1"/>
  <c r="BL35" i="1"/>
  <c r="BM35" i="1"/>
  <c r="BN35" i="1"/>
  <c r="BO35" i="1"/>
  <c r="BP35" i="1"/>
  <c r="BQ35" i="1"/>
  <c r="BR35" i="1"/>
  <c r="BS35" i="1"/>
  <c r="H36" i="1"/>
  <c r="K36" i="1"/>
  <c r="Z36" i="1"/>
  <c r="AD36" i="1"/>
  <c r="AF36" i="1" s="1"/>
  <c r="AQ36" i="1"/>
  <c r="AR36" i="1"/>
  <c r="AX36" i="1"/>
  <c r="BK36" i="1"/>
  <c r="BL36" i="1"/>
  <c r="BM36" i="1"/>
  <c r="BN36" i="1"/>
  <c r="BO36" i="1"/>
  <c r="BP36" i="1"/>
  <c r="BQ36" i="1"/>
  <c r="BR36" i="1"/>
  <c r="BS36" i="1"/>
  <c r="H37" i="1"/>
  <c r="K37" i="1"/>
  <c r="Z37" i="1"/>
  <c r="AD37" i="1"/>
  <c r="AF37" i="1" s="1"/>
  <c r="AQ37" i="1"/>
  <c r="AR37" i="1"/>
  <c r="AX37" i="1"/>
  <c r="BK37" i="1"/>
  <c r="BL37" i="1"/>
  <c r="BM37" i="1"/>
  <c r="BN37" i="1"/>
  <c r="BO37" i="1"/>
  <c r="BP37" i="1"/>
  <c r="BQ37" i="1"/>
  <c r="BR37" i="1"/>
  <c r="BS37" i="1"/>
  <c r="H38" i="1"/>
  <c r="K38" i="1"/>
  <c r="Z38" i="1"/>
  <c r="AD38" i="1"/>
  <c r="AF38" i="1" s="1"/>
  <c r="AQ38" i="1"/>
  <c r="AR38" i="1"/>
  <c r="AX38" i="1"/>
  <c r="BK38" i="1"/>
  <c r="BL38" i="1"/>
  <c r="BM38" i="1"/>
  <c r="BN38" i="1"/>
  <c r="BO38" i="1"/>
  <c r="BP38" i="1"/>
  <c r="BQ38" i="1"/>
  <c r="BR38" i="1"/>
  <c r="BS38" i="1"/>
  <c r="H39" i="1"/>
  <c r="Z39" i="1"/>
  <c r="AB39" i="1" s="1"/>
  <c r="AD39" i="1"/>
  <c r="AF39" i="1" s="1"/>
  <c r="AQ39" i="1"/>
  <c r="AR39" i="1"/>
  <c r="AX39" i="1"/>
  <c r="BK39" i="1"/>
  <c r="BL39" i="1"/>
  <c r="BM39" i="1"/>
  <c r="BN39" i="1"/>
  <c r="BO39" i="1"/>
  <c r="BP39" i="1"/>
  <c r="BQ39" i="1"/>
  <c r="BR39" i="1"/>
  <c r="BS39" i="1"/>
  <c r="H622" i="1"/>
  <c r="K622" i="1"/>
  <c r="Z622" i="1"/>
  <c r="AD622" i="1"/>
  <c r="AF622" i="1" s="1"/>
  <c r="AQ622" i="1"/>
  <c r="AR622" i="1"/>
  <c r="AX622" i="1"/>
  <c r="BK622" i="1"/>
  <c r="BL622" i="1"/>
  <c r="BM622" i="1"/>
  <c r="BN622" i="1"/>
  <c r="BO622" i="1"/>
  <c r="BP622" i="1"/>
  <c r="BQ622" i="1"/>
  <c r="BR622" i="1"/>
  <c r="BS622" i="1"/>
  <c r="BZ622" i="1"/>
  <c r="H41" i="1"/>
  <c r="K41" i="1"/>
  <c r="Z41" i="1"/>
  <c r="AD41" i="1"/>
  <c r="AF41" i="1" s="1"/>
  <c r="AQ41" i="1"/>
  <c r="AR41" i="1"/>
  <c r="AX41" i="1"/>
  <c r="BK41" i="1"/>
  <c r="BL41" i="1"/>
  <c r="BM41" i="1"/>
  <c r="BN41" i="1"/>
  <c r="BO41" i="1"/>
  <c r="BP41" i="1"/>
  <c r="BQ41" i="1"/>
  <c r="BR41" i="1"/>
  <c r="BS41" i="1"/>
  <c r="AF8" i="1" l="1"/>
  <c r="AF5" i="1"/>
  <c r="AF31" i="1"/>
  <c r="AF11" i="1"/>
  <c r="AX2" i="1"/>
  <c r="AB208" i="1"/>
  <c r="AB31" i="1"/>
  <c r="AB96" i="1"/>
  <c r="AB92" i="1"/>
  <c r="AB27" i="1"/>
  <c r="AB26" i="1"/>
  <c r="AB25" i="1"/>
  <c r="AB24" i="1"/>
  <c r="AB23" i="1"/>
  <c r="AB22" i="1"/>
  <c r="AB1144" i="1"/>
  <c r="AB421" i="1"/>
  <c r="AB19" i="1"/>
  <c r="AB18" i="1"/>
  <c r="AB17" i="1"/>
  <c r="AB1119" i="1"/>
  <c r="AB223" i="1"/>
  <c r="AB14" i="1"/>
  <c r="AB330" i="1"/>
  <c r="AB12" i="1"/>
  <c r="AB11" i="1"/>
  <c r="AB10" i="1"/>
  <c r="AB9" i="1"/>
  <c r="AB8" i="1"/>
  <c r="AB7" i="1"/>
  <c r="AB6" i="1"/>
  <c r="AB5" i="1"/>
  <c r="AB4" i="1"/>
  <c r="AB324" i="1"/>
  <c r="AB622" i="1"/>
  <c r="AB41" i="1"/>
  <c r="AB38" i="1"/>
  <c r="AB37" i="1"/>
  <c r="AB36" i="1"/>
  <c r="AB35" i="1"/>
  <c r="AD1056" i="1"/>
  <c r="AF1056" i="1" s="1"/>
  <c r="Z1056" i="1"/>
  <c r="AB1056" i="1" s="1"/>
  <c r="AQ549" i="1" l="1"/>
  <c r="AQ1077" i="1"/>
  <c r="R44" i="16" l="1"/>
  <c r="Q46" i="16"/>
  <c r="P46" i="16"/>
  <c r="M46" i="16"/>
  <c r="K46" i="16"/>
  <c r="D6" i="21"/>
  <c r="D5" i="21"/>
  <c r="D3" i="21"/>
  <c r="D4" i="21"/>
  <c r="D9" i="21"/>
  <c r="D7" i="21"/>
  <c r="D8" i="21"/>
  <c r="F13" i="21" l="1"/>
  <c r="G13" i="21" s="1"/>
  <c r="F12" i="21"/>
  <c r="G12" i="21" s="1"/>
  <c r="G15" i="21"/>
  <c r="F14" i="21"/>
  <c r="G14" i="21" s="1"/>
  <c r="F5" i="21"/>
  <c r="F3" i="21"/>
  <c r="F8" i="21"/>
  <c r="F6" i="21"/>
  <c r="F7" i="21"/>
  <c r="F4" i="21"/>
  <c r="BS929" i="1"/>
  <c r="BR929" i="1"/>
  <c r="BQ929" i="1"/>
  <c r="BP929" i="1"/>
  <c r="BO929" i="1"/>
  <c r="BN929" i="1"/>
  <c r="BM929" i="1"/>
  <c r="BL929" i="1"/>
  <c r="BK929" i="1"/>
  <c r="AX929" i="1"/>
  <c r="AR929" i="1"/>
  <c r="AQ929" i="1"/>
  <c r="AD929" i="1"/>
  <c r="AF929" i="1" s="1"/>
  <c r="Z929" i="1"/>
  <c r="K929" i="1"/>
  <c r="AX793" i="1"/>
  <c r="AR793" i="1"/>
  <c r="AQ793" i="1"/>
  <c r="AD793" i="1"/>
  <c r="AF793" i="1" s="1"/>
  <c r="Z793" i="1"/>
  <c r="AB793" i="1" s="1"/>
  <c r="AB929" i="1" l="1"/>
  <c r="F9" i="21"/>
  <c r="BS1140" i="1"/>
  <c r="BR1140" i="1"/>
  <c r="BQ1140" i="1"/>
  <c r="BP1140" i="1"/>
  <c r="BO1140" i="1"/>
  <c r="BN1140" i="1"/>
  <c r="BM1140" i="1"/>
  <c r="BL1140" i="1"/>
  <c r="BK1140" i="1"/>
  <c r="AX1140" i="1"/>
  <c r="AR1140" i="1"/>
  <c r="BS1062" i="1"/>
  <c r="BR1062" i="1"/>
  <c r="BQ1062" i="1"/>
  <c r="BP1062" i="1"/>
  <c r="BO1062" i="1"/>
  <c r="BN1062" i="1"/>
  <c r="BM1062" i="1"/>
  <c r="BL1062" i="1"/>
  <c r="BK1062" i="1"/>
  <c r="AX1062" i="1"/>
  <c r="AR1062" i="1"/>
  <c r="BS1061" i="1"/>
  <c r="BR1061" i="1"/>
  <c r="BQ1061" i="1"/>
  <c r="BP1061" i="1"/>
  <c r="BO1061" i="1"/>
  <c r="BN1061" i="1"/>
  <c r="BM1061" i="1"/>
  <c r="BL1061" i="1"/>
  <c r="BK1061" i="1"/>
  <c r="AX1061" i="1"/>
  <c r="AR1061" i="1"/>
  <c r="BS1141" i="1"/>
  <c r="BR1141" i="1"/>
  <c r="BQ1141" i="1"/>
  <c r="BP1141" i="1"/>
  <c r="BO1141" i="1"/>
  <c r="BN1141" i="1"/>
  <c r="BM1141" i="1"/>
  <c r="BL1141" i="1"/>
  <c r="BK1141" i="1"/>
  <c r="AX1141" i="1"/>
  <c r="AR1141" i="1"/>
  <c r="AQ1141" i="1"/>
  <c r="AD1141" i="1"/>
  <c r="AF1141" i="1" s="1"/>
  <c r="AD1140" i="1"/>
  <c r="AF1140" i="1" s="1"/>
  <c r="AD1062" i="1"/>
  <c r="AF1062" i="1" s="1"/>
  <c r="AD1061" i="1"/>
  <c r="AF1061" i="1" s="1"/>
  <c r="K1140" i="1"/>
  <c r="AB1140" i="1" s="1"/>
  <c r="K1062" i="1"/>
  <c r="AB1062" i="1" s="1"/>
  <c r="K1061" i="1"/>
  <c r="AB1061" i="1" s="1"/>
  <c r="K1141" i="1"/>
  <c r="AB1141" i="1" s="1"/>
  <c r="BS1163" i="1" l="1"/>
  <c r="BR1163" i="1"/>
  <c r="BQ1163" i="1"/>
  <c r="BP1163" i="1"/>
  <c r="BO1163" i="1"/>
  <c r="BN1163" i="1"/>
  <c r="BM1163" i="1"/>
  <c r="BL1163" i="1"/>
  <c r="BK1163" i="1"/>
  <c r="AX1163" i="1"/>
  <c r="AR1163" i="1"/>
  <c r="AQ1163" i="1"/>
  <c r="AD1163" i="1"/>
  <c r="AF1163" i="1" s="1"/>
  <c r="AD239" i="1" l="1"/>
  <c r="AF239" i="1" s="1"/>
  <c r="AQ620" i="1" l="1"/>
  <c r="AQ1157" i="1"/>
  <c r="AQ1148" i="1"/>
  <c r="AQ1147" i="1"/>
  <c r="AQ807" i="1"/>
  <c r="AQ1171" i="1"/>
  <c r="AQ1170" i="1"/>
  <c r="AQ1169" i="1"/>
  <c r="AQ1168" i="1"/>
  <c r="AQ1167" i="1"/>
  <c r="AQ711" i="1"/>
  <c r="AQ1165" i="1"/>
  <c r="AQ703" i="1"/>
  <c r="AQ1162" i="1"/>
  <c r="AQ1161" i="1"/>
  <c r="AQ1160" i="1"/>
  <c r="AQ956" i="1"/>
  <c r="AQ1158" i="1"/>
  <c r="AQ1156" i="1"/>
  <c r="AQ1155" i="1"/>
  <c r="AQ1154" i="1"/>
  <c r="AQ1153" i="1"/>
  <c r="AQ1152" i="1"/>
  <c r="AQ1151" i="1"/>
  <c r="AQ1150" i="1"/>
  <c r="AQ1149" i="1"/>
  <c r="AQ1146" i="1"/>
  <c r="AQ1145" i="1"/>
  <c r="AQ941" i="1"/>
  <c r="AQ1143" i="1"/>
  <c r="AQ1142" i="1"/>
  <c r="AQ1140" i="1"/>
  <c r="AQ1139" i="1"/>
  <c r="AQ1138" i="1"/>
  <c r="AQ1137" i="1"/>
  <c r="AQ1136" i="1"/>
  <c r="AQ935" i="1"/>
  <c r="AQ1134" i="1"/>
  <c r="AQ1133" i="1"/>
  <c r="AQ1132" i="1"/>
  <c r="AQ1131" i="1"/>
  <c r="AQ1130" i="1"/>
  <c r="AQ1129" i="1"/>
  <c r="AQ1128" i="1"/>
  <c r="AQ1127" i="1"/>
  <c r="AQ1126" i="1"/>
  <c r="AQ1125" i="1"/>
  <c r="AQ1124" i="1"/>
  <c r="AQ1123" i="1"/>
  <c r="AQ1122" i="1"/>
  <c r="AQ1121" i="1"/>
  <c r="AQ1120" i="1"/>
  <c r="AQ1118" i="1"/>
  <c r="AQ1117" i="1"/>
  <c r="AQ737" i="1"/>
  <c r="AQ1115" i="1"/>
  <c r="AQ1114" i="1"/>
  <c r="AQ1113" i="1"/>
  <c r="AQ1112" i="1"/>
  <c r="AQ1111" i="1"/>
  <c r="AQ1110" i="1"/>
  <c r="AQ1109" i="1"/>
  <c r="AQ1108" i="1"/>
  <c r="AQ1107" i="1"/>
  <c r="AQ1106" i="1"/>
  <c r="AQ1105" i="1"/>
  <c r="AQ1104" i="1"/>
  <c r="AQ1103" i="1"/>
  <c r="AQ1102" i="1"/>
  <c r="AQ1101" i="1"/>
  <c r="AQ1100" i="1"/>
  <c r="AQ1099" i="1"/>
  <c r="AQ926" i="1"/>
  <c r="AQ1097" i="1"/>
  <c r="AQ1096" i="1"/>
  <c r="AQ1095" i="1"/>
  <c r="AQ1094" i="1"/>
  <c r="AQ1093" i="1"/>
  <c r="AQ1092" i="1"/>
  <c r="AQ1091" i="1"/>
  <c r="AQ180" i="1"/>
  <c r="AQ205" i="1"/>
  <c r="AQ193" i="1"/>
  <c r="AQ1087" i="1"/>
  <c r="AQ1086" i="1"/>
  <c r="AQ719" i="1"/>
  <c r="AQ590" i="1"/>
  <c r="AQ1083" i="1"/>
  <c r="AQ918" i="1"/>
  <c r="AQ1081" i="1"/>
  <c r="AQ917" i="1"/>
  <c r="AQ1079" i="1"/>
  <c r="AQ1078" i="1"/>
  <c r="AQ1076" i="1"/>
  <c r="AQ1075" i="1"/>
  <c r="AQ1074" i="1"/>
  <c r="AQ1073" i="1"/>
  <c r="AQ1072" i="1"/>
  <c r="AQ1071" i="1"/>
  <c r="AQ1070" i="1"/>
  <c r="AQ1069" i="1"/>
  <c r="AQ1068" i="1"/>
  <c r="AQ587" i="1"/>
  <c r="AQ1066" i="1"/>
  <c r="AQ1065" i="1"/>
  <c r="AQ1064" i="1"/>
  <c r="AQ1063" i="1"/>
  <c r="AQ1062" i="1"/>
  <c r="AQ1061" i="1"/>
  <c r="AQ1060" i="1"/>
  <c r="AQ314" i="1"/>
  <c r="AQ1058" i="1"/>
  <c r="AQ916" i="1"/>
  <c r="AQ1055" i="1"/>
  <c r="AQ1054" i="1"/>
  <c r="AQ1053" i="1"/>
  <c r="AQ1052" i="1"/>
  <c r="AQ1051" i="1"/>
  <c r="AQ1050" i="1"/>
  <c r="AQ1049" i="1"/>
  <c r="AQ1048" i="1"/>
  <c r="AQ1047" i="1"/>
  <c r="AQ1046" i="1"/>
  <c r="AQ1045" i="1"/>
  <c r="AQ1044" i="1"/>
  <c r="AQ1043" i="1"/>
  <c r="AQ1042" i="1"/>
  <c r="AQ1041" i="1"/>
  <c r="AQ1040" i="1"/>
  <c r="AQ1039" i="1"/>
  <c r="AQ1038" i="1"/>
  <c r="AQ1037" i="1"/>
  <c r="AQ913" i="1"/>
  <c r="AQ21" i="1"/>
  <c r="AQ29" i="1"/>
  <c r="AQ912" i="1"/>
  <c r="AQ1032" i="1"/>
  <c r="AQ1031" i="1"/>
  <c r="AQ1030" i="1"/>
  <c r="AQ1029" i="1"/>
  <c r="AQ1028" i="1"/>
  <c r="AQ1027" i="1"/>
  <c r="AQ900" i="1"/>
  <c r="AQ1025" i="1"/>
  <c r="AQ1024" i="1"/>
  <c r="AQ1023" i="1"/>
  <c r="AQ1022" i="1"/>
  <c r="AQ1021" i="1"/>
  <c r="AQ876" i="1"/>
  <c r="AQ873" i="1"/>
  <c r="AQ1018" i="1"/>
  <c r="AQ1017" i="1"/>
  <c r="AQ677" i="1"/>
  <c r="AQ667" i="1"/>
  <c r="AQ1014" i="1"/>
  <c r="AQ1013" i="1"/>
  <c r="AQ1012" i="1"/>
  <c r="AQ1011" i="1"/>
  <c r="AQ1010" i="1"/>
  <c r="AQ868" i="1"/>
  <c r="AQ1008" i="1"/>
  <c r="AQ1007" i="1"/>
  <c r="AQ1006" i="1"/>
  <c r="AQ1005" i="1"/>
  <c r="AQ1004" i="1"/>
  <c r="AQ1003" i="1"/>
  <c r="AQ1002" i="1"/>
  <c r="AQ1001" i="1"/>
  <c r="AQ1000" i="1"/>
  <c r="AQ999" i="1"/>
  <c r="AQ998" i="1"/>
  <c r="AQ997" i="1"/>
  <c r="AQ996" i="1"/>
  <c r="AQ995" i="1"/>
  <c r="AQ994" i="1"/>
  <c r="AQ993" i="1"/>
  <c r="AQ742" i="1"/>
  <c r="AQ991" i="1"/>
  <c r="AQ990" i="1"/>
  <c r="AQ989" i="1"/>
  <c r="AQ988" i="1"/>
  <c r="AQ987" i="1"/>
  <c r="AQ986" i="1"/>
  <c r="AQ985" i="1"/>
  <c r="AQ984" i="1"/>
  <c r="AQ983" i="1"/>
  <c r="AQ982" i="1"/>
  <c r="AQ981" i="1"/>
  <c r="AQ980" i="1"/>
  <c r="AQ979" i="1"/>
  <c r="AQ978" i="1"/>
  <c r="AQ977" i="1"/>
  <c r="AQ976" i="1"/>
  <c r="AQ975" i="1"/>
  <c r="AQ974" i="1"/>
  <c r="AQ973" i="1"/>
  <c r="AQ972" i="1"/>
  <c r="AQ971" i="1"/>
  <c r="AQ970" i="1"/>
  <c r="AQ969" i="1"/>
  <c r="AQ968" i="1"/>
  <c r="AQ967" i="1"/>
  <c r="AQ966" i="1"/>
  <c r="AQ965" i="1"/>
  <c r="AQ176" i="1"/>
  <c r="AQ962" i="1"/>
  <c r="AQ961" i="1"/>
  <c r="AQ960" i="1"/>
  <c r="AQ59" i="1"/>
  <c r="AQ958" i="1"/>
  <c r="AQ957" i="1"/>
  <c r="AQ955" i="1"/>
  <c r="AQ866" i="1"/>
  <c r="AQ954" i="1"/>
  <c r="AQ953" i="1"/>
  <c r="AQ952" i="1"/>
  <c r="AQ951" i="1"/>
  <c r="AQ950" i="1"/>
  <c r="AQ1159" i="1"/>
  <c r="AQ948" i="1"/>
  <c r="AQ947" i="1"/>
  <c r="AQ946" i="1"/>
  <c r="AQ945" i="1"/>
  <c r="AQ944" i="1"/>
  <c r="AQ943" i="1"/>
  <c r="AQ942" i="1"/>
  <c r="AQ860" i="1"/>
  <c r="AQ940" i="1"/>
  <c r="AQ939" i="1"/>
  <c r="AQ938" i="1"/>
  <c r="AQ937" i="1"/>
  <c r="AQ936" i="1"/>
  <c r="AQ764" i="1"/>
  <c r="AQ934" i="1"/>
  <c r="AQ933" i="1"/>
  <c r="AQ932" i="1"/>
  <c r="AQ931" i="1"/>
  <c r="AQ930" i="1"/>
  <c r="AQ830" i="1"/>
  <c r="AQ928" i="1"/>
  <c r="AQ927" i="1"/>
  <c r="AQ736" i="1"/>
  <c r="AQ925" i="1"/>
  <c r="AQ924" i="1"/>
  <c r="AQ923" i="1"/>
  <c r="AQ922" i="1"/>
  <c r="AQ921" i="1"/>
  <c r="AQ920" i="1"/>
  <c r="AQ919" i="1"/>
  <c r="AQ825" i="1"/>
  <c r="AQ819" i="1"/>
  <c r="AQ818" i="1"/>
  <c r="AQ915" i="1"/>
  <c r="AQ914" i="1"/>
  <c r="AQ815" i="1"/>
  <c r="AQ799" i="1"/>
  <c r="AQ911" i="1"/>
  <c r="AQ910" i="1"/>
  <c r="AQ908" i="1"/>
  <c r="AQ909" i="1"/>
  <c r="AQ907" i="1"/>
  <c r="AQ906" i="1"/>
  <c r="AQ904" i="1"/>
  <c r="AQ903" i="1"/>
  <c r="AQ902" i="1"/>
  <c r="AQ901" i="1"/>
  <c r="AQ582" i="1"/>
  <c r="AQ899" i="1"/>
  <c r="AQ898" i="1"/>
  <c r="AQ897" i="1"/>
  <c r="AQ896" i="1"/>
  <c r="AQ895" i="1"/>
  <c r="AQ894" i="1"/>
  <c r="AQ893" i="1"/>
  <c r="AQ892" i="1"/>
  <c r="AQ891" i="1"/>
  <c r="AQ890" i="1"/>
  <c r="AQ889" i="1"/>
  <c r="AQ888" i="1"/>
  <c r="AQ887" i="1"/>
  <c r="AQ886" i="1"/>
  <c r="AQ885" i="1"/>
  <c r="AQ884" i="1"/>
  <c r="AQ883" i="1"/>
  <c r="AQ882" i="1"/>
  <c r="AQ881" i="1"/>
  <c r="AQ880" i="1"/>
  <c r="AQ879" i="1"/>
  <c r="AQ878" i="1"/>
  <c r="AQ877" i="1"/>
  <c r="AQ657" i="1"/>
  <c r="AQ875" i="1"/>
  <c r="AQ874" i="1"/>
  <c r="AQ731" i="1"/>
  <c r="AQ872" i="1"/>
  <c r="AQ871" i="1"/>
  <c r="AQ870" i="1"/>
  <c r="AQ869" i="1"/>
  <c r="AQ723" i="1"/>
  <c r="AQ867" i="1"/>
  <c r="AQ346" i="1"/>
  <c r="AQ865" i="1"/>
  <c r="AQ864" i="1"/>
  <c r="AQ863" i="1"/>
  <c r="AQ862" i="1"/>
  <c r="AQ861" i="1"/>
  <c r="AQ741" i="1"/>
  <c r="AQ859" i="1"/>
  <c r="AQ858" i="1"/>
  <c r="AQ857" i="1"/>
  <c r="AQ856" i="1"/>
  <c r="AQ855" i="1"/>
  <c r="AQ854" i="1"/>
  <c r="AQ853" i="1"/>
  <c r="AQ852" i="1"/>
  <c r="AQ851" i="1"/>
  <c r="AQ850" i="1"/>
  <c r="AQ849" i="1"/>
  <c r="AQ848" i="1"/>
  <c r="AQ847" i="1"/>
  <c r="AQ846" i="1"/>
  <c r="AQ845" i="1"/>
  <c r="AQ844" i="1"/>
  <c r="AQ843" i="1"/>
  <c r="AQ842" i="1"/>
  <c r="AQ841" i="1"/>
  <c r="AQ840" i="1"/>
  <c r="AQ839" i="1"/>
  <c r="AQ838" i="1"/>
  <c r="AQ837" i="1"/>
  <c r="AQ836" i="1"/>
  <c r="AQ835" i="1"/>
  <c r="AQ834" i="1"/>
  <c r="AQ833" i="1"/>
  <c r="AQ832" i="1"/>
  <c r="AQ831" i="1"/>
  <c r="AQ760" i="1"/>
  <c r="AQ829" i="1"/>
  <c r="AQ828" i="1"/>
  <c r="AQ827" i="1"/>
  <c r="AQ826" i="1"/>
  <c r="AQ656" i="1"/>
  <c r="AQ824" i="1"/>
  <c r="AQ823" i="1"/>
  <c r="AQ822" i="1"/>
  <c r="AQ821" i="1"/>
  <c r="AQ820" i="1"/>
  <c r="AQ795" i="1"/>
  <c r="AQ817" i="1"/>
  <c r="AQ816" i="1"/>
  <c r="AQ757" i="1"/>
  <c r="AQ814" i="1"/>
  <c r="AQ813" i="1"/>
  <c r="AQ812" i="1"/>
  <c r="AQ811" i="1"/>
  <c r="AQ810" i="1"/>
  <c r="AQ809" i="1"/>
  <c r="AQ808" i="1"/>
  <c r="AQ806" i="1"/>
  <c r="AQ805" i="1"/>
  <c r="AQ804" i="1"/>
  <c r="AQ803" i="1"/>
  <c r="AQ802" i="1"/>
  <c r="AQ801" i="1"/>
  <c r="AQ800" i="1"/>
  <c r="AQ744" i="1"/>
  <c r="AQ798" i="1"/>
  <c r="AQ797" i="1"/>
  <c r="AQ796" i="1"/>
  <c r="AQ1085" i="1"/>
  <c r="AQ794" i="1"/>
  <c r="AQ792" i="1"/>
  <c r="AQ791" i="1"/>
  <c r="AQ40" i="1"/>
  <c r="AQ789" i="1"/>
  <c r="AQ788" i="1"/>
  <c r="AQ787" i="1"/>
  <c r="AQ786" i="1"/>
  <c r="AQ785" i="1"/>
  <c r="AQ784" i="1"/>
  <c r="AQ783" i="1"/>
  <c r="AQ782" i="1"/>
  <c r="AQ781" i="1"/>
  <c r="AQ790" i="1"/>
  <c r="AQ779" i="1"/>
  <c r="AQ1084" i="1"/>
  <c r="AQ777" i="1"/>
  <c r="AQ776" i="1"/>
  <c r="AQ775" i="1"/>
  <c r="AQ774" i="1"/>
  <c r="AQ773" i="1"/>
  <c r="AQ772" i="1"/>
  <c r="AQ771" i="1"/>
  <c r="AQ770" i="1"/>
  <c r="AQ769" i="1"/>
  <c r="AQ768" i="1"/>
  <c r="AQ767" i="1"/>
  <c r="AQ766" i="1"/>
  <c r="AQ765" i="1"/>
  <c r="AQ780" i="1"/>
  <c r="AQ763" i="1"/>
  <c r="AQ761" i="1"/>
  <c r="AQ408" i="1"/>
  <c r="AQ759" i="1"/>
  <c r="AQ758" i="1"/>
  <c r="AQ301" i="1"/>
  <c r="AQ755" i="1"/>
  <c r="AQ754" i="1"/>
  <c r="AQ753" i="1"/>
  <c r="AQ752" i="1"/>
  <c r="AQ751" i="1"/>
  <c r="AQ750" i="1"/>
  <c r="AQ749" i="1"/>
  <c r="AQ748" i="1"/>
  <c r="AQ747" i="1"/>
  <c r="AQ746" i="1"/>
  <c r="AQ745" i="1"/>
  <c r="AQ1082" i="1"/>
  <c r="AQ1080" i="1"/>
  <c r="AQ1067" i="1"/>
  <c r="AQ1059" i="1"/>
  <c r="AQ740" i="1"/>
  <c r="AQ739" i="1"/>
  <c r="AQ738" i="1"/>
  <c r="AQ1057" i="1"/>
  <c r="AQ1036" i="1"/>
  <c r="AQ1035" i="1"/>
  <c r="AQ734" i="1"/>
  <c r="AQ733" i="1"/>
  <c r="AQ732" i="1"/>
  <c r="AQ712" i="1"/>
  <c r="AQ730" i="1"/>
  <c r="AQ729" i="1"/>
  <c r="AQ728" i="1"/>
  <c r="AQ727" i="1"/>
  <c r="AQ726" i="1"/>
  <c r="AQ725" i="1"/>
  <c r="AQ724" i="1"/>
  <c r="AQ778" i="1"/>
  <c r="AQ722" i="1"/>
  <c r="AQ721" i="1"/>
  <c r="AQ720" i="1"/>
  <c r="AQ735" i="1"/>
  <c r="AQ718" i="1"/>
  <c r="AQ717" i="1"/>
  <c r="AQ716" i="1"/>
  <c r="AQ715" i="1"/>
  <c r="AQ714" i="1"/>
  <c r="AQ713" i="1"/>
  <c r="AQ743" i="1"/>
  <c r="AQ1034" i="1"/>
  <c r="AQ710" i="1"/>
  <c r="AQ709" i="1"/>
  <c r="AQ708" i="1"/>
  <c r="AQ707" i="1"/>
  <c r="AQ706" i="1"/>
  <c r="AQ705" i="1"/>
  <c r="AQ704" i="1"/>
  <c r="AQ949" i="1"/>
  <c r="AQ702" i="1"/>
  <c r="AQ701" i="1"/>
  <c r="AQ700" i="1"/>
  <c r="AQ699" i="1"/>
  <c r="AQ698" i="1"/>
  <c r="AQ697" i="1"/>
  <c r="AQ696" i="1"/>
  <c r="AQ695" i="1"/>
  <c r="AQ694" i="1"/>
  <c r="AQ693" i="1"/>
  <c r="AQ692" i="1"/>
  <c r="AQ691" i="1"/>
  <c r="AQ690" i="1"/>
  <c r="AQ689" i="1"/>
  <c r="AQ688" i="1"/>
  <c r="AQ687" i="1"/>
  <c r="AQ686" i="1"/>
  <c r="AQ685" i="1"/>
  <c r="AQ684" i="1"/>
  <c r="AQ683" i="1"/>
  <c r="AQ682" i="1"/>
  <c r="AQ681" i="1"/>
  <c r="AQ680" i="1"/>
  <c r="AQ679" i="1"/>
  <c r="AQ678" i="1"/>
  <c r="AQ1033" i="1"/>
  <c r="AQ676" i="1"/>
  <c r="AQ675" i="1"/>
  <c r="AQ674" i="1"/>
  <c r="AQ673" i="1"/>
  <c r="AQ672" i="1"/>
  <c r="AQ671" i="1"/>
  <c r="AQ670" i="1"/>
  <c r="AQ669" i="1"/>
  <c r="AQ668" i="1"/>
  <c r="AQ653" i="1"/>
  <c r="AQ666" i="1"/>
  <c r="AQ665" i="1"/>
  <c r="AQ664" i="1"/>
  <c r="AQ663" i="1"/>
  <c r="AQ662" i="1"/>
  <c r="AQ661" i="1"/>
  <c r="AQ660" i="1"/>
  <c r="AQ659" i="1"/>
  <c r="AQ658" i="1"/>
  <c r="AQ28" i="1"/>
  <c r="AQ393" i="1"/>
  <c r="AQ392" i="1"/>
  <c r="AQ654" i="1"/>
  <c r="AQ1026" i="1"/>
  <c r="AQ652" i="1"/>
  <c r="AQ651" i="1"/>
  <c r="AQ650" i="1"/>
  <c r="AQ649" i="1"/>
  <c r="AQ648" i="1"/>
  <c r="AQ647" i="1"/>
  <c r="AQ646" i="1"/>
  <c r="AQ645" i="1"/>
  <c r="AQ332" i="1"/>
  <c r="AQ643" i="1"/>
  <c r="AQ642" i="1"/>
  <c r="AQ431" i="1"/>
  <c r="AQ640" i="1"/>
  <c r="AQ639" i="1"/>
  <c r="AQ638" i="1"/>
  <c r="AQ573" i="1"/>
  <c r="AQ636" i="1"/>
  <c r="AQ572" i="1"/>
  <c r="AQ634" i="1"/>
  <c r="AQ633" i="1"/>
  <c r="AQ632" i="1"/>
  <c r="AQ569" i="1"/>
  <c r="AQ630" i="1"/>
  <c r="AQ629" i="1"/>
  <c r="AQ628" i="1"/>
  <c r="AQ627" i="1"/>
  <c r="AQ626" i="1"/>
  <c r="AQ625" i="1"/>
  <c r="AQ624" i="1"/>
  <c r="AQ623" i="1"/>
  <c r="AQ285" i="1"/>
  <c r="AQ253" i="1"/>
  <c r="AQ619" i="1"/>
  <c r="AQ618" i="1"/>
  <c r="AQ617" i="1"/>
  <c r="AQ616" i="1"/>
  <c r="AQ615" i="1"/>
  <c r="AQ614" i="1"/>
  <c r="AQ613" i="1"/>
  <c r="AQ612" i="1"/>
  <c r="AQ611" i="1"/>
  <c r="AQ610" i="1"/>
  <c r="AQ553" i="1"/>
  <c r="AQ608" i="1"/>
  <c r="AQ607" i="1"/>
  <c r="AQ606" i="1"/>
  <c r="AQ605" i="1"/>
  <c r="AQ604" i="1"/>
  <c r="AQ603" i="1"/>
  <c r="AQ602" i="1"/>
  <c r="AQ601" i="1"/>
  <c r="AQ600" i="1"/>
  <c r="AQ599" i="1"/>
  <c r="AQ598" i="1"/>
  <c r="AQ597" i="1"/>
  <c r="AQ596" i="1"/>
  <c r="AQ535" i="1"/>
  <c r="AQ594" i="1"/>
  <c r="AQ593" i="1"/>
  <c r="AQ592" i="1"/>
  <c r="AQ591" i="1"/>
  <c r="AQ98" i="1"/>
  <c r="AQ589" i="1"/>
  <c r="AQ588" i="1"/>
  <c r="AQ963" i="1"/>
  <c r="AQ586" i="1"/>
  <c r="AQ585" i="1"/>
  <c r="AQ584" i="1"/>
  <c r="AQ583" i="1"/>
  <c r="AQ44" i="1"/>
  <c r="AQ581" i="1"/>
  <c r="AQ580" i="1"/>
  <c r="AQ579" i="1"/>
  <c r="AQ578" i="1"/>
  <c r="AQ577" i="1"/>
  <c r="AQ576" i="1"/>
  <c r="AQ575" i="1"/>
  <c r="AQ574" i="1"/>
  <c r="AQ308" i="1"/>
  <c r="AQ306" i="1"/>
  <c r="AQ571" i="1"/>
  <c r="AQ570" i="1"/>
  <c r="AQ307" i="1"/>
  <c r="AQ568" i="1"/>
  <c r="AQ567" i="1"/>
  <c r="AQ566" i="1"/>
  <c r="AQ565" i="1"/>
  <c r="AQ564" i="1"/>
  <c r="AQ563" i="1"/>
  <c r="AQ558" i="1"/>
  <c r="AQ561" i="1"/>
  <c r="AQ560" i="1"/>
  <c r="AQ559" i="1"/>
  <c r="AQ557" i="1"/>
  <c r="AQ556" i="1"/>
  <c r="AQ555" i="1"/>
  <c r="AQ554" i="1"/>
  <c r="AQ655" i="1"/>
  <c r="AQ552" i="1"/>
  <c r="AQ551" i="1"/>
  <c r="AQ550" i="1"/>
  <c r="AQ548" i="1"/>
  <c r="AQ547" i="1"/>
  <c r="AQ546" i="1"/>
  <c r="AQ545" i="1"/>
  <c r="AQ544" i="1"/>
  <c r="AQ543" i="1"/>
  <c r="AQ542" i="1"/>
  <c r="AQ541" i="1"/>
  <c r="AQ540" i="1"/>
  <c r="AQ539" i="1"/>
  <c r="AQ538" i="1"/>
  <c r="AQ537" i="1"/>
  <c r="AQ536" i="1"/>
  <c r="AQ416" i="1"/>
  <c r="AQ534" i="1"/>
  <c r="AQ533" i="1"/>
  <c r="AQ532" i="1"/>
  <c r="AQ531" i="1"/>
  <c r="AQ530" i="1"/>
  <c r="AQ529" i="1"/>
  <c r="AQ528" i="1"/>
  <c r="AQ527" i="1"/>
  <c r="AQ526" i="1"/>
  <c r="AQ525" i="1"/>
  <c r="AQ524" i="1"/>
  <c r="AQ523" i="1"/>
  <c r="AQ325" i="1"/>
  <c r="AQ521" i="1"/>
  <c r="AQ520" i="1"/>
  <c r="AQ519" i="1"/>
  <c r="AQ621" i="1"/>
  <c r="AQ517" i="1"/>
  <c r="AQ516" i="1"/>
  <c r="AQ515" i="1"/>
  <c r="AQ514" i="1"/>
  <c r="AQ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146" i="1"/>
  <c r="AQ488" i="1"/>
  <c r="AQ20" i="1"/>
  <c r="AQ486" i="1"/>
  <c r="AQ485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1135" i="1"/>
  <c r="AQ458" i="1"/>
  <c r="AQ140" i="1"/>
  <c r="AQ456" i="1"/>
  <c r="AQ1009" i="1"/>
  <c r="AQ454" i="1"/>
  <c r="AQ992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595" i="1"/>
  <c r="AQ434" i="1"/>
  <c r="AQ265" i="1"/>
  <c r="AQ251" i="1"/>
  <c r="AQ252" i="1"/>
  <c r="AQ323" i="1"/>
  <c r="AQ429" i="1"/>
  <c r="AQ428" i="1"/>
  <c r="AQ427" i="1"/>
  <c r="AQ206" i="1"/>
  <c r="AQ425" i="1"/>
  <c r="AQ259" i="1"/>
  <c r="AQ423" i="1"/>
  <c r="AQ422" i="1"/>
  <c r="AQ522" i="1"/>
  <c r="AQ420" i="1"/>
  <c r="AQ419" i="1"/>
  <c r="AQ418" i="1"/>
  <c r="AQ417" i="1"/>
  <c r="AQ518" i="1"/>
  <c r="AQ415" i="1"/>
  <c r="AQ414" i="1"/>
  <c r="AQ413" i="1"/>
  <c r="AQ412" i="1"/>
  <c r="AQ150" i="1"/>
  <c r="AQ410" i="1"/>
  <c r="AQ181" i="1"/>
  <c r="AQ407" i="1"/>
  <c r="AQ406" i="1"/>
  <c r="AQ405" i="1"/>
  <c r="AQ404" i="1"/>
  <c r="AQ513" i="1"/>
  <c r="AQ402" i="1"/>
  <c r="AQ401" i="1"/>
  <c r="AQ400" i="1"/>
  <c r="AQ398" i="1"/>
  <c r="AQ227" i="1"/>
  <c r="AQ396" i="1"/>
  <c r="AQ395" i="1"/>
  <c r="AQ394" i="1"/>
  <c r="AQ242" i="1"/>
  <c r="AQ183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489" i="1"/>
  <c r="AQ354" i="1"/>
  <c r="AQ277" i="1"/>
  <c r="AQ352" i="1"/>
  <c r="AQ351" i="1"/>
  <c r="AQ271" i="1"/>
  <c r="AQ349" i="1"/>
  <c r="AQ348" i="1"/>
  <c r="AQ347" i="1"/>
  <c r="AQ15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13" i="1"/>
  <c r="AQ331" i="1"/>
  <c r="AQ226" i="1"/>
  <c r="AQ329" i="1"/>
  <c r="AQ328" i="1"/>
  <c r="AQ327" i="1"/>
  <c r="AQ326" i="1"/>
  <c r="AQ1098" i="1"/>
  <c r="AQ1019" i="1"/>
  <c r="AQ245" i="1"/>
  <c r="AQ322" i="1"/>
  <c r="AQ321" i="1"/>
  <c r="AQ184" i="1"/>
  <c r="AQ319" i="1"/>
  <c r="AQ318" i="1"/>
  <c r="AQ317" i="1"/>
  <c r="AQ316" i="1"/>
  <c r="AQ315" i="1"/>
  <c r="AQ641" i="1"/>
  <c r="AQ313" i="1"/>
  <c r="AQ16" i="1"/>
  <c r="AQ311" i="1"/>
  <c r="AQ310" i="1"/>
  <c r="AQ309" i="1"/>
  <c r="AQ637" i="1"/>
  <c r="AQ1020" i="1"/>
  <c r="AQ1090" i="1"/>
  <c r="AQ305" i="1"/>
  <c r="AQ304" i="1"/>
  <c r="AQ303" i="1"/>
  <c r="AQ302" i="1"/>
  <c r="AQ1089" i="1"/>
  <c r="AQ300" i="1"/>
  <c r="AQ299" i="1"/>
  <c r="AQ298" i="1"/>
  <c r="AQ297" i="1"/>
  <c r="AQ296" i="1"/>
  <c r="AQ295" i="1"/>
  <c r="AQ294" i="1"/>
  <c r="AQ293" i="1"/>
  <c r="AQ292" i="1"/>
  <c r="AQ291" i="1"/>
  <c r="AQ290" i="1"/>
  <c r="AQ289" i="1"/>
  <c r="AQ411" i="1"/>
  <c r="AQ312" i="1"/>
  <c r="AQ286" i="1"/>
  <c r="AQ288" i="1"/>
  <c r="AQ284" i="1"/>
  <c r="AQ283" i="1"/>
  <c r="AQ282" i="1"/>
  <c r="AQ281" i="1"/>
  <c r="AQ280" i="1"/>
  <c r="AQ279" i="1"/>
  <c r="AQ278" i="1"/>
  <c r="AQ128" i="1"/>
  <c r="AQ276" i="1"/>
  <c r="AQ275" i="1"/>
  <c r="AQ274" i="1"/>
  <c r="AQ273" i="1"/>
  <c r="AQ272" i="1"/>
  <c r="AQ32" i="1"/>
  <c r="AQ270" i="1"/>
  <c r="AQ287" i="1"/>
  <c r="AQ268" i="1"/>
  <c r="AQ267" i="1"/>
  <c r="AQ266" i="1"/>
  <c r="AQ189" i="1"/>
  <c r="AQ264" i="1"/>
  <c r="AQ263" i="1"/>
  <c r="AQ262" i="1"/>
  <c r="AQ261" i="1"/>
  <c r="AQ260" i="1"/>
  <c r="AQ30" i="1"/>
  <c r="AQ258" i="1"/>
  <c r="AQ257" i="1"/>
  <c r="AQ256" i="1"/>
  <c r="AQ255" i="1"/>
  <c r="AQ254" i="1"/>
  <c r="AQ235" i="1"/>
  <c r="AQ350" i="1"/>
  <c r="AQ269" i="1"/>
  <c r="AQ250" i="1"/>
  <c r="AQ248" i="1"/>
  <c r="AQ247" i="1"/>
  <c r="AQ246" i="1"/>
  <c r="AQ432" i="1"/>
  <c r="AQ244" i="1"/>
  <c r="AQ243" i="1"/>
  <c r="AQ1088" i="1"/>
  <c r="AQ241" i="1"/>
  <c r="AQ240" i="1"/>
  <c r="AQ239" i="1"/>
  <c r="AQ238" i="1"/>
  <c r="AQ237" i="1"/>
  <c r="AQ236" i="1"/>
  <c r="AQ1015" i="1"/>
  <c r="AQ234" i="1"/>
  <c r="AQ233" i="1"/>
  <c r="AQ232" i="1"/>
  <c r="AQ231" i="1"/>
  <c r="AQ230" i="1"/>
  <c r="AQ229" i="1"/>
  <c r="AQ228" i="1"/>
  <c r="AQ87" i="1"/>
  <c r="AQ74" i="1"/>
  <c r="AQ225" i="1"/>
  <c r="AQ224" i="1"/>
  <c r="AQ116" i="1"/>
  <c r="AQ222" i="1"/>
  <c r="AQ221" i="1"/>
  <c r="AQ220" i="1"/>
  <c r="AQ219" i="1"/>
  <c r="AQ218" i="1"/>
  <c r="AQ54" i="1"/>
  <c r="AQ216" i="1"/>
  <c r="AQ215" i="1"/>
  <c r="AQ214" i="1"/>
  <c r="AQ213" i="1"/>
  <c r="AQ212" i="1"/>
  <c r="AQ211" i="1"/>
  <c r="AQ210" i="1"/>
  <c r="AQ209" i="1"/>
  <c r="AQ1016" i="1"/>
  <c r="AQ207" i="1"/>
  <c r="AQ959" i="1"/>
  <c r="AQ93" i="1"/>
  <c r="AQ204" i="1"/>
  <c r="AQ203" i="1"/>
  <c r="AQ202" i="1"/>
  <c r="AQ201" i="1"/>
  <c r="AQ200" i="1"/>
  <c r="AQ199" i="1"/>
  <c r="AQ198" i="1"/>
  <c r="AQ197" i="1"/>
  <c r="AQ196" i="1"/>
  <c r="AQ195" i="1"/>
  <c r="AQ194" i="1"/>
  <c r="AQ355" i="1"/>
  <c r="AQ192" i="1"/>
  <c r="AQ191" i="1"/>
  <c r="AQ190" i="1"/>
  <c r="AQ487" i="1"/>
  <c r="AQ188" i="1"/>
  <c r="AQ187" i="1"/>
  <c r="AQ186" i="1"/>
  <c r="AQ185" i="1"/>
  <c r="AQ459" i="1"/>
  <c r="AQ1166" i="1"/>
  <c r="AQ182" i="1"/>
  <c r="AQ174" i="1"/>
  <c r="AQ320" i="1"/>
  <c r="AQ179" i="1"/>
  <c r="AQ178" i="1"/>
  <c r="AQ177" i="1"/>
  <c r="AQ102" i="1"/>
  <c r="AQ99" i="1"/>
  <c r="AQ103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75" i="1"/>
  <c r="AQ149" i="1"/>
  <c r="AQ148" i="1"/>
  <c r="AQ147" i="1"/>
  <c r="AQ70" i="1"/>
  <c r="AQ145" i="1"/>
  <c r="AQ144" i="1"/>
  <c r="AQ143" i="1"/>
  <c r="AQ142" i="1"/>
  <c r="AQ141" i="1"/>
  <c r="AQ353" i="1"/>
  <c r="AQ139" i="1"/>
  <c r="AQ138" i="1"/>
  <c r="AQ137" i="1"/>
  <c r="AQ136" i="1"/>
  <c r="AQ135" i="1"/>
  <c r="AQ134" i="1"/>
  <c r="AQ133" i="1"/>
  <c r="AQ132" i="1"/>
  <c r="AQ131" i="1"/>
  <c r="AQ130" i="1"/>
  <c r="AQ129" i="1"/>
  <c r="AQ68" i="1"/>
  <c r="AQ127" i="1"/>
  <c r="AQ126" i="1"/>
  <c r="AQ125" i="1"/>
  <c r="AQ124" i="1"/>
  <c r="AQ123" i="1"/>
  <c r="AQ122" i="1"/>
  <c r="AQ121" i="1"/>
  <c r="AQ120" i="1"/>
  <c r="AQ119" i="1"/>
  <c r="AQ118" i="1"/>
  <c r="AQ117" i="1"/>
  <c r="AQ457" i="1"/>
  <c r="AQ115" i="1"/>
  <c r="AQ114" i="1"/>
  <c r="AQ113" i="1"/>
  <c r="AQ112" i="1"/>
  <c r="AQ111" i="1"/>
  <c r="AQ110" i="1"/>
  <c r="AQ109" i="1"/>
  <c r="AQ108" i="1"/>
  <c r="AQ107" i="1"/>
  <c r="AQ106" i="1"/>
  <c r="AQ105" i="1"/>
  <c r="AQ453" i="1"/>
  <c r="AQ104" i="1"/>
  <c r="AQ455" i="1"/>
  <c r="AQ101" i="1"/>
  <c r="AQ100" i="1"/>
  <c r="AQ403" i="1"/>
  <c r="AQ631" i="1"/>
  <c r="AQ635" i="1"/>
  <c r="AQ397" i="1"/>
  <c r="AQ95" i="1"/>
  <c r="AQ94" i="1"/>
  <c r="AQ430" i="1"/>
  <c r="AQ609" i="1"/>
  <c r="AQ426" i="1"/>
  <c r="AQ90" i="1"/>
  <c r="AQ89" i="1"/>
  <c r="AQ88" i="1"/>
  <c r="AQ43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435" i="1"/>
  <c r="AQ73" i="1"/>
  <c r="AQ72" i="1"/>
  <c r="AQ71" i="1"/>
  <c r="AQ1116" i="1"/>
  <c r="AQ69" i="1"/>
  <c r="AQ433" i="1"/>
  <c r="AQ67" i="1"/>
  <c r="AQ66" i="1"/>
  <c r="AQ65" i="1"/>
  <c r="AQ64" i="1"/>
  <c r="AQ63" i="1"/>
  <c r="AQ62" i="1"/>
  <c r="AQ61" i="1"/>
  <c r="AQ217" i="1"/>
  <c r="AQ58" i="1"/>
  <c r="AQ57" i="1"/>
  <c r="AQ644" i="1"/>
  <c r="AQ55" i="1"/>
  <c r="AQ97" i="1"/>
  <c r="AQ53" i="1"/>
  <c r="AQ52" i="1"/>
  <c r="AQ51" i="1"/>
  <c r="AQ50" i="1"/>
  <c r="AQ49" i="1"/>
  <c r="AQ48" i="1"/>
  <c r="AQ47" i="1"/>
  <c r="AQ46" i="1"/>
  <c r="AQ45" i="1"/>
  <c r="AQ56" i="1"/>
  <c r="AQ424" i="1"/>
  <c r="AQ42" i="1"/>
  <c r="BS823" i="1"/>
  <c r="BR823" i="1"/>
  <c r="BQ823" i="1"/>
  <c r="BP823" i="1"/>
  <c r="BO823" i="1"/>
  <c r="BN823" i="1"/>
  <c r="BM823" i="1"/>
  <c r="BL823" i="1"/>
  <c r="BK823" i="1"/>
  <c r="AX823" i="1"/>
  <c r="AR823" i="1"/>
  <c r="AD823" i="1"/>
  <c r="AF823" i="1" s="1"/>
  <c r="Z823" i="1"/>
  <c r="AB823" i="1" s="1"/>
  <c r="H823" i="1"/>
  <c r="BS618" i="1" l="1"/>
  <c r="BR618" i="1"/>
  <c r="BQ618" i="1"/>
  <c r="BP618" i="1"/>
  <c r="BO618" i="1"/>
  <c r="BN618" i="1"/>
  <c r="BM618" i="1"/>
  <c r="BL618" i="1"/>
  <c r="BK618" i="1"/>
  <c r="AX618" i="1"/>
  <c r="AR618" i="1"/>
  <c r="AD618" i="1"/>
  <c r="AF618" i="1" s="1"/>
  <c r="Z618" i="1"/>
  <c r="K618" i="1"/>
  <c r="AB618" i="1" l="1"/>
  <c r="AD433" i="1"/>
  <c r="AF433" i="1" s="1"/>
  <c r="C27" i="2" l="1"/>
  <c r="C26" i="2"/>
  <c r="BS131" i="1" l="1"/>
  <c r="BR131" i="1"/>
  <c r="BQ131" i="1"/>
  <c r="BP131" i="1"/>
  <c r="BO131" i="1"/>
  <c r="BN131" i="1"/>
  <c r="BM131" i="1"/>
  <c r="BL131" i="1"/>
  <c r="BK131" i="1"/>
  <c r="AX131" i="1"/>
  <c r="AR131" i="1"/>
  <c r="AD131" i="1"/>
  <c r="AF131" i="1" s="1"/>
  <c r="Z131" i="1"/>
  <c r="AB131" i="1" s="1"/>
  <c r="H131" i="1"/>
  <c r="C63" i="21" l="1"/>
  <c r="C118" i="21"/>
  <c r="C125" i="21"/>
  <c r="C64" i="21"/>
  <c r="C67" i="21"/>
  <c r="C65" i="21"/>
  <c r="C69" i="21"/>
  <c r="C120" i="21"/>
  <c r="C126" i="21"/>
  <c r="C119" i="21"/>
  <c r="BS673" i="1" l="1"/>
  <c r="BR673" i="1"/>
  <c r="BQ673" i="1"/>
  <c r="BP673" i="1"/>
  <c r="BO673" i="1"/>
  <c r="BN673" i="1"/>
  <c r="BM673" i="1"/>
  <c r="BL673" i="1"/>
  <c r="BK673" i="1"/>
  <c r="AX673" i="1"/>
  <c r="AR673" i="1"/>
  <c r="K673" i="1"/>
  <c r="AB673" i="1" s="1"/>
  <c r="AD673" i="1"/>
  <c r="AF673" i="1" s="1"/>
  <c r="P29" i="16" l="1"/>
  <c r="P30" i="16"/>
  <c r="P31" i="16"/>
  <c r="P32" i="16"/>
  <c r="P34" i="16"/>
  <c r="P35" i="16"/>
  <c r="P37" i="16"/>
  <c r="P38" i="16"/>
  <c r="P39" i="16"/>
  <c r="P40" i="16"/>
  <c r="P28" i="16"/>
  <c r="AX1157" i="1"/>
  <c r="AR1157" i="1"/>
  <c r="AX1148" i="1"/>
  <c r="AR1148" i="1"/>
  <c r="AX1147" i="1"/>
  <c r="AR1147" i="1"/>
  <c r="AX1137" i="1"/>
  <c r="AR1137" i="1"/>
  <c r="AX180" i="1"/>
  <c r="AR180" i="1"/>
  <c r="AX1046" i="1"/>
  <c r="AR1046" i="1"/>
  <c r="AX1014" i="1"/>
  <c r="AR1014" i="1"/>
  <c r="AX943" i="1"/>
  <c r="AR943" i="1"/>
  <c r="AX931" i="1"/>
  <c r="AR931" i="1"/>
  <c r="AX807" i="1"/>
  <c r="AR807" i="1"/>
  <c r="AX800" i="1"/>
  <c r="AR800" i="1"/>
  <c r="AX791" i="1"/>
  <c r="AR791" i="1"/>
  <c r="AX721" i="1"/>
  <c r="AR721" i="1"/>
  <c r="AX706" i="1"/>
  <c r="AR706" i="1"/>
  <c r="AX701" i="1"/>
  <c r="AR701" i="1"/>
  <c r="AX674" i="1"/>
  <c r="AR674" i="1"/>
  <c r="AX1008" i="1"/>
  <c r="AR1008" i="1"/>
  <c r="AX270" i="1"/>
  <c r="AR270" i="1"/>
  <c r="AX836" i="1"/>
  <c r="AR836" i="1"/>
  <c r="AX608" i="1"/>
  <c r="AR608" i="1"/>
  <c r="AX348" i="1"/>
  <c r="AR348" i="1"/>
  <c r="AX597" i="1"/>
  <c r="AR597" i="1"/>
  <c r="AX630" i="1"/>
  <c r="AR630" i="1"/>
  <c r="AX911" i="1"/>
  <c r="AR911" i="1"/>
  <c r="AX1170" i="1"/>
  <c r="AR1170" i="1"/>
  <c r="AX1169" i="1"/>
  <c r="AR1169" i="1"/>
  <c r="AX1168" i="1"/>
  <c r="AR1168" i="1"/>
  <c r="AX1167" i="1"/>
  <c r="AR1167" i="1"/>
  <c r="AX711" i="1"/>
  <c r="AR711" i="1"/>
  <c r="AX1165" i="1"/>
  <c r="AR1165" i="1"/>
  <c r="AX703" i="1"/>
  <c r="AR703" i="1"/>
  <c r="AX1162" i="1"/>
  <c r="AR1162" i="1"/>
  <c r="AX1161" i="1"/>
  <c r="AR1161" i="1"/>
  <c r="AX1160" i="1"/>
  <c r="AR1160" i="1"/>
  <c r="AX956" i="1"/>
  <c r="AR956" i="1"/>
  <c r="AX1158" i="1"/>
  <c r="AR1158" i="1"/>
  <c r="AX1156" i="1"/>
  <c r="AR1156" i="1"/>
  <c r="AX1155" i="1"/>
  <c r="AR1155" i="1"/>
  <c r="AX1154" i="1"/>
  <c r="AR1154" i="1"/>
  <c r="AX1153" i="1"/>
  <c r="AR1153" i="1"/>
  <c r="AX1152" i="1"/>
  <c r="AR1152" i="1"/>
  <c r="AX1151" i="1"/>
  <c r="AR1151" i="1"/>
  <c r="AX1150" i="1"/>
  <c r="AR1150" i="1"/>
  <c r="AX1149" i="1"/>
  <c r="AR1149" i="1"/>
  <c r="AX1146" i="1"/>
  <c r="AR1146" i="1"/>
  <c r="AX1145" i="1"/>
  <c r="AR1145" i="1"/>
  <c r="AX941" i="1"/>
  <c r="AR941" i="1"/>
  <c r="AX1143" i="1"/>
  <c r="AR1143" i="1"/>
  <c r="AX1142" i="1"/>
  <c r="AR1142" i="1"/>
  <c r="AX1139" i="1"/>
  <c r="AR1139" i="1"/>
  <c r="AX1138" i="1"/>
  <c r="AR1138" i="1"/>
  <c r="AX1136" i="1"/>
  <c r="AR1136" i="1"/>
  <c r="AX935" i="1"/>
  <c r="AR935" i="1"/>
  <c r="AX1134" i="1"/>
  <c r="AR1134" i="1"/>
  <c r="AX1133" i="1"/>
  <c r="AR1133" i="1"/>
  <c r="AX1132" i="1"/>
  <c r="AR1132" i="1"/>
  <c r="AX1131" i="1"/>
  <c r="AR1131" i="1"/>
  <c r="AX1130" i="1"/>
  <c r="AR1130" i="1"/>
  <c r="AX1129" i="1"/>
  <c r="AR1129" i="1"/>
  <c r="AX1128" i="1"/>
  <c r="AR1128" i="1"/>
  <c r="AX1127" i="1"/>
  <c r="AR1127" i="1"/>
  <c r="AX1126" i="1"/>
  <c r="AR1126" i="1"/>
  <c r="AX1125" i="1"/>
  <c r="AR1125" i="1"/>
  <c r="AX1124" i="1"/>
  <c r="AR1124" i="1"/>
  <c r="AX1123" i="1"/>
  <c r="AR1123" i="1"/>
  <c r="AX1122" i="1"/>
  <c r="AR1122" i="1"/>
  <c r="AX1121" i="1"/>
  <c r="AR1121" i="1"/>
  <c r="AX1120" i="1"/>
  <c r="AR1120" i="1"/>
  <c r="AX1118" i="1"/>
  <c r="AR1118" i="1"/>
  <c r="AX1117" i="1"/>
  <c r="AR1117" i="1"/>
  <c r="AX737" i="1"/>
  <c r="AR737" i="1"/>
  <c r="AX1115" i="1"/>
  <c r="AR1115" i="1"/>
  <c r="AX1114" i="1"/>
  <c r="AR1114" i="1"/>
  <c r="AX1113" i="1"/>
  <c r="AR1113" i="1"/>
  <c r="AX1112" i="1"/>
  <c r="AR1112" i="1"/>
  <c r="AX1111" i="1"/>
  <c r="AR1111" i="1"/>
  <c r="AX1110" i="1"/>
  <c r="AR1110" i="1"/>
  <c r="AX1109" i="1"/>
  <c r="AR1109" i="1"/>
  <c r="AX1108" i="1"/>
  <c r="AR1108" i="1"/>
  <c r="AX1107" i="1"/>
  <c r="AR1107" i="1"/>
  <c r="AX1106" i="1"/>
  <c r="AR1106" i="1"/>
  <c r="AX1105" i="1"/>
  <c r="AR1105" i="1"/>
  <c r="AX1104" i="1"/>
  <c r="AR1104" i="1"/>
  <c r="AX1103" i="1"/>
  <c r="AR1103" i="1"/>
  <c r="AX1102" i="1"/>
  <c r="AR1102" i="1"/>
  <c r="AX1101" i="1"/>
  <c r="AR1101" i="1"/>
  <c r="AX1100" i="1"/>
  <c r="AR1100" i="1"/>
  <c r="AX1099" i="1"/>
  <c r="AR1099" i="1"/>
  <c r="AX926" i="1"/>
  <c r="AR926" i="1"/>
  <c r="AX1097" i="1"/>
  <c r="AR1097" i="1"/>
  <c r="AX1096" i="1"/>
  <c r="AR1096" i="1"/>
  <c r="AX1095" i="1"/>
  <c r="AR1095" i="1"/>
  <c r="AX1094" i="1"/>
  <c r="AR1094" i="1"/>
  <c r="AX1093" i="1"/>
  <c r="AR1093" i="1"/>
  <c r="AX1092" i="1"/>
  <c r="AR1092" i="1"/>
  <c r="AX1091" i="1"/>
  <c r="AR1091" i="1"/>
  <c r="AX719" i="1"/>
  <c r="AR719" i="1"/>
  <c r="AX590" i="1"/>
  <c r="AR590" i="1"/>
  <c r="AX1083" i="1"/>
  <c r="AR1083" i="1"/>
  <c r="AX918" i="1"/>
  <c r="AR918" i="1"/>
  <c r="AX917" i="1"/>
  <c r="AR917" i="1"/>
  <c r="AX1079" i="1"/>
  <c r="AR1079" i="1"/>
  <c r="AX1078" i="1"/>
  <c r="AR1078" i="1"/>
  <c r="AX1077" i="1"/>
  <c r="AR1077" i="1"/>
  <c r="AX1076" i="1"/>
  <c r="AR1076" i="1"/>
  <c r="AX1075" i="1"/>
  <c r="AR1075" i="1"/>
  <c r="AX1074" i="1"/>
  <c r="AR1074" i="1"/>
  <c r="AX1073" i="1"/>
  <c r="AR1073" i="1"/>
  <c r="AX1072" i="1"/>
  <c r="AR1072" i="1"/>
  <c r="AX1071" i="1"/>
  <c r="AR1071" i="1"/>
  <c r="AX1070" i="1"/>
  <c r="AR1070" i="1"/>
  <c r="AX1069" i="1"/>
  <c r="AR1069" i="1"/>
  <c r="AX1068" i="1"/>
  <c r="AR1068" i="1"/>
  <c r="AX587" i="1"/>
  <c r="AR587" i="1"/>
  <c r="AX1066" i="1"/>
  <c r="AR1066" i="1"/>
  <c r="AX1065" i="1"/>
  <c r="AR1065" i="1"/>
  <c r="AX1064" i="1"/>
  <c r="AR1064" i="1"/>
  <c r="AX1063" i="1"/>
  <c r="AR1063" i="1"/>
  <c r="AX1060" i="1"/>
  <c r="AR1060" i="1"/>
  <c r="AX314" i="1"/>
  <c r="AR314" i="1"/>
  <c r="AX1058" i="1"/>
  <c r="AR1058" i="1"/>
  <c r="AX916" i="1"/>
  <c r="AR916" i="1"/>
  <c r="AX1055" i="1"/>
  <c r="AR1055" i="1"/>
  <c r="AX1054" i="1"/>
  <c r="AR1054" i="1"/>
  <c r="AX1053" i="1"/>
  <c r="AR1053" i="1"/>
  <c r="AX1052" i="1"/>
  <c r="AR1052" i="1"/>
  <c r="AX1051" i="1"/>
  <c r="AR1051" i="1"/>
  <c r="AX1050" i="1"/>
  <c r="AR1050" i="1"/>
  <c r="AX1049" i="1"/>
  <c r="AR1049" i="1"/>
  <c r="AX1048" i="1"/>
  <c r="AR1048" i="1"/>
  <c r="AX1047" i="1"/>
  <c r="AR1047" i="1"/>
  <c r="AX1045" i="1"/>
  <c r="AR1045" i="1"/>
  <c r="AX1044" i="1"/>
  <c r="AR1044" i="1"/>
  <c r="AX1043" i="1"/>
  <c r="AR1043" i="1"/>
  <c r="AX1042" i="1"/>
  <c r="AR1042" i="1"/>
  <c r="AX1041" i="1"/>
  <c r="AR1041" i="1"/>
  <c r="AX1040" i="1"/>
  <c r="AR1040" i="1"/>
  <c r="AX1039" i="1"/>
  <c r="AR1039" i="1"/>
  <c r="AX1038" i="1"/>
  <c r="AR1038" i="1"/>
  <c r="AX1037" i="1"/>
  <c r="AR1037" i="1"/>
  <c r="AX913" i="1"/>
  <c r="AR913" i="1"/>
  <c r="AX21" i="1"/>
  <c r="AR21" i="1"/>
  <c r="AX29" i="1"/>
  <c r="AR29" i="1"/>
  <c r="AX912" i="1"/>
  <c r="AR912" i="1"/>
  <c r="AX1032" i="1"/>
  <c r="AR1032" i="1"/>
  <c r="AX1031" i="1"/>
  <c r="AR1031" i="1"/>
  <c r="AX1030" i="1"/>
  <c r="AR1030" i="1"/>
  <c r="AX1029" i="1"/>
  <c r="AR1029" i="1"/>
  <c r="AX1028" i="1"/>
  <c r="AR1028" i="1"/>
  <c r="AX1027" i="1"/>
  <c r="AR1027" i="1"/>
  <c r="AX900" i="1"/>
  <c r="AR900" i="1"/>
  <c r="AX1025" i="1"/>
  <c r="AR1025" i="1"/>
  <c r="AX1024" i="1"/>
  <c r="AR1024" i="1"/>
  <c r="AX1023" i="1"/>
  <c r="AR1023" i="1"/>
  <c r="AX1022" i="1"/>
  <c r="AR1022" i="1"/>
  <c r="AX1021" i="1"/>
  <c r="AR1021" i="1"/>
  <c r="AX876" i="1"/>
  <c r="AR876" i="1"/>
  <c r="AX873" i="1"/>
  <c r="AR873" i="1"/>
  <c r="AX1018" i="1"/>
  <c r="AR1018" i="1"/>
  <c r="AX1017" i="1"/>
  <c r="AR1017" i="1"/>
  <c r="AX677" i="1"/>
  <c r="AR677" i="1"/>
  <c r="AX667" i="1"/>
  <c r="AR667" i="1"/>
  <c r="AX1013" i="1"/>
  <c r="AR1013" i="1"/>
  <c r="AX1012" i="1"/>
  <c r="AR1012" i="1"/>
  <c r="AX1011" i="1"/>
  <c r="AR1011" i="1"/>
  <c r="AX1010" i="1"/>
  <c r="AR1010" i="1"/>
  <c r="AX868" i="1"/>
  <c r="AR868" i="1"/>
  <c r="AX1007" i="1"/>
  <c r="AR1007" i="1"/>
  <c r="AX1006" i="1"/>
  <c r="AR1006" i="1"/>
  <c r="AX1005" i="1"/>
  <c r="AR1005" i="1"/>
  <c r="AX1004" i="1"/>
  <c r="AR1004" i="1"/>
  <c r="AX1003" i="1"/>
  <c r="AR1003" i="1"/>
  <c r="AX1002" i="1"/>
  <c r="AR1002" i="1"/>
  <c r="AX1001" i="1"/>
  <c r="AR1001" i="1"/>
  <c r="AX1000" i="1"/>
  <c r="AR1000" i="1"/>
  <c r="AX999" i="1"/>
  <c r="AR999" i="1"/>
  <c r="AX998" i="1"/>
  <c r="AR998" i="1"/>
  <c r="AX742" i="1"/>
  <c r="AR742" i="1"/>
  <c r="AX991" i="1"/>
  <c r="AR991" i="1"/>
  <c r="AX990" i="1"/>
  <c r="AR990" i="1"/>
  <c r="AX983" i="1"/>
  <c r="AR983" i="1"/>
  <c r="AX982" i="1"/>
  <c r="AR982" i="1"/>
  <c r="AX981" i="1"/>
  <c r="AR981" i="1"/>
  <c r="AX980" i="1"/>
  <c r="AR980" i="1"/>
  <c r="AX979" i="1"/>
  <c r="AR979" i="1"/>
  <c r="AX978" i="1"/>
  <c r="AR978" i="1"/>
  <c r="AX977" i="1"/>
  <c r="AR977" i="1"/>
  <c r="AX976" i="1"/>
  <c r="AR976" i="1"/>
  <c r="AX975" i="1"/>
  <c r="AR975" i="1"/>
  <c r="AX974" i="1"/>
  <c r="AR974" i="1"/>
  <c r="AX973" i="1"/>
  <c r="AR973" i="1"/>
  <c r="AX972" i="1"/>
  <c r="AR972" i="1"/>
  <c r="AX971" i="1"/>
  <c r="AR971" i="1"/>
  <c r="AX970" i="1"/>
  <c r="AR970" i="1"/>
  <c r="AX969" i="1"/>
  <c r="AR969" i="1"/>
  <c r="AX957" i="1"/>
  <c r="AR957" i="1"/>
  <c r="AX955" i="1"/>
  <c r="AR955" i="1"/>
  <c r="AX866" i="1"/>
  <c r="AR866" i="1"/>
  <c r="AX954" i="1"/>
  <c r="AR954" i="1"/>
  <c r="AX953" i="1"/>
  <c r="AR953" i="1"/>
  <c r="AX952" i="1"/>
  <c r="AR952" i="1"/>
  <c r="AX951" i="1"/>
  <c r="AR951" i="1"/>
  <c r="AX950" i="1"/>
  <c r="AR950" i="1"/>
  <c r="AX948" i="1"/>
  <c r="AR948" i="1"/>
  <c r="AX947" i="1"/>
  <c r="AR947" i="1"/>
  <c r="AX946" i="1"/>
  <c r="AR946" i="1"/>
  <c r="AX945" i="1"/>
  <c r="AR945" i="1"/>
  <c r="AX944" i="1"/>
  <c r="AR944" i="1"/>
  <c r="AX942" i="1"/>
  <c r="AR942" i="1"/>
  <c r="AX860" i="1"/>
  <c r="AR860" i="1"/>
  <c r="AX940" i="1"/>
  <c r="AR940" i="1"/>
  <c r="AX939" i="1"/>
  <c r="AR939" i="1"/>
  <c r="AX938" i="1"/>
  <c r="AR938" i="1"/>
  <c r="AX937" i="1"/>
  <c r="AR937" i="1"/>
  <c r="AX936" i="1"/>
  <c r="AR936" i="1"/>
  <c r="AX764" i="1"/>
  <c r="AR764" i="1"/>
  <c r="AX934" i="1"/>
  <c r="AR934" i="1"/>
  <c r="AX933" i="1"/>
  <c r="AR933" i="1"/>
  <c r="AX932" i="1"/>
  <c r="AR932" i="1"/>
  <c r="AX930" i="1"/>
  <c r="AR930" i="1"/>
  <c r="AX830" i="1"/>
  <c r="AR830" i="1"/>
  <c r="AX928" i="1"/>
  <c r="AR928" i="1"/>
  <c r="AX927" i="1"/>
  <c r="AR927" i="1"/>
  <c r="AX736" i="1"/>
  <c r="AR736" i="1"/>
  <c r="AX925" i="1"/>
  <c r="AR925" i="1"/>
  <c r="AX924" i="1"/>
  <c r="AR924" i="1"/>
  <c r="AX923" i="1"/>
  <c r="AR923" i="1"/>
  <c r="AX922" i="1"/>
  <c r="AR922" i="1"/>
  <c r="AX921" i="1"/>
  <c r="AR921" i="1"/>
  <c r="AX920" i="1"/>
  <c r="AR920" i="1"/>
  <c r="AX919" i="1"/>
  <c r="AR919" i="1"/>
  <c r="AX825" i="1"/>
  <c r="AR825" i="1"/>
  <c r="AX819" i="1"/>
  <c r="AR819" i="1"/>
  <c r="AX818" i="1"/>
  <c r="AR818" i="1"/>
  <c r="AX915" i="1"/>
  <c r="AR915" i="1"/>
  <c r="AX914" i="1"/>
  <c r="AR914" i="1"/>
  <c r="AX815" i="1"/>
  <c r="AR815" i="1"/>
  <c r="AX799" i="1"/>
  <c r="AR799" i="1"/>
  <c r="AX908" i="1"/>
  <c r="AR908" i="1"/>
  <c r="AX909" i="1"/>
  <c r="AR909" i="1"/>
  <c r="AX907" i="1"/>
  <c r="AR907" i="1"/>
  <c r="AX906" i="1"/>
  <c r="AR906" i="1"/>
  <c r="AX904" i="1"/>
  <c r="AR904" i="1"/>
  <c r="AX903" i="1"/>
  <c r="AR903" i="1"/>
  <c r="AX902" i="1"/>
  <c r="AR902" i="1"/>
  <c r="AX901" i="1"/>
  <c r="AR901" i="1"/>
  <c r="AX582" i="1"/>
  <c r="AR582" i="1"/>
  <c r="AX899" i="1"/>
  <c r="AR899" i="1"/>
  <c r="AX898" i="1"/>
  <c r="AR898" i="1"/>
  <c r="AX897" i="1"/>
  <c r="AR897" i="1"/>
  <c r="AX896" i="1"/>
  <c r="AR896" i="1"/>
  <c r="AX895" i="1"/>
  <c r="AR895" i="1"/>
  <c r="AX894" i="1"/>
  <c r="AR894" i="1"/>
  <c r="AX893" i="1"/>
  <c r="AR893" i="1"/>
  <c r="AX892" i="1"/>
  <c r="AR892" i="1"/>
  <c r="AX891" i="1"/>
  <c r="AR891" i="1"/>
  <c r="AX890" i="1"/>
  <c r="AR890" i="1"/>
  <c r="AX889" i="1"/>
  <c r="AR889" i="1"/>
  <c r="AX888" i="1"/>
  <c r="AR888" i="1"/>
  <c r="AX887" i="1"/>
  <c r="AR887" i="1"/>
  <c r="AX886" i="1"/>
  <c r="AR886" i="1"/>
  <c r="AX885" i="1"/>
  <c r="AR885" i="1"/>
  <c r="AX884" i="1"/>
  <c r="AR884" i="1"/>
  <c r="AX883" i="1"/>
  <c r="AR883" i="1"/>
  <c r="AX882" i="1"/>
  <c r="AR882" i="1"/>
  <c r="AX881" i="1"/>
  <c r="AR881" i="1"/>
  <c r="AX880" i="1"/>
  <c r="AR880" i="1"/>
  <c r="AX879" i="1"/>
  <c r="AR879" i="1"/>
  <c r="AX878" i="1"/>
  <c r="AR878" i="1"/>
  <c r="AX877" i="1"/>
  <c r="AR877" i="1"/>
  <c r="AX657" i="1"/>
  <c r="AR657" i="1"/>
  <c r="AX875" i="1"/>
  <c r="AR875" i="1"/>
  <c r="AX874" i="1"/>
  <c r="AR874" i="1"/>
  <c r="AX731" i="1"/>
  <c r="AR731" i="1"/>
  <c r="AX872" i="1"/>
  <c r="AR872" i="1"/>
  <c r="AX871" i="1"/>
  <c r="AR871" i="1"/>
  <c r="AX870" i="1"/>
  <c r="AR870" i="1"/>
  <c r="AX869" i="1"/>
  <c r="AR869" i="1"/>
  <c r="AX723" i="1"/>
  <c r="AR723" i="1"/>
  <c r="AX867" i="1"/>
  <c r="AR867" i="1"/>
  <c r="AX863" i="1"/>
  <c r="AR863" i="1"/>
  <c r="AX861" i="1"/>
  <c r="AR861" i="1"/>
  <c r="AX859" i="1"/>
  <c r="AR859" i="1"/>
  <c r="AX858" i="1"/>
  <c r="AR858" i="1"/>
  <c r="AX857" i="1"/>
  <c r="AR857" i="1"/>
  <c r="AX856" i="1"/>
  <c r="AR856" i="1"/>
  <c r="AX855" i="1"/>
  <c r="AR855" i="1"/>
  <c r="AX854" i="1"/>
  <c r="AR854" i="1"/>
  <c r="AX853" i="1"/>
  <c r="AR853" i="1"/>
  <c r="AX852" i="1"/>
  <c r="AR852" i="1"/>
  <c r="AX842" i="1"/>
  <c r="AR842" i="1"/>
  <c r="AX840" i="1"/>
  <c r="AR840" i="1"/>
  <c r="AX839" i="1"/>
  <c r="AR839" i="1"/>
  <c r="AX838" i="1"/>
  <c r="AR838" i="1"/>
  <c r="AX837" i="1"/>
  <c r="AR837" i="1"/>
  <c r="AX835" i="1"/>
  <c r="AR835" i="1"/>
  <c r="AX834" i="1"/>
  <c r="AR834" i="1"/>
  <c r="AX833" i="1"/>
  <c r="AR833" i="1"/>
  <c r="AX832" i="1"/>
  <c r="AR832" i="1"/>
  <c r="AX831" i="1"/>
  <c r="AR831" i="1"/>
  <c r="AX760" i="1"/>
  <c r="AR760" i="1"/>
  <c r="AX829" i="1"/>
  <c r="AR829" i="1"/>
  <c r="AX828" i="1"/>
  <c r="AR828" i="1"/>
  <c r="AX656" i="1"/>
  <c r="AR656" i="1"/>
  <c r="AX824" i="1"/>
  <c r="AR824" i="1"/>
  <c r="AX822" i="1"/>
  <c r="AR822" i="1"/>
  <c r="AX821" i="1"/>
  <c r="AR821" i="1"/>
  <c r="AX820" i="1"/>
  <c r="AR820" i="1"/>
  <c r="AX795" i="1"/>
  <c r="AR795" i="1"/>
  <c r="AX817" i="1"/>
  <c r="AR817" i="1"/>
  <c r="AX816" i="1"/>
  <c r="AR816" i="1"/>
  <c r="AX757" i="1"/>
  <c r="AR757" i="1"/>
  <c r="AX814" i="1"/>
  <c r="AR814" i="1"/>
  <c r="AX813" i="1"/>
  <c r="AR813" i="1"/>
  <c r="AX812" i="1"/>
  <c r="AR812" i="1"/>
  <c r="AX811" i="1"/>
  <c r="AR811" i="1"/>
  <c r="AX810" i="1"/>
  <c r="AR810" i="1"/>
  <c r="AX809" i="1"/>
  <c r="AR809" i="1"/>
  <c r="AX808" i="1"/>
  <c r="AR808" i="1"/>
  <c r="AX806" i="1"/>
  <c r="AR806" i="1"/>
  <c r="AX805" i="1"/>
  <c r="AR805" i="1"/>
  <c r="AX804" i="1"/>
  <c r="AR804" i="1"/>
  <c r="AX803" i="1"/>
  <c r="AR803" i="1"/>
  <c r="AX802" i="1"/>
  <c r="AR802" i="1"/>
  <c r="AX801" i="1"/>
  <c r="AR801" i="1"/>
  <c r="AX744" i="1"/>
  <c r="AR744" i="1"/>
  <c r="AX798" i="1"/>
  <c r="AR798" i="1"/>
  <c r="AX797" i="1"/>
  <c r="AR797" i="1"/>
  <c r="AX796" i="1"/>
  <c r="AR796" i="1"/>
  <c r="AX1085" i="1"/>
  <c r="AR1085" i="1"/>
  <c r="AX794" i="1"/>
  <c r="AR794" i="1"/>
  <c r="AX792" i="1"/>
  <c r="AR792" i="1"/>
  <c r="AX40" i="1"/>
  <c r="AR40" i="1"/>
  <c r="AX789" i="1"/>
  <c r="AR789" i="1"/>
  <c r="AX788" i="1"/>
  <c r="AR788" i="1"/>
  <c r="AX787" i="1"/>
  <c r="AR787" i="1"/>
  <c r="AX786" i="1"/>
  <c r="AR786" i="1"/>
  <c r="AX785" i="1"/>
  <c r="AR785" i="1"/>
  <c r="AX784" i="1"/>
  <c r="AR784" i="1"/>
  <c r="AX783" i="1"/>
  <c r="AR783" i="1"/>
  <c r="AX782" i="1"/>
  <c r="AR782" i="1"/>
  <c r="AX781" i="1"/>
  <c r="AR781" i="1"/>
  <c r="AX790" i="1"/>
  <c r="AR790" i="1"/>
  <c r="AX779" i="1"/>
  <c r="AR779" i="1"/>
  <c r="AX1084" i="1"/>
  <c r="AR1084" i="1"/>
  <c r="AX777" i="1"/>
  <c r="AR777" i="1"/>
  <c r="AX776" i="1"/>
  <c r="AR776" i="1"/>
  <c r="AX775" i="1"/>
  <c r="AR775" i="1"/>
  <c r="AX774" i="1"/>
  <c r="AR774" i="1"/>
  <c r="AX773" i="1"/>
  <c r="AR773" i="1"/>
  <c r="AX772" i="1"/>
  <c r="AR772" i="1"/>
  <c r="AX771" i="1"/>
  <c r="AR771" i="1"/>
  <c r="AX770" i="1"/>
  <c r="AR770" i="1"/>
  <c r="AX769" i="1"/>
  <c r="AR769" i="1"/>
  <c r="AX768" i="1"/>
  <c r="AR768" i="1"/>
  <c r="AX767" i="1"/>
  <c r="AR767" i="1"/>
  <c r="AX766" i="1"/>
  <c r="AR766" i="1"/>
  <c r="AX765" i="1"/>
  <c r="AR765" i="1"/>
  <c r="AX780" i="1"/>
  <c r="AR780" i="1"/>
  <c r="AX763" i="1"/>
  <c r="AR763" i="1"/>
  <c r="AX762" i="1"/>
  <c r="AR762" i="1"/>
  <c r="AX761" i="1"/>
  <c r="AR761" i="1"/>
  <c r="AX759" i="1"/>
  <c r="AR759" i="1"/>
  <c r="AX755" i="1"/>
  <c r="AR755" i="1"/>
  <c r="AX754" i="1"/>
  <c r="AR754" i="1"/>
  <c r="AX753" i="1"/>
  <c r="AR753" i="1"/>
  <c r="AX752" i="1"/>
  <c r="AR752" i="1"/>
  <c r="AX751" i="1"/>
  <c r="AR751" i="1"/>
  <c r="AX750" i="1"/>
  <c r="AR750" i="1"/>
  <c r="AX749" i="1"/>
  <c r="AR749" i="1"/>
  <c r="AX748" i="1"/>
  <c r="AR748" i="1"/>
  <c r="AX747" i="1"/>
  <c r="AR747" i="1"/>
  <c r="AX746" i="1"/>
  <c r="AR746" i="1"/>
  <c r="AX745" i="1"/>
  <c r="AR745" i="1"/>
  <c r="AX1082" i="1"/>
  <c r="AR1082" i="1"/>
  <c r="AX1080" i="1"/>
  <c r="AR1080" i="1"/>
  <c r="AX1067" i="1"/>
  <c r="AR1067" i="1"/>
  <c r="AX1059" i="1"/>
  <c r="AR1059" i="1"/>
  <c r="AX740" i="1"/>
  <c r="AR740" i="1"/>
  <c r="AX739" i="1"/>
  <c r="AR739" i="1"/>
  <c r="AX738" i="1"/>
  <c r="AR738" i="1"/>
  <c r="AX1057" i="1"/>
  <c r="AR1057" i="1"/>
  <c r="AX1036" i="1"/>
  <c r="AR1036" i="1"/>
  <c r="AX1035" i="1"/>
  <c r="AR1035" i="1"/>
  <c r="AX734" i="1"/>
  <c r="AR734" i="1"/>
  <c r="AX733" i="1"/>
  <c r="AR733" i="1"/>
  <c r="AX732" i="1"/>
  <c r="AR732" i="1"/>
  <c r="AX712" i="1"/>
  <c r="AR712" i="1"/>
  <c r="AX730" i="1"/>
  <c r="AR730" i="1"/>
  <c r="AX729" i="1"/>
  <c r="AR729" i="1"/>
  <c r="AX728" i="1"/>
  <c r="AR728" i="1"/>
  <c r="AX727" i="1"/>
  <c r="AR727" i="1"/>
  <c r="AX724" i="1"/>
  <c r="AR724" i="1"/>
  <c r="AX778" i="1"/>
  <c r="AR778" i="1"/>
  <c r="AX722" i="1"/>
  <c r="AR722" i="1"/>
  <c r="AX720" i="1"/>
  <c r="AR720" i="1"/>
  <c r="AX735" i="1"/>
  <c r="AR735" i="1"/>
  <c r="AX718" i="1"/>
  <c r="AR718" i="1"/>
  <c r="AX717" i="1"/>
  <c r="AR717" i="1"/>
  <c r="AX716" i="1"/>
  <c r="AR716" i="1"/>
  <c r="AX715" i="1"/>
  <c r="AR715" i="1"/>
  <c r="AX714" i="1"/>
  <c r="AR714" i="1"/>
  <c r="AX713" i="1"/>
  <c r="AR713" i="1"/>
  <c r="AX743" i="1"/>
  <c r="AR743" i="1"/>
  <c r="AX1034" i="1"/>
  <c r="AR1034" i="1"/>
  <c r="AX710" i="1"/>
  <c r="AR710" i="1"/>
  <c r="AX709" i="1"/>
  <c r="AR709" i="1"/>
  <c r="AX708" i="1"/>
  <c r="AR708" i="1"/>
  <c r="AX707" i="1"/>
  <c r="AR707" i="1"/>
  <c r="AX705" i="1"/>
  <c r="AR705" i="1"/>
  <c r="AX704" i="1"/>
  <c r="AR704" i="1"/>
  <c r="AX949" i="1"/>
  <c r="AR949" i="1"/>
  <c r="AX702" i="1"/>
  <c r="AR702" i="1"/>
  <c r="AX700" i="1"/>
  <c r="AR700" i="1"/>
  <c r="AX699" i="1"/>
  <c r="AR699" i="1"/>
  <c r="AX698" i="1"/>
  <c r="AR698" i="1"/>
  <c r="AX697" i="1"/>
  <c r="AR697" i="1"/>
  <c r="AX696" i="1"/>
  <c r="AR696" i="1"/>
  <c r="AX695" i="1"/>
  <c r="AR695" i="1"/>
  <c r="AX694" i="1"/>
  <c r="AR694" i="1"/>
  <c r="AX693" i="1"/>
  <c r="AR693" i="1"/>
  <c r="AX692" i="1"/>
  <c r="AR692" i="1"/>
  <c r="AX691" i="1"/>
  <c r="AR691" i="1"/>
  <c r="AX690" i="1"/>
  <c r="AR690" i="1"/>
  <c r="AX689" i="1"/>
  <c r="AR689" i="1"/>
  <c r="AX688" i="1"/>
  <c r="AR688" i="1"/>
  <c r="AX687" i="1"/>
  <c r="AR687" i="1"/>
  <c r="AX686" i="1"/>
  <c r="AR686" i="1"/>
  <c r="AX685" i="1"/>
  <c r="AR685" i="1"/>
  <c r="AX684" i="1"/>
  <c r="AR684" i="1"/>
  <c r="AX683" i="1"/>
  <c r="AR683" i="1"/>
  <c r="AX682" i="1"/>
  <c r="AR682" i="1"/>
  <c r="AX681" i="1"/>
  <c r="AR681" i="1"/>
  <c r="AX680" i="1"/>
  <c r="AR680" i="1"/>
  <c r="AX679" i="1"/>
  <c r="AR679" i="1"/>
  <c r="AX678" i="1"/>
  <c r="AR678" i="1"/>
  <c r="AX1033" i="1"/>
  <c r="AR1033" i="1"/>
  <c r="AX676" i="1"/>
  <c r="AR676" i="1"/>
  <c r="AX675" i="1"/>
  <c r="AR675" i="1"/>
  <c r="AX672" i="1"/>
  <c r="AR672" i="1"/>
  <c r="AX668" i="1"/>
  <c r="AR668" i="1"/>
  <c r="AX666" i="1"/>
  <c r="AR666" i="1"/>
  <c r="AX650" i="1"/>
  <c r="AR650" i="1"/>
  <c r="AX647" i="1"/>
  <c r="AR647" i="1"/>
  <c r="AX643" i="1"/>
  <c r="AR643" i="1"/>
  <c r="AX642" i="1"/>
  <c r="AR642" i="1"/>
  <c r="AX431" i="1"/>
  <c r="AR431" i="1"/>
  <c r="AX640" i="1"/>
  <c r="AR640" i="1"/>
  <c r="AX639" i="1"/>
  <c r="AR639" i="1"/>
  <c r="AX638" i="1"/>
  <c r="AR638" i="1"/>
  <c r="AX573" i="1"/>
  <c r="AR573" i="1"/>
  <c r="AX636" i="1"/>
  <c r="AR636" i="1"/>
  <c r="AX572" i="1"/>
  <c r="AR572" i="1"/>
  <c r="AX634" i="1"/>
  <c r="AR634" i="1"/>
  <c r="AX633" i="1"/>
  <c r="AR633" i="1"/>
  <c r="AX632" i="1"/>
  <c r="AR632" i="1"/>
  <c r="AX569" i="1"/>
  <c r="AR569" i="1"/>
  <c r="AX629" i="1"/>
  <c r="AR629" i="1"/>
  <c r="AX628" i="1"/>
  <c r="AR628" i="1"/>
  <c r="AX627" i="1"/>
  <c r="AR627" i="1"/>
  <c r="AX626" i="1"/>
  <c r="AR626" i="1"/>
  <c r="AX619" i="1"/>
  <c r="AR619" i="1"/>
  <c r="AX617" i="1"/>
  <c r="AR617" i="1"/>
  <c r="AX616" i="1"/>
  <c r="AR616" i="1"/>
  <c r="AX615" i="1"/>
  <c r="AR615" i="1"/>
  <c r="AX614" i="1"/>
  <c r="AR614" i="1"/>
  <c r="AX613" i="1"/>
  <c r="AR613" i="1"/>
  <c r="AX612" i="1"/>
  <c r="AR612" i="1"/>
  <c r="AX611" i="1"/>
  <c r="AR611" i="1"/>
  <c r="AX610" i="1"/>
  <c r="AR610" i="1"/>
  <c r="AX553" i="1"/>
  <c r="AR553" i="1"/>
  <c r="AX607" i="1"/>
  <c r="AR607" i="1"/>
  <c r="AX606" i="1"/>
  <c r="AR606" i="1"/>
  <c r="AX605" i="1"/>
  <c r="AR605" i="1"/>
  <c r="AX604" i="1"/>
  <c r="AR604" i="1"/>
  <c r="AX603" i="1"/>
  <c r="AR603" i="1"/>
  <c r="AX602" i="1"/>
  <c r="AR602" i="1"/>
  <c r="AX601" i="1"/>
  <c r="AR601" i="1"/>
  <c r="AX600" i="1"/>
  <c r="AR600" i="1"/>
  <c r="AX599" i="1"/>
  <c r="AR599" i="1"/>
  <c r="AX598" i="1"/>
  <c r="AR598" i="1"/>
  <c r="AX596" i="1"/>
  <c r="AR596" i="1"/>
  <c r="AX535" i="1"/>
  <c r="AR535" i="1"/>
  <c r="AX594" i="1"/>
  <c r="AR594" i="1"/>
  <c r="AX593" i="1"/>
  <c r="AR593" i="1"/>
  <c r="AX592" i="1"/>
  <c r="AR592" i="1"/>
  <c r="AX591" i="1"/>
  <c r="AR591" i="1"/>
  <c r="AX576" i="1"/>
  <c r="AR576" i="1"/>
  <c r="AX575" i="1"/>
  <c r="AR575" i="1"/>
  <c r="AX574" i="1"/>
  <c r="AR574" i="1"/>
  <c r="AX571" i="1"/>
  <c r="AR571" i="1"/>
  <c r="AX570" i="1"/>
  <c r="AR570" i="1"/>
  <c r="AX566" i="1"/>
  <c r="AR566" i="1"/>
  <c r="AX563" i="1"/>
  <c r="AR563" i="1"/>
  <c r="AX555" i="1"/>
  <c r="AR555" i="1"/>
  <c r="AX554" i="1"/>
  <c r="AR554" i="1"/>
  <c r="AX655" i="1"/>
  <c r="AR655" i="1"/>
  <c r="AX552" i="1"/>
  <c r="AR552" i="1"/>
  <c r="AX551" i="1"/>
  <c r="AR551" i="1"/>
  <c r="AX550" i="1"/>
  <c r="AR550" i="1"/>
  <c r="AX549" i="1"/>
  <c r="AR549" i="1"/>
  <c r="AX548" i="1"/>
  <c r="AR548" i="1"/>
  <c r="AX547" i="1"/>
  <c r="AR547" i="1"/>
  <c r="AX546" i="1"/>
  <c r="AR546" i="1"/>
  <c r="AX545" i="1"/>
  <c r="AR545" i="1"/>
  <c r="AX542" i="1"/>
  <c r="AR542" i="1"/>
  <c r="AX541" i="1"/>
  <c r="AR541" i="1"/>
  <c r="AX540" i="1"/>
  <c r="AR540" i="1"/>
  <c r="AX537" i="1"/>
  <c r="AR537" i="1"/>
  <c r="AX525" i="1"/>
  <c r="AR525" i="1"/>
  <c r="AX524" i="1"/>
  <c r="AR524" i="1"/>
  <c r="AX621" i="1"/>
  <c r="AR621" i="1"/>
  <c r="AX517" i="1"/>
  <c r="AR517" i="1"/>
  <c r="AX496" i="1"/>
  <c r="AR496" i="1"/>
  <c r="AX493" i="1"/>
  <c r="AR493" i="1"/>
  <c r="AX491" i="1"/>
  <c r="AR491" i="1"/>
  <c r="AX485" i="1"/>
  <c r="AR485" i="1"/>
  <c r="AX444" i="1"/>
  <c r="AR444" i="1"/>
  <c r="AX442" i="1"/>
  <c r="AR442" i="1"/>
  <c r="AX441" i="1"/>
  <c r="AR441" i="1"/>
  <c r="AX440" i="1"/>
  <c r="AR440" i="1"/>
  <c r="AX439" i="1"/>
  <c r="AR439" i="1"/>
  <c r="AX438" i="1"/>
  <c r="AR438" i="1"/>
  <c r="AX595" i="1"/>
  <c r="AR595" i="1"/>
  <c r="AX429" i="1"/>
  <c r="AR429" i="1"/>
  <c r="AX428" i="1"/>
  <c r="AR428" i="1"/>
  <c r="AX427" i="1"/>
  <c r="AR427" i="1"/>
  <c r="AX423" i="1"/>
  <c r="AR423" i="1"/>
  <c r="AX422" i="1"/>
  <c r="AR422" i="1"/>
  <c r="AX522" i="1"/>
  <c r="AR522" i="1"/>
  <c r="AX420" i="1"/>
  <c r="AR420" i="1"/>
  <c r="AX419" i="1"/>
  <c r="AR419" i="1"/>
  <c r="AX418" i="1"/>
  <c r="AR418" i="1"/>
  <c r="AX417" i="1"/>
  <c r="AR417" i="1"/>
  <c r="AX518" i="1"/>
  <c r="AR518" i="1"/>
  <c r="AX410" i="1"/>
  <c r="AR410" i="1"/>
  <c r="AX513" i="1"/>
  <c r="AR513" i="1"/>
  <c r="AR1171" i="1"/>
  <c r="AX396" i="1"/>
  <c r="AR396" i="1"/>
  <c r="AX384" i="1"/>
  <c r="AR384" i="1"/>
  <c r="AX383" i="1"/>
  <c r="AR383" i="1"/>
  <c r="AX382" i="1"/>
  <c r="AR382" i="1"/>
  <c r="AX380" i="1"/>
  <c r="AR380" i="1"/>
  <c r="AX378" i="1"/>
  <c r="AR378" i="1"/>
  <c r="AX369" i="1"/>
  <c r="AR369" i="1"/>
  <c r="AX368" i="1"/>
  <c r="AR368" i="1"/>
  <c r="AX366" i="1"/>
  <c r="AR366" i="1"/>
  <c r="AX364" i="1"/>
  <c r="AR364" i="1"/>
  <c r="AX362" i="1"/>
  <c r="AR362" i="1"/>
  <c r="AX361" i="1"/>
  <c r="AR361" i="1"/>
  <c r="AX360" i="1"/>
  <c r="AR360" i="1"/>
  <c r="AX359" i="1"/>
  <c r="AR359" i="1"/>
  <c r="AX356" i="1"/>
  <c r="AR356" i="1"/>
  <c r="AX489" i="1"/>
  <c r="AR489" i="1"/>
  <c r="AX352" i="1"/>
  <c r="AR352" i="1"/>
  <c r="AX349" i="1"/>
  <c r="AR349" i="1"/>
  <c r="AX345" i="1"/>
  <c r="AR345" i="1"/>
  <c r="AX344" i="1"/>
  <c r="AR344" i="1"/>
  <c r="AX343" i="1"/>
  <c r="AR343" i="1"/>
  <c r="AX305" i="1"/>
  <c r="AR305" i="1"/>
  <c r="AX304" i="1"/>
  <c r="AR304" i="1"/>
  <c r="AX303" i="1"/>
  <c r="AR303" i="1"/>
  <c r="AX302" i="1"/>
  <c r="AR302" i="1"/>
  <c r="AX296" i="1"/>
  <c r="AR296" i="1"/>
  <c r="AX289" i="1"/>
  <c r="AR289" i="1"/>
  <c r="AX282" i="1"/>
  <c r="AR282" i="1"/>
  <c r="AX272" i="1"/>
  <c r="AR272" i="1"/>
  <c r="AX32" i="1"/>
  <c r="AR32" i="1"/>
  <c r="AX267" i="1"/>
  <c r="AR267" i="1"/>
  <c r="AX261" i="1"/>
  <c r="AR261" i="1"/>
  <c r="AX30" i="1"/>
  <c r="AR30" i="1"/>
  <c r="AX256" i="1"/>
  <c r="AR256" i="1"/>
  <c r="AX246" i="1"/>
  <c r="AR246" i="1"/>
  <c r="AX216" i="1"/>
  <c r="AR216" i="1"/>
  <c r="AX213" i="1"/>
  <c r="AR213" i="1"/>
  <c r="AX211" i="1"/>
  <c r="AR211" i="1"/>
  <c r="AX196" i="1"/>
  <c r="AR196" i="1"/>
  <c r="AX195" i="1"/>
  <c r="AR195" i="1"/>
  <c r="AX194" i="1"/>
  <c r="AR194" i="1"/>
  <c r="AX192" i="1"/>
  <c r="AR192" i="1"/>
  <c r="AX191" i="1"/>
  <c r="AR191" i="1"/>
  <c r="AX190" i="1"/>
  <c r="AR190" i="1"/>
  <c r="AX487" i="1"/>
  <c r="AR487" i="1"/>
  <c r="AX188" i="1"/>
  <c r="AR188" i="1"/>
  <c r="AX187" i="1"/>
  <c r="AR187" i="1"/>
  <c r="AX186" i="1"/>
  <c r="AR186" i="1"/>
  <c r="AX185" i="1"/>
  <c r="AR185" i="1"/>
  <c r="AX459" i="1"/>
  <c r="AR459" i="1"/>
  <c r="AX1166" i="1"/>
  <c r="AR1166" i="1"/>
  <c r="AX182" i="1"/>
  <c r="AR182" i="1"/>
  <c r="AX173" i="1"/>
  <c r="AR173" i="1"/>
  <c r="AX171" i="1"/>
  <c r="AR171" i="1"/>
  <c r="AX170" i="1"/>
  <c r="AR170" i="1"/>
  <c r="AX169" i="1"/>
  <c r="AR169" i="1"/>
  <c r="AX168" i="1"/>
  <c r="AR168" i="1"/>
  <c r="AX167" i="1"/>
  <c r="AR167" i="1"/>
  <c r="AX149" i="1"/>
  <c r="AR149" i="1"/>
  <c r="AX148" i="1"/>
  <c r="AR148" i="1"/>
  <c r="AX147" i="1"/>
  <c r="AR147" i="1"/>
  <c r="AX145" i="1"/>
  <c r="AR145" i="1"/>
  <c r="AX144" i="1"/>
  <c r="AR144" i="1"/>
  <c r="AX142" i="1"/>
  <c r="AR142" i="1"/>
  <c r="AX353" i="1"/>
  <c r="AR353" i="1"/>
  <c r="AX130" i="1"/>
  <c r="AR130" i="1"/>
  <c r="AX127" i="1"/>
  <c r="AR127" i="1"/>
  <c r="AX457" i="1"/>
  <c r="AR457" i="1"/>
  <c r="AX115" i="1"/>
  <c r="AR115" i="1"/>
  <c r="AX113" i="1"/>
  <c r="AR113" i="1"/>
  <c r="AX110" i="1"/>
  <c r="AR110" i="1"/>
  <c r="AX109" i="1"/>
  <c r="AR109" i="1"/>
  <c r="AX108" i="1"/>
  <c r="AR108" i="1"/>
  <c r="AX105" i="1"/>
  <c r="AR105" i="1"/>
  <c r="AX453" i="1"/>
  <c r="AR453" i="1"/>
  <c r="AX104" i="1"/>
  <c r="AR104" i="1"/>
  <c r="AX455" i="1"/>
  <c r="AR455" i="1"/>
  <c r="AX101" i="1"/>
  <c r="AR101" i="1"/>
  <c r="AX403" i="1"/>
  <c r="AR403" i="1"/>
  <c r="AX397" i="1"/>
  <c r="AR397" i="1"/>
  <c r="AX95" i="1"/>
  <c r="AR95" i="1"/>
  <c r="AX94" i="1"/>
  <c r="AR94" i="1"/>
  <c r="AX430" i="1"/>
  <c r="AR430" i="1"/>
  <c r="AX609" i="1"/>
  <c r="AR609" i="1"/>
  <c r="AX426" i="1"/>
  <c r="AR426" i="1"/>
  <c r="AX90" i="1"/>
  <c r="AR90" i="1"/>
  <c r="AX89" i="1"/>
  <c r="AR89" i="1"/>
  <c r="AX88" i="1"/>
  <c r="AR88" i="1"/>
  <c r="AX435" i="1"/>
  <c r="AR435" i="1"/>
  <c r="AX72" i="1"/>
  <c r="AR72" i="1"/>
  <c r="AX69" i="1"/>
  <c r="AR69" i="1"/>
  <c r="AX433" i="1"/>
  <c r="AR433" i="1"/>
  <c r="AX66" i="1"/>
  <c r="AR66" i="1"/>
  <c r="AX49" i="1"/>
  <c r="AR49" i="1"/>
  <c r="AX669" i="1"/>
  <c r="AR669" i="1"/>
  <c r="AX47" i="1"/>
  <c r="AR47" i="1"/>
  <c r="AX214" i="1"/>
  <c r="AR214" i="1"/>
  <c r="AX432" i="1"/>
  <c r="AR432" i="1"/>
  <c r="AX106" i="1"/>
  <c r="AR106" i="1"/>
  <c r="AX1081" i="1"/>
  <c r="AR1081" i="1"/>
  <c r="AX968" i="1"/>
  <c r="AR968" i="1"/>
  <c r="AX46" i="1"/>
  <c r="AR46" i="1"/>
  <c r="AX28" i="1"/>
  <c r="AR28" i="1"/>
  <c r="AX827" i="1"/>
  <c r="AR827" i="1"/>
  <c r="AX543" i="1"/>
  <c r="AR543" i="1"/>
  <c r="AX658" i="1"/>
  <c r="AR658" i="1"/>
  <c r="AX670" i="1"/>
  <c r="AR670" i="1"/>
  <c r="AX434" i="1"/>
  <c r="AR434" i="1"/>
  <c r="AX416" i="1"/>
  <c r="AR416" i="1"/>
  <c r="AX300" i="1"/>
  <c r="AR300" i="1"/>
  <c r="AX424" i="1"/>
  <c r="AR424" i="1"/>
  <c r="AX539" i="1"/>
  <c r="AR539" i="1"/>
  <c r="AX536" i="1"/>
  <c r="AR536" i="1"/>
  <c r="AX371" i="1"/>
  <c r="AR371" i="1"/>
  <c r="AX278" i="1"/>
  <c r="AR278" i="1"/>
  <c r="AX137" i="1"/>
  <c r="AR137" i="1"/>
  <c r="AX313" i="1"/>
  <c r="AR313" i="1"/>
  <c r="AX299" i="1"/>
  <c r="AR299" i="1"/>
  <c r="AX671" i="1"/>
  <c r="AR671" i="1"/>
  <c r="AX363" i="1"/>
  <c r="AR363" i="1"/>
  <c r="AX411" i="1"/>
  <c r="AR411" i="1"/>
  <c r="AX275" i="1"/>
  <c r="AR275" i="1"/>
  <c r="AX544" i="1"/>
  <c r="AR544" i="1"/>
  <c r="AX1159" i="1"/>
  <c r="AR1159" i="1"/>
  <c r="AX408" i="1"/>
  <c r="AR408" i="1"/>
  <c r="AX993" i="1"/>
  <c r="AR993" i="1"/>
  <c r="AX664" i="1"/>
  <c r="AR664" i="1"/>
  <c r="AX659" i="1"/>
  <c r="AR659" i="1"/>
  <c r="AX334" i="1"/>
  <c r="AR334" i="1"/>
  <c r="AX266" i="1"/>
  <c r="AR266" i="1"/>
  <c r="AX263" i="1"/>
  <c r="AR263" i="1"/>
  <c r="AX262" i="1"/>
  <c r="AR262" i="1"/>
  <c r="AX297" i="1"/>
  <c r="AR297" i="1"/>
  <c r="AX250" i="1"/>
  <c r="AR250" i="1"/>
  <c r="AX826" i="1"/>
  <c r="AR826" i="1"/>
  <c r="AX654" i="1"/>
  <c r="AR654" i="1"/>
  <c r="AX393" i="1"/>
  <c r="AR393" i="1"/>
  <c r="AX392" i="1"/>
  <c r="AR392" i="1"/>
  <c r="AX665" i="1"/>
  <c r="AR665" i="1"/>
  <c r="AX405" i="1"/>
  <c r="AR405" i="1"/>
  <c r="AX355" i="1"/>
  <c r="AR355" i="1"/>
  <c r="AX663" i="1"/>
  <c r="AR663" i="1"/>
  <c r="AX482" i="1"/>
  <c r="AR482" i="1"/>
  <c r="AX436" i="1"/>
  <c r="AR436" i="1"/>
  <c r="AX538" i="1"/>
  <c r="AR538" i="1"/>
  <c r="AX337" i="1"/>
  <c r="AR337" i="1"/>
  <c r="AX350" i="1"/>
  <c r="AR350" i="1"/>
  <c r="AX346" i="1"/>
  <c r="AR346" i="1"/>
  <c r="AX358" i="1"/>
  <c r="AR358" i="1"/>
  <c r="AX865" i="1"/>
  <c r="AR865" i="1"/>
  <c r="AX864" i="1"/>
  <c r="AR864" i="1"/>
  <c r="AX862" i="1"/>
  <c r="AR862" i="1"/>
  <c r="AX332" i="1"/>
  <c r="AR332" i="1"/>
  <c r="AX437" i="1"/>
  <c r="AR437" i="1"/>
  <c r="AX67" i="1"/>
  <c r="AR67" i="1"/>
  <c r="AX652" i="1"/>
  <c r="AR652" i="1"/>
  <c r="AX320" i="1"/>
  <c r="AR320" i="1"/>
  <c r="AX484" i="1"/>
  <c r="AR484" i="1"/>
  <c r="AX483" i="1"/>
  <c r="AR483" i="1"/>
  <c r="AX646" i="1"/>
  <c r="AR646" i="1"/>
  <c r="AX319" i="1"/>
  <c r="AR319" i="1"/>
  <c r="AX651" i="1"/>
  <c r="AR651" i="1"/>
  <c r="AX248" i="1"/>
  <c r="AR248" i="1"/>
  <c r="AX741" i="1"/>
  <c r="AR741" i="1"/>
  <c r="AX63" i="1"/>
  <c r="AR63" i="1"/>
  <c r="AX325" i="1"/>
  <c r="AR325" i="1"/>
  <c r="AX662" i="1"/>
  <c r="AR662" i="1"/>
  <c r="AX323" i="1"/>
  <c r="AR323" i="1"/>
  <c r="AX287" i="1"/>
  <c r="AR287" i="1"/>
  <c r="AX269" i="1"/>
  <c r="AR269" i="1"/>
  <c r="AX374" i="1"/>
  <c r="AR374" i="1"/>
  <c r="AX315" i="1"/>
  <c r="AR315" i="1"/>
  <c r="AX523" i="1"/>
  <c r="AR523" i="1"/>
  <c r="AX312" i="1"/>
  <c r="AR312" i="1"/>
  <c r="AX288" i="1"/>
  <c r="AR288" i="1"/>
  <c r="AX335" i="1"/>
  <c r="AR335" i="1"/>
  <c r="AX449" i="1"/>
  <c r="AR449" i="1"/>
  <c r="AX281" i="1"/>
  <c r="AR281" i="1"/>
  <c r="AX257" i="1"/>
  <c r="AR257" i="1"/>
  <c r="AX625" i="1"/>
  <c r="AR625" i="1"/>
  <c r="AX624" i="1"/>
  <c r="AR624" i="1"/>
  <c r="AX623" i="1"/>
  <c r="AR623" i="1"/>
  <c r="AX107" i="1"/>
  <c r="AR107" i="1"/>
  <c r="AX336" i="1"/>
  <c r="AR336" i="1"/>
  <c r="AX341" i="1"/>
  <c r="AR341" i="1"/>
  <c r="AX293" i="1"/>
  <c r="AR293" i="1"/>
  <c r="AX291" i="1"/>
  <c r="AR291" i="1"/>
  <c r="AX649" i="1"/>
  <c r="AR649" i="1"/>
  <c r="AX340" i="1"/>
  <c r="AR340" i="1"/>
  <c r="AX357" i="1"/>
  <c r="AR357" i="1"/>
  <c r="AX286" i="1"/>
  <c r="AR286" i="1"/>
  <c r="AX276" i="1"/>
  <c r="AR276" i="1"/>
  <c r="AX274" i="1"/>
  <c r="AR274" i="1"/>
  <c r="AX298" i="1"/>
  <c r="AR298" i="1"/>
  <c r="AX111" i="1"/>
  <c r="AR111" i="1"/>
  <c r="AX568" i="1"/>
  <c r="AR568" i="1"/>
  <c r="AX284" i="1"/>
  <c r="AR284" i="1"/>
  <c r="AX653" i="1"/>
  <c r="AR653" i="1"/>
  <c r="AX648" i="1"/>
  <c r="AR648" i="1"/>
  <c r="AX179" i="1"/>
  <c r="AR179" i="1"/>
  <c r="AX308" i="1"/>
  <c r="AR308" i="1"/>
  <c r="AX329" i="1"/>
  <c r="AR329" i="1"/>
  <c r="AX645" i="1"/>
  <c r="AR645" i="1"/>
  <c r="AX307" i="1"/>
  <c r="AR307" i="1"/>
  <c r="AX521" i="1"/>
  <c r="AR521" i="1"/>
  <c r="AX338" i="1"/>
  <c r="AR338" i="1"/>
  <c r="AX661" i="1"/>
  <c r="AR661" i="1"/>
  <c r="AX333" i="1"/>
  <c r="AR333" i="1"/>
  <c r="AX306" i="1"/>
  <c r="AR306" i="1"/>
  <c r="AX910" i="1"/>
  <c r="AR910" i="1"/>
  <c r="AX317" i="1"/>
  <c r="AR317" i="1"/>
  <c r="AX1098" i="1"/>
  <c r="AR1098" i="1"/>
  <c r="AX310" i="1"/>
  <c r="AR310" i="1"/>
  <c r="AX997" i="1"/>
  <c r="AR997" i="1"/>
  <c r="AX996" i="1"/>
  <c r="AR996" i="1"/>
  <c r="AX995" i="1"/>
  <c r="AR995" i="1"/>
  <c r="AX301" i="1"/>
  <c r="AR301" i="1"/>
  <c r="AX354" i="1"/>
  <c r="AR354" i="1"/>
  <c r="AX660" i="1"/>
  <c r="AR660" i="1"/>
  <c r="AX318" i="1"/>
  <c r="AR318" i="1"/>
  <c r="AX295" i="1"/>
  <c r="AR295" i="1"/>
  <c r="AX294" i="1"/>
  <c r="AR294" i="1"/>
  <c r="AX398" i="1"/>
  <c r="AR398" i="1"/>
  <c r="AX560" i="1"/>
  <c r="AR560" i="1"/>
  <c r="AX559" i="1"/>
  <c r="AR559" i="1"/>
  <c r="AX13" i="1"/>
  <c r="AR13" i="1"/>
  <c r="AX321" i="1"/>
  <c r="AR321" i="1"/>
  <c r="AX958" i="1"/>
  <c r="AR958" i="1"/>
  <c r="AX387" i="1"/>
  <c r="AR387" i="1"/>
  <c r="AX372" i="1"/>
  <c r="AR372" i="1"/>
  <c r="AX530" i="1"/>
  <c r="AR530" i="1"/>
  <c r="AX967" i="1"/>
  <c r="AR967" i="1"/>
  <c r="AX502" i="1"/>
  <c r="AR502" i="1"/>
  <c r="AX285" i="1"/>
  <c r="AR285" i="1"/>
  <c r="AX464" i="1"/>
  <c r="AR464" i="1"/>
  <c r="AX994" i="1"/>
  <c r="AR994" i="1"/>
  <c r="AX277" i="1"/>
  <c r="AR277" i="1"/>
  <c r="AX966" i="1"/>
  <c r="AR966" i="1"/>
  <c r="AX271" i="1"/>
  <c r="AR271" i="1"/>
  <c r="AX386" i="1"/>
  <c r="AR386" i="1"/>
  <c r="AX377" i="1"/>
  <c r="AR377" i="1"/>
  <c r="AX558" i="1"/>
  <c r="AR558" i="1"/>
  <c r="AX227" i="1"/>
  <c r="AR227" i="1"/>
  <c r="AX242" i="1"/>
  <c r="AR242" i="1"/>
  <c r="AX1026" i="1"/>
  <c r="AR1026" i="1"/>
  <c r="AX316" i="1"/>
  <c r="AR316" i="1"/>
  <c r="AX370" i="1"/>
  <c r="AR370" i="1"/>
  <c r="AX533" i="1"/>
  <c r="AR533" i="1"/>
  <c r="AX519" i="1"/>
  <c r="AR519" i="1"/>
  <c r="AX561" i="1"/>
  <c r="AR561" i="1"/>
  <c r="AX265" i="1"/>
  <c r="AR265" i="1"/>
  <c r="AX259" i="1"/>
  <c r="AR259" i="1"/>
  <c r="AX134" i="1"/>
  <c r="AR134" i="1"/>
  <c r="AX564" i="1"/>
  <c r="AR564" i="1"/>
  <c r="AX531" i="1"/>
  <c r="AR531" i="1"/>
  <c r="AX290" i="1"/>
  <c r="AR290" i="1"/>
  <c r="AX273" i="1"/>
  <c r="AR273" i="1"/>
  <c r="AX351" i="1"/>
  <c r="AR351" i="1"/>
  <c r="AX961" i="1"/>
  <c r="AR961" i="1"/>
  <c r="AX331" i="1"/>
  <c r="AR331" i="1"/>
  <c r="AX258" i="1"/>
  <c r="AR258" i="1"/>
  <c r="AX254" i="1"/>
  <c r="AR254" i="1"/>
  <c r="AX501" i="1"/>
  <c r="AR501" i="1"/>
  <c r="AX726" i="1"/>
  <c r="AR726" i="1"/>
  <c r="AX725" i="1"/>
  <c r="AR725" i="1"/>
  <c r="AX62" i="1"/>
  <c r="AR62" i="1"/>
  <c r="AX1135" i="1"/>
  <c r="AR1135" i="1"/>
  <c r="AX367" i="1"/>
  <c r="AR367" i="1"/>
  <c r="AX365" i="1"/>
  <c r="AR365" i="1"/>
  <c r="AX520" i="1"/>
  <c r="AR520" i="1"/>
  <c r="AX20" i="1"/>
  <c r="AR20" i="1"/>
  <c r="AX620" i="1"/>
  <c r="AR620" i="1"/>
  <c r="AX253" i="1"/>
  <c r="AR253" i="1"/>
  <c r="AX61" i="1"/>
  <c r="AR61" i="1"/>
  <c r="AX443" i="1"/>
  <c r="AR443" i="1"/>
  <c r="AX565" i="1"/>
  <c r="AR565" i="1"/>
  <c r="AX567" i="1"/>
  <c r="AR567" i="1"/>
  <c r="AX135" i="1"/>
  <c r="AR135" i="1"/>
  <c r="AX151" i="1"/>
  <c r="AR151" i="1"/>
  <c r="AX390" i="1"/>
  <c r="AR390" i="1"/>
  <c r="AX445" i="1"/>
  <c r="AR445" i="1"/>
  <c r="AX252" i="1"/>
  <c r="AR252" i="1"/>
  <c r="AX133" i="1"/>
  <c r="AR133" i="1"/>
  <c r="AX347" i="1"/>
  <c r="AR347" i="1"/>
  <c r="AX251" i="1"/>
  <c r="AR251" i="1"/>
  <c r="AX245" i="1"/>
  <c r="AR245" i="1"/>
  <c r="AX136" i="1"/>
  <c r="AR136" i="1"/>
  <c r="AX235" i="1"/>
  <c r="AR235" i="1"/>
  <c r="AX98" i="1"/>
  <c r="AR98" i="1"/>
  <c r="AX238" i="1"/>
  <c r="AR238" i="1"/>
  <c r="AX236" i="1"/>
  <c r="AR236" i="1"/>
  <c r="AX232" i="1"/>
  <c r="AR232" i="1"/>
  <c r="AX244" i="1"/>
  <c r="AR244" i="1"/>
  <c r="AX193" i="1"/>
  <c r="AR193" i="1"/>
  <c r="AX237" i="1"/>
  <c r="AR237" i="1"/>
  <c r="AX1087" i="1"/>
  <c r="AR1087" i="1"/>
  <c r="AX152" i="1"/>
  <c r="AR152" i="1"/>
  <c r="AX132" i="1"/>
  <c r="AR132" i="1"/>
  <c r="AX1116" i="1"/>
  <c r="AR1116" i="1"/>
  <c r="AX965" i="1"/>
  <c r="AR965" i="1"/>
  <c r="AX389" i="1"/>
  <c r="AR389" i="1"/>
  <c r="AX255" i="1"/>
  <c r="AR255" i="1"/>
  <c r="AX260" i="1"/>
  <c r="AR260" i="1"/>
  <c r="AX292" i="1"/>
  <c r="AR292" i="1"/>
  <c r="AX205" i="1"/>
  <c r="AR205" i="1"/>
  <c r="AX229" i="1"/>
  <c r="AR229" i="1"/>
  <c r="AX225" i="1"/>
  <c r="AR225" i="1"/>
  <c r="AX480" i="1"/>
  <c r="AR480" i="1"/>
  <c r="AX529" i="1"/>
  <c r="AR529" i="1"/>
  <c r="AX528" i="1"/>
  <c r="AR528" i="1"/>
  <c r="AX311" i="1"/>
  <c r="AR311" i="1"/>
  <c r="AX226" i="1"/>
  <c r="AR226" i="1"/>
  <c r="AX342" i="1"/>
  <c r="AR342" i="1"/>
  <c r="AX178" i="1"/>
  <c r="AR178" i="1"/>
  <c r="AX1086" i="1"/>
  <c r="AR1086" i="1"/>
  <c r="AX114" i="1"/>
  <c r="AR114" i="1"/>
  <c r="AX527" i="1"/>
  <c r="AR527" i="1"/>
  <c r="AX86" i="1"/>
  <c r="AR86" i="1"/>
  <c r="AX283" i="1"/>
  <c r="AR283" i="1"/>
  <c r="AX534" i="1"/>
  <c r="AR534" i="1"/>
  <c r="AX532" i="1"/>
  <c r="AR532" i="1"/>
  <c r="AX16" i="1"/>
  <c r="AR16" i="1"/>
  <c r="AX71" i="1"/>
  <c r="AR71" i="1"/>
  <c r="AX58" i="1"/>
  <c r="AR58" i="1"/>
  <c r="AX217" i="1"/>
  <c r="AR217" i="1"/>
  <c r="AX309" i="1"/>
  <c r="AR309" i="1"/>
  <c r="AX322" i="1"/>
  <c r="AR322" i="1"/>
  <c r="AX988" i="1"/>
  <c r="AR988" i="1"/>
  <c r="AX268" i="1"/>
  <c r="AR268" i="1"/>
  <c r="AX247" i="1"/>
  <c r="AR247" i="1"/>
  <c r="AX206" i="1"/>
  <c r="AR206" i="1"/>
  <c r="AX1019" i="1"/>
  <c r="AR1019" i="1"/>
  <c r="AX476" i="1"/>
  <c r="AR476" i="1"/>
  <c r="AX243" i="1"/>
  <c r="AR243" i="1"/>
  <c r="AX175" i="1"/>
  <c r="AR175" i="1"/>
  <c r="AX57" i="1"/>
  <c r="AR57" i="1"/>
  <c r="AX758" i="1"/>
  <c r="AR758" i="1"/>
  <c r="AX176" i="1"/>
  <c r="AR176" i="1"/>
  <c r="AX112" i="1"/>
  <c r="AR112" i="1"/>
  <c r="AX385" i="1"/>
  <c r="AR385" i="1"/>
  <c r="AX388" i="1"/>
  <c r="AR388" i="1"/>
  <c r="AX126" i="1"/>
  <c r="AR126" i="1"/>
  <c r="AX146" i="1"/>
  <c r="AR146" i="1"/>
  <c r="AX987" i="1"/>
  <c r="AR987" i="1"/>
  <c r="AX327" i="1"/>
  <c r="AR327" i="1"/>
  <c r="AX326" i="1"/>
  <c r="AR326" i="1"/>
  <c r="AX189" i="1"/>
  <c r="AR189" i="1"/>
  <c r="AX526" i="1"/>
  <c r="AR526" i="1"/>
  <c r="AX986" i="1"/>
  <c r="AR986" i="1"/>
  <c r="AX490" i="1"/>
  <c r="AR490" i="1"/>
  <c r="AX73" i="1"/>
  <c r="AR73" i="1"/>
  <c r="AX52" i="1"/>
  <c r="AR52" i="1"/>
  <c r="AX425" i="1"/>
  <c r="AR425" i="1"/>
  <c r="AX183" i="1"/>
  <c r="AR183" i="1"/>
  <c r="AX391" i="1"/>
  <c r="AR391" i="1"/>
  <c r="AX375" i="1"/>
  <c r="AR375" i="1"/>
  <c r="AX339" i="1"/>
  <c r="AR339" i="1"/>
  <c r="AX174" i="1"/>
  <c r="AR174" i="1"/>
  <c r="AX1088" i="1"/>
  <c r="AR1088" i="1"/>
  <c r="AX50" i="1"/>
  <c r="AR50" i="1"/>
  <c r="AX644" i="1"/>
  <c r="AR644" i="1"/>
  <c r="AX181" i="1"/>
  <c r="AR181" i="1"/>
  <c r="AX209" i="1"/>
  <c r="AR209" i="1"/>
  <c r="AX328" i="1"/>
  <c r="AR328" i="1"/>
  <c r="AX51" i="1"/>
  <c r="AR51" i="1"/>
  <c r="AX1090" i="1"/>
  <c r="AR1090" i="1"/>
  <c r="AX373" i="1"/>
  <c r="AR373" i="1"/>
  <c r="AX241" i="1"/>
  <c r="AR241" i="1"/>
  <c r="AX139" i="1"/>
  <c r="AR139" i="1"/>
  <c r="AX234" i="1"/>
  <c r="AR234" i="1"/>
  <c r="AX53" i="1"/>
  <c r="AR53" i="1"/>
  <c r="AX395" i="1"/>
  <c r="AR395" i="1"/>
  <c r="AX394" i="1"/>
  <c r="AR394" i="1"/>
  <c r="AX1020" i="1"/>
  <c r="AR1020" i="1"/>
  <c r="AX1016" i="1"/>
  <c r="AR1016" i="1"/>
  <c r="AX637" i="1"/>
  <c r="AR637" i="1"/>
  <c r="AX446" i="1"/>
  <c r="AR446" i="1"/>
  <c r="AX138" i="1"/>
  <c r="AR138" i="1"/>
  <c r="AX97" i="1"/>
  <c r="AR97" i="1"/>
  <c r="AX116" i="1"/>
  <c r="AR116" i="1"/>
  <c r="AX93" i="1"/>
  <c r="AR93" i="1"/>
  <c r="AX203" i="1"/>
  <c r="AR203" i="1"/>
  <c r="AX218" i="1"/>
  <c r="AR218" i="1"/>
  <c r="AX1089" i="1"/>
  <c r="AR1089" i="1"/>
  <c r="AX264" i="1"/>
  <c r="AR264" i="1"/>
  <c r="AX184" i="1"/>
  <c r="AR184" i="1"/>
  <c r="AX985" i="1"/>
  <c r="AR985" i="1"/>
  <c r="AX984" i="1"/>
  <c r="AR984" i="1"/>
  <c r="AX413" i="1"/>
  <c r="AR413" i="1"/>
  <c r="AX492" i="1"/>
  <c r="AR492" i="1"/>
  <c r="AX641" i="1"/>
  <c r="AR641" i="1"/>
  <c r="AX407" i="1"/>
  <c r="AR407" i="1"/>
  <c r="AX202" i="1"/>
  <c r="AR202" i="1"/>
  <c r="AX65" i="1"/>
  <c r="AR65" i="1"/>
  <c r="AX406" i="1"/>
  <c r="AR406" i="1"/>
  <c r="AX960" i="1"/>
  <c r="AR960" i="1"/>
  <c r="AX231" i="1"/>
  <c r="AR231" i="1"/>
  <c r="AX103" i="1"/>
  <c r="AR103" i="1"/>
  <c r="AX220" i="1"/>
  <c r="AR220" i="1"/>
  <c r="AX219" i="1"/>
  <c r="AR219" i="1"/>
  <c r="AX99" i="1"/>
  <c r="AR99" i="1"/>
  <c r="AX102" i="1"/>
  <c r="AR102" i="1"/>
  <c r="AX64" i="1"/>
  <c r="AR64" i="1"/>
  <c r="AX962" i="1"/>
  <c r="AR962" i="1"/>
  <c r="AX240" i="1"/>
  <c r="AR240" i="1"/>
  <c r="AX150" i="1"/>
  <c r="AR150" i="1"/>
  <c r="AX15" i="1"/>
  <c r="AR15" i="1"/>
  <c r="AX140" i="1"/>
  <c r="AR140" i="1"/>
  <c r="AX78" i="1"/>
  <c r="AR78" i="1"/>
  <c r="AX376" i="1"/>
  <c r="AR376" i="1"/>
  <c r="AX75" i="1"/>
  <c r="AR75" i="1"/>
  <c r="AX76" i="1"/>
  <c r="AR76" i="1"/>
  <c r="AX414" i="1"/>
  <c r="AR414" i="1"/>
  <c r="AX280" i="1"/>
  <c r="AR280" i="1"/>
  <c r="AX128" i="1"/>
  <c r="AR128" i="1"/>
  <c r="AX77" i="1"/>
  <c r="AR77" i="1"/>
  <c r="AX68" i="1"/>
  <c r="AR68" i="1"/>
  <c r="AX279" i="1"/>
  <c r="AR279" i="1"/>
  <c r="AX172" i="1"/>
  <c r="AR172" i="1"/>
  <c r="AX177" i="1"/>
  <c r="AR177" i="1"/>
  <c r="AX448" i="1"/>
  <c r="AR448" i="1"/>
  <c r="AX447" i="1"/>
  <c r="AR447" i="1"/>
  <c r="AX224" i="1"/>
  <c r="AR224" i="1"/>
  <c r="AX556" i="1"/>
  <c r="AR556" i="1"/>
  <c r="AX1015" i="1"/>
  <c r="AR1015" i="1"/>
  <c r="AX200" i="1"/>
  <c r="AR200" i="1"/>
  <c r="AX81" i="1"/>
  <c r="AR81" i="1"/>
  <c r="AX221" i="1"/>
  <c r="AR221" i="1"/>
  <c r="AX557" i="1"/>
  <c r="AR557" i="1"/>
  <c r="AX129" i="1"/>
  <c r="AR129" i="1"/>
  <c r="AX635" i="1"/>
  <c r="AR635" i="1"/>
  <c r="AX82" i="1"/>
  <c r="AR82" i="1"/>
  <c r="AX474" i="1"/>
  <c r="AR474" i="1"/>
  <c r="AX471" i="1"/>
  <c r="AR471" i="1"/>
  <c r="AX412" i="1"/>
  <c r="AR412" i="1"/>
  <c r="AX400" i="1"/>
  <c r="AR400" i="1"/>
  <c r="AX222" i="1"/>
  <c r="AR222" i="1"/>
  <c r="AX80" i="1"/>
  <c r="AR80" i="1"/>
  <c r="AX85" i="1"/>
  <c r="AR85" i="1"/>
  <c r="AX631" i="1"/>
  <c r="AR631" i="1"/>
  <c r="AX83" i="1"/>
  <c r="AR83" i="1"/>
  <c r="AX162" i="1"/>
  <c r="AR162" i="1"/>
  <c r="AX239" i="1"/>
  <c r="AR239" i="1"/>
  <c r="AX466" i="1"/>
  <c r="AR466" i="1"/>
  <c r="AX100" i="1"/>
  <c r="AR100" i="1"/>
  <c r="AX494" i="1"/>
  <c r="AR494" i="1"/>
  <c r="AX495" i="1"/>
  <c r="AR495" i="1"/>
  <c r="AX463" i="1"/>
  <c r="AR463" i="1"/>
  <c r="AX462" i="1"/>
  <c r="AR462" i="1"/>
  <c r="AX160" i="1"/>
  <c r="AR160" i="1"/>
  <c r="AX119" i="1"/>
  <c r="AR119" i="1"/>
  <c r="AX486" i="1"/>
  <c r="AR486" i="1"/>
  <c r="AX479" i="1"/>
  <c r="AR479" i="1"/>
  <c r="AX470" i="1"/>
  <c r="AR470" i="1"/>
  <c r="AX478" i="1"/>
  <c r="AR478" i="1"/>
  <c r="AX488" i="1"/>
  <c r="AR488" i="1"/>
  <c r="AX79" i="1"/>
  <c r="AR79" i="1"/>
  <c r="AX161" i="1"/>
  <c r="AR161" i="1"/>
  <c r="AX54" i="1"/>
  <c r="AR54" i="1"/>
  <c r="AX207" i="1"/>
  <c r="AR207" i="1"/>
  <c r="AX55" i="1"/>
  <c r="AR55" i="1"/>
  <c r="AX1009" i="1"/>
  <c r="AR1009" i="1"/>
  <c r="AX992" i="1"/>
  <c r="AR992" i="1"/>
  <c r="AX469" i="1"/>
  <c r="AR469" i="1"/>
  <c r="AX164" i="1"/>
  <c r="AR164" i="1"/>
  <c r="AX141" i="1"/>
  <c r="AR141" i="1"/>
  <c r="AX497" i="1"/>
  <c r="AR497" i="1"/>
  <c r="AX166" i="1"/>
  <c r="AR166" i="1"/>
  <c r="AX228" i="1"/>
  <c r="AR228" i="1"/>
  <c r="AX498" i="1"/>
  <c r="AR498" i="1"/>
  <c r="AX87" i="1"/>
  <c r="AR87" i="1"/>
  <c r="AX74" i="1"/>
  <c r="AR74" i="1"/>
  <c r="AX514" i="1"/>
  <c r="AR514" i="1"/>
  <c r="AX499" i="1"/>
  <c r="AR499" i="1"/>
  <c r="AX461" i="1"/>
  <c r="AR461" i="1"/>
  <c r="AX143" i="1"/>
  <c r="AR143" i="1"/>
  <c r="AX159" i="1"/>
  <c r="AR159" i="1"/>
  <c r="AX84" i="1"/>
  <c r="AR84" i="1"/>
  <c r="AX124" i="1"/>
  <c r="AR124" i="1"/>
  <c r="AX500" i="1"/>
  <c r="AR500" i="1"/>
  <c r="AX158" i="1"/>
  <c r="AR158" i="1"/>
  <c r="AX198" i="1"/>
  <c r="AR198" i="1"/>
  <c r="AX197" i="1"/>
  <c r="AR197" i="1"/>
  <c r="AX125" i="1"/>
  <c r="AR125" i="1"/>
  <c r="AX123" i="1"/>
  <c r="AR123" i="1"/>
  <c r="AX456" i="1"/>
  <c r="AR456" i="1"/>
  <c r="AX451" i="1"/>
  <c r="AR451" i="1"/>
  <c r="AX118" i="1"/>
  <c r="AR118" i="1"/>
  <c r="AX230" i="1"/>
  <c r="AR230" i="1"/>
  <c r="AX163" i="1"/>
  <c r="AR163" i="1"/>
  <c r="AX157" i="1"/>
  <c r="AR157" i="1"/>
  <c r="AX379" i="1"/>
  <c r="AR379" i="1"/>
  <c r="AX460" i="1"/>
  <c r="AR460" i="1"/>
  <c r="AX215" i="1"/>
  <c r="AR215" i="1"/>
  <c r="AX117" i="1"/>
  <c r="AR117" i="1"/>
  <c r="AX458" i="1"/>
  <c r="AR458" i="1"/>
  <c r="AX122" i="1"/>
  <c r="AR122" i="1"/>
  <c r="AX233" i="1"/>
  <c r="AR233" i="1"/>
  <c r="AX588" i="1"/>
  <c r="AR588" i="1"/>
  <c r="AX201" i="1"/>
  <c r="AR201" i="1"/>
  <c r="AX155" i="1"/>
  <c r="AR155" i="1"/>
  <c r="AX165" i="1"/>
  <c r="AR165" i="1"/>
  <c r="AX70" i="1"/>
  <c r="AR70" i="1"/>
  <c r="AX154" i="1"/>
  <c r="AR154" i="1"/>
  <c r="AX120" i="1"/>
  <c r="AR120" i="1"/>
  <c r="AX516" i="1"/>
  <c r="AR516" i="1"/>
  <c r="AX59" i="1"/>
  <c r="AR59" i="1"/>
  <c r="AX156" i="1"/>
  <c r="AR156" i="1"/>
  <c r="AX583" i="1"/>
  <c r="AR583" i="1"/>
  <c r="AX450" i="1"/>
  <c r="AR450" i="1"/>
  <c r="AX468" i="1"/>
  <c r="AR468" i="1"/>
  <c r="AX212" i="1"/>
  <c r="AR212" i="1"/>
  <c r="AX473" i="1"/>
  <c r="AR473" i="1"/>
  <c r="AX472" i="1"/>
  <c r="AR472" i="1"/>
  <c r="AX475" i="1"/>
  <c r="AR475" i="1"/>
  <c r="AX199" i="1"/>
  <c r="AR199" i="1"/>
  <c r="AX452" i="1"/>
  <c r="AR452" i="1"/>
  <c r="AX45" i="1"/>
  <c r="AR45" i="1"/>
  <c r="AX153" i="1"/>
  <c r="AR153" i="1"/>
  <c r="AX467" i="1"/>
  <c r="AR467" i="1"/>
  <c r="AX465" i="1"/>
  <c r="AR465" i="1"/>
  <c r="AX454" i="1"/>
  <c r="AR454" i="1"/>
  <c r="AX210" i="1"/>
  <c r="AR210" i="1"/>
  <c r="AX959" i="1"/>
  <c r="AR959" i="1"/>
  <c r="AX204" i="1"/>
  <c r="AR204" i="1"/>
  <c r="AX963" i="1"/>
  <c r="AR963" i="1"/>
  <c r="AX585" i="1"/>
  <c r="AR585" i="1"/>
  <c r="AR42" i="1"/>
  <c r="AX851" i="1"/>
  <c r="AR851" i="1"/>
  <c r="AX847" i="1"/>
  <c r="AR847" i="1"/>
  <c r="AX586" i="1"/>
  <c r="AR586" i="1"/>
  <c r="AX121" i="1"/>
  <c r="AR121" i="1"/>
  <c r="AX578" i="1"/>
  <c r="AR578" i="1"/>
  <c r="AX579" i="1"/>
  <c r="AR579" i="1"/>
  <c r="AX581" i="1"/>
  <c r="AR581" i="1"/>
  <c r="AX584" i="1"/>
  <c r="AR584" i="1"/>
  <c r="AX989" i="1"/>
  <c r="AR989" i="1"/>
  <c r="AX44" i="1"/>
  <c r="AR44" i="1"/>
  <c r="AX580" i="1"/>
  <c r="AR580" i="1"/>
  <c r="AX381" i="1"/>
  <c r="AR381" i="1"/>
  <c r="AX589" i="1"/>
  <c r="AR589" i="1"/>
  <c r="AX846" i="1"/>
  <c r="AR846" i="1"/>
  <c r="AX477" i="1"/>
  <c r="AR477" i="1"/>
  <c r="AX56" i="1"/>
  <c r="AR56" i="1"/>
  <c r="AX850" i="1"/>
  <c r="AR850" i="1"/>
  <c r="AX849" i="1"/>
  <c r="AR849" i="1"/>
  <c r="AX848" i="1"/>
  <c r="AR848" i="1"/>
  <c r="AX577" i="1"/>
  <c r="AR577" i="1"/>
  <c r="AX481" i="1"/>
  <c r="AR481" i="1"/>
  <c r="AX845" i="1"/>
  <c r="AR845" i="1"/>
  <c r="AX844" i="1"/>
  <c r="AR844" i="1"/>
  <c r="AX48" i="1"/>
  <c r="AR48" i="1"/>
  <c r="AX841" i="1"/>
  <c r="AR841" i="1"/>
  <c r="AX843" i="1"/>
  <c r="AR843" i="1"/>
  <c r="AX504" i="1"/>
  <c r="AR504" i="1"/>
  <c r="AX515" i="1"/>
  <c r="AR515" i="1"/>
  <c r="AX506" i="1"/>
  <c r="AR506" i="1"/>
  <c r="AX404" i="1"/>
  <c r="AR404" i="1"/>
  <c r="AX402" i="1"/>
  <c r="AR402" i="1"/>
  <c r="AX401" i="1"/>
  <c r="AR401" i="1"/>
  <c r="AX509" i="1"/>
  <c r="AR509" i="1"/>
  <c r="AX415" i="1"/>
  <c r="AR415" i="1"/>
  <c r="AX43" i="1"/>
  <c r="AR43" i="1"/>
  <c r="AX503" i="1"/>
  <c r="AR503" i="1"/>
  <c r="AX505" i="1"/>
  <c r="AR505" i="1"/>
  <c r="AX3" i="1"/>
  <c r="AR3" i="1"/>
  <c r="AX512" i="1"/>
  <c r="AR512" i="1"/>
  <c r="AX507" i="1"/>
  <c r="AR507" i="1"/>
  <c r="AX511" i="1"/>
  <c r="AR511" i="1"/>
  <c r="AX510" i="1"/>
  <c r="AR510" i="1"/>
  <c r="AX508" i="1"/>
  <c r="AR508" i="1"/>
  <c r="AX42" i="1" l="1"/>
  <c r="BS998" i="1"/>
  <c r="BR998" i="1"/>
  <c r="BQ998" i="1"/>
  <c r="BP998" i="1"/>
  <c r="BO998" i="1"/>
  <c r="BN998" i="1"/>
  <c r="BM998" i="1"/>
  <c r="BL998" i="1"/>
  <c r="BK998" i="1"/>
  <c r="BS1169" i="1"/>
  <c r="BR1169" i="1"/>
  <c r="BQ1169" i="1"/>
  <c r="BP1169" i="1"/>
  <c r="BO1169" i="1"/>
  <c r="BN1169" i="1"/>
  <c r="BM1169" i="1"/>
  <c r="BL1169" i="1"/>
  <c r="BK1169" i="1"/>
  <c r="BS1168" i="1"/>
  <c r="BR1168" i="1"/>
  <c r="BQ1168" i="1"/>
  <c r="BP1168" i="1"/>
  <c r="BO1168" i="1"/>
  <c r="BN1168" i="1"/>
  <c r="BM1168" i="1"/>
  <c r="BL1168" i="1"/>
  <c r="BK1168" i="1"/>
  <c r="BS1167" i="1"/>
  <c r="BR1167" i="1"/>
  <c r="BQ1167" i="1"/>
  <c r="BP1167" i="1"/>
  <c r="BO1167" i="1"/>
  <c r="BN1167" i="1"/>
  <c r="BM1167" i="1"/>
  <c r="BL1167" i="1"/>
  <c r="BK1167" i="1"/>
  <c r="BS945" i="1"/>
  <c r="BR945" i="1"/>
  <c r="BQ945" i="1"/>
  <c r="BP945" i="1"/>
  <c r="BO945" i="1"/>
  <c r="BN945" i="1"/>
  <c r="BM945" i="1"/>
  <c r="BL945" i="1"/>
  <c r="BK945" i="1"/>
  <c r="BS1165" i="1"/>
  <c r="BR1165" i="1"/>
  <c r="BQ1165" i="1"/>
  <c r="BP1165" i="1"/>
  <c r="BO1165" i="1"/>
  <c r="BN1165" i="1"/>
  <c r="BM1165" i="1"/>
  <c r="BL1165" i="1"/>
  <c r="BK1165" i="1"/>
  <c r="BS660" i="1"/>
  <c r="BR660" i="1"/>
  <c r="BQ660" i="1"/>
  <c r="BP660" i="1"/>
  <c r="BO660" i="1"/>
  <c r="BN660" i="1"/>
  <c r="BM660" i="1"/>
  <c r="BL660" i="1"/>
  <c r="BK660" i="1"/>
  <c r="BS1162" i="1"/>
  <c r="BR1162" i="1"/>
  <c r="BQ1162" i="1"/>
  <c r="BP1162" i="1"/>
  <c r="BO1162" i="1"/>
  <c r="BN1162" i="1"/>
  <c r="BM1162" i="1"/>
  <c r="BL1162" i="1"/>
  <c r="BK1162" i="1"/>
  <c r="BS1161" i="1"/>
  <c r="BR1161" i="1"/>
  <c r="BQ1161" i="1"/>
  <c r="BP1161" i="1"/>
  <c r="BO1161" i="1"/>
  <c r="BN1161" i="1"/>
  <c r="BM1161" i="1"/>
  <c r="BL1161" i="1"/>
  <c r="BK1161" i="1"/>
  <c r="BS1160" i="1"/>
  <c r="BR1160" i="1"/>
  <c r="BQ1160" i="1"/>
  <c r="BP1160" i="1"/>
  <c r="BO1160" i="1"/>
  <c r="BN1160" i="1"/>
  <c r="BM1160" i="1"/>
  <c r="BL1160" i="1"/>
  <c r="BK1160" i="1"/>
  <c r="BS956" i="1"/>
  <c r="BR956" i="1"/>
  <c r="BQ956" i="1"/>
  <c r="BP956" i="1"/>
  <c r="BO956" i="1"/>
  <c r="BN956" i="1"/>
  <c r="BM956" i="1"/>
  <c r="BL956" i="1"/>
  <c r="BK956" i="1"/>
  <c r="BS652" i="1"/>
  <c r="BR652" i="1"/>
  <c r="BQ652" i="1"/>
  <c r="BP652" i="1"/>
  <c r="BO652" i="1"/>
  <c r="BN652" i="1"/>
  <c r="BM652" i="1"/>
  <c r="BL652" i="1"/>
  <c r="BK652" i="1"/>
  <c r="BS1157" i="1"/>
  <c r="BR1157" i="1"/>
  <c r="BQ1157" i="1"/>
  <c r="BP1157" i="1"/>
  <c r="BO1157" i="1"/>
  <c r="BN1157" i="1"/>
  <c r="BM1157" i="1"/>
  <c r="BL1157" i="1"/>
  <c r="BK1157" i="1"/>
  <c r="BS650" i="1"/>
  <c r="BR650" i="1"/>
  <c r="BQ650" i="1"/>
  <c r="BP650" i="1"/>
  <c r="BO650" i="1"/>
  <c r="BN650" i="1"/>
  <c r="BM650" i="1"/>
  <c r="BL650" i="1"/>
  <c r="BK650" i="1"/>
  <c r="BS1155" i="1"/>
  <c r="BR1155" i="1"/>
  <c r="BQ1155" i="1"/>
  <c r="BP1155" i="1"/>
  <c r="BO1155" i="1"/>
  <c r="BN1155" i="1"/>
  <c r="BM1155" i="1"/>
  <c r="BL1155" i="1"/>
  <c r="BK1155" i="1"/>
  <c r="BS1154" i="1"/>
  <c r="BR1154" i="1"/>
  <c r="BQ1154" i="1"/>
  <c r="BP1154" i="1"/>
  <c r="BO1154" i="1"/>
  <c r="BN1154" i="1"/>
  <c r="BM1154" i="1"/>
  <c r="BL1154" i="1"/>
  <c r="BK1154" i="1"/>
  <c r="BS1153" i="1"/>
  <c r="BR1153" i="1"/>
  <c r="BQ1153" i="1"/>
  <c r="BP1153" i="1"/>
  <c r="BO1153" i="1"/>
  <c r="BN1153" i="1"/>
  <c r="BM1153" i="1"/>
  <c r="BL1153" i="1"/>
  <c r="BK1153" i="1"/>
  <c r="BS431" i="1"/>
  <c r="BR431" i="1"/>
  <c r="BQ431" i="1"/>
  <c r="BP431" i="1"/>
  <c r="BO431" i="1"/>
  <c r="BN431" i="1"/>
  <c r="BM431" i="1"/>
  <c r="BL431" i="1"/>
  <c r="BK431" i="1"/>
  <c r="BS1151" i="1"/>
  <c r="BR1151" i="1"/>
  <c r="BQ1151" i="1"/>
  <c r="BP1151" i="1"/>
  <c r="BO1151" i="1"/>
  <c r="BN1151" i="1"/>
  <c r="BM1151" i="1"/>
  <c r="BL1151" i="1"/>
  <c r="BK1151" i="1"/>
  <c r="BS1150" i="1"/>
  <c r="BR1150" i="1"/>
  <c r="BQ1150" i="1"/>
  <c r="BP1150" i="1"/>
  <c r="BO1150" i="1"/>
  <c r="BN1150" i="1"/>
  <c r="BM1150" i="1"/>
  <c r="BL1150" i="1"/>
  <c r="BK1150" i="1"/>
  <c r="BS1149" i="1"/>
  <c r="BR1149" i="1"/>
  <c r="BQ1149" i="1"/>
  <c r="BP1149" i="1"/>
  <c r="BO1149" i="1"/>
  <c r="BN1149" i="1"/>
  <c r="BM1149" i="1"/>
  <c r="BL1149" i="1"/>
  <c r="BK1149" i="1"/>
  <c r="BS1148" i="1"/>
  <c r="BR1148" i="1"/>
  <c r="BQ1148" i="1"/>
  <c r="BP1148" i="1"/>
  <c r="BO1148" i="1"/>
  <c r="BN1148" i="1"/>
  <c r="BM1148" i="1"/>
  <c r="BL1148" i="1"/>
  <c r="BK1148" i="1"/>
  <c r="BS1147" i="1"/>
  <c r="BR1147" i="1"/>
  <c r="BQ1147" i="1"/>
  <c r="BP1147" i="1"/>
  <c r="BO1147" i="1"/>
  <c r="BN1147" i="1"/>
  <c r="BM1147" i="1"/>
  <c r="BL1147" i="1"/>
  <c r="BK1147" i="1"/>
  <c r="BS1146" i="1"/>
  <c r="BR1146" i="1"/>
  <c r="BQ1146" i="1"/>
  <c r="BP1146" i="1"/>
  <c r="BO1146" i="1"/>
  <c r="BN1146" i="1"/>
  <c r="BM1146" i="1"/>
  <c r="BL1146" i="1"/>
  <c r="BK1146" i="1"/>
  <c r="BS1145" i="1"/>
  <c r="BR1145" i="1"/>
  <c r="BQ1145" i="1"/>
  <c r="BP1145" i="1"/>
  <c r="BO1145" i="1"/>
  <c r="BN1145" i="1"/>
  <c r="BM1145" i="1"/>
  <c r="BL1145" i="1"/>
  <c r="BK1145" i="1"/>
  <c r="BS573" i="1"/>
  <c r="BR573" i="1"/>
  <c r="BQ573" i="1"/>
  <c r="BP573" i="1"/>
  <c r="BO573" i="1"/>
  <c r="BN573" i="1"/>
  <c r="BM573" i="1"/>
  <c r="BL573" i="1"/>
  <c r="BK573" i="1"/>
  <c r="BS1143" i="1"/>
  <c r="BR1143" i="1"/>
  <c r="BQ1143" i="1"/>
  <c r="BP1143" i="1"/>
  <c r="BO1143" i="1"/>
  <c r="BN1143" i="1"/>
  <c r="BM1143" i="1"/>
  <c r="BL1143" i="1"/>
  <c r="BK1143" i="1"/>
  <c r="BS1142" i="1"/>
  <c r="BR1142" i="1"/>
  <c r="BQ1142" i="1"/>
  <c r="BP1142" i="1"/>
  <c r="BO1142" i="1"/>
  <c r="BN1142" i="1"/>
  <c r="BM1142" i="1"/>
  <c r="BL1142" i="1"/>
  <c r="BK1142" i="1"/>
  <c r="BS1139" i="1"/>
  <c r="BR1139" i="1"/>
  <c r="BQ1139" i="1"/>
  <c r="BP1139" i="1"/>
  <c r="BO1139" i="1"/>
  <c r="BN1139" i="1"/>
  <c r="BM1139" i="1"/>
  <c r="BL1139" i="1"/>
  <c r="BK1139" i="1"/>
  <c r="BS1138" i="1"/>
  <c r="BR1138" i="1"/>
  <c r="BQ1138" i="1"/>
  <c r="BP1138" i="1"/>
  <c r="BO1138" i="1"/>
  <c r="BN1138" i="1"/>
  <c r="BM1138" i="1"/>
  <c r="BL1138" i="1"/>
  <c r="BK1138" i="1"/>
  <c r="BS1137" i="1"/>
  <c r="BR1137" i="1"/>
  <c r="BQ1137" i="1"/>
  <c r="BP1137" i="1"/>
  <c r="BO1137" i="1"/>
  <c r="BN1137" i="1"/>
  <c r="BM1137" i="1"/>
  <c r="BL1137" i="1"/>
  <c r="BK1137" i="1"/>
  <c r="BS632" i="1"/>
  <c r="BR632" i="1"/>
  <c r="BQ632" i="1"/>
  <c r="BP632" i="1"/>
  <c r="BO632" i="1"/>
  <c r="BN632" i="1"/>
  <c r="BM632" i="1"/>
  <c r="BL632" i="1"/>
  <c r="BK632" i="1"/>
  <c r="BS935" i="1"/>
  <c r="BR935" i="1"/>
  <c r="BQ935" i="1"/>
  <c r="BP935" i="1"/>
  <c r="BO935" i="1"/>
  <c r="BN935" i="1"/>
  <c r="BM935" i="1"/>
  <c r="BL935" i="1"/>
  <c r="BK935" i="1"/>
  <c r="BS627" i="1"/>
  <c r="BR627" i="1"/>
  <c r="BQ627" i="1"/>
  <c r="BP627" i="1"/>
  <c r="BO627" i="1"/>
  <c r="BN627" i="1"/>
  <c r="BM627" i="1"/>
  <c r="BL627" i="1"/>
  <c r="BK627" i="1"/>
  <c r="BS1133" i="1"/>
  <c r="BR1133" i="1"/>
  <c r="BQ1133" i="1"/>
  <c r="BP1133" i="1"/>
  <c r="BO1133" i="1"/>
  <c r="BN1133" i="1"/>
  <c r="BM1133" i="1"/>
  <c r="BL1133" i="1"/>
  <c r="BK1133" i="1"/>
  <c r="BS1132" i="1"/>
  <c r="BR1132" i="1"/>
  <c r="BQ1132" i="1"/>
  <c r="BP1132" i="1"/>
  <c r="BO1132" i="1"/>
  <c r="BN1132" i="1"/>
  <c r="BM1132" i="1"/>
  <c r="BL1132" i="1"/>
  <c r="BK1132" i="1"/>
  <c r="BS1131" i="1"/>
  <c r="BR1131" i="1"/>
  <c r="BQ1131" i="1"/>
  <c r="BP1131" i="1"/>
  <c r="BO1131" i="1"/>
  <c r="BN1131" i="1"/>
  <c r="BM1131" i="1"/>
  <c r="BL1131" i="1"/>
  <c r="BK1131" i="1"/>
  <c r="BS1130" i="1"/>
  <c r="BR1130" i="1"/>
  <c r="BQ1130" i="1"/>
  <c r="BP1130" i="1"/>
  <c r="BO1130" i="1"/>
  <c r="BN1130" i="1"/>
  <c r="BM1130" i="1"/>
  <c r="BL1130" i="1"/>
  <c r="BK1130" i="1"/>
  <c r="BS1129" i="1"/>
  <c r="BR1129" i="1"/>
  <c r="BQ1129" i="1"/>
  <c r="BP1129" i="1"/>
  <c r="BO1129" i="1"/>
  <c r="BN1129" i="1"/>
  <c r="BM1129" i="1"/>
  <c r="BL1129" i="1"/>
  <c r="BK1129" i="1"/>
  <c r="BS1128" i="1"/>
  <c r="BR1128" i="1"/>
  <c r="BQ1128" i="1"/>
  <c r="BP1128" i="1"/>
  <c r="BO1128" i="1"/>
  <c r="BN1128" i="1"/>
  <c r="BM1128" i="1"/>
  <c r="BL1128" i="1"/>
  <c r="BK1128" i="1"/>
  <c r="BS613" i="1"/>
  <c r="BR613" i="1"/>
  <c r="BQ613" i="1"/>
  <c r="BP613" i="1"/>
  <c r="BO613" i="1"/>
  <c r="BN613" i="1"/>
  <c r="BM613" i="1"/>
  <c r="BL613" i="1"/>
  <c r="BK613" i="1"/>
  <c r="BS611" i="1"/>
  <c r="BR611" i="1"/>
  <c r="BQ611" i="1"/>
  <c r="BP611" i="1"/>
  <c r="BO611" i="1"/>
  <c r="BN611" i="1"/>
  <c r="BM611" i="1"/>
  <c r="BL611" i="1"/>
  <c r="BK611" i="1"/>
  <c r="BS308" i="1"/>
  <c r="BR308" i="1"/>
  <c r="BQ308" i="1"/>
  <c r="BP308" i="1"/>
  <c r="BO308" i="1"/>
  <c r="BN308" i="1"/>
  <c r="BM308" i="1"/>
  <c r="BL308" i="1"/>
  <c r="BK308" i="1"/>
  <c r="BS1124" i="1"/>
  <c r="BR1124" i="1"/>
  <c r="BQ1124" i="1"/>
  <c r="BP1124" i="1"/>
  <c r="BO1124" i="1"/>
  <c r="BN1124" i="1"/>
  <c r="BM1124" i="1"/>
  <c r="BL1124" i="1"/>
  <c r="BK1124" i="1"/>
  <c r="BS1123" i="1"/>
  <c r="BR1123" i="1"/>
  <c r="BQ1123" i="1"/>
  <c r="BP1123" i="1"/>
  <c r="BO1123" i="1"/>
  <c r="BN1123" i="1"/>
  <c r="BM1123" i="1"/>
  <c r="BL1123" i="1"/>
  <c r="BK1123" i="1"/>
  <c r="BS1122" i="1"/>
  <c r="BR1122" i="1"/>
  <c r="BQ1122" i="1"/>
  <c r="BP1122" i="1"/>
  <c r="BO1122" i="1"/>
  <c r="BN1122" i="1"/>
  <c r="BM1122" i="1"/>
  <c r="BL1122" i="1"/>
  <c r="BK1122" i="1"/>
  <c r="BS1121" i="1"/>
  <c r="BR1121" i="1"/>
  <c r="BQ1121" i="1"/>
  <c r="BP1121" i="1"/>
  <c r="BO1121" i="1"/>
  <c r="BN1121" i="1"/>
  <c r="BM1121" i="1"/>
  <c r="BL1121" i="1"/>
  <c r="BK1121" i="1"/>
  <c r="BS1120" i="1"/>
  <c r="BR1120" i="1"/>
  <c r="BQ1120" i="1"/>
  <c r="BP1120" i="1"/>
  <c r="BO1120" i="1"/>
  <c r="BN1120" i="1"/>
  <c r="BM1120" i="1"/>
  <c r="BL1120" i="1"/>
  <c r="BK1120" i="1"/>
  <c r="BS1118" i="1"/>
  <c r="BR1118" i="1"/>
  <c r="BQ1118" i="1"/>
  <c r="BP1118" i="1"/>
  <c r="BO1118" i="1"/>
  <c r="BN1118" i="1"/>
  <c r="BM1118" i="1"/>
  <c r="BL1118" i="1"/>
  <c r="BK1118" i="1"/>
  <c r="BS485" i="1"/>
  <c r="BR485" i="1"/>
  <c r="BQ485" i="1"/>
  <c r="BP485" i="1"/>
  <c r="BO485" i="1"/>
  <c r="BN485" i="1"/>
  <c r="BM485" i="1"/>
  <c r="BL485" i="1"/>
  <c r="BK485" i="1"/>
  <c r="BS737" i="1"/>
  <c r="BR737" i="1"/>
  <c r="BQ737" i="1"/>
  <c r="BP737" i="1"/>
  <c r="BO737" i="1"/>
  <c r="BN737" i="1"/>
  <c r="BM737" i="1"/>
  <c r="BL737" i="1"/>
  <c r="BK737" i="1"/>
  <c r="BS1115" i="1"/>
  <c r="BR1115" i="1"/>
  <c r="BQ1115" i="1"/>
  <c r="BP1115" i="1"/>
  <c r="BO1115" i="1"/>
  <c r="BN1115" i="1"/>
  <c r="BM1115" i="1"/>
  <c r="BL1115" i="1"/>
  <c r="BK1115" i="1"/>
  <c r="BS1114" i="1"/>
  <c r="BR1114" i="1"/>
  <c r="BQ1114" i="1"/>
  <c r="BP1114" i="1"/>
  <c r="BO1114" i="1"/>
  <c r="BN1114" i="1"/>
  <c r="BM1114" i="1"/>
  <c r="BL1114" i="1"/>
  <c r="BK1114" i="1"/>
  <c r="BS1113" i="1"/>
  <c r="BR1113" i="1"/>
  <c r="BQ1113" i="1"/>
  <c r="BP1113" i="1"/>
  <c r="BO1113" i="1"/>
  <c r="BN1113" i="1"/>
  <c r="BM1113" i="1"/>
  <c r="BL1113" i="1"/>
  <c r="BK1113" i="1"/>
  <c r="BS1112" i="1"/>
  <c r="BR1112" i="1"/>
  <c r="BQ1112" i="1"/>
  <c r="BP1112" i="1"/>
  <c r="BO1112" i="1"/>
  <c r="BN1112" i="1"/>
  <c r="BM1112" i="1"/>
  <c r="BL1112" i="1"/>
  <c r="BK1112" i="1"/>
  <c r="BS1111" i="1"/>
  <c r="BR1111" i="1"/>
  <c r="BQ1111" i="1"/>
  <c r="BP1111" i="1"/>
  <c r="BO1111" i="1"/>
  <c r="BN1111" i="1"/>
  <c r="BM1111" i="1"/>
  <c r="BL1111" i="1"/>
  <c r="BK1111" i="1"/>
  <c r="BS1110" i="1"/>
  <c r="BR1110" i="1"/>
  <c r="BQ1110" i="1"/>
  <c r="BP1110" i="1"/>
  <c r="BO1110" i="1"/>
  <c r="BN1110" i="1"/>
  <c r="BM1110" i="1"/>
  <c r="BL1110" i="1"/>
  <c r="BK1110" i="1"/>
  <c r="BS1109" i="1"/>
  <c r="BR1109" i="1"/>
  <c r="BQ1109" i="1"/>
  <c r="BP1109" i="1"/>
  <c r="BO1109" i="1"/>
  <c r="BN1109" i="1"/>
  <c r="BM1109" i="1"/>
  <c r="BL1109" i="1"/>
  <c r="BK1109" i="1"/>
  <c r="BS1108" i="1"/>
  <c r="BR1108" i="1"/>
  <c r="BQ1108" i="1"/>
  <c r="BP1108" i="1"/>
  <c r="BO1108" i="1"/>
  <c r="BN1108" i="1"/>
  <c r="BM1108" i="1"/>
  <c r="BL1108" i="1"/>
  <c r="BK1108" i="1"/>
  <c r="BS1107" i="1"/>
  <c r="BR1107" i="1"/>
  <c r="BQ1107" i="1"/>
  <c r="BP1107" i="1"/>
  <c r="BO1107" i="1"/>
  <c r="BN1107" i="1"/>
  <c r="BM1107" i="1"/>
  <c r="BL1107" i="1"/>
  <c r="BK1107" i="1"/>
  <c r="BS1106" i="1"/>
  <c r="BR1106" i="1"/>
  <c r="BQ1106" i="1"/>
  <c r="BP1106" i="1"/>
  <c r="BO1106" i="1"/>
  <c r="BN1106" i="1"/>
  <c r="BM1106" i="1"/>
  <c r="BL1106" i="1"/>
  <c r="BK1106" i="1"/>
  <c r="BS1105" i="1"/>
  <c r="BR1105" i="1"/>
  <c r="BQ1105" i="1"/>
  <c r="BP1105" i="1"/>
  <c r="BO1105" i="1"/>
  <c r="BN1105" i="1"/>
  <c r="BM1105" i="1"/>
  <c r="BL1105" i="1"/>
  <c r="BK1105" i="1"/>
  <c r="BS1104" i="1"/>
  <c r="BR1104" i="1"/>
  <c r="BQ1104" i="1"/>
  <c r="BP1104" i="1"/>
  <c r="BO1104" i="1"/>
  <c r="BN1104" i="1"/>
  <c r="BM1104" i="1"/>
  <c r="BL1104" i="1"/>
  <c r="BK1104" i="1"/>
  <c r="BS378" i="1"/>
  <c r="BR378" i="1"/>
  <c r="BQ378" i="1"/>
  <c r="BP378" i="1"/>
  <c r="BO378" i="1"/>
  <c r="BN378" i="1"/>
  <c r="BM378" i="1"/>
  <c r="BL378" i="1"/>
  <c r="BK378" i="1"/>
  <c r="BS280" i="1"/>
  <c r="BR280" i="1"/>
  <c r="BQ280" i="1"/>
  <c r="BP280" i="1"/>
  <c r="BO280" i="1"/>
  <c r="BN280" i="1"/>
  <c r="BM280" i="1"/>
  <c r="BL280" i="1"/>
  <c r="BK280" i="1"/>
  <c r="BS1101" i="1"/>
  <c r="BR1101" i="1"/>
  <c r="BQ1101" i="1"/>
  <c r="BP1101" i="1"/>
  <c r="BO1101" i="1"/>
  <c r="BN1101" i="1"/>
  <c r="BM1101" i="1"/>
  <c r="BL1101" i="1"/>
  <c r="BK1101" i="1"/>
  <c r="BS1100" i="1"/>
  <c r="BR1100" i="1"/>
  <c r="BQ1100" i="1"/>
  <c r="BP1100" i="1"/>
  <c r="BO1100" i="1"/>
  <c r="BN1100" i="1"/>
  <c r="BM1100" i="1"/>
  <c r="BL1100" i="1"/>
  <c r="BK1100" i="1"/>
  <c r="BS1099" i="1"/>
  <c r="BR1099" i="1"/>
  <c r="BQ1099" i="1"/>
  <c r="BP1099" i="1"/>
  <c r="BO1099" i="1"/>
  <c r="BN1099" i="1"/>
  <c r="BM1099" i="1"/>
  <c r="BL1099" i="1"/>
  <c r="BK1099" i="1"/>
  <c r="BS926" i="1"/>
  <c r="BR926" i="1"/>
  <c r="BQ926" i="1"/>
  <c r="BP926" i="1"/>
  <c r="BO926" i="1"/>
  <c r="BN926" i="1"/>
  <c r="BM926" i="1"/>
  <c r="BL926" i="1"/>
  <c r="BK926" i="1"/>
  <c r="BS267" i="1"/>
  <c r="BR267" i="1"/>
  <c r="BQ267" i="1"/>
  <c r="BP267" i="1"/>
  <c r="BO267" i="1"/>
  <c r="BN267" i="1"/>
  <c r="BM267" i="1"/>
  <c r="BL267" i="1"/>
  <c r="BK267" i="1"/>
  <c r="BS1096" i="1"/>
  <c r="BR1096" i="1"/>
  <c r="BQ1096" i="1"/>
  <c r="BP1096" i="1"/>
  <c r="BO1096" i="1"/>
  <c r="BN1096" i="1"/>
  <c r="BM1096" i="1"/>
  <c r="BL1096" i="1"/>
  <c r="BK1096" i="1"/>
  <c r="BS1095" i="1"/>
  <c r="BR1095" i="1"/>
  <c r="BQ1095" i="1"/>
  <c r="BP1095" i="1"/>
  <c r="BO1095" i="1"/>
  <c r="BN1095" i="1"/>
  <c r="BM1095" i="1"/>
  <c r="BL1095" i="1"/>
  <c r="BK1095" i="1"/>
  <c r="BS1094" i="1"/>
  <c r="BR1094" i="1"/>
  <c r="BQ1094" i="1"/>
  <c r="BP1094" i="1"/>
  <c r="BO1094" i="1"/>
  <c r="BN1094" i="1"/>
  <c r="BM1094" i="1"/>
  <c r="BL1094" i="1"/>
  <c r="BK1094" i="1"/>
  <c r="BS1093" i="1"/>
  <c r="BR1093" i="1"/>
  <c r="BQ1093" i="1"/>
  <c r="BP1093" i="1"/>
  <c r="BO1093" i="1"/>
  <c r="BN1093" i="1"/>
  <c r="BM1093" i="1"/>
  <c r="BL1093" i="1"/>
  <c r="BK1093" i="1"/>
  <c r="BS1092" i="1"/>
  <c r="BR1092" i="1"/>
  <c r="BQ1092" i="1"/>
  <c r="BP1092" i="1"/>
  <c r="BO1092" i="1"/>
  <c r="BN1092" i="1"/>
  <c r="BM1092" i="1"/>
  <c r="BL1092" i="1"/>
  <c r="BK1092" i="1"/>
  <c r="BS1091" i="1"/>
  <c r="BR1091" i="1"/>
  <c r="BQ1091" i="1"/>
  <c r="BP1091" i="1"/>
  <c r="BO1091" i="1"/>
  <c r="BN1091" i="1"/>
  <c r="BM1091" i="1"/>
  <c r="BL1091" i="1"/>
  <c r="BK1091" i="1"/>
  <c r="BS180" i="1"/>
  <c r="BR180" i="1"/>
  <c r="BQ180" i="1"/>
  <c r="BP180" i="1"/>
  <c r="BO180" i="1"/>
  <c r="BN180" i="1"/>
  <c r="BM180" i="1"/>
  <c r="BL180" i="1"/>
  <c r="BK180" i="1"/>
  <c r="BS205" i="1"/>
  <c r="BR205" i="1"/>
  <c r="BQ205" i="1"/>
  <c r="BP205" i="1"/>
  <c r="BO205" i="1"/>
  <c r="BN205" i="1"/>
  <c r="BM205" i="1"/>
  <c r="BL205" i="1"/>
  <c r="BK205" i="1"/>
  <c r="BS193" i="1"/>
  <c r="BR193" i="1"/>
  <c r="BQ193" i="1"/>
  <c r="BP193" i="1"/>
  <c r="BO193" i="1"/>
  <c r="BN193" i="1"/>
  <c r="BM193" i="1"/>
  <c r="BL193" i="1"/>
  <c r="BK193" i="1"/>
  <c r="BS1087" i="1"/>
  <c r="BR1087" i="1"/>
  <c r="BQ1087" i="1"/>
  <c r="BP1087" i="1"/>
  <c r="BO1087" i="1"/>
  <c r="BN1087" i="1"/>
  <c r="BM1087" i="1"/>
  <c r="BL1087" i="1"/>
  <c r="BK1087" i="1"/>
  <c r="BS1086" i="1"/>
  <c r="BR1086" i="1"/>
  <c r="BQ1086" i="1"/>
  <c r="BP1086" i="1"/>
  <c r="BO1086" i="1"/>
  <c r="BN1086" i="1"/>
  <c r="BM1086" i="1"/>
  <c r="BL1086" i="1"/>
  <c r="BK1086" i="1"/>
  <c r="BS719" i="1"/>
  <c r="BR719" i="1"/>
  <c r="BQ719" i="1"/>
  <c r="BP719" i="1"/>
  <c r="BO719" i="1"/>
  <c r="BN719" i="1"/>
  <c r="BM719" i="1"/>
  <c r="BL719" i="1"/>
  <c r="BK719" i="1"/>
  <c r="BS590" i="1"/>
  <c r="BR590" i="1"/>
  <c r="BQ590" i="1"/>
  <c r="BP590" i="1"/>
  <c r="BO590" i="1"/>
  <c r="BN590" i="1"/>
  <c r="BM590" i="1"/>
  <c r="BL590" i="1"/>
  <c r="BK590" i="1"/>
  <c r="BS1083" i="1"/>
  <c r="BR1083" i="1"/>
  <c r="BQ1083" i="1"/>
  <c r="BP1083" i="1"/>
  <c r="BO1083" i="1"/>
  <c r="BN1083" i="1"/>
  <c r="BM1083" i="1"/>
  <c r="BL1083" i="1"/>
  <c r="BK1083" i="1"/>
  <c r="BS918" i="1"/>
  <c r="BR918" i="1"/>
  <c r="BQ918" i="1"/>
  <c r="BP918" i="1"/>
  <c r="BO918" i="1"/>
  <c r="BN918" i="1"/>
  <c r="BM918" i="1"/>
  <c r="BL918" i="1"/>
  <c r="BK918" i="1"/>
  <c r="BS1081" i="1"/>
  <c r="BR1081" i="1"/>
  <c r="BQ1081" i="1"/>
  <c r="BP1081" i="1"/>
  <c r="BO1081" i="1"/>
  <c r="BN1081" i="1"/>
  <c r="BM1081" i="1"/>
  <c r="BL1081" i="1"/>
  <c r="BK1081" i="1"/>
  <c r="BS917" i="1"/>
  <c r="BR917" i="1"/>
  <c r="BQ917" i="1"/>
  <c r="BP917" i="1"/>
  <c r="BO917" i="1"/>
  <c r="BN917" i="1"/>
  <c r="BM917" i="1"/>
  <c r="BL917" i="1"/>
  <c r="BK917" i="1"/>
  <c r="BS1079" i="1"/>
  <c r="BR1079" i="1"/>
  <c r="BQ1079" i="1"/>
  <c r="BP1079" i="1"/>
  <c r="BO1079" i="1"/>
  <c r="BN1079" i="1"/>
  <c r="BM1079" i="1"/>
  <c r="BL1079" i="1"/>
  <c r="BK1079" i="1"/>
  <c r="BS1078" i="1"/>
  <c r="BR1078" i="1"/>
  <c r="BQ1078" i="1"/>
  <c r="BP1078" i="1"/>
  <c r="BO1078" i="1"/>
  <c r="BN1078" i="1"/>
  <c r="BM1078" i="1"/>
  <c r="BL1078" i="1"/>
  <c r="BK1078" i="1"/>
  <c r="BS1077" i="1"/>
  <c r="BR1077" i="1"/>
  <c r="BQ1077" i="1"/>
  <c r="BP1077" i="1"/>
  <c r="BO1077" i="1"/>
  <c r="BN1077" i="1"/>
  <c r="BM1077" i="1"/>
  <c r="BL1077" i="1"/>
  <c r="BK1077" i="1"/>
  <c r="BS1076" i="1"/>
  <c r="BR1076" i="1"/>
  <c r="BQ1076" i="1"/>
  <c r="BP1076" i="1"/>
  <c r="BO1076" i="1"/>
  <c r="BN1076" i="1"/>
  <c r="BM1076" i="1"/>
  <c r="BL1076" i="1"/>
  <c r="BK1076" i="1"/>
  <c r="BS256" i="1"/>
  <c r="BR256" i="1"/>
  <c r="BQ256" i="1"/>
  <c r="BP256" i="1"/>
  <c r="BO256" i="1"/>
  <c r="BN256" i="1"/>
  <c r="BM256" i="1"/>
  <c r="BL256" i="1"/>
  <c r="BK256" i="1"/>
  <c r="BS1074" i="1"/>
  <c r="BR1074" i="1"/>
  <c r="BQ1074" i="1"/>
  <c r="BP1074" i="1"/>
  <c r="BO1074" i="1"/>
  <c r="BN1074" i="1"/>
  <c r="BM1074" i="1"/>
  <c r="BL1074" i="1"/>
  <c r="BK1074" i="1"/>
  <c r="BS1073" i="1"/>
  <c r="BR1073" i="1"/>
  <c r="BQ1073" i="1"/>
  <c r="BP1073" i="1"/>
  <c r="BO1073" i="1"/>
  <c r="BN1073" i="1"/>
  <c r="BM1073" i="1"/>
  <c r="BL1073" i="1"/>
  <c r="BK1073" i="1"/>
  <c r="BS1072" i="1"/>
  <c r="BR1072" i="1"/>
  <c r="BQ1072" i="1"/>
  <c r="BP1072" i="1"/>
  <c r="BO1072" i="1"/>
  <c r="BN1072" i="1"/>
  <c r="BM1072" i="1"/>
  <c r="BL1072" i="1"/>
  <c r="BK1072" i="1"/>
  <c r="BS1071" i="1"/>
  <c r="BR1071" i="1"/>
  <c r="BQ1071" i="1"/>
  <c r="BP1071" i="1"/>
  <c r="BO1071" i="1"/>
  <c r="BN1071" i="1"/>
  <c r="BM1071" i="1"/>
  <c r="BL1071" i="1"/>
  <c r="BK1071" i="1"/>
  <c r="BS1070" i="1"/>
  <c r="BR1070" i="1"/>
  <c r="BQ1070" i="1"/>
  <c r="BP1070" i="1"/>
  <c r="BO1070" i="1"/>
  <c r="BN1070" i="1"/>
  <c r="BM1070" i="1"/>
  <c r="BL1070" i="1"/>
  <c r="BK1070" i="1"/>
  <c r="BS1069" i="1"/>
  <c r="BR1069" i="1"/>
  <c r="BQ1069" i="1"/>
  <c r="BP1069" i="1"/>
  <c r="BO1069" i="1"/>
  <c r="BN1069" i="1"/>
  <c r="BM1069" i="1"/>
  <c r="BL1069" i="1"/>
  <c r="BK1069" i="1"/>
  <c r="BS1068" i="1"/>
  <c r="BR1068" i="1"/>
  <c r="BQ1068" i="1"/>
  <c r="BP1068" i="1"/>
  <c r="BO1068" i="1"/>
  <c r="BN1068" i="1"/>
  <c r="BM1068" i="1"/>
  <c r="BL1068" i="1"/>
  <c r="BK1068" i="1"/>
  <c r="BS188" i="1"/>
  <c r="BR188" i="1"/>
  <c r="BQ188" i="1"/>
  <c r="BP188" i="1"/>
  <c r="BO188" i="1"/>
  <c r="BN188" i="1"/>
  <c r="BM188" i="1"/>
  <c r="BL188" i="1"/>
  <c r="BK188" i="1"/>
  <c r="BS1066" i="1"/>
  <c r="BR1066" i="1"/>
  <c r="BQ1066" i="1"/>
  <c r="BP1066" i="1"/>
  <c r="BO1066" i="1"/>
  <c r="BN1066" i="1"/>
  <c r="BM1066" i="1"/>
  <c r="BL1066" i="1"/>
  <c r="BK1066" i="1"/>
  <c r="BS1065" i="1"/>
  <c r="BR1065" i="1"/>
  <c r="BQ1065" i="1"/>
  <c r="BP1065" i="1"/>
  <c r="BO1065" i="1"/>
  <c r="BN1065" i="1"/>
  <c r="BM1065" i="1"/>
  <c r="BL1065" i="1"/>
  <c r="BK1065" i="1"/>
  <c r="BS1064" i="1"/>
  <c r="BR1064" i="1"/>
  <c r="BQ1064" i="1"/>
  <c r="BP1064" i="1"/>
  <c r="BO1064" i="1"/>
  <c r="BN1064" i="1"/>
  <c r="BM1064" i="1"/>
  <c r="BL1064" i="1"/>
  <c r="BK1064" i="1"/>
  <c r="BS1063" i="1"/>
  <c r="BR1063" i="1"/>
  <c r="BQ1063" i="1"/>
  <c r="BP1063" i="1"/>
  <c r="BO1063" i="1"/>
  <c r="BN1063" i="1"/>
  <c r="BM1063" i="1"/>
  <c r="BL1063" i="1"/>
  <c r="BK1063" i="1"/>
  <c r="BS1060" i="1"/>
  <c r="BR1060" i="1"/>
  <c r="BQ1060" i="1"/>
  <c r="BP1060" i="1"/>
  <c r="BO1060" i="1"/>
  <c r="BN1060" i="1"/>
  <c r="BM1060" i="1"/>
  <c r="BL1060" i="1"/>
  <c r="BK1060" i="1"/>
  <c r="BS314" i="1"/>
  <c r="BR314" i="1"/>
  <c r="BQ314" i="1"/>
  <c r="BP314" i="1"/>
  <c r="BO314" i="1"/>
  <c r="BN314" i="1"/>
  <c r="BM314" i="1"/>
  <c r="BL314" i="1"/>
  <c r="BK314" i="1"/>
  <c r="BS1058" i="1"/>
  <c r="BR1058" i="1"/>
  <c r="BQ1058" i="1"/>
  <c r="BP1058" i="1"/>
  <c r="BO1058" i="1"/>
  <c r="BN1058" i="1"/>
  <c r="BM1058" i="1"/>
  <c r="BL1058" i="1"/>
  <c r="BK1058" i="1"/>
  <c r="BS916" i="1"/>
  <c r="BR916" i="1"/>
  <c r="BQ916" i="1"/>
  <c r="BP916" i="1"/>
  <c r="BO916" i="1"/>
  <c r="BN916" i="1"/>
  <c r="BM916" i="1"/>
  <c r="BL916" i="1"/>
  <c r="BK916" i="1"/>
  <c r="BS185" i="1"/>
  <c r="BR185" i="1"/>
  <c r="BQ185" i="1"/>
  <c r="BP185" i="1"/>
  <c r="BO185" i="1"/>
  <c r="BN185" i="1"/>
  <c r="BM185" i="1"/>
  <c r="BL185" i="1"/>
  <c r="BK185" i="1"/>
  <c r="BS1054" i="1"/>
  <c r="BR1054" i="1"/>
  <c r="BQ1054" i="1"/>
  <c r="BP1054" i="1"/>
  <c r="BO1054" i="1"/>
  <c r="BN1054" i="1"/>
  <c r="BM1054" i="1"/>
  <c r="BL1054" i="1"/>
  <c r="BK1054" i="1"/>
  <c r="BS1053" i="1"/>
  <c r="BR1053" i="1"/>
  <c r="BQ1053" i="1"/>
  <c r="BP1053" i="1"/>
  <c r="BO1053" i="1"/>
  <c r="BN1053" i="1"/>
  <c r="BM1053" i="1"/>
  <c r="BL1053" i="1"/>
  <c r="BK1053" i="1"/>
  <c r="BS1052" i="1"/>
  <c r="BR1052" i="1"/>
  <c r="BQ1052" i="1"/>
  <c r="BP1052" i="1"/>
  <c r="BO1052" i="1"/>
  <c r="BN1052" i="1"/>
  <c r="BM1052" i="1"/>
  <c r="BL1052" i="1"/>
  <c r="BK1052" i="1"/>
  <c r="BS1051" i="1"/>
  <c r="BR1051" i="1"/>
  <c r="BQ1051" i="1"/>
  <c r="BP1051" i="1"/>
  <c r="BO1051" i="1"/>
  <c r="BN1051" i="1"/>
  <c r="BM1051" i="1"/>
  <c r="BL1051" i="1"/>
  <c r="BK1051" i="1"/>
  <c r="BS1050" i="1"/>
  <c r="BR1050" i="1"/>
  <c r="BQ1050" i="1"/>
  <c r="BP1050" i="1"/>
  <c r="BO1050" i="1"/>
  <c r="BN1050" i="1"/>
  <c r="BM1050" i="1"/>
  <c r="BL1050" i="1"/>
  <c r="BK1050" i="1"/>
  <c r="BS1049" i="1"/>
  <c r="BR1049" i="1"/>
  <c r="BQ1049" i="1"/>
  <c r="BP1049" i="1"/>
  <c r="BO1049" i="1"/>
  <c r="BN1049" i="1"/>
  <c r="BM1049" i="1"/>
  <c r="BL1049" i="1"/>
  <c r="BK1049" i="1"/>
  <c r="BS1048" i="1"/>
  <c r="BR1048" i="1"/>
  <c r="BQ1048" i="1"/>
  <c r="BP1048" i="1"/>
  <c r="BO1048" i="1"/>
  <c r="BN1048" i="1"/>
  <c r="BM1048" i="1"/>
  <c r="BL1048" i="1"/>
  <c r="BK1048" i="1"/>
  <c r="BS1047" i="1"/>
  <c r="BR1047" i="1"/>
  <c r="BQ1047" i="1"/>
  <c r="BP1047" i="1"/>
  <c r="BO1047" i="1"/>
  <c r="BN1047" i="1"/>
  <c r="BM1047" i="1"/>
  <c r="BL1047" i="1"/>
  <c r="BK1047" i="1"/>
  <c r="BS1046" i="1"/>
  <c r="BR1046" i="1"/>
  <c r="BQ1046" i="1"/>
  <c r="BP1046" i="1"/>
  <c r="BO1046" i="1"/>
  <c r="BN1046" i="1"/>
  <c r="BM1046" i="1"/>
  <c r="BL1046" i="1"/>
  <c r="BK1046" i="1"/>
  <c r="BS1045" i="1"/>
  <c r="BR1045" i="1"/>
  <c r="BQ1045" i="1"/>
  <c r="BP1045" i="1"/>
  <c r="BO1045" i="1"/>
  <c r="BN1045" i="1"/>
  <c r="BM1045" i="1"/>
  <c r="BL1045" i="1"/>
  <c r="BK1045" i="1"/>
  <c r="BS1044" i="1"/>
  <c r="BR1044" i="1"/>
  <c r="BQ1044" i="1"/>
  <c r="BP1044" i="1"/>
  <c r="BO1044" i="1"/>
  <c r="BN1044" i="1"/>
  <c r="BM1044" i="1"/>
  <c r="BL1044" i="1"/>
  <c r="BK1044" i="1"/>
  <c r="BS1043" i="1"/>
  <c r="BR1043" i="1"/>
  <c r="BQ1043" i="1"/>
  <c r="BP1043" i="1"/>
  <c r="BO1043" i="1"/>
  <c r="BN1043" i="1"/>
  <c r="BM1043" i="1"/>
  <c r="BL1043" i="1"/>
  <c r="BK1043" i="1"/>
  <c r="BS178" i="1"/>
  <c r="BR178" i="1"/>
  <c r="BQ178" i="1"/>
  <c r="BP178" i="1"/>
  <c r="BO178" i="1"/>
  <c r="BN178" i="1"/>
  <c r="BM178" i="1"/>
  <c r="BL178" i="1"/>
  <c r="BK178" i="1"/>
  <c r="BS1041" i="1"/>
  <c r="BR1041" i="1"/>
  <c r="BQ1041" i="1"/>
  <c r="BP1041" i="1"/>
  <c r="BO1041" i="1"/>
  <c r="BN1041" i="1"/>
  <c r="BM1041" i="1"/>
  <c r="BL1041" i="1"/>
  <c r="BK1041" i="1"/>
  <c r="BS1040" i="1"/>
  <c r="BR1040" i="1"/>
  <c r="BQ1040" i="1"/>
  <c r="BP1040" i="1"/>
  <c r="BO1040" i="1"/>
  <c r="BN1040" i="1"/>
  <c r="BM1040" i="1"/>
  <c r="BL1040" i="1"/>
  <c r="BK1040" i="1"/>
  <c r="BS149" i="1"/>
  <c r="BR149" i="1"/>
  <c r="BQ149" i="1"/>
  <c r="BP149" i="1"/>
  <c r="BO149" i="1"/>
  <c r="BN149" i="1"/>
  <c r="BM149" i="1"/>
  <c r="BL149" i="1"/>
  <c r="BK149" i="1"/>
  <c r="BS1038" i="1"/>
  <c r="BR1038" i="1"/>
  <c r="BQ1038" i="1"/>
  <c r="BP1038" i="1"/>
  <c r="BO1038" i="1"/>
  <c r="BN1038" i="1"/>
  <c r="BM1038" i="1"/>
  <c r="BL1038" i="1"/>
  <c r="BK1038" i="1"/>
  <c r="BS1037" i="1"/>
  <c r="BR1037" i="1"/>
  <c r="BQ1037" i="1"/>
  <c r="BP1037" i="1"/>
  <c r="BO1037" i="1"/>
  <c r="BN1037" i="1"/>
  <c r="BM1037" i="1"/>
  <c r="BL1037" i="1"/>
  <c r="BK1037" i="1"/>
  <c r="BS913" i="1"/>
  <c r="BR913" i="1"/>
  <c r="BQ913" i="1"/>
  <c r="BP913" i="1"/>
  <c r="BO913" i="1"/>
  <c r="BN913" i="1"/>
  <c r="BM913" i="1"/>
  <c r="BL913" i="1"/>
  <c r="BK913" i="1"/>
  <c r="BS21" i="1"/>
  <c r="BR21" i="1"/>
  <c r="BQ21" i="1"/>
  <c r="BP21" i="1"/>
  <c r="BO21" i="1"/>
  <c r="BN21" i="1"/>
  <c r="BM21" i="1"/>
  <c r="BL21" i="1"/>
  <c r="BK21" i="1"/>
  <c r="BS29" i="1"/>
  <c r="BR29" i="1"/>
  <c r="BQ29" i="1"/>
  <c r="BP29" i="1"/>
  <c r="BO29" i="1"/>
  <c r="BN29" i="1"/>
  <c r="BM29" i="1"/>
  <c r="BL29" i="1"/>
  <c r="BK29" i="1"/>
  <c r="BS912" i="1"/>
  <c r="BR912" i="1"/>
  <c r="BQ912" i="1"/>
  <c r="BP912" i="1"/>
  <c r="BO912" i="1"/>
  <c r="BN912" i="1"/>
  <c r="BM912" i="1"/>
  <c r="BL912" i="1"/>
  <c r="BK912" i="1"/>
  <c r="BS1032" i="1"/>
  <c r="BR1032" i="1"/>
  <c r="BQ1032" i="1"/>
  <c r="BP1032" i="1"/>
  <c r="BO1032" i="1"/>
  <c r="BN1032" i="1"/>
  <c r="BM1032" i="1"/>
  <c r="BL1032" i="1"/>
  <c r="BK1032" i="1"/>
  <c r="BS1031" i="1"/>
  <c r="BR1031" i="1"/>
  <c r="BQ1031" i="1"/>
  <c r="BP1031" i="1"/>
  <c r="BO1031" i="1"/>
  <c r="BN1031" i="1"/>
  <c r="BM1031" i="1"/>
  <c r="BL1031" i="1"/>
  <c r="BK1031" i="1"/>
  <c r="BS1030" i="1"/>
  <c r="BR1030" i="1"/>
  <c r="BQ1030" i="1"/>
  <c r="BP1030" i="1"/>
  <c r="BO1030" i="1"/>
  <c r="BN1030" i="1"/>
  <c r="BM1030" i="1"/>
  <c r="BL1030" i="1"/>
  <c r="BK1030" i="1"/>
  <c r="BS148" i="1"/>
  <c r="BR148" i="1"/>
  <c r="BQ148" i="1"/>
  <c r="BP148" i="1"/>
  <c r="BO148" i="1"/>
  <c r="BN148" i="1"/>
  <c r="BM148" i="1"/>
  <c r="BL148" i="1"/>
  <c r="BK148" i="1"/>
  <c r="BS1028" i="1"/>
  <c r="BR1028" i="1"/>
  <c r="BQ1028" i="1"/>
  <c r="BP1028" i="1"/>
  <c r="BO1028" i="1"/>
  <c r="BN1028" i="1"/>
  <c r="BM1028" i="1"/>
  <c r="BL1028" i="1"/>
  <c r="BK1028" i="1"/>
  <c r="BS1027" i="1"/>
  <c r="BR1027" i="1"/>
  <c r="BQ1027" i="1"/>
  <c r="BP1027" i="1"/>
  <c r="BO1027" i="1"/>
  <c r="BN1027" i="1"/>
  <c r="BM1027" i="1"/>
  <c r="BL1027" i="1"/>
  <c r="BK1027" i="1"/>
  <c r="BS900" i="1"/>
  <c r="BR900" i="1"/>
  <c r="BQ900" i="1"/>
  <c r="BP900" i="1"/>
  <c r="BO900" i="1"/>
  <c r="BN900" i="1"/>
  <c r="BM900" i="1"/>
  <c r="BL900" i="1"/>
  <c r="BK900" i="1"/>
  <c r="BS1025" i="1"/>
  <c r="BR1025" i="1"/>
  <c r="BQ1025" i="1"/>
  <c r="BP1025" i="1"/>
  <c r="BO1025" i="1"/>
  <c r="BN1025" i="1"/>
  <c r="BM1025" i="1"/>
  <c r="BL1025" i="1"/>
  <c r="BK1025" i="1"/>
  <c r="BS1024" i="1"/>
  <c r="BR1024" i="1"/>
  <c r="BQ1024" i="1"/>
  <c r="BP1024" i="1"/>
  <c r="BO1024" i="1"/>
  <c r="BN1024" i="1"/>
  <c r="BM1024" i="1"/>
  <c r="BL1024" i="1"/>
  <c r="BK1024" i="1"/>
  <c r="BS1023" i="1"/>
  <c r="BR1023" i="1"/>
  <c r="BQ1023" i="1"/>
  <c r="BP1023" i="1"/>
  <c r="BO1023" i="1"/>
  <c r="BN1023" i="1"/>
  <c r="BM1023" i="1"/>
  <c r="BL1023" i="1"/>
  <c r="BK1023" i="1"/>
  <c r="BS1022" i="1"/>
  <c r="BR1022" i="1"/>
  <c r="BQ1022" i="1"/>
  <c r="BP1022" i="1"/>
  <c r="BO1022" i="1"/>
  <c r="BN1022" i="1"/>
  <c r="BM1022" i="1"/>
  <c r="BL1022" i="1"/>
  <c r="BK1022" i="1"/>
  <c r="BS1021" i="1"/>
  <c r="BR1021" i="1"/>
  <c r="BQ1021" i="1"/>
  <c r="BP1021" i="1"/>
  <c r="BO1021" i="1"/>
  <c r="BN1021" i="1"/>
  <c r="BM1021" i="1"/>
  <c r="BL1021" i="1"/>
  <c r="BK1021" i="1"/>
  <c r="BS876" i="1"/>
  <c r="BR876" i="1"/>
  <c r="BQ876" i="1"/>
  <c r="BP876" i="1"/>
  <c r="BO876" i="1"/>
  <c r="BN876" i="1"/>
  <c r="BM876" i="1"/>
  <c r="BL876" i="1"/>
  <c r="BK876" i="1"/>
  <c r="BS873" i="1"/>
  <c r="BR873" i="1"/>
  <c r="BQ873" i="1"/>
  <c r="BP873" i="1"/>
  <c r="BO873" i="1"/>
  <c r="BN873" i="1"/>
  <c r="BM873" i="1"/>
  <c r="BL873" i="1"/>
  <c r="BK873" i="1"/>
  <c r="BS1018" i="1"/>
  <c r="BR1018" i="1"/>
  <c r="BQ1018" i="1"/>
  <c r="BP1018" i="1"/>
  <c r="BO1018" i="1"/>
  <c r="BN1018" i="1"/>
  <c r="BM1018" i="1"/>
  <c r="BL1018" i="1"/>
  <c r="BK1018" i="1"/>
  <c r="BS1017" i="1"/>
  <c r="BR1017" i="1"/>
  <c r="BQ1017" i="1"/>
  <c r="BP1017" i="1"/>
  <c r="BO1017" i="1"/>
  <c r="BN1017" i="1"/>
  <c r="BM1017" i="1"/>
  <c r="BL1017" i="1"/>
  <c r="BK1017" i="1"/>
  <c r="BS114" i="1"/>
  <c r="BR114" i="1"/>
  <c r="BQ114" i="1"/>
  <c r="BP114" i="1"/>
  <c r="BO114" i="1"/>
  <c r="BN114" i="1"/>
  <c r="BM114" i="1"/>
  <c r="BL114" i="1"/>
  <c r="BK114" i="1"/>
  <c r="BS667" i="1"/>
  <c r="BR667" i="1"/>
  <c r="BQ667" i="1"/>
  <c r="BP667" i="1"/>
  <c r="BO667" i="1"/>
  <c r="BN667" i="1"/>
  <c r="BM667" i="1"/>
  <c r="BL667" i="1"/>
  <c r="BK667" i="1"/>
  <c r="BS1136" i="1"/>
  <c r="BR1136" i="1"/>
  <c r="BQ1136" i="1"/>
  <c r="BP1136" i="1"/>
  <c r="BO1136" i="1"/>
  <c r="BN1136" i="1"/>
  <c r="BM1136" i="1"/>
  <c r="BL1136" i="1"/>
  <c r="BK1136" i="1"/>
  <c r="BS1013" i="1"/>
  <c r="BR1013" i="1"/>
  <c r="BQ1013" i="1"/>
  <c r="BP1013" i="1"/>
  <c r="BO1013" i="1"/>
  <c r="BN1013" i="1"/>
  <c r="BM1013" i="1"/>
  <c r="BL1013" i="1"/>
  <c r="BK1013" i="1"/>
  <c r="BS1012" i="1"/>
  <c r="BR1012" i="1"/>
  <c r="BQ1012" i="1"/>
  <c r="BP1012" i="1"/>
  <c r="BO1012" i="1"/>
  <c r="BN1012" i="1"/>
  <c r="BM1012" i="1"/>
  <c r="BL1012" i="1"/>
  <c r="BK1012" i="1"/>
  <c r="BS1117" i="1"/>
  <c r="BR1117" i="1"/>
  <c r="BQ1117" i="1"/>
  <c r="BP1117" i="1"/>
  <c r="BO1117" i="1"/>
  <c r="BN1117" i="1"/>
  <c r="BM1117" i="1"/>
  <c r="BL1117" i="1"/>
  <c r="BK1117" i="1"/>
  <c r="BS1010" i="1"/>
  <c r="BR1010" i="1"/>
  <c r="BQ1010" i="1"/>
  <c r="BP1010" i="1"/>
  <c r="BO1010" i="1"/>
  <c r="BN1010" i="1"/>
  <c r="BM1010" i="1"/>
  <c r="BL1010" i="1"/>
  <c r="BK1010" i="1"/>
  <c r="BS868" i="1"/>
  <c r="BR868" i="1"/>
  <c r="BQ868" i="1"/>
  <c r="BP868" i="1"/>
  <c r="BO868" i="1"/>
  <c r="BN868" i="1"/>
  <c r="BM868" i="1"/>
  <c r="BL868" i="1"/>
  <c r="BK868" i="1"/>
  <c r="BS1008" i="1"/>
  <c r="BR1008" i="1"/>
  <c r="BQ1008" i="1"/>
  <c r="BP1008" i="1"/>
  <c r="BO1008" i="1"/>
  <c r="BN1008" i="1"/>
  <c r="BM1008" i="1"/>
  <c r="BL1008" i="1"/>
  <c r="BK1008" i="1"/>
  <c r="BS1007" i="1"/>
  <c r="BR1007" i="1"/>
  <c r="BQ1007" i="1"/>
  <c r="BP1007" i="1"/>
  <c r="BO1007" i="1"/>
  <c r="BN1007" i="1"/>
  <c r="BM1007" i="1"/>
  <c r="BL1007" i="1"/>
  <c r="BK1007" i="1"/>
  <c r="BS1006" i="1"/>
  <c r="BR1006" i="1"/>
  <c r="BQ1006" i="1"/>
  <c r="BP1006" i="1"/>
  <c r="BO1006" i="1"/>
  <c r="BN1006" i="1"/>
  <c r="BM1006" i="1"/>
  <c r="BL1006" i="1"/>
  <c r="BK1006" i="1"/>
  <c r="BS1005" i="1"/>
  <c r="BR1005" i="1"/>
  <c r="BQ1005" i="1"/>
  <c r="BP1005" i="1"/>
  <c r="BO1005" i="1"/>
  <c r="BN1005" i="1"/>
  <c r="BM1005" i="1"/>
  <c r="BL1005" i="1"/>
  <c r="BK1005" i="1"/>
  <c r="BS1004" i="1"/>
  <c r="BR1004" i="1"/>
  <c r="BQ1004" i="1"/>
  <c r="BP1004" i="1"/>
  <c r="BO1004" i="1"/>
  <c r="BN1004" i="1"/>
  <c r="BM1004" i="1"/>
  <c r="BL1004" i="1"/>
  <c r="BK1004" i="1"/>
  <c r="BS1003" i="1"/>
  <c r="BR1003" i="1"/>
  <c r="BQ1003" i="1"/>
  <c r="BP1003" i="1"/>
  <c r="BO1003" i="1"/>
  <c r="BN1003" i="1"/>
  <c r="BM1003" i="1"/>
  <c r="BL1003" i="1"/>
  <c r="BK1003" i="1"/>
  <c r="BS1002" i="1"/>
  <c r="BR1002" i="1"/>
  <c r="BQ1002" i="1"/>
  <c r="BP1002" i="1"/>
  <c r="BO1002" i="1"/>
  <c r="BN1002" i="1"/>
  <c r="BM1002" i="1"/>
  <c r="BL1002" i="1"/>
  <c r="BK1002" i="1"/>
  <c r="BS1001" i="1"/>
  <c r="BR1001" i="1"/>
  <c r="BQ1001" i="1"/>
  <c r="BP1001" i="1"/>
  <c r="BO1001" i="1"/>
  <c r="BN1001" i="1"/>
  <c r="BM1001" i="1"/>
  <c r="BL1001" i="1"/>
  <c r="BK1001" i="1"/>
  <c r="BS1000" i="1"/>
  <c r="BR1000" i="1"/>
  <c r="BQ1000" i="1"/>
  <c r="BP1000" i="1"/>
  <c r="BO1000" i="1"/>
  <c r="BN1000" i="1"/>
  <c r="BM1000" i="1"/>
  <c r="BL1000" i="1"/>
  <c r="BK1000" i="1"/>
  <c r="BS999" i="1"/>
  <c r="BR999" i="1"/>
  <c r="BQ999" i="1"/>
  <c r="BP999" i="1"/>
  <c r="BO999" i="1"/>
  <c r="BN999" i="1"/>
  <c r="BM999" i="1"/>
  <c r="BL999" i="1"/>
  <c r="BK999" i="1"/>
  <c r="BS837" i="1"/>
  <c r="BR837" i="1"/>
  <c r="BQ837" i="1"/>
  <c r="BP837" i="1"/>
  <c r="BO837" i="1"/>
  <c r="BN837" i="1"/>
  <c r="BM837" i="1"/>
  <c r="BL837" i="1"/>
  <c r="BK837" i="1"/>
  <c r="BS997" i="1"/>
  <c r="BR997" i="1"/>
  <c r="BQ997" i="1"/>
  <c r="BP997" i="1"/>
  <c r="BO997" i="1"/>
  <c r="BN997" i="1"/>
  <c r="BM997" i="1"/>
  <c r="BL997" i="1"/>
  <c r="BK997" i="1"/>
  <c r="BS996" i="1"/>
  <c r="BR996" i="1"/>
  <c r="BQ996" i="1"/>
  <c r="BP996" i="1"/>
  <c r="BO996" i="1"/>
  <c r="BN996" i="1"/>
  <c r="BM996" i="1"/>
  <c r="BL996" i="1"/>
  <c r="BK996" i="1"/>
  <c r="BS995" i="1"/>
  <c r="BR995" i="1"/>
  <c r="BQ995" i="1"/>
  <c r="BP995" i="1"/>
  <c r="BO995" i="1"/>
  <c r="BN995" i="1"/>
  <c r="BM995" i="1"/>
  <c r="BL995" i="1"/>
  <c r="BK995" i="1"/>
  <c r="BS994" i="1"/>
  <c r="BR994" i="1"/>
  <c r="BQ994" i="1"/>
  <c r="BP994" i="1"/>
  <c r="BO994" i="1"/>
  <c r="BN994" i="1"/>
  <c r="BM994" i="1"/>
  <c r="BL994" i="1"/>
  <c r="BK994" i="1"/>
  <c r="BS993" i="1"/>
  <c r="BR993" i="1"/>
  <c r="BQ993" i="1"/>
  <c r="BP993" i="1"/>
  <c r="BO993" i="1"/>
  <c r="BN993" i="1"/>
  <c r="BM993" i="1"/>
  <c r="BL993" i="1"/>
  <c r="BK993" i="1"/>
  <c r="BS742" i="1"/>
  <c r="BR742" i="1"/>
  <c r="BQ742" i="1"/>
  <c r="BP742" i="1"/>
  <c r="BO742" i="1"/>
  <c r="BN742" i="1"/>
  <c r="BM742" i="1"/>
  <c r="BL742" i="1"/>
  <c r="BK742" i="1"/>
  <c r="BS991" i="1"/>
  <c r="BR991" i="1"/>
  <c r="BQ991" i="1"/>
  <c r="BP991" i="1"/>
  <c r="BO991" i="1"/>
  <c r="BN991" i="1"/>
  <c r="BM991" i="1"/>
  <c r="BL991" i="1"/>
  <c r="BK991" i="1"/>
  <c r="BS990" i="1"/>
  <c r="BR990" i="1"/>
  <c r="BQ990" i="1"/>
  <c r="BP990" i="1"/>
  <c r="BO990" i="1"/>
  <c r="BN990" i="1"/>
  <c r="BM990" i="1"/>
  <c r="BL990" i="1"/>
  <c r="BK990" i="1"/>
  <c r="BS989" i="1"/>
  <c r="BR989" i="1"/>
  <c r="BQ989" i="1"/>
  <c r="BP989" i="1"/>
  <c r="BO989" i="1"/>
  <c r="BN989" i="1"/>
  <c r="BM989" i="1"/>
  <c r="BL989" i="1"/>
  <c r="BK989" i="1"/>
  <c r="BS988" i="1"/>
  <c r="BR988" i="1"/>
  <c r="BQ988" i="1"/>
  <c r="BP988" i="1"/>
  <c r="BO988" i="1"/>
  <c r="BN988" i="1"/>
  <c r="BM988" i="1"/>
  <c r="BL988" i="1"/>
  <c r="BK988" i="1"/>
  <c r="BS805" i="1"/>
  <c r="BR805" i="1"/>
  <c r="BQ805" i="1"/>
  <c r="BP805" i="1"/>
  <c r="BO805" i="1"/>
  <c r="BN805" i="1"/>
  <c r="BM805" i="1"/>
  <c r="BL805" i="1"/>
  <c r="BK805" i="1"/>
  <c r="BS986" i="1"/>
  <c r="BR986" i="1"/>
  <c r="BQ986" i="1"/>
  <c r="BP986" i="1"/>
  <c r="BO986" i="1"/>
  <c r="BN986" i="1"/>
  <c r="BM986" i="1"/>
  <c r="BL986" i="1"/>
  <c r="BK986" i="1"/>
  <c r="BS985" i="1"/>
  <c r="BR985" i="1"/>
  <c r="BQ985" i="1"/>
  <c r="BP985" i="1"/>
  <c r="BO985" i="1"/>
  <c r="BN985" i="1"/>
  <c r="BM985" i="1"/>
  <c r="BL985" i="1"/>
  <c r="BK985" i="1"/>
  <c r="BS984" i="1"/>
  <c r="BR984" i="1"/>
  <c r="BQ984" i="1"/>
  <c r="BP984" i="1"/>
  <c r="BO984" i="1"/>
  <c r="BN984" i="1"/>
  <c r="BM984" i="1"/>
  <c r="BL984" i="1"/>
  <c r="BK984" i="1"/>
  <c r="BS983" i="1"/>
  <c r="BR983" i="1"/>
  <c r="BQ983" i="1"/>
  <c r="BP983" i="1"/>
  <c r="BO983" i="1"/>
  <c r="BN983" i="1"/>
  <c r="BM983" i="1"/>
  <c r="BL983" i="1"/>
  <c r="BK983" i="1"/>
  <c r="BS982" i="1"/>
  <c r="BR982" i="1"/>
  <c r="BQ982" i="1"/>
  <c r="BP982" i="1"/>
  <c r="BO982" i="1"/>
  <c r="BN982" i="1"/>
  <c r="BM982" i="1"/>
  <c r="BL982" i="1"/>
  <c r="BK982" i="1"/>
  <c r="BS981" i="1"/>
  <c r="BR981" i="1"/>
  <c r="BQ981" i="1"/>
  <c r="BP981" i="1"/>
  <c r="BO981" i="1"/>
  <c r="BN981" i="1"/>
  <c r="BM981" i="1"/>
  <c r="BL981" i="1"/>
  <c r="BK981" i="1"/>
  <c r="BS980" i="1"/>
  <c r="BR980" i="1"/>
  <c r="BQ980" i="1"/>
  <c r="BP980" i="1"/>
  <c r="BO980" i="1"/>
  <c r="BN980" i="1"/>
  <c r="BM980" i="1"/>
  <c r="BL980" i="1"/>
  <c r="BK980" i="1"/>
  <c r="BS979" i="1"/>
  <c r="BR979" i="1"/>
  <c r="BQ979" i="1"/>
  <c r="BP979" i="1"/>
  <c r="BO979" i="1"/>
  <c r="BN979" i="1"/>
  <c r="BM979" i="1"/>
  <c r="BL979" i="1"/>
  <c r="BK979" i="1"/>
  <c r="BS978" i="1"/>
  <c r="BR978" i="1"/>
  <c r="BQ978" i="1"/>
  <c r="BP978" i="1"/>
  <c r="BO978" i="1"/>
  <c r="BN978" i="1"/>
  <c r="BM978" i="1"/>
  <c r="BL978" i="1"/>
  <c r="BK978" i="1"/>
  <c r="BS977" i="1"/>
  <c r="BR977" i="1"/>
  <c r="BQ977" i="1"/>
  <c r="BP977" i="1"/>
  <c r="BO977" i="1"/>
  <c r="BN977" i="1"/>
  <c r="BM977" i="1"/>
  <c r="BL977" i="1"/>
  <c r="BK977" i="1"/>
  <c r="BS976" i="1"/>
  <c r="BR976" i="1"/>
  <c r="BQ976" i="1"/>
  <c r="BP976" i="1"/>
  <c r="BO976" i="1"/>
  <c r="BN976" i="1"/>
  <c r="BM976" i="1"/>
  <c r="BL976" i="1"/>
  <c r="BK976" i="1"/>
  <c r="BS804" i="1"/>
  <c r="BR804" i="1"/>
  <c r="BQ804" i="1"/>
  <c r="BP804" i="1"/>
  <c r="BO804" i="1"/>
  <c r="BN804" i="1"/>
  <c r="BM804" i="1"/>
  <c r="BL804" i="1"/>
  <c r="BK804" i="1"/>
  <c r="BS803" i="1"/>
  <c r="BR803" i="1"/>
  <c r="BQ803" i="1"/>
  <c r="BP803" i="1"/>
  <c r="BO803" i="1"/>
  <c r="BN803" i="1"/>
  <c r="BM803" i="1"/>
  <c r="BL803" i="1"/>
  <c r="BK803" i="1"/>
  <c r="BS769" i="1"/>
  <c r="BR769" i="1"/>
  <c r="BQ769" i="1"/>
  <c r="BP769" i="1"/>
  <c r="BO769" i="1"/>
  <c r="BN769" i="1"/>
  <c r="BM769" i="1"/>
  <c r="BL769" i="1"/>
  <c r="BK769" i="1"/>
  <c r="BS972" i="1"/>
  <c r="BR972" i="1"/>
  <c r="BQ972" i="1"/>
  <c r="BP972" i="1"/>
  <c r="BO972" i="1"/>
  <c r="BN972" i="1"/>
  <c r="BM972" i="1"/>
  <c r="BL972" i="1"/>
  <c r="BK972" i="1"/>
  <c r="BS971" i="1"/>
  <c r="BR971" i="1"/>
  <c r="BQ971" i="1"/>
  <c r="BP971" i="1"/>
  <c r="BO971" i="1"/>
  <c r="BN971" i="1"/>
  <c r="BM971" i="1"/>
  <c r="BL971" i="1"/>
  <c r="BK971" i="1"/>
  <c r="BS970" i="1"/>
  <c r="BR970" i="1"/>
  <c r="BQ970" i="1"/>
  <c r="BP970" i="1"/>
  <c r="BO970" i="1"/>
  <c r="BN970" i="1"/>
  <c r="BM970" i="1"/>
  <c r="BL970" i="1"/>
  <c r="BK970" i="1"/>
  <c r="BS969" i="1"/>
  <c r="BR969" i="1"/>
  <c r="BQ969" i="1"/>
  <c r="BP969" i="1"/>
  <c r="BO969" i="1"/>
  <c r="BN969" i="1"/>
  <c r="BM969" i="1"/>
  <c r="BL969" i="1"/>
  <c r="BK969" i="1"/>
  <c r="BS968" i="1"/>
  <c r="BR968" i="1"/>
  <c r="BQ968" i="1"/>
  <c r="BP968" i="1"/>
  <c r="BO968" i="1"/>
  <c r="BN968" i="1"/>
  <c r="BM968" i="1"/>
  <c r="BL968" i="1"/>
  <c r="BK968" i="1"/>
  <c r="BS967" i="1"/>
  <c r="BR967" i="1"/>
  <c r="BQ967" i="1"/>
  <c r="BP967" i="1"/>
  <c r="BO967" i="1"/>
  <c r="BN967" i="1"/>
  <c r="BM967" i="1"/>
  <c r="BL967" i="1"/>
  <c r="BK967" i="1"/>
  <c r="BS966" i="1"/>
  <c r="BR966" i="1"/>
  <c r="BQ966" i="1"/>
  <c r="BP966" i="1"/>
  <c r="BO966" i="1"/>
  <c r="BN966" i="1"/>
  <c r="BM966" i="1"/>
  <c r="BL966" i="1"/>
  <c r="BK966" i="1"/>
  <c r="BS724" i="1"/>
  <c r="BR724" i="1"/>
  <c r="BQ724" i="1"/>
  <c r="BP724" i="1"/>
  <c r="BO724" i="1"/>
  <c r="BN724" i="1"/>
  <c r="BM724" i="1"/>
  <c r="BL724" i="1"/>
  <c r="BK724" i="1"/>
  <c r="BS176" i="1"/>
  <c r="BR176" i="1"/>
  <c r="BQ176" i="1"/>
  <c r="BP176" i="1"/>
  <c r="BO176" i="1"/>
  <c r="BN176" i="1"/>
  <c r="BM176" i="1"/>
  <c r="BL176" i="1"/>
  <c r="BK176" i="1"/>
  <c r="BS962" i="1"/>
  <c r="BR962" i="1"/>
  <c r="BQ962" i="1"/>
  <c r="BP962" i="1"/>
  <c r="BO962" i="1"/>
  <c r="BN962" i="1"/>
  <c r="BM962" i="1"/>
  <c r="BL962" i="1"/>
  <c r="BK962" i="1"/>
  <c r="BS961" i="1"/>
  <c r="BR961" i="1"/>
  <c r="BQ961" i="1"/>
  <c r="BP961" i="1"/>
  <c r="BO961" i="1"/>
  <c r="BN961" i="1"/>
  <c r="BM961" i="1"/>
  <c r="BL961" i="1"/>
  <c r="BK961" i="1"/>
  <c r="BS960" i="1"/>
  <c r="BR960" i="1"/>
  <c r="BQ960" i="1"/>
  <c r="BP960" i="1"/>
  <c r="BO960" i="1"/>
  <c r="BN960" i="1"/>
  <c r="BM960" i="1"/>
  <c r="BL960" i="1"/>
  <c r="BK960" i="1"/>
  <c r="BS59" i="1"/>
  <c r="BR59" i="1"/>
  <c r="BQ59" i="1"/>
  <c r="BP59" i="1"/>
  <c r="BO59" i="1"/>
  <c r="BN59" i="1"/>
  <c r="BM59" i="1"/>
  <c r="BL59" i="1"/>
  <c r="BK59" i="1"/>
  <c r="BS958" i="1"/>
  <c r="BR958" i="1"/>
  <c r="BQ958" i="1"/>
  <c r="BP958" i="1"/>
  <c r="BO958" i="1"/>
  <c r="BN958" i="1"/>
  <c r="BM958" i="1"/>
  <c r="BL958" i="1"/>
  <c r="BK958" i="1"/>
  <c r="BS957" i="1"/>
  <c r="BR957" i="1"/>
  <c r="BQ957" i="1"/>
  <c r="BP957" i="1"/>
  <c r="BO957" i="1"/>
  <c r="BN957" i="1"/>
  <c r="BM957" i="1"/>
  <c r="BL957" i="1"/>
  <c r="BK957" i="1"/>
  <c r="BS955" i="1"/>
  <c r="BR955" i="1"/>
  <c r="BQ955" i="1"/>
  <c r="BP955" i="1"/>
  <c r="BO955" i="1"/>
  <c r="BN955" i="1"/>
  <c r="BM955" i="1"/>
  <c r="BL955" i="1"/>
  <c r="BK955" i="1"/>
  <c r="BS866" i="1"/>
  <c r="BR866" i="1"/>
  <c r="BQ866" i="1"/>
  <c r="BP866" i="1"/>
  <c r="BO866" i="1"/>
  <c r="BN866" i="1"/>
  <c r="BM866" i="1"/>
  <c r="BL866" i="1"/>
  <c r="BK866" i="1"/>
  <c r="BS954" i="1"/>
  <c r="BR954" i="1"/>
  <c r="BQ954" i="1"/>
  <c r="BP954" i="1"/>
  <c r="BO954" i="1"/>
  <c r="BN954" i="1"/>
  <c r="BM954" i="1"/>
  <c r="BL954" i="1"/>
  <c r="BK954" i="1"/>
  <c r="BS953" i="1"/>
  <c r="BR953" i="1"/>
  <c r="BQ953" i="1"/>
  <c r="BP953" i="1"/>
  <c r="BO953" i="1"/>
  <c r="BN953" i="1"/>
  <c r="BM953" i="1"/>
  <c r="BL953" i="1"/>
  <c r="BK953" i="1"/>
  <c r="BS952" i="1"/>
  <c r="BR952" i="1"/>
  <c r="BQ952" i="1"/>
  <c r="BP952" i="1"/>
  <c r="BO952" i="1"/>
  <c r="BN952" i="1"/>
  <c r="BM952" i="1"/>
  <c r="BL952" i="1"/>
  <c r="BK952" i="1"/>
  <c r="BS244" i="1"/>
  <c r="BR244" i="1"/>
  <c r="BQ244" i="1"/>
  <c r="BP244" i="1"/>
  <c r="BO244" i="1"/>
  <c r="BN244" i="1"/>
  <c r="BM244" i="1"/>
  <c r="BL244" i="1"/>
  <c r="BK244" i="1"/>
  <c r="BS152" i="1"/>
  <c r="BR152" i="1"/>
  <c r="BQ152" i="1"/>
  <c r="BP152" i="1"/>
  <c r="BO152" i="1"/>
  <c r="BN152" i="1"/>
  <c r="BM152" i="1"/>
  <c r="BL152" i="1"/>
  <c r="BK152" i="1"/>
  <c r="BS1159" i="1"/>
  <c r="BR1159" i="1"/>
  <c r="BQ1159" i="1"/>
  <c r="BP1159" i="1"/>
  <c r="BO1159" i="1"/>
  <c r="BN1159" i="1"/>
  <c r="BM1159" i="1"/>
  <c r="BL1159" i="1"/>
  <c r="BK1159" i="1"/>
  <c r="BS948" i="1"/>
  <c r="BR948" i="1"/>
  <c r="BQ948" i="1"/>
  <c r="BP948" i="1"/>
  <c r="BO948" i="1"/>
  <c r="BN948" i="1"/>
  <c r="BM948" i="1"/>
  <c r="BL948" i="1"/>
  <c r="BK948" i="1"/>
  <c r="BS947" i="1"/>
  <c r="BR947" i="1"/>
  <c r="BQ947" i="1"/>
  <c r="BP947" i="1"/>
  <c r="BO947" i="1"/>
  <c r="BN947" i="1"/>
  <c r="BM947" i="1"/>
  <c r="BL947" i="1"/>
  <c r="BK947" i="1"/>
  <c r="BS946" i="1"/>
  <c r="BR946" i="1"/>
  <c r="BQ946" i="1"/>
  <c r="BP946" i="1"/>
  <c r="BO946" i="1"/>
  <c r="BN946" i="1"/>
  <c r="BM946" i="1"/>
  <c r="BL946" i="1"/>
  <c r="BK946" i="1"/>
  <c r="BS1103" i="1"/>
  <c r="BR1103" i="1"/>
  <c r="BQ1103" i="1"/>
  <c r="BP1103" i="1"/>
  <c r="BO1103" i="1"/>
  <c r="BN1103" i="1"/>
  <c r="BM1103" i="1"/>
  <c r="BL1103" i="1"/>
  <c r="BK1103" i="1"/>
  <c r="BS944" i="1"/>
  <c r="BR944" i="1"/>
  <c r="BQ944" i="1"/>
  <c r="BP944" i="1"/>
  <c r="BO944" i="1"/>
  <c r="BN944" i="1"/>
  <c r="BM944" i="1"/>
  <c r="BL944" i="1"/>
  <c r="BK944" i="1"/>
  <c r="BS921" i="1"/>
  <c r="BR921" i="1"/>
  <c r="BQ921" i="1"/>
  <c r="BP921" i="1"/>
  <c r="BO921" i="1"/>
  <c r="BN921" i="1"/>
  <c r="BM921" i="1"/>
  <c r="BL921" i="1"/>
  <c r="BK921" i="1"/>
  <c r="BS920" i="1"/>
  <c r="BR920" i="1"/>
  <c r="BQ920" i="1"/>
  <c r="BP920" i="1"/>
  <c r="BO920" i="1"/>
  <c r="BN920" i="1"/>
  <c r="BM920" i="1"/>
  <c r="BL920" i="1"/>
  <c r="BK920" i="1"/>
  <c r="BS860" i="1"/>
  <c r="BR860" i="1"/>
  <c r="BQ860" i="1"/>
  <c r="BP860" i="1"/>
  <c r="BO860" i="1"/>
  <c r="BN860" i="1"/>
  <c r="BM860" i="1"/>
  <c r="BL860" i="1"/>
  <c r="BK860" i="1"/>
  <c r="BS940" i="1"/>
  <c r="BR940" i="1"/>
  <c r="BQ940" i="1"/>
  <c r="BP940" i="1"/>
  <c r="BO940" i="1"/>
  <c r="BN940" i="1"/>
  <c r="BM940" i="1"/>
  <c r="BL940" i="1"/>
  <c r="BK940" i="1"/>
  <c r="BS939" i="1"/>
  <c r="BR939" i="1"/>
  <c r="BQ939" i="1"/>
  <c r="BP939" i="1"/>
  <c r="BO939" i="1"/>
  <c r="BN939" i="1"/>
  <c r="BM939" i="1"/>
  <c r="BL939" i="1"/>
  <c r="BK939" i="1"/>
  <c r="BS938" i="1"/>
  <c r="BR938" i="1"/>
  <c r="BQ938" i="1"/>
  <c r="BP938" i="1"/>
  <c r="BO938" i="1"/>
  <c r="BN938" i="1"/>
  <c r="BM938" i="1"/>
  <c r="BL938" i="1"/>
  <c r="BK938" i="1"/>
  <c r="BS937" i="1"/>
  <c r="BR937" i="1"/>
  <c r="BQ937" i="1"/>
  <c r="BP937" i="1"/>
  <c r="BO937" i="1"/>
  <c r="BN937" i="1"/>
  <c r="BM937" i="1"/>
  <c r="BL937" i="1"/>
  <c r="BK937" i="1"/>
  <c r="BS936" i="1"/>
  <c r="BR936" i="1"/>
  <c r="BQ936" i="1"/>
  <c r="BP936" i="1"/>
  <c r="BO936" i="1"/>
  <c r="BN936" i="1"/>
  <c r="BM936" i="1"/>
  <c r="BL936" i="1"/>
  <c r="BK936" i="1"/>
  <c r="BS764" i="1"/>
  <c r="BR764" i="1"/>
  <c r="BQ764" i="1"/>
  <c r="BP764" i="1"/>
  <c r="BO764" i="1"/>
  <c r="BN764" i="1"/>
  <c r="BM764" i="1"/>
  <c r="BL764" i="1"/>
  <c r="BK764" i="1"/>
  <c r="BS919" i="1"/>
  <c r="BR919" i="1"/>
  <c r="BQ919" i="1"/>
  <c r="BP919" i="1"/>
  <c r="BO919" i="1"/>
  <c r="BN919" i="1"/>
  <c r="BM919" i="1"/>
  <c r="BL919" i="1"/>
  <c r="BK919" i="1"/>
  <c r="BS834" i="1"/>
  <c r="BR834" i="1"/>
  <c r="BQ834" i="1"/>
  <c r="BP834" i="1"/>
  <c r="BO834" i="1"/>
  <c r="BN834" i="1"/>
  <c r="BM834" i="1"/>
  <c r="BL834" i="1"/>
  <c r="BK834" i="1"/>
  <c r="BS932" i="1"/>
  <c r="BR932" i="1"/>
  <c r="BQ932" i="1"/>
  <c r="BP932" i="1"/>
  <c r="BO932" i="1"/>
  <c r="BN932" i="1"/>
  <c r="BM932" i="1"/>
  <c r="BL932" i="1"/>
  <c r="BK932" i="1"/>
  <c r="BS931" i="1"/>
  <c r="BR931" i="1"/>
  <c r="BQ931" i="1"/>
  <c r="BP931" i="1"/>
  <c r="BO931" i="1"/>
  <c r="BN931" i="1"/>
  <c r="BM931" i="1"/>
  <c r="BL931" i="1"/>
  <c r="BK931" i="1"/>
  <c r="BS930" i="1"/>
  <c r="BR930" i="1"/>
  <c r="BQ930" i="1"/>
  <c r="BP930" i="1"/>
  <c r="BO930" i="1"/>
  <c r="BN930" i="1"/>
  <c r="BM930" i="1"/>
  <c r="BL930" i="1"/>
  <c r="BK930" i="1"/>
  <c r="BS830" i="1"/>
  <c r="BR830" i="1"/>
  <c r="BQ830" i="1"/>
  <c r="BP830" i="1"/>
  <c r="BO830" i="1"/>
  <c r="BN830" i="1"/>
  <c r="BM830" i="1"/>
  <c r="BL830" i="1"/>
  <c r="BK830" i="1"/>
  <c r="BS928" i="1"/>
  <c r="BR928" i="1"/>
  <c r="BQ928" i="1"/>
  <c r="BP928" i="1"/>
  <c r="BO928" i="1"/>
  <c r="BN928" i="1"/>
  <c r="BM928" i="1"/>
  <c r="BL928" i="1"/>
  <c r="BK928" i="1"/>
  <c r="BS927" i="1"/>
  <c r="BR927" i="1"/>
  <c r="BQ927" i="1"/>
  <c r="BP927" i="1"/>
  <c r="BO927" i="1"/>
  <c r="BN927" i="1"/>
  <c r="BM927" i="1"/>
  <c r="BL927" i="1"/>
  <c r="BK927" i="1"/>
  <c r="BS736" i="1"/>
  <c r="BR736" i="1"/>
  <c r="BQ736" i="1"/>
  <c r="BP736" i="1"/>
  <c r="BO736" i="1"/>
  <c r="BN736" i="1"/>
  <c r="BM736" i="1"/>
  <c r="BL736" i="1"/>
  <c r="BK736" i="1"/>
  <c r="BS925" i="1"/>
  <c r="BR925" i="1"/>
  <c r="BQ925" i="1"/>
  <c r="BP925" i="1"/>
  <c r="BO925" i="1"/>
  <c r="BN925" i="1"/>
  <c r="BM925" i="1"/>
  <c r="BL925" i="1"/>
  <c r="BK925" i="1"/>
  <c r="BS924" i="1"/>
  <c r="BR924" i="1"/>
  <c r="BQ924" i="1"/>
  <c r="BP924" i="1"/>
  <c r="BO924" i="1"/>
  <c r="BN924" i="1"/>
  <c r="BM924" i="1"/>
  <c r="BL924" i="1"/>
  <c r="BK924" i="1"/>
  <c r="BS923" i="1"/>
  <c r="BR923" i="1"/>
  <c r="BQ923" i="1"/>
  <c r="BP923" i="1"/>
  <c r="BO923" i="1"/>
  <c r="BN923" i="1"/>
  <c r="BM923" i="1"/>
  <c r="BL923" i="1"/>
  <c r="BK923" i="1"/>
  <c r="BS922" i="1"/>
  <c r="BR922" i="1"/>
  <c r="BQ922" i="1"/>
  <c r="BP922" i="1"/>
  <c r="BO922" i="1"/>
  <c r="BN922" i="1"/>
  <c r="BM922" i="1"/>
  <c r="BL922" i="1"/>
  <c r="BK922" i="1"/>
  <c r="BS828" i="1"/>
  <c r="BR828" i="1"/>
  <c r="BQ828" i="1"/>
  <c r="BP828" i="1"/>
  <c r="BO828" i="1"/>
  <c r="BN828" i="1"/>
  <c r="BM828" i="1"/>
  <c r="BL828" i="1"/>
  <c r="BK828" i="1"/>
  <c r="BS813" i="1"/>
  <c r="BR813" i="1"/>
  <c r="BQ813" i="1"/>
  <c r="BP813" i="1"/>
  <c r="BO813" i="1"/>
  <c r="BN813" i="1"/>
  <c r="BM813" i="1"/>
  <c r="BL813" i="1"/>
  <c r="BK813" i="1"/>
  <c r="BS783" i="1"/>
  <c r="BR783" i="1"/>
  <c r="BQ783" i="1"/>
  <c r="BP783" i="1"/>
  <c r="BO783" i="1"/>
  <c r="BN783" i="1"/>
  <c r="BM783" i="1"/>
  <c r="BL783" i="1"/>
  <c r="BK783" i="1"/>
  <c r="BS825" i="1"/>
  <c r="BR825" i="1"/>
  <c r="BQ825" i="1"/>
  <c r="BP825" i="1"/>
  <c r="BO825" i="1"/>
  <c r="BN825" i="1"/>
  <c r="BM825" i="1"/>
  <c r="BL825" i="1"/>
  <c r="BK825" i="1"/>
  <c r="BS819" i="1"/>
  <c r="BR819" i="1"/>
  <c r="BQ819" i="1"/>
  <c r="BP819" i="1"/>
  <c r="BO819" i="1"/>
  <c r="BN819" i="1"/>
  <c r="BM819" i="1"/>
  <c r="BL819" i="1"/>
  <c r="BK819" i="1"/>
  <c r="BS818" i="1"/>
  <c r="BR818" i="1"/>
  <c r="BQ818" i="1"/>
  <c r="BP818" i="1"/>
  <c r="BO818" i="1"/>
  <c r="BN818" i="1"/>
  <c r="BM818" i="1"/>
  <c r="BL818" i="1"/>
  <c r="BK818" i="1"/>
  <c r="BS915" i="1"/>
  <c r="BR915" i="1"/>
  <c r="BQ915" i="1"/>
  <c r="BP915" i="1"/>
  <c r="BO915" i="1"/>
  <c r="BN915" i="1"/>
  <c r="BM915" i="1"/>
  <c r="BL915" i="1"/>
  <c r="BK915" i="1"/>
  <c r="BS914" i="1"/>
  <c r="BR914" i="1"/>
  <c r="BQ914" i="1"/>
  <c r="BP914" i="1"/>
  <c r="BO914" i="1"/>
  <c r="BN914" i="1"/>
  <c r="BM914" i="1"/>
  <c r="BL914" i="1"/>
  <c r="BK914" i="1"/>
  <c r="BS815" i="1"/>
  <c r="BR815" i="1"/>
  <c r="BQ815" i="1"/>
  <c r="BP815" i="1"/>
  <c r="BO815" i="1"/>
  <c r="BN815" i="1"/>
  <c r="BM815" i="1"/>
  <c r="BL815" i="1"/>
  <c r="BK815" i="1"/>
  <c r="BS799" i="1"/>
  <c r="BR799" i="1"/>
  <c r="BQ799" i="1"/>
  <c r="BP799" i="1"/>
  <c r="BO799" i="1"/>
  <c r="BN799" i="1"/>
  <c r="BM799" i="1"/>
  <c r="BL799" i="1"/>
  <c r="BK799" i="1"/>
  <c r="BS911" i="1"/>
  <c r="BR911" i="1"/>
  <c r="BQ911" i="1"/>
  <c r="BP911" i="1"/>
  <c r="BO911" i="1"/>
  <c r="BN911" i="1"/>
  <c r="BM911" i="1"/>
  <c r="BL911" i="1"/>
  <c r="BK911" i="1"/>
  <c r="BS910" i="1"/>
  <c r="BR910" i="1"/>
  <c r="BQ910" i="1"/>
  <c r="BP910" i="1"/>
  <c r="BO910" i="1"/>
  <c r="BN910" i="1"/>
  <c r="BM910" i="1"/>
  <c r="BL910" i="1"/>
  <c r="BK910" i="1"/>
  <c r="BS908" i="1"/>
  <c r="BR908" i="1"/>
  <c r="BQ908" i="1"/>
  <c r="BP908" i="1"/>
  <c r="BO908" i="1"/>
  <c r="BN908" i="1"/>
  <c r="BM908" i="1"/>
  <c r="BL908" i="1"/>
  <c r="BK908" i="1"/>
  <c r="BS909" i="1"/>
  <c r="BR909" i="1"/>
  <c r="BQ909" i="1"/>
  <c r="BP909" i="1"/>
  <c r="BO909" i="1"/>
  <c r="BN909" i="1"/>
  <c r="BM909" i="1"/>
  <c r="BL909" i="1"/>
  <c r="BK909" i="1"/>
  <c r="BS907" i="1"/>
  <c r="BR907" i="1"/>
  <c r="BQ907" i="1"/>
  <c r="BP907" i="1"/>
  <c r="BO907" i="1"/>
  <c r="BN907" i="1"/>
  <c r="BM907" i="1"/>
  <c r="BL907" i="1"/>
  <c r="BK907" i="1"/>
  <c r="BS906" i="1"/>
  <c r="BR906" i="1"/>
  <c r="BQ906" i="1"/>
  <c r="BP906" i="1"/>
  <c r="BO906" i="1"/>
  <c r="BN906" i="1"/>
  <c r="BM906" i="1"/>
  <c r="BL906" i="1"/>
  <c r="BK906" i="1"/>
  <c r="BS904" i="1"/>
  <c r="BR904" i="1"/>
  <c r="BQ904" i="1"/>
  <c r="BP904" i="1"/>
  <c r="BO904" i="1"/>
  <c r="BN904" i="1"/>
  <c r="BM904" i="1"/>
  <c r="BL904" i="1"/>
  <c r="BK904" i="1"/>
  <c r="BS903" i="1"/>
  <c r="BR903" i="1"/>
  <c r="BQ903" i="1"/>
  <c r="BP903" i="1"/>
  <c r="BO903" i="1"/>
  <c r="BN903" i="1"/>
  <c r="BM903" i="1"/>
  <c r="BL903" i="1"/>
  <c r="BK903" i="1"/>
  <c r="BS902" i="1"/>
  <c r="BR902" i="1"/>
  <c r="BQ902" i="1"/>
  <c r="BP902" i="1"/>
  <c r="BO902" i="1"/>
  <c r="BN902" i="1"/>
  <c r="BM902" i="1"/>
  <c r="BL902" i="1"/>
  <c r="BK902" i="1"/>
  <c r="BS901" i="1"/>
  <c r="BR901" i="1"/>
  <c r="BQ901" i="1"/>
  <c r="BP901" i="1"/>
  <c r="BO901" i="1"/>
  <c r="BN901" i="1"/>
  <c r="BM901" i="1"/>
  <c r="BL901" i="1"/>
  <c r="BK901" i="1"/>
  <c r="BS582" i="1"/>
  <c r="BR582" i="1"/>
  <c r="BQ582" i="1"/>
  <c r="BP582" i="1"/>
  <c r="BO582" i="1"/>
  <c r="BN582" i="1"/>
  <c r="BM582" i="1"/>
  <c r="BL582" i="1"/>
  <c r="BK582" i="1"/>
  <c r="BS899" i="1"/>
  <c r="BR899" i="1"/>
  <c r="BQ899" i="1"/>
  <c r="BP899" i="1"/>
  <c r="BO899" i="1"/>
  <c r="BN899" i="1"/>
  <c r="BM899" i="1"/>
  <c r="BL899" i="1"/>
  <c r="BK899" i="1"/>
  <c r="BS770" i="1"/>
  <c r="BR770" i="1"/>
  <c r="BQ770" i="1"/>
  <c r="BP770" i="1"/>
  <c r="BO770" i="1"/>
  <c r="BN770" i="1"/>
  <c r="BM770" i="1"/>
  <c r="BL770" i="1"/>
  <c r="BK770" i="1"/>
  <c r="BS897" i="1"/>
  <c r="BR897" i="1"/>
  <c r="BQ897" i="1"/>
  <c r="BP897" i="1"/>
  <c r="BO897" i="1"/>
  <c r="BN897" i="1"/>
  <c r="BM897" i="1"/>
  <c r="BL897" i="1"/>
  <c r="BK897" i="1"/>
  <c r="BS896" i="1"/>
  <c r="BR896" i="1"/>
  <c r="BQ896" i="1"/>
  <c r="BP896" i="1"/>
  <c r="BO896" i="1"/>
  <c r="BN896" i="1"/>
  <c r="BM896" i="1"/>
  <c r="BL896" i="1"/>
  <c r="BK896" i="1"/>
  <c r="BS895" i="1"/>
  <c r="BR895" i="1"/>
  <c r="BQ895" i="1"/>
  <c r="BP895" i="1"/>
  <c r="BO895" i="1"/>
  <c r="BN895" i="1"/>
  <c r="BM895" i="1"/>
  <c r="BL895" i="1"/>
  <c r="BK895" i="1"/>
  <c r="BS894" i="1"/>
  <c r="BR894" i="1"/>
  <c r="BQ894" i="1"/>
  <c r="BP894" i="1"/>
  <c r="BO894" i="1"/>
  <c r="BN894" i="1"/>
  <c r="BM894" i="1"/>
  <c r="BL894" i="1"/>
  <c r="BK894" i="1"/>
  <c r="BS893" i="1"/>
  <c r="BR893" i="1"/>
  <c r="BQ893" i="1"/>
  <c r="BP893" i="1"/>
  <c r="BO893" i="1"/>
  <c r="BN893" i="1"/>
  <c r="BM893" i="1"/>
  <c r="BL893" i="1"/>
  <c r="BK893" i="1"/>
  <c r="BS892" i="1"/>
  <c r="BR892" i="1"/>
  <c r="BQ892" i="1"/>
  <c r="BP892" i="1"/>
  <c r="BO892" i="1"/>
  <c r="BN892" i="1"/>
  <c r="BM892" i="1"/>
  <c r="BL892" i="1"/>
  <c r="BK892" i="1"/>
  <c r="BS891" i="1"/>
  <c r="BR891" i="1"/>
  <c r="BQ891" i="1"/>
  <c r="BP891" i="1"/>
  <c r="BO891" i="1"/>
  <c r="BN891" i="1"/>
  <c r="BM891" i="1"/>
  <c r="BL891" i="1"/>
  <c r="BK891" i="1"/>
  <c r="BS890" i="1"/>
  <c r="BR890" i="1"/>
  <c r="BQ890" i="1"/>
  <c r="BP890" i="1"/>
  <c r="BO890" i="1"/>
  <c r="BN890" i="1"/>
  <c r="BM890" i="1"/>
  <c r="BL890" i="1"/>
  <c r="BK890" i="1"/>
  <c r="BS889" i="1"/>
  <c r="BR889" i="1"/>
  <c r="BQ889" i="1"/>
  <c r="BP889" i="1"/>
  <c r="BO889" i="1"/>
  <c r="BN889" i="1"/>
  <c r="BM889" i="1"/>
  <c r="BL889" i="1"/>
  <c r="BK889" i="1"/>
  <c r="BS888" i="1"/>
  <c r="BR888" i="1"/>
  <c r="BQ888" i="1"/>
  <c r="BP888" i="1"/>
  <c r="BO888" i="1"/>
  <c r="BN888" i="1"/>
  <c r="BM888" i="1"/>
  <c r="BL888" i="1"/>
  <c r="BK888" i="1"/>
  <c r="BS887" i="1"/>
  <c r="BR887" i="1"/>
  <c r="BQ887" i="1"/>
  <c r="BP887" i="1"/>
  <c r="BO887" i="1"/>
  <c r="BN887" i="1"/>
  <c r="BM887" i="1"/>
  <c r="BL887" i="1"/>
  <c r="BK887" i="1"/>
  <c r="BS886" i="1"/>
  <c r="BR886" i="1"/>
  <c r="BQ886" i="1"/>
  <c r="BP886" i="1"/>
  <c r="BO886" i="1"/>
  <c r="BN886" i="1"/>
  <c r="BM886" i="1"/>
  <c r="BL886" i="1"/>
  <c r="BK886" i="1"/>
  <c r="BS885" i="1"/>
  <c r="BR885" i="1"/>
  <c r="BQ885" i="1"/>
  <c r="BP885" i="1"/>
  <c r="BO885" i="1"/>
  <c r="BN885" i="1"/>
  <c r="BM885" i="1"/>
  <c r="BL885" i="1"/>
  <c r="BK885" i="1"/>
  <c r="BS884" i="1"/>
  <c r="BR884" i="1"/>
  <c r="BQ884" i="1"/>
  <c r="BP884" i="1"/>
  <c r="BO884" i="1"/>
  <c r="BN884" i="1"/>
  <c r="BM884" i="1"/>
  <c r="BL884" i="1"/>
  <c r="BK884" i="1"/>
  <c r="BS883" i="1"/>
  <c r="BR883" i="1"/>
  <c r="BQ883" i="1"/>
  <c r="BP883" i="1"/>
  <c r="BO883" i="1"/>
  <c r="BN883" i="1"/>
  <c r="BM883" i="1"/>
  <c r="BL883" i="1"/>
  <c r="BK883" i="1"/>
  <c r="BS882" i="1"/>
  <c r="BR882" i="1"/>
  <c r="BQ882" i="1"/>
  <c r="BP882" i="1"/>
  <c r="BO882" i="1"/>
  <c r="BN882" i="1"/>
  <c r="BM882" i="1"/>
  <c r="BL882" i="1"/>
  <c r="BK882" i="1"/>
  <c r="BS881" i="1"/>
  <c r="BR881" i="1"/>
  <c r="BQ881" i="1"/>
  <c r="BP881" i="1"/>
  <c r="BO881" i="1"/>
  <c r="BN881" i="1"/>
  <c r="BM881" i="1"/>
  <c r="BL881" i="1"/>
  <c r="BK881" i="1"/>
  <c r="BS880" i="1"/>
  <c r="BR880" i="1"/>
  <c r="BQ880" i="1"/>
  <c r="BP880" i="1"/>
  <c r="BO880" i="1"/>
  <c r="BN880" i="1"/>
  <c r="BM880" i="1"/>
  <c r="BL880" i="1"/>
  <c r="BK880" i="1"/>
  <c r="BS879" i="1"/>
  <c r="BR879" i="1"/>
  <c r="BQ879" i="1"/>
  <c r="BP879" i="1"/>
  <c r="BO879" i="1"/>
  <c r="BN879" i="1"/>
  <c r="BM879" i="1"/>
  <c r="BL879" i="1"/>
  <c r="BK879" i="1"/>
  <c r="BS878" i="1"/>
  <c r="BR878" i="1"/>
  <c r="BQ878" i="1"/>
  <c r="BP878" i="1"/>
  <c r="BO878" i="1"/>
  <c r="BN878" i="1"/>
  <c r="BM878" i="1"/>
  <c r="BL878" i="1"/>
  <c r="BK878" i="1"/>
  <c r="BS877" i="1"/>
  <c r="BR877" i="1"/>
  <c r="BQ877" i="1"/>
  <c r="BP877" i="1"/>
  <c r="BO877" i="1"/>
  <c r="BN877" i="1"/>
  <c r="BM877" i="1"/>
  <c r="BL877" i="1"/>
  <c r="BK877" i="1"/>
  <c r="BS768" i="1"/>
  <c r="BR768" i="1"/>
  <c r="BQ768" i="1"/>
  <c r="BP768" i="1"/>
  <c r="BO768" i="1"/>
  <c r="BN768" i="1"/>
  <c r="BM768" i="1"/>
  <c r="BL768" i="1"/>
  <c r="BK768" i="1"/>
  <c r="BS755" i="1"/>
  <c r="BR755" i="1"/>
  <c r="BQ755" i="1"/>
  <c r="BP755" i="1"/>
  <c r="BO755" i="1"/>
  <c r="BN755" i="1"/>
  <c r="BM755" i="1"/>
  <c r="BL755" i="1"/>
  <c r="BK755" i="1"/>
  <c r="BS874" i="1"/>
  <c r="BR874" i="1"/>
  <c r="BQ874" i="1"/>
  <c r="BP874" i="1"/>
  <c r="BO874" i="1"/>
  <c r="BN874" i="1"/>
  <c r="BM874" i="1"/>
  <c r="BL874" i="1"/>
  <c r="BK874" i="1"/>
  <c r="BS731" i="1"/>
  <c r="BR731" i="1"/>
  <c r="BQ731" i="1"/>
  <c r="BP731" i="1"/>
  <c r="BO731" i="1"/>
  <c r="BN731" i="1"/>
  <c r="BM731" i="1"/>
  <c r="BL731" i="1"/>
  <c r="BK731" i="1"/>
  <c r="BS700" i="1"/>
  <c r="BR700" i="1"/>
  <c r="BQ700" i="1"/>
  <c r="BP700" i="1"/>
  <c r="BO700" i="1"/>
  <c r="BN700" i="1"/>
  <c r="BM700" i="1"/>
  <c r="BL700" i="1"/>
  <c r="BK700" i="1"/>
  <c r="BS699" i="1"/>
  <c r="BR699" i="1"/>
  <c r="BQ699" i="1"/>
  <c r="BP699" i="1"/>
  <c r="BO699" i="1"/>
  <c r="BN699" i="1"/>
  <c r="BM699" i="1"/>
  <c r="BL699" i="1"/>
  <c r="BK699" i="1"/>
  <c r="BS870" i="1"/>
  <c r="BR870" i="1"/>
  <c r="BQ870" i="1"/>
  <c r="BP870" i="1"/>
  <c r="BO870" i="1"/>
  <c r="BN870" i="1"/>
  <c r="BM870" i="1"/>
  <c r="BL870" i="1"/>
  <c r="BK870" i="1"/>
  <c r="BS869" i="1"/>
  <c r="BR869" i="1"/>
  <c r="BQ869" i="1"/>
  <c r="BP869" i="1"/>
  <c r="BO869" i="1"/>
  <c r="BN869" i="1"/>
  <c r="BM869" i="1"/>
  <c r="BL869" i="1"/>
  <c r="BK869" i="1"/>
  <c r="BS723" i="1"/>
  <c r="BR723" i="1"/>
  <c r="BQ723" i="1"/>
  <c r="BP723" i="1"/>
  <c r="BO723" i="1"/>
  <c r="BN723" i="1"/>
  <c r="BM723" i="1"/>
  <c r="BL723" i="1"/>
  <c r="BK723" i="1"/>
  <c r="BS867" i="1"/>
  <c r="BR867" i="1"/>
  <c r="BQ867" i="1"/>
  <c r="BP867" i="1"/>
  <c r="BO867" i="1"/>
  <c r="BN867" i="1"/>
  <c r="BM867" i="1"/>
  <c r="BL867" i="1"/>
  <c r="BK867" i="1"/>
  <c r="BS346" i="1"/>
  <c r="BR346" i="1"/>
  <c r="BQ346" i="1"/>
  <c r="BP346" i="1"/>
  <c r="BO346" i="1"/>
  <c r="BN346" i="1"/>
  <c r="BM346" i="1"/>
  <c r="BL346" i="1"/>
  <c r="BK346" i="1"/>
  <c r="BS865" i="1"/>
  <c r="BR865" i="1"/>
  <c r="BQ865" i="1"/>
  <c r="BP865" i="1"/>
  <c r="BO865" i="1"/>
  <c r="BN865" i="1"/>
  <c r="BM865" i="1"/>
  <c r="BL865" i="1"/>
  <c r="BK865" i="1"/>
  <c r="BS864" i="1"/>
  <c r="BR864" i="1"/>
  <c r="BQ864" i="1"/>
  <c r="BP864" i="1"/>
  <c r="BO864" i="1"/>
  <c r="BN864" i="1"/>
  <c r="BM864" i="1"/>
  <c r="BL864" i="1"/>
  <c r="BK864" i="1"/>
  <c r="BS698" i="1"/>
  <c r="BR698" i="1"/>
  <c r="BQ698" i="1"/>
  <c r="BP698" i="1"/>
  <c r="BO698" i="1"/>
  <c r="BN698" i="1"/>
  <c r="BM698" i="1"/>
  <c r="BL698" i="1"/>
  <c r="BK698" i="1"/>
  <c r="BS862" i="1"/>
  <c r="BR862" i="1"/>
  <c r="BQ862" i="1"/>
  <c r="BP862" i="1"/>
  <c r="BO862" i="1"/>
  <c r="BN862" i="1"/>
  <c r="BM862" i="1"/>
  <c r="BL862" i="1"/>
  <c r="BK862" i="1"/>
  <c r="BS861" i="1"/>
  <c r="BR861" i="1"/>
  <c r="BQ861" i="1"/>
  <c r="BP861" i="1"/>
  <c r="BO861" i="1"/>
  <c r="BN861" i="1"/>
  <c r="BM861" i="1"/>
  <c r="BL861" i="1"/>
  <c r="BK861" i="1"/>
  <c r="BS741" i="1"/>
  <c r="BR741" i="1"/>
  <c r="BQ741" i="1"/>
  <c r="BP741" i="1"/>
  <c r="BO741" i="1"/>
  <c r="BN741" i="1"/>
  <c r="BM741" i="1"/>
  <c r="BL741" i="1"/>
  <c r="BK741" i="1"/>
  <c r="BS859" i="1"/>
  <c r="BR859" i="1"/>
  <c r="BQ859" i="1"/>
  <c r="BP859" i="1"/>
  <c r="BO859" i="1"/>
  <c r="BN859" i="1"/>
  <c r="BM859" i="1"/>
  <c r="BL859" i="1"/>
  <c r="BK859" i="1"/>
  <c r="BS858" i="1"/>
  <c r="BR858" i="1"/>
  <c r="BQ858" i="1"/>
  <c r="BP858" i="1"/>
  <c r="BO858" i="1"/>
  <c r="BN858" i="1"/>
  <c r="BM858" i="1"/>
  <c r="BL858" i="1"/>
  <c r="BK858" i="1"/>
  <c r="BS697" i="1"/>
  <c r="BR697" i="1"/>
  <c r="BQ697" i="1"/>
  <c r="BP697" i="1"/>
  <c r="BO697" i="1"/>
  <c r="BN697" i="1"/>
  <c r="BM697" i="1"/>
  <c r="BL697" i="1"/>
  <c r="BK697" i="1"/>
  <c r="BS856" i="1"/>
  <c r="BR856" i="1"/>
  <c r="BQ856" i="1"/>
  <c r="BP856" i="1"/>
  <c r="BO856" i="1"/>
  <c r="BN856" i="1"/>
  <c r="BM856" i="1"/>
  <c r="BL856" i="1"/>
  <c r="BK856" i="1"/>
  <c r="BS855" i="1"/>
  <c r="BR855" i="1"/>
  <c r="BQ855" i="1"/>
  <c r="BP855" i="1"/>
  <c r="BO855" i="1"/>
  <c r="BN855" i="1"/>
  <c r="BM855" i="1"/>
  <c r="BL855" i="1"/>
  <c r="BK855" i="1"/>
  <c r="BS854" i="1"/>
  <c r="BR854" i="1"/>
  <c r="BQ854" i="1"/>
  <c r="BP854" i="1"/>
  <c r="BO854" i="1"/>
  <c r="BN854" i="1"/>
  <c r="BM854" i="1"/>
  <c r="BL854" i="1"/>
  <c r="BK854" i="1"/>
  <c r="BS853" i="1"/>
  <c r="BR853" i="1"/>
  <c r="BQ853" i="1"/>
  <c r="BP853" i="1"/>
  <c r="BO853" i="1"/>
  <c r="BN853" i="1"/>
  <c r="BM853" i="1"/>
  <c r="BL853" i="1"/>
  <c r="BK853" i="1"/>
  <c r="BS852" i="1"/>
  <c r="BR852" i="1"/>
  <c r="BQ852" i="1"/>
  <c r="BP852" i="1"/>
  <c r="BO852" i="1"/>
  <c r="BN852" i="1"/>
  <c r="BM852" i="1"/>
  <c r="BL852" i="1"/>
  <c r="BK852" i="1"/>
  <c r="BS851" i="1"/>
  <c r="BR851" i="1"/>
  <c r="BQ851" i="1"/>
  <c r="BP851" i="1"/>
  <c r="BO851" i="1"/>
  <c r="BN851" i="1"/>
  <c r="BM851" i="1"/>
  <c r="BL851" i="1"/>
  <c r="BK851" i="1"/>
  <c r="BS850" i="1"/>
  <c r="BR850" i="1"/>
  <c r="BQ850" i="1"/>
  <c r="BP850" i="1"/>
  <c r="BO850" i="1"/>
  <c r="BN850" i="1"/>
  <c r="BM850" i="1"/>
  <c r="BL850" i="1"/>
  <c r="BK850" i="1"/>
  <c r="BS849" i="1"/>
  <c r="BR849" i="1"/>
  <c r="BQ849" i="1"/>
  <c r="BP849" i="1"/>
  <c r="BO849" i="1"/>
  <c r="BN849" i="1"/>
  <c r="BM849" i="1"/>
  <c r="BL849" i="1"/>
  <c r="BK849" i="1"/>
  <c r="BS848" i="1"/>
  <c r="BR848" i="1"/>
  <c r="BQ848" i="1"/>
  <c r="BP848" i="1"/>
  <c r="BO848" i="1"/>
  <c r="BN848" i="1"/>
  <c r="BM848" i="1"/>
  <c r="BL848" i="1"/>
  <c r="BK848" i="1"/>
  <c r="BS847" i="1"/>
  <c r="BR847" i="1"/>
  <c r="BQ847" i="1"/>
  <c r="BP847" i="1"/>
  <c r="BO847" i="1"/>
  <c r="BN847" i="1"/>
  <c r="BM847" i="1"/>
  <c r="BL847" i="1"/>
  <c r="BK847" i="1"/>
  <c r="BS846" i="1"/>
  <c r="BR846" i="1"/>
  <c r="BQ846" i="1"/>
  <c r="BP846" i="1"/>
  <c r="BO846" i="1"/>
  <c r="BN846" i="1"/>
  <c r="BM846" i="1"/>
  <c r="BL846" i="1"/>
  <c r="BK846" i="1"/>
  <c r="BS845" i="1"/>
  <c r="BR845" i="1"/>
  <c r="BQ845" i="1"/>
  <c r="BP845" i="1"/>
  <c r="BO845" i="1"/>
  <c r="BN845" i="1"/>
  <c r="BM845" i="1"/>
  <c r="BL845" i="1"/>
  <c r="BK845" i="1"/>
  <c r="BS844" i="1"/>
  <c r="BR844" i="1"/>
  <c r="BQ844" i="1"/>
  <c r="BP844" i="1"/>
  <c r="BO844" i="1"/>
  <c r="BN844" i="1"/>
  <c r="BM844" i="1"/>
  <c r="BL844" i="1"/>
  <c r="BK844" i="1"/>
  <c r="BS843" i="1"/>
  <c r="BR843" i="1"/>
  <c r="BQ843" i="1"/>
  <c r="BP843" i="1"/>
  <c r="BO843" i="1"/>
  <c r="BN843" i="1"/>
  <c r="BM843" i="1"/>
  <c r="BL843" i="1"/>
  <c r="BK843" i="1"/>
  <c r="BS842" i="1"/>
  <c r="BR842" i="1"/>
  <c r="BQ842" i="1"/>
  <c r="BP842" i="1"/>
  <c r="BO842" i="1"/>
  <c r="BN842" i="1"/>
  <c r="BM842" i="1"/>
  <c r="BL842" i="1"/>
  <c r="BK842" i="1"/>
  <c r="BS841" i="1"/>
  <c r="BR841" i="1"/>
  <c r="BQ841" i="1"/>
  <c r="BP841" i="1"/>
  <c r="BO841" i="1"/>
  <c r="BN841" i="1"/>
  <c r="BM841" i="1"/>
  <c r="BL841" i="1"/>
  <c r="BK841" i="1"/>
  <c r="BS840" i="1"/>
  <c r="BR840" i="1"/>
  <c r="BQ840" i="1"/>
  <c r="BP840" i="1"/>
  <c r="BO840" i="1"/>
  <c r="BN840" i="1"/>
  <c r="BM840" i="1"/>
  <c r="BL840" i="1"/>
  <c r="BK840" i="1"/>
  <c r="BS839" i="1"/>
  <c r="BR839" i="1"/>
  <c r="BQ839" i="1"/>
  <c r="BP839" i="1"/>
  <c r="BO839" i="1"/>
  <c r="BN839" i="1"/>
  <c r="BM839" i="1"/>
  <c r="BL839" i="1"/>
  <c r="BK839" i="1"/>
  <c r="BS838" i="1"/>
  <c r="BR838" i="1"/>
  <c r="BQ838" i="1"/>
  <c r="BP838" i="1"/>
  <c r="BO838" i="1"/>
  <c r="BN838" i="1"/>
  <c r="BM838" i="1"/>
  <c r="BL838" i="1"/>
  <c r="BK838" i="1"/>
  <c r="BS696" i="1"/>
  <c r="BR696" i="1"/>
  <c r="BQ696" i="1"/>
  <c r="BP696" i="1"/>
  <c r="BO696" i="1"/>
  <c r="BN696" i="1"/>
  <c r="BM696" i="1"/>
  <c r="BL696" i="1"/>
  <c r="BK696" i="1"/>
  <c r="BS836" i="1"/>
  <c r="BR836" i="1"/>
  <c r="BQ836" i="1"/>
  <c r="BP836" i="1"/>
  <c r="BO836" i="1"/>
  <c r="BN836" i="1"/>
  <c r="BM836" i="1"/>
  <c r="BL836" i="1"/>
  <c r="BK836" i="1"/>
  <c r="BS835" i="1"/>
  <c r="BR835" i="1"/>
  <c r="BQ835" i="1"/>
  <c r="BP835" i="1"/>
  <c r="BO835" i="1"/>
  <c r="BN835" i="1"/>
  <c r="BM835" i="1"/>
  <c r="BL835" i="1"/>
  <c r="BK835" i="1"/>
  <c r="BS695" i="1"/>
  <c r="BR695" i="1"/>
  <c r="BQ695" i="1"/>
  <c r="BP695" i="1"/>
  <c r="BO695" i="1"/>
  <c r="BN695" i="1"/>
  <c r="BM695" i="1"/>
  <c r="BL695" i="1"/>
  <c r="BK695" i="1"/>
  <c r="BS833" i="1"/>
  <c r="BR833" i="1"/>
  <c r="BQ833" i="1"/>
  <c r="BP833" i="1"/>
  <c r="BO833" i="1"/>
  <c r="BN833" i="1"/>
  <c r="BM833" i="1"/>
  <c r="BL833" i="1"/>
  <c r="BK833" i="1"/>
  <c r="BS832" i="1"/>
  <c r="BR832" i="1"/>
  <c r="BQ832" i="1"/>
  <c r="BP832" i="1"/>
  <c r="BO832" i="1"/>
  <c r="BN832" i="1"/>
  <c r="BM832" i="1"/>
  <c r="BL832" i="1"/>
  <c r="BK832" i="1"/>
  <c r="BS831" i="1"/>
  <c r="BR831" i="1"/>
  <c r="BQ831" i="1"/>
  <c r="BP831" i="1"/>
  <c r="BO831" i="1"/>
  <c r="BN831" i="1"/>
  <c r="BM831" i="1"/>
  <c r="BL831" i="1"/>
  <c r="BK831" i="1"/>
  <c r="BS760" i="1"/>
  <c r="BR760" i="1"/>
  <c r="BQ760" i="1"/>
  <c r="BP760" i="1"/>
  <c r="BO760" i="1"/>
  <c r="BN760" i="1"/>
  <c r="BM760" i="1"/>
  <c r="BL760" i="1"/>
  <c r="BK760" i="1"/>
  <c r="BS829" i="1"/>
  <c r="BR829" i="1"/>
  <c r="BQ829" i="1"/>
  <c r="BP829" i="1"/>
  <c r="BO829" i="1"/>
  <c r="BN829" i="1"/>
  <c r="BM829" i="1"/>
  <c r="BL829" i="1"/>
  <c r="BK829" i="1"/>
  <c r="BS694" i="1"/>
  <c r="BR694" i="1"/>
  <c r="BQ694" i="1"/>
  <c r="BP694" i="1"/>
  <c r="BO694" i="1"/>
  <c r="BN694" i="1"/>
  <c r="BM694" i="1"/>
  <c r="BL694" i="1"/>
  <c r="BK694" i="1"/>
  <c r="BS827" i="1"/>
  <c r="BR827" i="1"/>
  <c r="BQ827" i="1"/>
  <c r="BP827" i="1"/>
  <c r="BO827" i="1"/>
  <c r="BN827" i="1"/>
  <c r="BM827" i="1"/>
  <c r="BL827" i="1"/>
  <c r="BK827" i="1"/>
  <c r="BS826" i="1"/>
  <c r="BR826" i="1"/>
  <c r="BQ826" i="1"/>
  <c r="BP826" i="1"/>
  <c r="BO826" i="1"/>
  <c r="BN826" i="1"/>
  <c r="BM826" i="1"/>
  <c r="BL826" i="1"/>
  <c r="BK826" i="1"/>
  <c r="BS693" i="1"/>
  <c r="BR693" i="1"/>
  <c r="BQ693" i="1"/>
  <c r="BP693" i="1"/>
  <c r="BO693" i="1"/>
  <c r="BN693" i="1"/>
  <c r="BM693" i="1"/>
  <c r="BL693" i="1"/>
  <c r="BK693" i="1"/>
  <c r="BS689" i="1"/>
  <c r="BR689" i="1"/>
  <c r="BQ689" i="1"/>
  <c r="BP689" i="1"/>
  <c r="BO689" i="1"/>
  <c r="BN689" i="1"/>
  <c r="BM689" i="1"/>
  <c r="BL689" i="1"/>
  <c r="BK689" i="1"/>
  <c r="BS822" i="1"/>
  <c r="BR822" i="1"/>
  <c r="BQ822" i="1"/>
  <c r="BP822" i="1"/>
  <c r="BO822" i="1"/>
  <c r="BN822" i="1"/>
  <c r="BM822" i="1"/>
  <c r="BL822" i="1"/>
  <c r="BK822" i="1"/>
  <c r="BS688" i="1"/>
  <c r="BR688" i="1"/>
  <c r="BQ688" i="1"/>
  <c r="BP688" i="1"/>
  <c r="BO688" i="1"/>
  <c r="BN688" i="1"/>
  <c r="BM688" i="1"/>
  <c r="BL688" i="1"/>
  <c r="BK688" i="1"/>
  <c r="BS687" i="1"/>
  <c r="BR687" i="1"/>
  <c r="BQ687" i="1"/>
  <c r="BP687" i="1"/>
  <c r="BO687" i="1"/>
  <c r="BN687" i="1"/>
  <c r="BM687" i="1"/>
  <c r="BL687" i="1"/>
  <c r="BK687" i="1"/>
  <c r="BS795" i="1"/>
  <c r="BR795" i="1"/>
  <c r="BQ795" i="1"/>
  <c r="BP795" i="1"/>
  <c r="BO795" i="1"/>
  <c r="BN795" i="1"/>
  <c r="BM795" i="1"/>
  <c r="BL795" i="1"/>
  <c r="BK795" i="1"/>
  <c r="BS686" i="1"/>
  <c r="BR686" i="1"/>
  <c r="BQ686" i="1"/>
  <c r="BP686" i="1"/>
  <c r="BO686" i="1"/>
  <c r="BN686" i="1"/>
  <c r="BM686" i="1"/>
  <c r="BL686" i="1"/>
  <c r="BK686" i="1"/>
  <c r="BS685" i="1"/>
  <c r="BR685" i="1"/>
  <c r="BQ685" i="1"/>
  <c r="BP685" i="1"/>
  <c r="BO685" i="1"/>
  <c r="BN685" i="1"/>
  <c r="BM685" i="1"/>
  <c r="BL685" i="1"/>
  <c r="BK685" i="1"/>
  <c r="BS757" i="1"/>
  <c r="BR757" i="1"/>
  <c r="BQ757" i="1"/>
  <c r="BP757" i="1"/>
  <c r="BO757" i="1"/>
  <c r="BN757" i="1"/>
  <c r="BM757" i="1"/>
  <c r="BL757" i="1"/>
  <c r="BK757" i="1"/>
  <c r="BS814" i="1"/>
  <c r="BR814" i="1"/>
  <c r="BQ814" i="1"/>
  <c r="BP814" i="1"/>
  <c r="BO814" i="1"/>
  <c r="BN814" i="1"/>
  <c r="BM814" i="1"/>
  <c r="BL814" i="1"/>
  <c r="BK814" i="1"/>
  <c r="BS684" i="1"/>
  <c r="BR684" i="1"/>
  <c r="BQ684" i="1"/>
  <c r="BP684" i="1"/>
  <c r="BO684" i="1"/>
  <c r="BN684" i="1"/>
  <c r="BM684" i="1"/>
  <c r="BL684" i="1"/>
  <c r="BK684" i="1"/>
  <c r="BS683" i="1"/>
  <c r="BR683" i="1"/>
  <c r="BQ683" i="1"/>
  <c r="BP683" i="1"/>
  <c r="BO683" i="1"/>
  <c r="BN683" i="1"/>
  <c r="BM683" i="1"/>
  <c r="BL683" i="1"/>
  <c r="BK683" i="1"/>
  <c r="BS811" i="1"/>
  <c r="BR811" i="1"/>
  <c r="BQ811" i="1"/>
  <c r="BP811" i="1"/>
  <c r="BO811" i="1"/>
  <c r="BN811" i="1"/>
  <c r="BM811" i="1"/>
  <c r="BL811" i="1"/>
  <c r="BK811" i="1"/>
  <c r="BS810" i="1"/>
  <c r="BR810" i="1"/>
  <c r="BQ810" i="1"/>
  <c r="BP810" i="1"/>
  <c r="BO810" i="1"/>
  <c r="BN810" i="1"/>
  <c r="BM810" i="1"/>
  <c r="BL810" i="1"/>
  <c r="BK810" i="1"/>
  <c r="BS809" i="1"/>
  <c r="BR809" i="1"/>
  <c r="BQ809" i="1"/>
  <c r="BP809" i="1"/>
  <c r="BO809" i="1"/>
  <c r="BN809" i="1"/>
  <c r="BM809" i="1"/>
  <c r="BL809" i="1"/>
  <c r="BK809" i="1"/>
  <c r="BS808" i="1"/>
  <c r="BR808" i="1"/>
  <c r="BQ808" i="1"/>
  <c r="BP808" i="1"/>
  <c r="BO808" i="1"/>
  <c r="BN808" i="1"/>
  <c r="BM808" i="1"/>
  <c r="BL808" i="1"/>
  <c r="BK808" i="1"/>
  <c r="BS807" i="1"/>
  <c r="BR807" i="1"/>
  <c r="BQ807" i="1"/>
  <c r="BP807" i="1"/>
  <c r="BO807" i="1"/>
  <c r="BN807" i="1"/>
  <c r="BM807" i="1"/>
  <c r="BL807" i="1"/>
  <c r="BK807" i="1"/>
  <c r="BS682" i="1"/>
  <c r="BR682" i="1"/>
  <c r="BQ682" i="1"/>
  <c r="BP682" i="1"/>
  <c r="BO682" i="1"/>
  <c r="BN682" i="1"/>
  <c r="BM682" i="1"/>
  <c r="BL682" i="1"/>
  <c r="BK682" i="1"/>
  <c r="BS1055" i="1"/>
  <c r="BR1055" i="1"/>
  <c r="BQ1055" i="1"/>
  <c r="BP1055" i="1"/>
  <c r="BO1055" i="1"/>
  <c r="BN1055" i="1"/>
  <c r="BM1055" i="1"/>
  <c r="BL1055" i="1"/>
  <c r="BK1055" i="1"/>
  <c r="BS1011" i="1"/>
  <c r="BR1011" i="1"/>
  <c r="BQ1011" i="1"/>
  <c r="BP1011" i="1"/>
  <c r="BO1011" i="1"/>
  <c r="BN1011" i="1"/>
  <c r="BM1011" i="1"/>
  <c r="BL1011" i="1"/>
  <c r="BK1011" i="1"/>
  <c r="BS872" i="1"/>
  <c r="BR872" i="1"/>
  <c r="BQ872" i="1"/>
  <c r="BP872" i="1"/>
  <c r="BO872" i="1"/>
  <c r="BN872" i="1"/>
  <c r="BM872" i="1"/>
  <c r="BL872" i="1"/>
  <c r="BK872" i="1"/>
  <c r="BS802" i="1"/>
  <c r="BR802" i="1"/>
  <c r="BQ802" i="1"/>
  <c r="BP802" i="1"/>
  <c r="BO802" i="1"/>
  <c r="BN802" i="1"/>
  <c r="BM802" i="1"/>
  <c r="BL802" i="1"/>
  <c r="BK802" i="1"/>
  <c r="BS801" i="1"/>
  <c r="BR801" i="1"/>
  <c r="BQ801" i="1"/>
  <c r="BP801" i="1"/>
  <c r="BO801" i="1"/>
  <c r="BN801" i="1"/>
  <c r="BM801" i="1"/>
  <c r="BL801" i="1"/>
  <c r="BK801" i="1"/>
  <c r="BS800" i="1"/>
  <c r="BR800" i="1"/>
  <c r="BQ800" i="1"/>
  <c r="BP800" i="1"/>
  <c r="BO800" i="1"/>
  <c r="BN800" i="1"/>
  <c r="BM800" i="1"/>
  <c r="BL800" i="1"/>
  <c r="BK800" i="1"/>
  <c r="BS744" i="1"/>
  <c r="BR744" i="1"/>
  <c r="BQ744" i="1"/>
  <c r="BP744" i="1"/>
  <c r="BO744" i="1"/>
  <c r="BN744" i="1"/>
  <c r="BM744" i="1"/>
  <c r="BL744" i="1"/>
  <c r="BK744" i="1"/>
  <c r="BS798" i="1"/>
  <c r="BR798" i="1"/>
  <c r="BQ798" i="1"/>
  <c r="BP798" i="1"/>
  <c r="BO798" i="1"/>
  <c r="BN798" i="1"/>
  <c r="BM798" i="1"/>
  <c r="BL798" i="1"/>
  <c r="BK798" i="1"/>
  <c r="BS797" i="1"/>
  <c r="BR797" i="1"/>
  <c r="BQ797" i="1"/>
  <c r="BP797" i="1"/>
  <c r="BO797" i="1"/>
  <c r="BN797" i="1"/>
  <c r="BM797" i="1"/>
  <c r="BL797" i="1"/>
  <c r="BK797" i="1"/>
  <c r="BS796" i="1"/>
  <c r="BR796" i="1"/>
  <c r="BQ796" i="1"/>
  <c r="BP796" i="1"/>
  <c r="BO796" i="1"/>
  <c r="BN796" i="1"/>
  <c r="BM796" i="1"/>
  <c r="BL796" i="1"/>
  <c r="BK796" i="1"/>
  <c r="BS871" i="1"/>
  <c r="BR871" i="1"/>
  <c r="BQ871" i="1"/>
  <c r="BP871" i="1"/>
  <c r="BO871" i="1"/>
  <c r="BN871" i="1"/>
  <c r="BM871" i="1"/>
  <c r="BL871" i="1"/>
  <c r="BK871" i="1"/>
  <c r="BS794" i="1"/>
  <c r="BR794" i="1"/>
  <c r="BQ794" i="1"/>
  <c r="BP794" i="1"/>
  <c r="BO794" i="1"/>
  <c r="BN794" i="1"/>
  <c r="BM794" i="1"/>
  <c r="BL794" i="1"/>
  <c r="BK794" i="1"/>
  <c r="BS792" i="1"/>
  <c r="BR792" i="1"/>
  <c r="BQ792" i="1"/>
  <c r="BP792" i="1"/>
  <c r="BO792" i="1"/>
  <c r="BN792" i="1"/>
  <c r="BM792" i="1"/>
  <c r="BL792" i="1"/>
  <c r="BK792" i="1"/>
  <c r="BS791" i="1"/>
  <c r="BR791" i="1"/>
  <c r="BQ791" i="1"/>
  <c r="BP791" i="1"/>
  <c r="BO791" i="1"/>
  <c r="BN791" i="1"/>
  <c r="BM791" i="1"/>
  <c r="BL791" i="1"/>
  <c r="BK791" i="1"/>
  <c r="BS40" i="1"/>
  <c r="BR40" i="1"/>
  <c r="BQ40" i="1"/>
  <c r="BP40" i="1"/>
  <c r="BO40" i="1"/>
  <c r="BN40" i="1"/>
  <c r="BM40" i="1"/>
  <c r="BL40" i="1"/>
  <c r="BK40" i="1"/>
  <c r="BS789" i="1"/>
  <c r="BR789" i="1"/>
  <c r="BQ789" i="1"/>
  <c r="BP789" i="1"/>
  <c r="BO789" i="1"/>
  <c r="BN789" i="1"/>
  <c r="BM789" i="1"/>
  <c r="BL789" i="1"/>
  <c r="BK789" i="1"/>
  <c r="BS788" i="1"/>
  <c r="BR788" i="1"/>
  <c r="BQ788" i="1"/>
  <c r="BP788" i="1"/>
  <c r="BO788" i="1"/>
  <c r="BN788" i="1"/>
  <c r="BM788" i="1"/>
  <c r="BL788" i="1"/>
  <c r="BK788" i="1"/>
  <c r="BS787" i="1"/>
  <c r="BR787" i="1"/>
  <c r="BQ787" i="1"/>
  <c r="BP787" i="1"/>
  <c r="BO787" i="1"/>
  <c r="BN787" i="1"/>
  <c r="BM787" i="1"/>
  <c r="BL787" i="1"/>
  <c r="BK787" i="1"/>
  <c r="BS786" i="1"/>
  <c r="BR786" i="1"/>
  <c r="BQ786" i="1"/>
  <c r="BP786" i="1"/>
  <c r="BO786" i="1"/>
  <c r="BN786" i="1"/>
  <c r="BM786" i="1"/>
  <c r="BL786" i="1"/>
  <c r="BK786" i="1"/>
  <c r="BS785" i="1"/>
  <c r="BR785" i="1"/>
  <c r="BQ785" i="1"/>
  <c r="BP785" i="1"/>
  <c r="BO785" i="1"/>
  <c r="BN785" i="1"/>
  <c r="BM785" i="1"/>
  <c r="BL785" i="1"/>
  <c r="BK785" i="1"/>
  <c r="BS1152" i="1"/>
  <c r="BR1152" i="1"/>
  <c r="BQ1152" i="1"/>
  <c r="BP1152" i="1"/>
  <c r="BO1152" i="1"/>
  <c r="BN1152" i="1"/>
  <c r="BM1152" i="1"/>
  <c r="BL1152" i="1"/>
  <c r="BK1152" i="1"/>
  <c r="BS1127" i="1"/>
  <c r="BR1127" i="1"/>
  <c r="BQ1127" i="1"/>
  <c r="BP1127" i="1"/>
  <c r="BO1127" i="1"/>
  <c r="BN1127" i="1"/>
  <c r="BM1127" i="1"/>
  <c r="BL1127" i="1"/>
  <c r="BK1127" i="1"/>
  <c r="BS1075" i="1"/>
  <c r="BR1075" i="1"/>
  <c r="BQ1075" i="1"/>
  <c r="BP1075" i="1"/>
  <c r="BO1075" i="1"/>
  <c r="BN1075" i="1"/>
  <c r="BM1075" i="1"/>
  <c r="BL1075" i="1"/>
  <c r="BK1075" i="1"/>
  <c r="BS781" i="1"/>
  <c r="BR781" i="1"/>
  <c r="BQ781" i="1"/>
  <c r="BP781" i="1"/>
  <c r="BO781" i="1"/>
  <c r="BN781" i="1"/>
  <c r="BM781" i="1"/>
  <c r="BL781" i="1"/>
  <c r="BK781" i="1"/>
  <c r="BS790" i="1"/>
  <c r="BR790" i="1"/>
  <c r="BQ790" i="1"/>
  <c r="BP790" i="1"/>
  <c r="BO790" i="1"/>
  <c r="BN790" i="1"/>
  <c r="BM790" i="1"/>
  <c r="BL790" i="1"/>
  <c r="BK790" i="1"/>
  <c r="BS779" i="1"/>
  <c r="BR779" i="1"/>
  <c r="BQ779" i="1"/>
  <c r="BP779" i="1"/>
  <c r="BO779" i="1"/>
  <c r="BN779" i="1"/>
  <c r="BM779" i="1"/>
  <c r="BL779" i="1"/>
  <c r="BK779" i="1"/>
  <c r="BS1084" i="1"/>
  <c r="BR1084" i="1"/>
  <c r="BQ1084" i="1"/>
  <c r="BP1084" i="1"/>
  <c r="BO1084" i="1"/>
  <c r="BN1084" i="1"/>
  <c r="BM1084" i="1"/>
  <c r="BL1084" i="1"/>
  <c r="BK1084" i="1"/>
  <c r="BS777" i="1"/>
  <c r="BR777" i="1"/>
  <c r="BQ777" i="1"/>
  <c r="BP777" i="1"/>
  <c r="BO777" i="1"/>
  <c r="BN777" i="1"/>
  <c r="BM777" i="1"/>
  <c r="BL777" i="1"/>
  <c r="BK777" i="1"/>
  <c r="BS776" i="1"/>
  <c r="BR776" i="1"/>
  <c r="BQ776" i="1"/>
  <c r="BP776" i="1"/>
  <c r="BO776" i="1"/>
  <c r="BN776" i="1"/>
  <c r="BM776" i="1"/>
  <c r="BL776" i="1"/>
  <c r="BK776" i="1"/>
  <c r="BS775" i="1"/>
  <c r="BR775" i="1"/>
  <c r="BQ775" i="1"/>
  <c r="BP775" i="1"/>
  <c r="BO775" i="1"/>
  <c r="BN775" i="1"/>
  <c r="BM775" i="1"/>
  <c r="BL775" i="1"/>
  <c r="BK775" i="1"/>
  <c r="BS774" i="1"/>
  <c r="BR774" i="1"/>
  <c r="BQ774" i="1"/>
  <c r="BP774" i="1"/>
  <c r="BO774" i="1"/>
  <c r="BN774" i="1"/>
  <c r="BM774" i="1"/>
  <c r="BL774" i="1"/>
  <c r="BK774" i="1"/>
  <c r="BS773" i="1"/>
  <c r="BR773" i="1"/>
  <c r="BQ773" i="1"/>
  <c r="BP773" i="1"/>
  <c r="BO773" i="1"/>
  <c r="BN773" i="1"/>
  <c r="BM773" i="1"/>
  <c r="BL773" i="1"/>
  <c r="BK773" i="1"/>
  <c r="BS772" i="1"/>
  <c r="BR772" i="1"/>
  <c r="BQ772" i="1"/>
  <c r="BP772" i="1"/>
  <c r="BO772" i="1"/>
  <c r="BN772" i="1"/>
  <c r="BM772" i="1"/>
  <c r="BL772" i="1"/>
  <c r="BK772" i="1"/>
  <c r="BS771" i="1"/>
  <c r="BR771" i="1"/>
  <c r="BQ771" i="1"/>
  <c r="BP771" i="1"/>
  <c r="BO771" i="1"/>
  <c r="BN771" i="1"/>
  <c r="BM771" i="1"/>
  <c r="BL771" i="1"/>
  <c r="BK771" i="1"/>
  <c r="BS587" i="1"/>
  <c r="BR587" i="1"/>
  <c r="BQ587" i="1"/>
  <c r="BP587" i="1"/>
  <c r="BO587" i="1"/>
  <c r="BN587" i="1"/>
  <c r="BM587" i="1"/>
  <c r="BL587" i="1"/>
  <c r="BK587" i="1"/>
  <c r="BS975" i="1"/>
  <c r="BR975" i="1"/>
  <c r="BQ975" i="1"/>
  <c r="BP975" i="1"/>
  <c r="BO975" i="1"/>
  <c r="BN975" i="1"/>
  <c r="BM975" i="1"/>
  <c r="BL975" i="1"/>
  <c r="BK975" i="1"/>
  <c r="BS821" i="1"/>
  <c r="BR821" i="1"/>
  <c r="BQ821" i="1"/>
  <c r="BP821" i="1"/>
  <c r="BO821" i="1"/>
  <c r="BN821" i="1"/>
  <c r="BM821" i="1"/>
  <c r="BL821" i="1"/>
  <c r="BK821" i="1"/>
  <c r="BS767" i="1"/>
  <c r="BR767" i="1"/>
  <c r="BQ767" i="1"/>
  <c r="BP767" i="1"/>
  <c r="BO767" i="1"/>
  <c r="BN767" i="1"/>
  <c r="BM767" i="1"/>
  <c r="BL767" i="1"/>
  <c r="BK767" i="1"/>
  <c r="BS766" i="1"/>
  <c r="BR766" i="1"/>
  <c r="BQ766" i="1"/>
  <c r="BP766" i="1"/>
  <c r="BO766" i="1"/>
  <c r="BN766" i="1"/>
  <c r="BM766" i="1"/>
  <c r="BL766" i="1"/>
  <c r="BK766" i="1"/>
  <c r="BS765" i="1"/>
  <c r="BR765" i="1"/>
  <c r="BQ765" i="1"/>
  <c r="BP765" i="1"/>
  <c r="BO765" i="1"/>
  <c r="BN765" i="1"/>
  <c r="BM765" i="1"/>
  <c r="BL765" i="1"/>
  <c r="BK765" i="1"/>
  <c r="BS780" i="1"/>
  <c r="BR780" i="1"/>
  <c r="BQ780" i="1"/>
  <c r="BP780" i="1"/>
  <c r="BO780" i="1"/>
  <c r="BN780" i="1"/>
  <c r="BM780" i="1"/>
  <c r="BL780" i="1"/>
  <c r="BK780" i="1"/>
  <c r="BS763" i="1"/>
  <c r="BR763" i="1"/>
  <c r="BQ763" i="1"/>
  <c r="BP763" i="1"/>
  <c r="BO763" i="1"/>
  <c r="BN763" i="1"/>
  <c r="BM763" i="1"/>
  <c r="BL763" i="1"/>
  <c r="BK763" i="1"/>
  <c r="BS820" i="1"/>
  <c r="BR820" i="1"/>
  <c r="BQ820" i="1"/>
  <c r="BP820" i="1"/>
  <c r="BO820" i="1"/>
  <c r="BN820" i="1"/>
  <c r="BM820" i="1"/>
  <c r="BL820" i="1"/>
  <c r="BK820" i="1"/>
  <c r="BS782" i="1"/>
  <c r="BR782" i="1"/>
  <c r="BQ782" i="1"/>
  <c r="BP782" i="1"/>
  <c r="BO782" i="1"/>
  <c r="BN782" i="1"/>
  <c r="BM782" i="1"/>
  <c r="BL782" i="1"/>
  <c r="BK782" i="1"/>
  <c r="BS408" i="1"/>
  <c r="BR408" i="1"/>
  <c r="BQ408" i="1"/>
  <c r="BP408" i="1"/>
  <c r="BO408" i="1"/>
  <c r="BN408" i="1"/>
  <c r="BM408" i="1"/>
  <c r="BL408" i="1"/>
  <c r="BK408" i="1"/>
  <c r="BS759" i="1"/>
  <c r="BR759" i="1"/>
  <c r="BQ759" i="1"/>
  <c r="BP759" i="1"/>
  <c r="BO759" i="1"/>
  <c r="BN759" i="1"/>
  <c r="BM759" i="1"/>
  <c r="BL759" i="1"/>
  <c r="BK759" i="1"/>
  <c r="BS758" i="1"/>
  <c r="BR758" i="1"/>
  <c r="BQ758" i="1"/>
  <c r="BP758" i="1"/>
  <c r="BO758" i="1"/>
  <c r="BN758" i="1"/>
  <c r="BM758" i="1"/>
  <c r="BL758" i="1"/>
  <c r="BK758" i="1"/>
  <c r="BS301" i="1"/>
  <c r="BR301" i="1"/>
  <c r="BQ301" i="1"/>
  <c r="BP301" i="1"/>
  <c r="BO301" i="1"/>
  <c r="BN301" i="1"/>
  <c r="BM301" i="1"/>
  <c r="BL301" i="1"/>
  <c r="BK301" i="1"/>
  <c r="BS672" i="1"/>
  <c r="BR672" i="1"/>
  <c r="BQ672" i="1"/>
  <c r="BP672" i="1"/>
  <c r="BO672" i="1"/>
  <c r="BN672" i="1"/>
  <c r="BM672" i="1"/>
  <c r="BL672" i="1"/>
  <c r="BK672" i="1"/>
  <c r="BS754" i="1"/>
  <c r="BR754" i="1"/>
  <c r="BQ754" i="1"/>
  <c r="BP754" i="1"/>
  <c r="BO754" i="1"/>
  <c r="BN754" i="1"/>
  <c r="BM754" i="1"/>
  <c r="BL754" i="1"/>
  <c r="BK754" i="1"/>
  <c r="BS753" i="1"/>
  <c r="BR753" i="1"/>
  <c r="BQ753" i="1"/>
  <c r="BP753" i="1"/>
  <c r="BO753" i="1"/>
  <c r="BN753" i="1"/>
  <c r="BM753" i="1"/>
  <c r="BL753" i="1"/>
  <c r="BK753" i="1"/>
  <c r="BS752" i="1"/>
  <c r="BR752" i="1"/>
  <c r="BQ752" i="1"/>
  <c r="BP752" i="1"/>
  <c r="BO752" i="1"/>
  <c r="BN752" i="1"/>
  <c r="BM752" i="1"/>
  <c r="BL752" i="1"/>
  <c r="BK752" i="1"/>
  <c r="BS751" i="1"/>
  <c r="BR751" i="1"/>
  <c r="BQ751" i="1"/>
  <c r="BP751" i="1"/>
  <c r="BO751" i="1"/>
  <c r="BN751" i="1"/>
  <c r="BM751" i="1"/>
  <c r="BL751" i="1"/>
  <c r="BK751" i="1"/>
  <c r="BS750" i="1"/>
  <c r="BR750" i="1"/>
  <c r="BQ750" i="1"/>
  <c r="BP750" i="1"/>
  <c r="BO750" i="1"/>
  <c r="BN750" i="1"/>
  <c r="BM750" i="1"/>
  <c r="BL750" i="1"/>
  <c r="BK750" i="1"/>
  <c r="BS638" i="1"/>
  <c r="BR638" i="1"/>
  <c r="BQ638" i="1"/>
  <c r="BP638" i="1"/>
  <c r="BO638" i="1"/>
  <c r="BN638" i="1"/>
  <c r="BM638" i="1"/>
  <c r="BL638" i="1"/>
  <c r="BK638" i="1"/>
  <c r="BS628" i="1"/>
  <c r="BR628" i="1"/>
  <c r="BQ628" i="1"/>
  <c r="BP628" i="1"/>
  <c r="BO628" i="1"/>
  <c r="BN628" i="1"/>
  <c r="BM628" i="1"/>
  <c r="BL628" i="1"/>
  <c r="BK628" i="1"/>
  <c r="BS626" i="1"/>
  <c r="BR626" i="1"/>
  <c r="BQ626" i="1"/>
  <c r="BP626" i="1"/>
  <c r="BO626" i="1"/>
  <c r="BN626" i="1"/>
  <c r="BM626" i="1"/>
  <c r="BL626" i="1"/>
  <c r="BK626" i="1"/>
  <c r="BS591" i="1"/>
  <c r="BR591" i="1"/>
  <c r="BQ591" i="1"/>
  <c r="BP591" i="1"/>
  <c r="BO591" i="1"/>
  <c r="BN591" i="1"/>
  <c r="BM591" i="1"/>
  <c r="BL591" i="1"/>
  <c r="BK591" i="1"/>
  <c r="BS551" i="1"/>
  <c r="BR551" i="1"/>
  <c r="BQ551" i="1"/>
  <c r="BP551" i="1"/>
  <c r="BO551" i="1"/>
  <c r="BN551" i="1"/>
  <c r="BM551" i="1"/>
  <c r="BL551" i="1"/>
  <c r="BK551" i="1"/>
  <c r="BS1082" i="1"/>
  <c r="BR1082" i="1"/>
  <c r="BQ1082" i="1"/>
  <c r="BP1082" i="1"/>
  <c r="BO1082" i="1"/>
  <c r="BN1082" i="1"/>
  <c r="BM1082" i="1"/>
  <c r="BL1082" i="1"/>
  <c r="BK1082" i="1"/>
  <c r="BS1080" i="1"/>
  <c r="BR1080" i="1"/>
  <c r="BQ1080" i="1"/>
  <c r="BP1080" i="1"/>
  <c r="BO1080" i="1"/>
  <c r="BN1080" i="1"/>
  <c r="BM1080" i="1"/>
  <c r="BL1080" i="1"/>
  <c r="BK1080" i="1"/>
  <c r="BS1067" i="1"/>
  <c r="BR1067" i="1"/>
  <c r="BQ1067" i="1"/>
  <c r="BP1067" i="1"/>
  <c r="BO1067" i="1"/>
  <c r="BN1067" i="1"/>
  <c r="BM1067" i="1"/>
  <c r="BL1067" i="1"/>
  <c r="BK1067" i="1"/>
  <c r="BS1059" i="1"/>
  <c r="BR1059" i="1"/>
  <c r="BQ1059" i="1"/>
  <c r="BP1059" i="1"/>
  <c r="BO1059" i="1"/>
  <c r="BN1059" i="1"/>
  <c r="BM1059" i="1"/>
  <c r="BL1059" i="1"/>
  <c r="BK1059" i="1"/>
  <c r="BS440" i="1"/>
  <c r="BR440" i="1"/>
  <c r="BQ440" i="1"/>
  <c r="BP440" i="1"/>
  <c r="BO440" i="1"/>
  <c r="BN440" i="1"/>
  <c r="BM440" i="1"/>
  <c r="BL440" i="1"/>
  <c r="BK440" i="1"/>
  <c r="BS439" i="1"/>
  <c r="BR439" i="1"/>
  <c r="BQ439" i="1"/>
  <c r="BP439" i="1"/>
  <c r="BO439" i="1"/>
  <c r="BN439" i="1"/>
  <c r="BM439" i="1"/>
  <c r="BL439" i="1"/>
  <c r="BK439" i="1"/>
  <c r="BS364" i="1"/>
  <c r="BR364" i="1"/>
  <c r="BQ364" i="1"/>
  <c r="BP364" i="1"/>
  <c r="BO364" i="1"/>
  <c r="BN364" i="1"/>
  <c r="BM364" i="1"/>
  <c r="BL364" i="1"/>
  <c r="BK364" i="1"/>
  <c r="BS1057" i="1"/>
  <c r="BR1057" i="1"/>
  <c r="BQ1057" i="1"/>
  <c r="BP1057" i="1"/>
  <c r="BO1057" i="1"/>
  <c r="BN1057" i="1"/>
  <c r="BM1057" i="1"/>
  <c r="BL1057" i="1"/>
  <c r="BK1057" i="1"/>
  <c r="BS356" i="1"/>
  <c r="BR356" i="1"/>
  <c r="BQ356" i="1"/>
  <c r="BP356" i="1"/>
  <c r="BO356" i="1"/>
  <c r="BN356" i="1"/>
  <c r="BM356" i="1"/>
  <c r="BL356" i="1"/>
  <c r="BK356" i="1"/>
  <c r="BS1035" i="1"/>
  <c r="BR1035" i="1"/>
  <c r="BQ1035" i="1"/>
  <c r="BP1035" i="1"/>
  <c r="BO1035" i="1"/>
  <c r="BN1035" i="1"/>
  <c r="BM1035" i="1"/>
  <c r="BL1035" i="1"/>
  <c r="BK1035" i="1"/>
  <c r="BS734" i="1"/>
  <c r="BR734" i="1"/>
  <c r="BQ734" i="1"/>
  <c r="BP734" i="1"/>
  <c r="BO734" i="1"/>
  <c r="BN734" i="1"/>
  <c r="BM734" i="1"/>
  <c r="BL734" i="1"/>
  <c r="BK734" i="1"/>
  <c r="BS348" i="1"/>
  <c r="BR348" i="1"/>
  <c r="BQ348" i="1"/>
  <c r="BP348" i="1"/>
  <c r="BO348" i="1"/>
  <c r="BN348" i="1"/>
  <c r="BM348" i="1"/>
  <c r="BL348" i="1"/>
  <c r="BK348" i="1"/>
  <c r="BS732" i="1"/>
  <c r="BR732" i="1"/>
  <c r="BQ732" i="1"/>
  <c r="BP732" i="1"/>
  <c r="BO732" i="1"/>
  <c r="BN732" i="1"/>
  <c r="BM732" i="1"/>
  <c r="BL732" i="1"/>
  <c r="BK732" i="1"/>
  <c r="BS712" i="1"/>
  <c r="BR712" i="1"/>
  <c r="BQ712" i="1"/>
  <c r="BP712" i="1"/>
  <c r="BO712" i="1"/>
  <c r="BN712" i="1"/>
  <c r="BM712" i="1"/>
  <c r="BL712" i="1"/>
  <c r="BK712" i="1"/>
  <c r="BS345" i="1"/>
  <c r="BR345" i="1"/>
  <c r="BQ345" i="1"/>
  <c r="BP345" i="1"/>
  <c r="BO345" i="1"/>
  <c r="BN345" i="1"/>
  <c r="BM345" i="1"/>
  <c r="BL345" i="1"/>
  <c r="BK345" i="1"/>
  <c r="BS729" i="1"/>
  <c r="BR729" i="1"/>
  <c r="BQ729" i="1"/>
  <c r="BP729" i="1"/>
  <c r="BO729" i="1"/>
  <c r="BN729" i="1"/>
  <c r="BM729" i="1"/>
  <c r="BL729" i="1"/>
  <c r="BK729" i="1"/>
  <c r="BS728" i="1"/>
  <c r="BR728" i="1"/>
  <c r="BQ728" i="1"/>
  <c r="BP728" i="1"/>
  <c r="BO728" i="1"/>
  <c r="BN728" i="1"/>
  <c r="BM728" i="1"/>
  <c r="BL728" i="1"/>
  <c r="BK728" i="1"/>
  <c r="BS727" i="1"/>
  <c r="BR727" i="1"/>
  <c r="BQ727" i="1"/>
  <c r="BP727" i="1"/>
  <c r="BO727" i="1"/>
  <c r="BN727" i="1"/>
  <c r="BM727" i="1"/>
  <c r="BL727" i="1"/>
  <c r="BK727" i="1"/>
  <c r="BS726" i="1"/>
  <c r="BR726" i="1"/>
  <c r="BQ726" i="1"/>
  <c r="BP726" i="1"/>
  <c r="BO726" i="1"/>
  <c r="BN726" i="1"/>
  <c r="BM726" i="1"/>
  <c r="BL726" i="1"/>
  <c r="BK726" i="1"/>
  <c r="BS725" i="1"/>
  <c r="BR725" i="1"/>
  <c r="BQ725" i="1"/>
  <c r="BP725" i="1"/>
  <c r="BO725" i="1"/>
  <c r="BN725" i="1"/>
  <c r="BM725" i="1"/>
  <c r="BL725" i="1"/>
  <c r="BK725" i="1"/>
  <c r="BS344" i="1"/>
  <c r="BR344" i="1"/>
  <c r="BQ344" i="1"/>
  <c r="BP344" i="1"/>
  <c r="BO344" i="1"/>
  <c r="BN344" i="1"/>
  <c r="BM344" i="1"/>
  <c r="BL344" i="1"/>
  <c r="BK344" i="1"/>
  <c r="BS778" i="1"/>
  <c r="BR778" i="1"/>
  <c r="BQ778" i="1"/>
  <c r="BP778" i="1"/>
  <c r="BO778" i="1"/>
  <c r="BN778" i="1"/>
  <c r="BM778" i="1"/>
  <c r="BL778" i="1"/>
  <c r="BK778" i="1"/>
  <c r="BS722" i="1"/>
  <c r="BR722" i="1"/>
  <c r="BQ722" i="1"/>
  <c r="BP722" i="1"/>
  <c r="BO722" i="1"/>
  <c r="BN722" i="1"/>
  <c r="BM722" i="1"/>
  <c r="BL722" i="1"/>
  <c r="BK722" i="1"/>
  <c r="BS721" i="1"/>
  <c r="BR721" i="1"/>
  <c r="BQ721" i="1"/>
  <c r="BP721" i="1"/>
  <c r="BO721" i="1"/>
  <c r="BN721" i="1"/>
  <c r="BM721" i="1"/>
  <c r="BL721" i="1"/>
  <c r="BK721" i="1"/>
  <c r="BS720" i="1"/>
  <c r="BR720" i="1"/>
  <c r="BQ720" i="1"/>
  <c r="BP720" i="1"/>
  <c r="BO720" i="1"/>
  <c r="BN720" i="1"/>
  <c r="BM720" i="1"/>
  <c r="BL720" i="1"/>
  <c r="BK720" i="1"/>
  <c r="BS735" i="1"/>
  <c r="BR735" i="1"/>
  <c r="BQ735" i="1"/>
  <c r="BP735" i="1"/>
  <c r="BO735" i="1"/>
  <c r="BN735" i="1"/>
  <c r="BM735" i="1"/>
  <c r="BL735" i="1"/>
  <c r="BK735" i="1"/>
  <c r="BS718" i="1"/>
  <c r="BR718" i="1"/>
  <c r="BQ718" i="1"/>
  <c r="BP718" i="1"/>
  <c r="BO718" i="1"/>
  <c r="BN718" i="1"/>
  <c r="BM718" i="1"/>
  <c r="BL718" i="1"/>
  <c r="BK718" i="1"/>
  <c r="BS717" i="1"/>
  <c r="BR717" i="1"/>
  <c r="BQ717" i="1"/>
  <c r="BP717" i="1"/>
  <c r="BO717" i="1"/>
  <c r="BN717" i="1"/>
  <c r="BM717" i="1"/>
  <c r="BL717" i="1"/>
  <c r="BK717" i="1"/>
  <c r="BS716" i="1"/>
  <c r="BR716" i="1"/>
  <c r="BQ716" i="1"/>
  <c r="BP716" i="1"/>
  <c r="BO716" i="1"/>
  <c r="BN716" i="1"/>
  <c r="BM716" i="1"/>
  <c r="BL716" i="1"/>
  <c r="BK716" i="1"/>
  <c r="BS715" i="1"/>
  <c r="BR715" i="1"/>
  <c r="BQ715" i="1"/>
  <c r="BP715" i="1"/>
  <c r="BO715" i="1"/>
  <c r="BN715" i="1"/>
  <c r="BM715" i="1"/>
  <c r="BL715" i="1"/>
  <c r="BK715" i="1"/>
  <c r="BS714" i="1"/>
  <c r="BR714" i="1"/>
  <c r="BQ714" i="1"/>
  <c r="BP714" i="1"/>
  <c r="BO714" i="1"/>
  <c r="BN714" i="1"/>
  <c r="BM714" i="1"/>
  <c r="BL714" i="1"/>
  <c r="BK714" i="1"/>
  <c r="BS713" i="1"/>
  <c r="BR713" i="1"/>
  <c r="BQ713" i="1"/>
  <c r="BP713" i="1"/>
  <c r="BO713" i="1"/>
  <c r="BN713" i="1"/>
  <c r="BM713" i="1"/>
  <c r="BL713" i="1"/>
  <c r="BK713" i="1"/>
  <c r="BS743" i="1"/>
  <c r="BR743" i="1"/>
  <c r="BQ743" i="1"/>
  <c r="BP743" i="1"/>
  <c r="BO743" i="1"/>
  <c r="BN743" i="1"/>
  <c r="BM743" i="1"/>
  <c r="BL743" i="1"/>
  <c r="BK743" i="1"/>
  <c r="BS147" i="1"/>
  <c r="BR147" i="1"/>
  <c r="BQ147" i="1"/>
  <c r="BP147" i="1"/>
  <c r="BO147" i="1"/>
  <c r="BN147" i="1"/>
  <c r="BM147" i="1"/>
  <c r="BL147" i="1"/>
  <c r="BK147" i="1"/>
  <c r="BS710" i="1"/>
  <c r="BR710" i="1"/>
  <c r="BQ710" i="1"/>
  <c r="BP710" i="1"/>
  <c r="BO710" i="1"/>
  <c r="BN710" i="1"/>
  <c r="BM710" i="1"/>
  <c r="BL710" i="1"/>
  <c r="BK710" i="1"/>
  <c r="BS709" i="1"/>
  <c r="BR709" i="1"/>
  <c r="BQ709" i="1"/>
  <c r="BP709" i="1"/>
  <c r="BO709" i="1"/>
  <c r="BN709" i="1"/>
  <c r="BM709" i="1"/>
  <c r="BL709" i="1"/>
  <c r="BK709" i="1"/>
  <c r="BS708" i="1"/>
  <c r="BR708" i="1"/>
  <c r="BQ708" i="1"/>
  <c r="BP708" i="1"/>
  <c r="BO708" i="1"/>
  <c r="BN708" i="1"/>
  <c r="BM708" i="1"/>
  <c r="BL708" i="1"/>
  <c r="BK708" i="1"/>
  <c r="BS707" i="1"/>
  <c r="BR707" i="1"/>
  <c r="BQ707" i="1"/>
  <c r="BP707" i="1"/>
  <c r="BO707" i="1"/>
  <c r="BN707" i="1"/>
  <c r="BM707" i="1"/>
  <c r="BL707" i="1"/>
  <c r="BK707" i="1"/>
  <c r="BS706" i="1"/>
  <c r="BR706" i="1"/>
  <c r="BQ706" i="1"/>
  <c r="BP706" i="1"/>
  <c r="BO706" i="1"/>
  <c r="BN706" i="1"/>
  <c r="BM706" i="1"/>
  <c r="BL706" i="1"/>
  <c r="BK706" i="1"/>
  <c r="BS705" i="1"/>
  <c r="BR705" i="1"/>
  <c r="BQ705" i="1"/>
  <c r="BP705" i="1"/>
  <c r="BO705" i="1"/>
  <c r="BN705" i="1"/>
  <c r="BM705" i="1"/>
  <c r="BL705" i="1"/>
  <c r="BK705" i="1"/>
  <c r="BS704" i="1"/>
  <c r="BR704" i="1"/>
  <c r="BQ704" i="1"/>
  <c r="BP704" i="1"/>
  <c r="BO704" i="1"/>
  <c r="BN704" i="1"/>
  <c r="BM704" i="1"/>
  <c r="BL704" i="1"/>
  <c r="BK704" i="1"/>
  <c r="BS949" i="1"/>
  <c r="BR949" i="1"/>
  <c r="BQ949" i="1"/>
  <c r="BP949" i="1"/>
  <c r="BO949" i="1"/>
  <c r="BN949" i="1"/>
  <c r="BM949" i="1"/>
  <c r="BL949" i="1"/>
  <c r="BK949" i="1"/>
  <c r="BS702" i="1"/>
  <c r="BR702" i="1"/>
  <c r="BQ702" i="1"/>
  <c r="BP702" i="1"/>
  <c r="BO702" i="1"/>
  <c r="BN702" i="1"/>
  <c r="BM702" i="1"/>
  <c r="BL702" i="1"/>
  <c r="BK702" i="1"/>
  <c r="BS433" i="1"/>
  <c r="BR433" i="1"/>
  <c r="BQ433" i="1"/>
  <c r="BP433" i="1"/>
  <c r="BO433" i="1"/>
  <c r="BN433" i="1"/>
  <c r="BM433" i="1"/>
  <c r="BL433" i="1"/>
  <c r="BK433" i="1"/>
  <c r="BS66" i="1"/>
  <c r="BR66" i="1"/>
  <c r="BQ66" i="1"/>
  <c r="BP66" i="1"/>
  <c r="BO66" i="1"/>
  <c r="BN66" i="1"/>
  <c r="BM66" i="1"/>
  <c r="BL66" i="1"/>
  <c r="BK66" i="1"/>
  <c r="BS1125" i="1"/>
  <c r="BR1125" i="1"/>
  <c r="BQ1125" i="1"/>
  <c r="BP1125" i="1"/>
  <c r="BO1125" i="1"/>
  <c r="BN1125" i="1"/>
  <c r="BM1125" i="1"/>
  <c r="BL1125" i="1"/>
  <c r="BK1125" i="1"/>
  <c r="BS987" i="1"/>
  <c r="BR987" i="1"/>
  <c r="BQ987" i="1"/>
  <c r="BP987" i="1"/>
  <c r="BO987" i="1"/>
  <c r="BN987" i="1"/>
  <c r="BM987" i="1"/>
  <c r="BL987" i="1"/>
  <c r="BK987" i="1"/>
  <c r="BS863" i="1"/>
  <c r="BR863" i="1"/>
  <c r="BQ863" i="1"/>
  <c r="BP863" i="1"/>
  <c r="BO863" i="1"/>
  <c r="BN863" i="1"/>
  <c r="BM863" i="1"/>
  <c r="BL863" i="1"/>
  <c r="BK863" i="1"/>
  <c r="BS588" i="1"/>
  <c r="BR588" i="1"/>
  <c r="BQ588" i="1"/>
  <c r="BP588" i="1"/>
  <c r="BO588" i="1"/>
  <c r="BN588" i="1"/>
  <c r="BM588" i="1"/>
  <c r="BL588" i="1"/>
  <c r="BK588" i="1"/>
  <c r="BS586" i="1"/>
  <c r="BR586" i="1"/>
  <c r="BQ586" i="1"/>
  <c r="BP586" i="1"/>
  <c r="BO586" i="1"/>
  <c r="BN586" i="1"/>
  <c r="BM586" i="1"/>
  <c r="BL586" i="1"/>
  <c r="BK586" i="1"/>
  <c r="BS585" i="1"/>
  <c r="BR585" i="1"/>
  <c r="BQ585" i="1"/>
  <c r="BP585" i="1"/>
  <c r="BO585" i="1"/>
  <c r="BN585" i="1"/>
  <c r="BM585" i="1"/>
  <c r="BL585" i="1"/>
  <c r="BK585" i="1"/>
  <c r="BS692" i="1"/>
  <c r="BR692" i="1"/>
  <c r="BQ692" i="1"/>
  <c r="BP692" i="1"/>
  <c r="BO692" i="1"/>
  <c r="BN692" i="1"/>
  <c r="BM692" i="1"/>
  <c r="BL692" i="1"/>
  <c r="BK692" i="1"/>
  <c r="BS691" i="1"/>
  <c r="BR691" i="1"/>
  <c r="BQ691" i="1"/>
  <c r="BP691" i="1"/>
  <c r="BO691" i="1"/>
  <c r="BN691" i="1"/>
  <c r="BM691" i="1"/>
  <c r="BL691" i="1"/>
  <c r="BK691" i="1"/>
  <c r="BS690" i="1"/>
  <c r="BR690" i="1"/>
  <c r="BQ690" i="1"/>
  <c r="BP690" i="1"/>
  <c r="BO690" i="1"/>
  <c r="BN690" i="1"/>
  <c r="BM690" i="1"/>
  <c r="BL690" i="1"/>
  <c r="BK690" i="1"/>
  <c r="BS584" i="1"/>
  <c r="BR584" i="1"/>
  <c r="BQ584" i="1"/>
  <c r="BP584" i="1"/>
  <c r="BO584" i="1"/>
  <c r="BN584" i="1"/>
  <c r="BM584" i="1"/>
  <c r="BL584" i="1"/>
  <c r="BK584" i="1"/>
  <c r="BS580" i="1"/>
  <c r="BR580" i="1"/>
  <c r="BQ580" i="1"/>
  <c r="BP580" i="1"/>
  <c r="BO580" i="1"/>
  <c r="BN580" i="1"/>
  <c r="BM580" i="1"/>
  <c r="BL580" i="1"/>
  <c r="BK580" i="1"/>
  <c r="BS579" i="1"/>
  <c r="BR579" i="1"/>
  <c r="BQ579" i="1"/>
  <c r="BP579" i="1"/>
  <c r="BO579" i="1"/>
  <c r="BN579" i="1"/>
  <c r="BM579" i="1"/>
  <c r="BL579" i="1"/>
  <c r="BK579" i="1"/>
  <c r="BS577" i="1"/>
  <c r="BR577" i="1"/>
  <c r="BQ577" i="1"/>
  <c r="BP577" i="1"/>
  <c r="BO577" i="1"/>
  <c r="BN577" i="1"/>
  <c r="BM577" i="1"/>
  <c r="BL577" i="1"/>
  <c r="BK577" i="1"/>
  <c r="BS514" i="1"/>
  <c r="BR514" i="1"/>
  <c r="BQ514" i="1"/>
  <c r="BP514" i="1"/>
  <c r="BO514" i="1"/>
  <c r="BN514" i="1"/>
  <c r="BM514" i="1"/>
  <c r="BL514" i="1"/>
  <c r="BK514" i="1"/>
  <c r="BS481" i="1"/>
  <c r="BR481" i="1"/>
  <c r="BQ481" i="1"/>
  <c r="BP481" i="1"/>
  <c r="BO481" i="1"/>
  <c r="BN481" i="1"/>
  <c r="BM481" i="1"/>
  <c r="BL481" i="1"/>
  <c r="BK481" i="1"/>
  <c r="BS477" i="1"/>
  <c r="BR477" i="1"/>
  <c r="BQ477" i="1"/>
  <c r="BP477" i="1"/>
  <c r="BO477" i="1"/>
  <c r="BN477" i="1"/>
  <c r="BM477" i="1"/>
  <c r="BL477" i="1"/>
  <c r="BK477" i="1"/>
  <c r="BS415" i="1"/>
  <c r="BR415" i="1"/>
  <c r="BQ415" i="1"/>
  <c r="BP415" i="1"/>
  <c r="BO415" i="1"/>
  <c r="BN415" i="1"/>
  <c r="BM415" i="1"/>
  <c r="BL415" i="1"/>
  <c r="BK415" i="1"/>
  <c r="BS681" i="1"/>
  <c r="BR681" i="1"/>
  <c r="BQ681" i="1"/>
  <c r="BP681" i="1"/>
  <c r="BO681" i="1"/>
  <c r="BN681" i="1"/>
  <c r="BM681" i="1"/>
  <c r="BL681" i="1"/>
  <c r="BK681" i="1"/>
  <c r="BS680" i="1"/>
  <c r="BR680" i="1"/>
  <c r="BQ680" i="1"/>
  <c r="BP680" i="1"/>
  <c r="BO680" i="1"/>
  <c r="BN680" i="1"/>
  <c r="BM680" i="1"/>
  <c r="BL680" i="1"/>
  <c r="BK680" i="1"/>
  <c r="BS679" i="1"/>
  <c r="BR679" i="1"/>
  <c r="BQ679" i="1"/>
  <c r="BP679" i="1"/>
  <c r="BO679" i="1"/>
  <c r="BN679" i="1"/>
  <c r="BM679" i="1"/>
  <c r="BL679" i="1"/>
  <c r="BK679" i="1"/>
  <c r="BS678" i="1"/>
  <c r="BR678" i="1"/>
  <c r="BQ678" i="1"/>
  <c r="BP678" i="1"/>
  <c r="BO678" i="1"/>
  <c r="BN678" i="1"/>
  <c r="BM678" i="1"/>
  <c r="BL678" i="1"/>
  <c r="BK678" i="1"/>
  <c r="BS1033" i="1"/>
  <c r="BR1033" i="1"/>
  <c r="BQ1033" i="1"/>
  <c r="BP1033" i="1"/>
  <c r="BO1033" i="1"/>
  <c r="BN1033" i="1"/>
  <c r="BM1033" i="1"/>
  <c r="BL1033" i="1"/>
  <c r="BK1033" i="1"/>
  <c r="BS676" i="1"/>
  <c r="BR676" i="1"/>
  <c r="BQ676" i="1"/>
  <c r="BP676" i="1"/>
  <c r="BO676" i="1"/>
  <c r="BN676" i="1"/>
  <c r="BM676" i="1"/>
  <c r="BL676" i="1"/>
  <c r="BK676" i="1"/>
  <c r="BS675" i="1"/>
  <c r="BR675" i="1"/>
  <c r="BQ675" i="1"/>
  <c r="BP675" i="1"/>
  <c r="BO675" i="1"/>
  <c r="BN675" i="1"/>
  <c r="BM675" i="1"/>
  <c r="BL675" i="1"/>
  <c r="BK675" i="1"/>
  <c r="BS674" i="1"/>
  <c r="BR674" i="1"/>
  <c r="BQ674" i="1"/>
  <c r="BP674" i="1"/>
  <c r="BO674" i="1"/>
  <c r="BN674" i="1"/>
  <c r="BM674" i="1"/>
  <c r="BL674" i="1"/>
  <c r="BK674" i="1"/>
  <c r="BS401" i="1"/>
  <c r="BR401" i="1"/>
  <c r="BQ401" i="1"/>
  <c r="BP401" i="1"/>
  <c r="BO401" i="1"/>
  <c r="BN401" i="1"/>
  <c r="BM401" i="1"/>
  <c r="BL401" i="1"/>
  <c r="BK401" i="1"/>
  <c r="BS671" i="1"/>
  <c r="BR671" i="1"/>
  <c r="BQ671" i="1"/>
  <c r="BP671" i="1"/>
  <c r="BO671" i="1"/>
  <c r="BN671" i="1"/>
  <c r="BM671" i="1"/>
  <c r="BL671" i="1"/>
  <c r="BK671" i="1"/>
  <c r="BS670" i="1"/>
  <c r="BR670" i="1"/>
  <c r="BQ670" i="1"/>
  <c r="BP670" i="1"/>
  <c r="BO670" i="1"/>
  <c r="BN670" i="1"/>
  <c r="BM670" i="1"/>
  <c r="BL670" i="1"/>
  <c r="BK670" i="1"/>
  <c r="BS669" i="1"/>
  <c r="BR669" i="1"/>
  <c r="BQ669" i="1"/>
  <c r="BP669" i="1"/>
  <c r="BO669" i="1"/>
  <c r="BN669" i="1"/>
  <c r="BM669" i="1"/>
  <c r="BL669" i="1"/>
  <c r="BK669" i="1"/>
  <c r="BS668" i="1"/>
  <c r="BR668" i="1"/>
  <c r="BQ668" i="1"/>
  <c r="BP668" i="1"/>
  <c r="BO668" i="1"/>
  <c r="BN668" i="1"/>
  <c r="BM668" i="1"/>
  <c r="BL668" i="1"/>
  <c r="BK668" i="1"/>
  <c r="BS653" i="1"/>
  <c r="BR653" i="1"/>
  <c r="BQ653" i="1"/>
  <c r="BP653" i="1"/>
  <c r="BO653" i="1"/>
  <c r="BN653" i="1"/>
  <c r="BM653" i="1"/>
  <c r="BL653" i="1"/>
  <c r="BK653" i="1"/>
  <c r="BS666" i="1"/>
  <c r="BR666" i="1"/>
  <c r="BQ666" i="1"/>
  <c r="BP666" i="1"/>
  <c r="BO666" i="1"/>
  <c r="BN666" i="1"/>
  <c r="BM666" i="1"/>
  <c r="BL666" i="1"/>
  <c r="BK666" i="1"/>
  <c r="BS665" i="1"/>
  <c r="BR665" i="1"/>
  <c r="BQ665" i="1"/>
  <c r="BP665" i="1"/>
  <c r="BO665" i="1"/>
  <c r="BN665" i="1"/>
  <c r="BM665" i="1"/>
  <c r="BL665" i="1"/>
  <c r="BK665" i="1"/>
  <c r="BS664" i="1"/>
  <c r="BR664" i="1"/>
  <c r="BQ664" i="1"/>
  <c r="BP664" i="1"/>
  <c r="BO664" i="1"/>
  <c r="BN664" i="1"/>
  <c r="BM664" i="1"/>
  <c r="BL664" i="1"/>
  <c r="BK664" i="1"/>
  <c r="BS663" i="1"/>
  <c r="BR663" i="1"/>
  <c r="BQ663" i="1"/>
  <c r="BP663" i="1"/>
  <c r="BO663" i="1"/>
  <c r="BN663" i="1"/>
  <c r="BM663" i="1"/>
  <c r="BL663" i="1"/>
  <c r="BK663" i="1"/>
  <c r="BS662" i="1"/>
  <c r="BR662" i="1"/>
  <c r="BQ662" i="1"/>
  <c r="BP662" i="1"/>
  <c r="BO662" i="1"/>
  <c r="BN662" i="1"/>
  <c r="BM662" i="1"/>
  <c r="BL662" i="1"/>
  <c r="BK662" i="1"/>
  <c r="BS661" i="1"/>
  <c r="BR661" i="1"/>
  <c r="BQ661" i="1"/>
  <c r="BP661" i="1"/>
  <c r="BO661" i="1"/>
  <c r="BN661" i="1"/>
  <c r="BM661" i="1"/>
  <c r="BL661" i="1"/>
  <c r="BK661" i="1"/>
  <c r="BS395" i="1"/>
  <c r="BR395" i="1"/>
  <c r="BQ395" i="1"/>
  <c r="BP395" i="1"/>
  <c r="BO395" i="1"/>
  <c r="BN395" i="1"/>
  <c r="BM395" i="1"/>
  <c r="BL395" i="1"/>
  <c r="BK395" i="1"/>
  <c r="BS659" i="1"/>
  <c r="BR659" i="1"/>
  <c r="BQ659" i="1"/>
  <c r="BP659" i="1"/>
  <c r="BO659" i="1"/>
  <c r="BN659" i="1"/>
  <c r="BM659" i="1"/>
  <c r="BL659" i="1"/>
  <c r="BK659" i="1"/>
  <c r="BS658" i="1"/>
  <c r="BR658" i="1"/>
  <c r="BQ658" i="1"/>
  <c r="BP658" i="1"/>
  <c r="BO658" i="1"/>
  <c r="BN658" i="1"/>
  <c r="BM658" i="1"/>
  <c r="BL658" i="1"/>
  <c r="BK658" i="1"/>
  <c r="BS28" i="1"/>
  <c r="BR28" i="1"/>
  <c r="BQ28" i="1"/>
  <c r="BP28" i="1"/>
  <c r="BO28" i="1"/>
  <c r="BN28" i="1"/>
  <c r="BM28" i="1"/>
  <c r="BL28" i="1"/>
  <c r="BK28" i="1"/>
  <c r="BS393" i="1"/>
  <c r="BR393" i="1"/>
  <c r="BQ393" i="1"/>
  <c r="BP393" i="1"/>
  <c r="BO393" i="1"/>
  <c r="BN393" i="1"/>
  <c r="BM393" i="1"/>
  <c r="BL393" i="1"/>
  <c r="BK393" i="1"/>
  <c r="BS392" i="1"/>
  <c r="BR392" i="1"/>
  <c r="BQ392" i="1"/>
  <c r="BP392" i="1"/>
  <c r="BO392" i="1"/>
  <c r="BN392" i="1"/>
  <c r="BM392" i="1"/>
  <c r="BL392" i="1"/>
  <c r="BK392" i="1"/>
  <c r="BS654" i="1"/>
  <c r="BR654" i="1"/>
  <c r="BQ654" i="1"/>
  <c r="BP654" i="1"/>
  <c r="BO654" i="1"/>
  <c r="BN654" i="1"/>
  <c r="BM654" i="1"/>
  <c r="BL654" i="1"/>
  <c r="BK654" i="1"/>
  <c r="BS1026" i="1"/>
  <c r="BR1026" i="1"/>
  <c r="BQ1026" i="1"/>
  <c r="BP1026" i="1"/>
  <c r="BO1026" i="1"/>
  <c r="BN1026" i="1"/>
  <c r="BM1026" i="1"/>
  <c r="BL1026" i="1"/>
  <c r="BK1026" i="1"/>
  <c r="BS394" i="1"/>
  <c r="BR394" i="1"/>
  <c r="BQ394" i="1"/>
  <c r="BP394" i="1"/>
  <c r="BO394" i="1"/>
  <c r="BN394" i="1"/>
  <c r="BM394" i="1"/>
  <c r="BL394" i="1"/>
  <c r="BK394" i="1"/>
  <c r="BS183" i="1"/>
  <c r="BR183" i="1"/>
  <c r="BQ183" i="1"/>
  <c r="BP183" i="1"/>
  <c r="BO183" i="1"/>
  <c r="BN183" i="1"/>
  <c r="BM183" i="1"/>
  <c r="BL183" i="1"/>
  <c r="BK183" i="1"/>
  <c r="BS391" i="1"/>
  <c r="BR391" i="1"/>
  <c r="BQ391" i="1"/>
  <c r="BP391" i="1"/>
  <c r="BO391" i="1"/>
  <c r="BN391" i="1"/>
  <c r="BM391" i="1"/>
  <c r="BL391" i="1"/>
  <c r="BK391" i="1"/>
  <c r="BS649" i="1"/>
  <c r="BR649" i="1"/>
  <c r="BQ649" i="1"/>
  <c r="BP649" i="1"/>
  <c r="BO649" i="1"/>
  <c r="BN649" i="1"/>
  <c r="BM649" i="1"/>
  <c r="BL649" i="1"/>
  <c r="BK649" i="1"/>
  <c r="BS648" i="1"/>
  <c r="BR648" i="1"/>
  <c r="BQ648" i="1"/>
  <c r="BP648" i="1"/>
  <c r="BO648" i="1"/>
  <c r="BN648" i="1"/>
  <c r="BM648" i="1"/>
  <c r="BL648" i="1"/>
  <c r="BK648" i="1"/>
  <c r="BS647" i="1"/>
  <c r="BR647" i="1"/>
  <c r="BQ647" i="1"/>
  <c r="BP647" i="1"/>
  <c r="BO647" i="1"/>
  <c r="BN647" i="1"/>
  <c r="BM647" i="1"/>
  <c r="BL647" i="1"/>
  <c r="BK647" i="1"/>
  <c r="BS646" i="1"/>
  <c r="BR646" i="1"/>
  <c r="BQ646" i="1"/>
  <c r="BP646" i="1"/>
  <c r="BO646" i="1"/>
  <c r="BN646" i="1"/>
  <c r="BM646" i="1"/>
  <c r="BL646" i="1"/>
  <c r="BK646" i="1"/>
  <c r="BS645" i="1"/>
  <c r="BR645" i="1"/>
  <c r="BQ645" i="1"/>
  <c r="BP645" i="1"/>
  <c r="BO645" i="1"/>
  <c r="BN645" i="1"/>
  <c r="BM645" i="1"/>
  <c r="BL645" i="1"/>
  <c r="BK645" i="1"/>
  <c r="BS332" i="1"/>
  <c r="BR332" i="1"/>
  <c r="BQ332" i="1"/>
  <c r="BP332" i="1"/>
  <c r="BO332" i="1"/>
  <c r="BN332" i="1"/>
  <c r="BM332" i="1"/>
  <c r="BL332" i="1"/>
  <c r="BK332" i="1"/>
  <c r="BS643" i="1"/>
  <c r="BR643" i="1"/>
  <c r="BQ643" i="1"/>
  <c r="BP643" i="1"/>
  <c r="BO643" i="1"/>
  <c r="BN643" i="1"/>
  <c r="BM643" i="1"/>
  <c r="BL643" i="1"/>
  <c r="BK643" i="1"/>
  <c r="BS642" i="1"/>
  <c r="BR642" i="1"/>
  <c r="BQ642" i="1"/>
  <c r="BP642" i="1"/>
  <c r="BO642" i="1"/>
  <c r="BN642" i="1"/>
  <c r="BM642" i="1"/>
  <c r="BL642" i="1"/>
  <c r="BK642" i="1"/>
  <c r="BS373" i="1"/>
  <c r="BR373" i="1"/>
  <c r="BQ373" i="1"/>
  <c r="BP373" i="1"/>
  <c r="BO373" i="1"/>
  <c r="BN373" i="1"/>
  <c r="BM373" i="1"/>
  <c r="BL373" i="1"/>
  <c r="BK373" i="1"/>
  <c r="BS640" i="1"/>
  <c r="BR640" i="1"/>
  <c r="BQ640" i="1"/>
  <c r="BP640" i="1"/>
  <c r="BO640" i="1"/>
  <c r="BN640" i="1"/>
  <c r="BM640" i="1"/>
  <c r="BL640" i="1"/>
  <c r="BK640" i="1"/>
  <c r="BS639" i="1"/>
  <c r="BR639" i="1"/>
  <c r="BQ639" i="1"/>
  <c r="BP639" i="1"/>
  <c r="BO639" i="1"/>
  <c r="BN639" i="1"/>
  <c r="BM639" i="1"/>
  <c r="BL639" i="1"/>
  <c r="BK639" i="1"/>
  <c r="BS328" i="1"/>
  <c r="BR328" i="1"/>
  <c r="BQ328" i="1"/>
  <c r="BP328" i="1"/>
  <c r="BO328" i="1"/>
  <c r="BN328" i="1"/>
  <c r="BM328" i="1"/>
  <c r="BL328" i="1"/>
  <c r="BK328" i="1"/>
  <c r="BS174" i="1"/>
  <c r="BR174" i="1"/>
  <c r="BQ174" i="1"/>
  <c r="BP174" i="1"/>
  <c r="BO174" i="1"/>
  <c r="BN174" i="1"/>
  <c r="BM174" i="1"/>
  <c r="BL174" i="1"/>
  <c r="BK174" i="1"/>
  <c r="BS636" i="1"/>
  <c r="BR636" i="1"/>
  <c r="BQ636" i="1"/>
  <c r="BP636" i="1"/>
  <c r="BO636" i="1"/>
  <c r="BN636" i="1"/>
  <c r="BM636" i="1"/>
  <c r="BL636" i="1"/>
  <c r="BK636" i="1"/>
  <c r="BS572" i="1"/>
  <c r="BR572" i="1"/>
  <c r="BQ572" i="1"/>
  <c r="BP572" i="1"/>
  <c r="BO572" i="1"/>
  <c r="BN572" i="1"/>
  <c r="BM572" i="1"/>
  <c r="BL572" i="1"/>
  <c r="BK572" i="1"/>
  <c r="BS634" i="1"/>
  <c r="BR634" i="1"/>
  <c r="BQ634" i="1"/>
  <c r="BP634" i="1"/>
  <c r="BO634" i="1"/>
  <c r="BN634" i="1"/>
  <c r="BM634" i="1"/>
  <c r="BL634" i="1"/>
  <c r="BK634" i="1"/>
  <c r="BS633" i="1"/>
  <c r="BR633" i="1"/>
  <c r="BQ633" i="1"/>
  <c r="BP633" i="1"/>
  <c r="BO633" i="1"/>
  <c r="BN633" i="1"/>
  <c r="BM633" i="1"/>
  <c r="BL633" i="1"/>
  <c r="BK633" i="1"/>
  <c r="BS70" i="1"/>
  <c r="BR70" i="1"/>
  <c r="BQ70" i="1"/>
  <c r="BP70" i="1"/>
  <c r="BO70" i="1"/>
  <c r="BN70" i="1"/>
  <c r="BM70" i="1"/>
  <c r="BL70" i="1"/>
  <c r="BK70" i="1"/>
  <c r="BS569" i="1"/>
  <c r="BR569" i="1"/>
  <c r="BQ569" i="1"/>
  <c r="BP569" i="1"/>
  <c r="BO569" i="1"/>
  <c r="BN569" i="1"/>
  <c r="BM569" i="1"/>
  <c r="BL569" i="1"/>
  <c r="BK569" i="1"/>
  <c r="BS630" i="1"/>
  <c r="BR630" i="1"/>
  <c r="BQ630" i="1"/>
  <c r="BP630" i="1"/>
  <c r="BO630" i="1"/>
  <c r="BN630" i="1"/>
  <c r="BM630" i="1"/>
  <c r="BL630" i="1"/>
  <c r="BK630" i="1"/>
  <c r="BS629" i="1"/>
  <c r="BR629" i="1"/>
  <c r="BQ629" i="1"/>
  <c r="BP629" i="1"/>
  <c r="BO629" i="1"/>
  <c r="BN629" i="1"/>
  <c r="BM629" i="1"/>
  <c r="BL629" i="1"/>
  <c r="BK629" i="1"/>
  <c r="BS145" i="1"/>
  <c r="BR145" i="1"/>
  <c r="BQ145" i="1"/>
  <c r="BP145" i="1"/>
  <c r="BO145" i="1"/>
  <c r="BN145" i="1"/>
  <c r="BM145" i="1"/>
  <c r="BL145" i="1"/>
  <c r="BK145" i="1"/>
  <c r="BS144" i="1"/>
  <c r="BR144" i="1"/>
  <c r="BQ144" i="1"/>
  <c r="BP144" i="1"/>
  <c r="BO144" i="1"/>
  <c r="BN144" i="1"/>
  <c r="BM144" i="1"/>
  <c r="BL144" i="1"/>
  <c r="BK144" i="1"/>
  <c r="BS124" i="1"/>
  <c r="BR124" i="1"/>
  <c r="BQ124" i="1"/>
  <c r="BP124" i="1"/>
  <c r="BO124" i="1"/>
  <c r="BN124" i="1"/>
  <c r="BM124" i="1"/>
  <c r="BL124" i="1"/>
  <c r="BK124" i="1"/>
  <c r="BS625" i="1"/>
  <c r="BR625" i="1"/>
  <c r="BQ625" i="1"/>
  <c r="BP625" i="1"/>
  <c r="BO625" i="1"/>
  <c r="BN625" i="1"/>
  <c r="BM625" i="1"/>
  <c r="BL625" i="1"/>
  <c r="BK625" i="1"/>
  <c r="BS624" i="1"/>
  <c r="BR624" i="1"/>
  <c r="BQ624" i="1"/>
  <c r="BP624" i="1"/>
  <c r="BO624" i="1"/>
  <c r="BN624" i="1"/>
  <c r="BM624" i="1"/>
  <c r="BL624" i="1"/>
  <c r="BK624" i="1"/>
  <c r="BS623" i="1"/>
  <c r="BR623" i="1"/>
  <c r="BQ623" i="1"/>
  <c r="BP623" i="1"/>
  <c r="BO623" i="1"/>
  <c r="BN623" i="1"/>
  <c r="BM623" i="1"/>
  <c r="BL623" i="1"/>
  <c r="BK623" i="1"/>
  <c r="BS285" i="1"/>
  <c r="BR285" i="1"/>
  <c r="BQ285" i="1"/>
  <c r="BP285" i="1"/>
  <c r="BO285" i="1"/>
  <c r="BN285" i="1"/>
  <c r="BM285" i="1"/>
  <c r="BL285" i="1"/>
  <c r="BK285" i="1"/>
  <c r="BS620" i="1"/>
  <c r="BR620" i="1"/>
  <c r="BQ620" i="1"/>
  <c r="BP620" i="1"/>
  <c r="BO620" i="1"/>
  <c r="BN620" i="1"/>
  <c r="BM620" i="1"/>
  <c r="BL620" i="1"/>
  <c r="BK620" i="1"/>
  <c r="BS253" i="1"/>
  <c r="BR253" i="1"/>
  <c r="BQ253" i="1"/>
  <c r="BP253" i="1"/>
  <c r="BO253" i="1"/>
  <c r="BN253" i="1"/>
  <c r="BM253" i="1"/>
  <c r="BL253" i="1"/>
  <c r="BK253" i="1"/>
  <c r="BS619" i="1"/>
  <c r="BR619" i="1"/>
  <c r="BQ619" i="1"/>
  <c r="BP619" i="1"/>
  <c r="BO619" i="1"/>
  <c r="BN619" i="1"/>
  <c r="BM619" i="1"/>
  <c r="BL619" i="1"/>
  <c r="BK619" i="1"/>
  <c r="BS617" i="1"/>
  <c r="BR617" i="1"/>
  <c r="BQ617" i="1"/>
  <c r="BP617" i="1"/>
  <c r="BO617" i="1"/>
  <c r="BN617" i="1"/>
  <c r="BM617" i="1"/>
  <c r="BL617" i="1"/>
  <c r="BK617" i="1"/>
  <c r="BS616" i="1"/>
  <c r="BR616" i="1"/>
  <c r="BQ616" i="1"/>
  <c r="BP616" i="1"/>
  <c r="BO616" i="1"/>
  <c r="BN616" i="1"/>
  <c r="BM616" i="1"/>
  <c r="BL616" i="1"/>
  <c r="BK616" i="1"/>
  <c r="BS615" i="1"/>
  <c r="BR615" i="1"/>
  <c r="BQ615" i="1"/>
  <c r="BP615" i="1"/>
  <c r="BO615" i="1"/>
  <c r="BN615" i="1"/>
  <c r="BM615" i="1"/>
  <c r="BL615" i="1"/>
  <c r="BK615" i="1"/>
  <c r="BS614" i="1"/>
  <c r="BR614" i="1"/>
  <c r="BQ614" i="1"/>
  <c r="BP614" i="1"/>
  <c r="BO614" i="1"/>
  <c r="BN614" i="1"/>
  <c r="BM614" i="1"/>
  <c r="BL614" i="1"/>
  <c r="BK614" i="1"/>
  <c r="BS112" i="1"/>
  <c r="BR112" i="1"/>
  <c r="BQ112" i="1"/>
  <c r="BP112" i="1"/>
  <c r="BO112" i="1"/>
  <c r="BN112" i="1"/>
  <c r="BM112" i="1"/>
  <c r="BL112" i="1"/>
  <c r="BK112" i="1"/>
  <c r="BS612" i="1"/>
  <c r="BR612" i="1"/>
  <c r="BQ612" i="1"/>
  <c r="BP612" i="1"/>
  <c r="BO612" i="1"/>
  <c r="BN612" i="1"/>
  <c r="BM612" i="1"/>
  <c r="BL612" i="1"/>
  <c r="BK612" i="1"/>
  <c r="BS45" i="1"/>
  <c r="BR45" i="1"/>
  <c r="BQ45" i="1"/>
  <c r="BP45" i="1"/>
  <c r="BO45" i="1"/>
  <c r="BN45" i="1"/>
  <c r="BM45" i="1"/>
  <c r="BL45" i="1"/>
  <c r="BK45" i="1"/>
  <c r="BS610" i="1"/>
  <c r="BR610" i="1"/>
  <c r="BQ610" i="1"/>
  <c r="BP610" i="1"/>
  <c r="BO610" i="1"/>
  <c r="BN610" i="1"/>
  <c r="BM610" i="1"/>
  <c r="BL610" i="1"/>
  <c r="BK610" i="1"/>
  <c r="BS553" i="1"/>
  <c r="BR553" i="1"/>
  <c r="BQ553" i="1"/>
  <c r="BP553" i="1"/>
  <c r="BO553" i="1"/>
  <c r="BN553" i="1"/>
  <c r="BM553" i="1"/>
  <c r="BL553" i="1"/>
  <c r="BK553" i="1"/>
  <c r="BS608" i="1"/>
  <c r="BR608" i="1"/>
  <c r="BQ608" i="1"/>
  <c r="BP608" i="1"/>
  <c r="BO608" i="1"/>
  <c r="BN608" i="1"/>
  <c r="BM608" i="1"/>
  <c r="BL608" i="1"/>
  <c r="BK608" i="1"/>
  <c r="BS607" i="1"/>
  <c r="BR607" i="1"/>
  <c r="BQ607" i="1"/>
  <c r="BP607" i="1"/>
  <c r="BO607" i="1"/>
  <c r="BN607" i="1"/>
  <c r="BM607" i="1"/>
  <c r="BL607" i="1"/>
  <c r="BK607" i="1"/>
  <c r="BS606" i="1"/>
  <c r="BR606" i="1"/>
  <c r="BQ606" i="1"/>
  <c r="BP606" i="1"/>
  <c r="BO606" i="1"/>
  <c r="BN606" i="1"/>
  <c r="BM606" i="1"/>
  <c r="BL606" i="1"/>
  <c r="BK606" i="1"/>
  <c r="BS605" i="1"/>
  <c r="BR605" i="1"/>
  <c r="BQ605" i="1"/>
  <c r="BP605" i="1"/>
  <c r="BO605" i="1"/>
  <c r="BN605" i="1"/>
  <c r="BM605" i="1"/>
  <c r="BL605" i="1"/>
  <c r="BK605" i="1"/>
  <c r="BS604" i="1"/>
  <c r="BR604" i="1"/>
  <c r="BQ604" i="1"/>
  <c r="BP604" i="1"/>
  <c r="BO604" i="1"/>
  <c r="BN604" i="1"/>
  <c r="BM604" i="1"/>
  <c r="BL604" i="1"/>
  <c r="BK604" i="1"/>
  <c r="BS603" i="1"/>
  <c r="BR603" i="1"/>
  <c r="BQ603" i="1"/>
  <c r="BP603" i="1"/>
  <c r="BO603" i="1"/>
  <c r="BN603" i="1"/>
  <c r="BM603" i="1"/>
  <c r="BL603" i="1"/>
  <c r="BK603" i="1"/>
  <c r="BS602" i="1"/>
  <c r="BR602" i="1"/>
  <c r="BQ602" i="1"/>
  <c r="BP602" i="1"/>
  <c r="BO602" i="1"/>
  <c r="BN602" i="1"/>
  <c r="BM602" i="1"/>
  <c r="BL602" i="1"/>
  <c r="BK602" i="1"/>
  <c r="BS601" i="1"/>
  <c r="BR601" i="1"/>
  <c r="BQ601" i="1"/>
  <c r="BP601" i="1"/>
  <c r="BO601" i="1"/>
  <c r="BN601" i="1"/>
  <c r="BM601" i="1"/>
  <c r="BL601" i="1"/>
  <c r="BK601" i="1"/>
  <c r="BS600" i="1"/>
  <c r="BR600" i="1"/>
  <c r="BQ600" i="1"/>
  <c r="BP600" i="1"/>
  <c r="BO600" i="1"/>
  <c r="BN600" i="1"/>
  <c r="BM600" i="1"/>
  <c r="BL600" i="1"/>
  <c r="BK600" i="1"/>
  <c r="BS599" i="1"/>
  <c r="BR599" i="1"/>
  <c r="BQ599" i="1"/>
  <c r="BP599" i="1"/>
  <c r="BO599" i="1"/>
  <c r="BN599" i="1"/>
  <c r="BM599" i="1"/>
  <c r="BL599" i="1"/>
  <c r="BK599" i="1"/>
  <c r="BS598" i="1"/>
  <c r="BR598" i="1"/>
  <c r="BQ598" i="1"/>
  <c r="BP598" i="1"/>
  <c r="BO598" i="1"/>
  <c r="BN598" i="1"/>
  <c r="BM598" i="1"/>
  <c r="BL598" i="1"/>
  <c r="BK598" i="1"/>
  <c r="BS597" i="1"/>
  <c r="BR597" i="1"/>
  <c r="BQ597" i="1"/>
  <c r="BP597" i="1"/>
  <c r="BO597" i="1"/>
  <c r="BN597" i="1"/>
  <c r="BM597" i="1"/>
  <c r="BL597" i="1"/>
  <c r="BK597" i="1"/>
  <c r="BS596" i="1"/>
  <c r="BR596" i="1"/>
  <c r="BQ596" i="1"/>
  <c r="BP596" i="1"/>
  <c r="BO596" i="1"/>
  <c r="BN596" i="1"/>
  <c r="BM596" i="1"/>
  <c r="BL596" i="1"/>
  <c r="BK596" i="1"/>
  <c r="BS535" i="1"/>
  <c r="BR535" i="1"/>
  <c r="BQ535" i="1"/>
  <c r="BP535" i="1"/>
  <c r="BO535" i="1"/>
  <c r="BN535" i="1"/>
  <c r="BM535" i="1"/>
  <c r="BL535" i="1"/>
  <c r="BK535" i="1"/>
  <c r="BS594" i="1"/>
  <c r="BR594" i="1"/>
  <c r="BQ594" i="1"/>
  <c r="BP594" i="1"/>
  <c r="BO594" i="1"/>
  <c r="BN594" i="1"/>
  <c r="BM594" i="1"/>
  <c r="BL594" i="1"/>
  <c r="BK594" i="1"/>
  <c r="BS593" i="1"/>
  <c r="BR593" i="1"/>
  <c r="BQ593" i="1"/>
  <c r="BP593" i="1"/>
  <c r="BO593" i="1"/>
  <c r="BN593" i="1"/>
  <c r="BM593" i="1"/>
  <c r="BL593" i="1"/>
  <c r="BK593" i="1"/>
  <c r="BS592" i="1"/>
  <c r="BR592" i="1"/>
  <c r="BQ592" i="1"/>
  <c r="BP592" i="1"/>
  <c r="BO592" i="1"/>
  <c r="BN592" i="1"/>
  <c r="BM592" i="1"/>
  <c r="BL592" i="1"/>
  <c r="BK592" i="1"/>
  <c r="BS98" i="1"/>
  <c r="BR98" i="1"/>
  <c r="BQ98" i="1"/>
  <c r="BP98" i="1"/>
  <c r="BO98" i="1"/>
  <c r="BN98" i="1"/>
  <c r="BM98" i="1"/>
  <c r="BL98" i="1"/>
  <c r="BK98" i="1"/>
  <c r="BS963" i="1"/>
  <c r="BR963" i="1"/>
  <c r="BQ963" i="1"/>
  <c r="BP963" i="1"/>
  <c r="BO963" i="1"/>
  <c r="BN963" i="1"/>
  <c r="BM963" i="1"/>
  <c r="BL963" i="1"/>
  <c r="BK963" i="1"/>
  <c r="BS583" i="1"/>
  <c r="BR583" i="1"/>
  <c r="BQ583" i="1"/>
  <c r="BP583" i="1"/>
  <c r="BO583" i="1"/>
  <c r="BN583" i="1"/>
  <c r="BM583" i="1"/>
  <c r="BL583" i="1"/>
  <c r="BK583" i="1"/>
  <c r="BS44" i="1"/>
  <c r="BR44" i="1"/>
  <c r="BQ44" i="1"/>
  <c r="BP44" i="1"/>
  <c r="BO44" i="1"/>
  <c r="BN44" i="1"/>
  <c r="BM44" i="1"/>
  <c r="BL44" i="1"/>
  <c r="BK44" i="1"/>
  <c r="BS581" i="1"/>
  <c r="BR581" i="1"/>
  <c r="BQ581" i="1"/>
  <c r="BP581" i="1"/>
  <c r="BO581" i="1"/>
  <c r="BN581" i="1"/>
  <c r="BM581" i="1"/>
  <c r="BL581" i="1"/>
  <c r="BK581" i="1"/>
  <c r="BS1170" i="1"/>
  <c r="BR1170" i="1"/>
  <c r="BQ1170" i="1"/>
  <c r="BP1170" i="1"/>
  <c r="BO1170" i="1"/>
  <c r="BN1170" i="1"/>
  <c r="BM1170" i="1"/>
  <c r="BL1170" i="1"/>
  <c r="BK1170" i="1"/>
  <c r="BS711" i="1"/>
  <c r="BR711" i="1"/>
  <c r="BQ711" i="1"/>
  <c r="BP711" i="1"/>
  <c r="BO711" i="1"/>
  <c r="BN711" i="1"/>
  <c r="BM711" i="1"/>
  <c r="BL711" i="1"/>
  <c r="BK711" i="1"/>
  <c r="BS703" i="1"/>
  <c r="BR703" i="1"/>
  <c r="BQ703" i="1"/>
  <c r="BP703" i="1"/>
  <c r="BO703" i="1"/>
  <c r="BN703" i="1"/>
  <c r="BM703" i="1"/>
  <c r="BL703" i="1"/>
  <c r="BK703" i="1"/>
  <c r="BS1158" i="1"/>
  <c r="BR1158" i="1"/>
  <c r="BQ1158" i="1"/>
  <c r="BP1158" i="1"/>
  <c r="BO1158" i="1"/>
  <c r="BN1158" i="1"/>
  <c r="BM1158" i="1"/>
  <c r="BL1158" i="1"/>
  <c r="BK1158" i="1"/>
  <c r="BS576" i="1"/>
  <c r="BR576" i="1"/>
  <c r="BQ576" i="1"/>
  <c r="BP576" i="1"/>
  <c r="BO576" i="1"/>
  <c r="BN576" i="1"/>
  <c r="BM576" i="1"/>
  <c r="BL576" i="1"/>
  <c r="BK576" i="1"/>
  <c r="BS575" i="1"/>
  <c r="BR575" i="1"/>
  <c r="BQ575" i="1"/>
  <c r="BP575" i="1"/>
  <c r="BO575" i="1"/>
  <c r="BN575" i="1"/>
  <c r="BM575" i="1"/>
  <c r="BL575" i="1"/>
  <c r="BK575" i="1"/>
  <c r="BS574" i="1"/>
  <c r="BR574" i="1"/>
  <c r="BQ574" i="1"/>
  <c r="BP574" i="1"/>
  <c r="BO574" i="1"/>
  <c r="BN574" i="1"/>
  <c r="BM574" i="1"/>
  <c r="BL574" i="1"/>
  <c r="BK574" i="1"/>
  <c r="BS1156" i="1"/>
  <c r="BR1156" i="1"/>
  <c r="BQ1156" i="1"/>
  <c r="BP1156" i="1"/>
  <c r="BO1156" i="1"/>
  <c r="BN1156" i="1"/>
  <c r="BM1156" i="1"/>
  <c r="BL1156" i="1"/>
  <c r="BK1156" i="1"/>
  <c r="BS306" i="1"/>
  <c r="BR306" i="1"/>
  <c r="BQ306" i="1"/>
  <c r="BP306" i="1"/>
  <c r="BO306" i="1"/>
  <c r="BN306" i="1"/>
  <c r="BM306" i="1"/>
  <c r="BL306" i="1"/>
  <c r="BK306" i="1"/>
  <c r="BS571" i="1"/>
  <c r="BR571" i="1"/>
  <c r="BQ571" i="1"/>
  <c r="BP571" i="1"/>
  <c r="BO571" i="1"/>
  <c r="BN571" i="1"/>
  <c r="BM571" i="1"/>
  <c r="BL571" i="1"/>
  <c r="BK571" i="1"/>
  <c r="BS570" i="1"/>
  <c r="BR570" i="1"/>
  <c r="BQ570" i="1"/>
  <c r="BP570" i="1"/>
  <c r="BO570" i="1"/>
  <c r="BN570" i="1"/>
  <c r="BM570" i="1"/>
  <c r="BL570" i="1"/>
  <c r="BK570" i="1"/>
  <c r="BS307" i="1"/>
  <c r="BR307" i="1"/>
  <c r="BQ307" i="1"/>
  <c r="BP307" i="1"/>
  <c r="BO307" i="1"/>
  <c r="BN307" i="1"/>
  <c r="BM307" i="1"/>
  <c r="BL307" i="1"/>
  <c r="BK307" i="1"/>
  <c r="BS568" i="1"/>
  <c r="BR568" i="1"/>
  <c r="BQ568" i="1"/>
  <c r="BP568" i="1"/>
  <c r="BO568" i="1"/>
  <c r="BN568" i="1"/>
  <c r="BM568" i="1"/>
  <c r="BL568" i="1"/>
  <c r="BK568" i="1"/>
  <c r="BS567" i="1"/>
  <c r="BR567" i="1"/>
  <c r="BQ567" i="1"/>
  <c r="BP567" i="1"/>
  <c r="BO567" i="1"/>
  <c r="BN567" i="1"/>
  <c r="BM567" i="1"/>
  <c r="BL567" i="1"/>
  <c r="BK567" i="1"/>
  <c r="BS566" i="1"/>
  <c r="BR566" i="1"/>
  <c r="BQ566" i="1"/>
  <c r="BP566" i="1"/>
  <c r="BO566" i="1"/>
  <c r="BN566" i="1"/>
  <c r="BM566" i="1"/>
  <c r="BL566" i="1"/>
  <c r="BK566" i="1"/>
  <c r="BS565" i="1"/>
  <c r="BR565" i="1"/>
  <c r="BQ565" i="1"/>
  <c r="BP565" i="1"/>
  <c r="BO565" i="1"/>
  <c r="BN565" i="1"/>
  <c r="BM565" i="1"/>
  <c r="BL565" i="1"/>
  <c r="BK565" i="1"/>
  <c r="BS564" i="1"/>
  <c r="BR564" i="1"/>
  <c r="BQ564" i="1"/>
  <c r="BP564" i="1"/>
  <c r="BO564" i="1"/>
  <c r="BN564" i="1"/>
  <c r="BM564" i="1"/>
  <c r="BL564" i="1"/>
  <c r="BK564" i="1"/>
  <c r="BS563" i="1"/>
  <c r="BR563" i="1"/>
  <c r="BQ563" i="1"/>
  <c r="BP563" i="1"/>
  <c r="BO563" i="1"/>
  <c r="BN563" i="1"/>
  <c r="BM563" i="1"/>
  <c r="BL563" i="1"/>
  <c r="BK563" i="1"/>
  <c r="BS558" i="1"/>
  <c r="BR558" i="1"/>
  <c r="BQ558" i="1"/>
  <c r="BP558" i="1"/>
  <c r="BO558" i="1"/>
  <c r="BN558" i="1"/>
  <c r="BM558" i="1"/>
  <c r="BL558" i="1"/>
  <c r="BK558" i="1"/>
  <c r="BS561" i="1"/>
  <c r="BR561" i="1"/>
  <c r="BQ561" i="1"/>
  <c r="BP561" i="1"/>
  <c r="BO561" i="1"/>
  <c r="BN561" i="1"/>
  <c r="BM561" i="1"/>
  <c r="BL561" i="1"/>
  <c r="BK561" i="1"/>
  <c r="BS560" i="1"/>
  <c r="BR560" i="1"/>
  <c r="BQ560" i="1"/>
  <c r="BP560" i="1"/>
  <c r="BO560" i="1"/>
  <c r="BN560" i="1"/>
  <c r="BM560" i="1"/>
  <c r="BL560" i="1"/>
  <c r="BK560" i="1"/>
  <c r="BS559" i="1"/>
  <c r="BR559" i="1"/>
  <c r="BQ559" i="1"/>
  <c r="BP559" i="1"/>
  <c r="BO559" i="1"/>
  <c r="BN559" i="1"/>
  <c r="BM559" i="1"/>
  <c r="BL559" i="1"/>
  <c r="BK559" i="1"/>
  <c r="BS557" i="1"/>
  <c r="BR557" i="1"/>
  <c r="BQ557" i="1"/>
  <c r="BP557" i="1"/>
  <c r="BO557" i="1"/>
  <c r="BN557" i="1"/>
  <c r="BM557" i="1"/>
  <c r="BL557" i="1"/>
  <c r="BK557" i="1"/>
  <c r="BS556" i="1"/>
  <c r="BR556" i="1"/>
  <c r="BQ556" i="1"/>
  <c r="BP556" i="1"/>
  <c r="BO556" i="1"/>
  <c r="BN556" i="1"/>
  <c r="BM556" i="1"/>
  <c r="BL556" i="1"/>
  <c r="BK556" i="1"/>
  <c r="BS555" i="1"/>
  <c r="BR555" i="1"/>
  <c r="BQ555" i="1"/>
  <c r="BP555" i="1"/>
  <c r="BO555" i="1"/>
  <c r="BN555" i="1"/>
  <c r="BM555" i="1"/>
  <c r="BL555" i="1"/>
  <c r="BK555" i="1"/>
  <c r="BS554" i="1"/>
  <c r="BR554" i="1"/>
  <c r="BQ554" i="1"/>
  <c r="BP554" i="1"/>
  <c r="BO554" i="1"/>
  <c r="BN554" i="1"/>
  <c r="BM554" i="1"/>
  <c r="BL554" i="1"/>
  <c r="BK554" i="1"/>
  <c r="BS655" i="1"/>
  <c r="BR655" i="1"/>
  <c r="BQ655" i="1"/>
  <c r="BP655" i="1"/>
  <c r="BO655" i="1"/>
  <c r="BN655" i="1"/>
  <c r="BM655" i="1"/>
  <c r="BL655" i="1"/>
  <c r="BK655" i="1"/>
  <c r="BS552" i="1"/>
  <c r="BR552" i="1"/>
  <c r="BQ552" i="1"/>
  <c r="BP552" i="1"/>
  <c r="BO552" i="1"/>
  <c r="BN552" i="1"/>
  <c r="BM552" i="1"/>
  <c r="BL552" i="1"/>
  <c r="BK552" i="1"/>
  <c r="BS941" i="1"/>
  <c r="BR941" i="1"/>
  <c r="BQ941" i="1"/>
  <c r="BP941" i="1"/>
  <c r="BO941" i="1"/>
  <c r="BN941" i="1"/>
  <c r="BM941" i="1"/>
  <c r="BL941" i="1"/>
  <c r="BK941" i="1"/>
  <c r="BS550" i="1"/>
  <c r="BR550" i="1"/>
  <c r="BQ550" i="1"/>
  <c r="BP550" i="1"/>
  <c r="BO550" i="1"/>
  <c r="BN550" i="1"/>
  <c r="BM550" i="1"/>
  <c r="BL550" i="1"/>
  <c r="BK550" i="1"/>
  <c r="BS549" i="1"/>
  <c r="BR549" i="1"/>
  <c r="BQ549" i="1"/>
  <c r="BP549" i="1"/>
  <c r="BO549" i="1"/>
  <c r="BN549" i="1"/>
  <c r="BM549" i="1"/>
  <c r="BL549" i="1"/>
  <c r="BK549" i="1"/>
  <c r="BS548" i="1"/>
  <c r="BR548" i="1"/>
  <c r="BQ548" i="1"/>
  <c r="BP548" i="1"/>
  <c r="BO548" i="1"/>
  <c r="BN548" i="1"/>
  <c r="BM548" i="1"/>
  <c r="BL548" i="1"/>
  <c r="BK548" i="1"/>
  <c r="BS547" i="1"/>
  <c r="BR547" i="1"/>
  <c r="BQ547" i="1"/>
  <c r="BP547" i="1"/>
  <c r="BO547" i="1"/>
  <c r="BN547" i="1"/>
  <c r="BM547" i="1"/>
  <c r="BL547" i="1"/>
  <c r="BK547" i="1"/>
  <c r="BS546" i="1"/>
  <c r="BR546" i="1"/>
  <c r="BQ546" i="1"/>
  <c r="BP546" i="1"/>
  <c r="BO546" i="1"/>
  <c r="BN546" i="1"/>
  <c r="BM546" i="1"/>
  <c r="BL546" i="1"/>
  <c r="BK546" i="1"/>
  <c r="BS545" i="1"/>
  <c r="BR545" i="1"/>
  <c r="BQ545" i="1"/>
  <c r="BP545" i="1"/>
  <c r="BO545" i="1"/>
  <c r="BN545" i="1"/>
  <c r="BM545" i="1"/>
  <c r="BL545" i="1"/>
  <c r="BK545" i="1"/>
  <c r="BS544" i="1"/>
  <c r="BR544" i="1"/>
  <c r="BQ544" i="1"/>
  <c r="BP544" i="1"/>
  <c r="BO544" i="1"/>
  <c r="BN544" i="1"/>
  <c r="BM544" i="1"/>
  <c r="BL544" i="1"/>
  <c r="BK544" i="1"/>
  <c r="BS543" i="1"/>
  <c r="BR543" i="1"/>
  <c r="BQ543" i="1"/>
  <c r="BP543" i="1"/>
  <c r="BO543" i="1"/>
  <c r="BN543" i="1"/>
  <c r="BM543" i="1"/>
  <c r="BL543" i="1"/>
  <c r="BK543" i="1"/>
  <c r="BS542" i="1"/>
  <c r="BR542" i="1"/>
  <c r="BQ542" i="1"/>
  <c r="BP542" i="1"/>
  <c r="BO542" i="1"/>
  <c r="BN542" i="1"/>
  <c r="BM542" i="1"/>
  <c r="BL542" i="1"/>
  <c r="BK542" i="1"/>
  <c r="BS541" i="1"/>
  <c r="BR541" i="1"/>
  <c r="BQ541" i="1"/>
  <c r="BP541" i="1"/>
  <c r="BO541" i="1"/>
  <c r="BN541" i="1"/>
  <c r="BM541" i="1"/>
  <c r="BL541" i="1"/>
  <c r="BK541" i="1"/>
  <c r="BS540" i="1"/>
  <c r="BR540" i="1"/>
  <c r="BQ540" i="1"/>
  <c r="BP540" i="1"/>
  <c r="BO540" i="1"/>
  <c r="BN540" i="1"/>
  <c r="BM540" i="1"/>
  <c r="BL540" i="1"/>
  <c r="BK540" i="1"/>
  <c r="BS539" i="1"/>
  <c r="BR539" i="1"/>
  <c r="BQ539" i="1"/>
  <c r="BP539" i="1"/>
  <c r="BO539" i="1"/>
  <c r="BN539" i="1"/>
  <c r="BM539" i="1"/>
  <c r="BL539" i="1"/>
  <c r="BK539" i="1"/>
  <c r="BS538" i="1"/>
  <c r="BR538" i="1"/>
  <c r="BQ538" i="1"/>
  <c r="BP538" i="1"/>
  <c r="BO538" i="1"/>
  <c r="BN538" i="1"/>
  <c r="BM538" i="1"/>
  <c r="BL538" i="1"/>
  <c r="BK538" i="1"/>
  <c r="BS537" i="1"/>
  <c r="BR537" i="1"/>
  <c r="BQ537" i="1"/>
  <c r="BP537" i="1"/>
  <c r="BO537" i="1"/>
  <c r="BN537" i="1"/>
  <c r="BM537" i="1"/>
  <c r="BL537" i="1"/>
  <c r="BK537" i="1"/>
  <c r="BS536" i="1"/>
  <c r="BR536" i="1"/>
  <c r="BQ536" i="1"/>
  <c r="BP536" i="1"/>
  <c r="BO536" i="1"/>
  <c r="BN536" i="1"/>
  <c r="BM536" i="1"/>
  <c r="BL536" i="1"/>
  <c r="BK536" i="1"/>
  <c r="BS416" i="1"/>
  <c r="BR416" i="1"/>
  <c r="BQ416" i="1"/>
  <c r="BP416" i="1"/>
  <c r="BO416" i="1"/>
  <c r="BN416" i="1"/>
  <c r="BM416" i="1"/>
  <c r="BL416" i="1"/>
  <c r="BK416" i="1"/>
  <c r="BS534" i="1"/>
  <c r="BR534" i="1"/>
  <c r="BQ534" i="1"/>
  <c r="BP534" i="1"/>
  <c r="BO534" i="1"/>
  <c r="BN534" i="1"/>
  <c r="BM534" i="1"/>
  <c r="BL534" i="1"/>
  <c r="BK534" i="1"/>
  <c r="BS533" i="1"/>
  <c r="BR533" i="1"/>
  <c r="BQ533" i="1"/>
  <c r="BP533" i="1"/>
  <c r="BO533" i="1"/>
  <c r="BN533" i="1"/>
  <c r="BM533" i="1"/>
  <c r="BL533" i="1"/>
  <c r="BK533" i="1"/>
  <c r="BS532" i="1"/>
  <c r="BR532" i="1"/>
  <c r="BQ532" i="1"/>
  <c r="BP532" i="1"/>
  <c r="BO532" i="1"/>
  <c r="BN532" i="1"/>
  <c r="BM532" i="1"/>
  <c r="BL532" i="1"/>
  <c r="BK532" i="1"/>
  <c r="BS531" i="1"/>
  <c r="BR531" i="1"/>
  <c r="BQ531" i="1"/>
  <c r="BP531" i="1"/>
  <c r="BO531" i="1"/>
  <c r="BN531" i="1"/>
  <c r="BM531" i="1"/>
  <c r="BL531" i="1"/>
  <c r="BK531" i="1"/>
  <c r="BS530" i="1"/>
  <c r="BR530" i="1"/>
  <c r="BQ530" i="1"/>
  <c r="BP530" i="1"/>
  <c r="BO530" i="1"/>
  <c r="BN530" i="1"/>
  <c r="BM530" i="1"/>
  <c r="BL530" i="1"/>
  <c r="BK530" i="1"/>
  <c r="BS529" i="1"/>
  <c r="BR529" i="1"/>
  <c r="BQ529" i="1"/>
  <c r="BP529" i="1"/>
  <c r="BO529" i="1"/>
  <c r="BN529" i="1"/>
  <c r="BM529" i="1"/>
  <c r="BL529" i="1"/>
  <c r="BK529" i="1"/>
  <c r="BS528" i="1"/>
  <c r="BR528" i="1"/>
  <c r="BQ528" i="1"/>
  <c r="BP528" i="1"/>
  <c r="BO528" i="1"/>
  <c r="BN528" i="1"/>
  <c r="BM528" i="1"/>
  <c r="BL528" i="1"/>
  <c r="BK528" i="1"/>
  <c r="BS527" i="1"/>
  <c r="BR527" i="1"/>
  <c r="BQ527" i="1"/>
  <c r="BP527" i="1"/>
  <c r="BO527" i="1"/>
  <c r="BN527" i="1"/>
  <c r="BM527" i="1"/>
  <c r="BL527" i="1"/>
  <c r="BK527" i="1"/>
  <c r="BS1134" i="1"/>
  <c r="BR1134" i="1"/>
  <c r="BQ1134" i="1"/>
  <c r="BP1134" i="1"/>
  <c r="BO1134" i="1"/>
  <c r="BN1134" i="1"/>
  <c r="BM1134" i="1"/>
  <c r="BL1134" i="1"/>
  <c r="BK1134" i="1"/>
  <c r="BS525" i="1"/>
  <c r="BR525" i="1"/>
  <c r="BQ525" i="1"/>
  <c r="BP525" i="1"/>
  <c r="BO525" i="1"/>
  <c r="BN525" i="1"/>
  <c r="BM525" i="1"/>
  <c r="BL525" i="1"/>
  <c r="BK525" i="1"/>
  <c r="BS524" i="1"/>
  <c r="BR524" i="1"/>
  <c r="BQ524" i="1"/>
  <c r="BP524" i="1"/>
  <c r="BO524" i="1"/>
  <c r="BN524" i="1"/>
  <c r="BM524" i="1"/>
  <c r="BL524" i="1"/>
  <c r="BK524" i="1"/>
  <c r="BS523" i="1"/>
  <c r="BR523" i="1"/>
  <c r="BQ523" i="1"/>
  <c r="BP523" i="1"/>
  <c r="BO523" i="1"/>
  <c r="BN523" i="1"/>
  <c r="BM523" i="1"/>
  <c r="BL523" i="1"/>
  <c r="BK523" i="1"/>
  <c r="BS325" i="1"/>
  <c r="BR325" i="1"/>
  <c r="BQ325" i="1"/>
  <c r="BP325" i="1"/>
  <c r="BO325" i="1"/>
  <c r="BN325" i="1"/>
  <c r="BM325" i="1"/>
  <c r="BL325" i="1"/>
  <c r="BK325" i="1"/>
  <c r="BS521" i="1"/>
  <c r="BR521" i="1"/>
  <c r="BQ521" i="1"/>
  <c r="BP521" i="1"/>
  <c r="BO521" i="1"/>
  <c r="BN521" i="1"/>
  <c r="BM521" i="1"/>
  <c r="BL521" i="1"/>
  <c r="BK521" i="1"/>
  <c r="BS520" i="1"/>
  <c r="BR520" i="1"/>
  <c r="BQ520" i="1"/>
  <c r="BP520" i="1"/>
  <c r="BO520" i="1"/>
  <c r="BN520" i="1"/>
  <c r="BM520" i="1"/>
  <c r="BL520" i="1"/>
  <c r="BK520" i="1"/>
  <c r="BS519" i="1"/>
  <c r="BR519" i="1"/>
  <c r="BQ519" i="1"/>
  <c r="BP519" i="1"/>
  <c r="BO519" i="1"/>
  <c r="BN519" i="1"/>
  <c r="BM519" i="1"/>
  <c r="BL519" i="1"/>
  <c r="BK519" i="1"/>
  <c r="BS621" i="1"/>
  <c r="BR621" i="1"/>
  <c r="BQ621" i="1"/>
  <c r="BP621" i="1"/>
  <c r="BO621" i="1"/>
  <c r="BN621" i="1"/>
  <c r="BM621" i="1"/>
  <c r="BL621" i="1"/>
  <c r="BK621" i="1"/>
  <c r="BS517" i="1"/>
  <c r="BR517" i="1"/>
  <c r="BQ517" i="1"/>
  <c r="BP517" i="1"/>
  <c r="BO517" i="1"/>
  <c r="BN517" i="1"/>
  <c r="BM517" i="1"/>
  <c r="BL517" i="1"/>
  <c r="BK517" i="1"/>
  <c r="BS515" i="1"/>
  <c r="BR515" i="1"/>
  <c r="BQ515" i="1"/>
  <c r="BP515" i="1"/>
  <c r="BO515" i="1"/>
  <c r="BN515" i="1"/>
  <c r="BM515" i="1"/>
  <c r="BL515" i="1"/>
  <c r="BK515" i="1"/>
  <c r="BS1126" i="1"/>
  <c r="BR1126" i="1"/>
  <c r="BQ1126" i="1"/>
  <c r="BP1126" i="1"/>
  <c r="BO1126" i="1"/>
  <c r="BN1126" i="1"/>
  <c r="BM1126" i="1"/>
  <c r="BL1126" i="1"/>
  <c r="BK1126" i="1"/>
  <c r="BS516" i="1"/>
  <c r="BR516" i="1"/>
  <c r="BQ516" i="1"/>
  <c r="BP516" i="1"/>
  <c r="BO516" i="1"/>
  <c r="BN516" i="1"/>
  <c r="BM516" i="1"/>
  <c r="BL516" i="1"/>
  <c r="BK516" i="1"/>
  <c r="BS3" i="1"/>
  <c r="BR3" i="1"/>
  <c r="BQ3" i="1"/>
  <c r="BP3" i="1"/>
  <c r="BO3" i="1"/>
  <c r="BN3" i="1"/>
  <c r="BM3" i="1"/>
  <c r="BL3" i="1"/>
  <c r="BK3" i="1"/>
  <c r="BS512" i="1"/>
  <c r="BR512" i="1"/>
  <c r="BQ512" i="1"/>
  <c r="BP512" i="1"/>
  <c r="BO512" i="1"/>
  <c r="BN512" i="1"/>
  <c r="BM512" i="1"/>
  <c r="BL512" i="1"/>
  <c r="BK512" i="1"/>
  <c r="BS511" i="1"/>
  <c r="BR511" i="1"/>
  <c r="BQ511" i="1"/>
  <c r="BP511" i="1"/>
  <c r="BO511" i="1"/>
  <c r="BN511" i="1"/>
  <c r="BM511" i="1"/>
  <c r="BL511" i="1"/>
  <c r="BK511" i="1"/>
  <c r="BS510" i="1"/>
  <c r="BR510" i="1"/>
  <c r="BQ510" i="1"/>
  <c r="BP510" i="1"/>
  <c r="BO510" i="1"/>
  <c r="BN510" i="1"/>
  <c r="BM510" i="1"/>
  <c r="BL510" i="1"/>
  <c r="BK510" i="1"/>
  <c r="BS509" i="1"/>
  <c r="BR509" i="1"/>
  <c r="BQ509" i="1"/>
  <c r="BP509" i="1"/>
  <c r="BO509" i="1"/>
  <c r="BN509" i="1"/>
  <c r="BM509" i="1"/>
  <c r="BL509" i="1"/>
  <c r="BK509" i="1"/>
  <c r="BS1102" i="1"/>
  <c r="BR1102" i="1"/>
  <c r="BQ1102" i="1"/>
  <c r="BP1102" i="1"/>
  <c r="BO1102" i="1"/>
  <c r="BN1102" i="1"/>
  <c r="BM1102" i="1"/>
  <c r="BL1102" i="1"/>
  <c r="BK1102" i="1"/>
  <c r="BS1097" i="1"/>
  <c r="BR1097" i="1"/>
  <c r="BQ1097" i="1"/>
  <c r="BP1097" i="1"/>
  <c r="BO1097" i="1"/>
  <c r="BN1097" i="1"/>
  <c r="BM1097" i="1"/>
  <c r="BL1097" i="1"/>
  <c r="BK1097" i="1"/>
  <c r="BS506" i="1"/>
  <c r="BR506" i="1"/>
  <c r="BQ506" i="1"/>
  <c r="BP506" i="1"/>
  <c r="BO506" i="1"/>
  <c r="BN506" i="1"/>
  <c r="BM506" i="1"/>
  <c r="BL506" i="1"/>
  <c r="BK506" i="1"/>
  <c r="BS505" i="1"/>
  <c r="BR505" i="1"/>
  <c r="BQ505" i="1"/>
  <c r="BP505" i="1"/>
  <c r="BO505" i="1"/>
  <c r="BN505" i="1"/>
  <c r="BM505" i="1"/>
  <c r="BL505" i="1"/>
  <c r="BK505" i="1"/>
  <c r="BS504" i="1"/>
  <c r="BR504" i="1"/>
  <c r="BQ504" i="1"/>
  <c r="BP504" i="1"/>
  <c r="BO504" i="1"/>
  <c r="BN504" i="1"/>
  <c r="BM504" i="1"/>
  <c r="BL504" i="1"/>
  <c r="BK504" i="1"/>
  <c r="BS503" i="1"/>
  <c r="BR503" i="1"/>
  <c r="BQ503" i="1"/>
  <c r="BP503" i="1"/>
  <c r="BO503" i="1"/>
  <c r="BN503" i="1"/>
  <c r="BM503" i="1"/>
  <c r="BL503" i="1"/>
  <c r="BK503" i="1"/>
  <c r="BS502" i="1"/>
  <c r="BR502" i="1"/>
  <c r="BQ502" i="1"/>
  <c r="BP502" i="1"/>
  <c r="BO502" i="1"/>
  <c r="BN502" i="1"/>
  <c r="BM502" i="1"/>
  <c r="BL502" i="1"/>
  <c r="BK502" i="1"/>
  <c r="BS501" i="1"/>
  <c r="BR501" i="1"/>
  <c r="BQ501" i="1"/>
  <c r="BP501" i="1"/>
  <c r="BO501" i="1"/>
  <c r="BN501" i="1"/>
  <c r="BM501" i="1"/>
  <c r="BL501" i="1"/>
  <c r="BK501" i="1"/>
  <c r="BS500" i="1"/>
  <c r="BR500" i="1"/>
  <c r="BQ500" i="1"/>
  <c r="BP500" i="1"/>
  <c r="BO500" i="1"/>
  <c r="BN500" i="1"/>
  <c r="BM500" i="1"/>
  <c r="BL500" i="1"/>
  <c r="BK500" i="1"/>
  <c r="BS499" i="1"/>
  <c r="BR499" i="1"/>
  <c r="BQ499" i="1"/>
  <c r="BP499" i="1"/>
  <c r="BO499" i="1"/>
  <c r="BN499" i="1"/>
  <c r="BM499" i="1"/>
  <c r="BL499" i="1"/>
  <c r="BK499" i="1"/>
  <c r="BS498" i="1"/>
  <c r="BR498" i="1"/>
  <c r="BQ498" i="1"/>
  <c r="BP498" i="1"/>
  <c r="BO498" i="1"/>
  <c r="BN498" i="1"/>
  <c r="BM498" i="1"/>
  <c r="BL498" i="1"/>
  <c r="BK498" i="1"/>
  <c r="BS497" i="1"/>
  <c r="BR497" i="1"/>
  <c r="BQ497" i="1"/>
  <c r="BP497" i="1"/>
  <c r="BO497" i="1"/>
  <c r="BN497" i="1"/>
  <c r="BM497" i="1"/>
  <c r="BL497" i="1"/>
  <c r="BK497" i="1"/>
  <c r="BS496" i="1"/>
  <c r="BR496" i="1"/>
  <c r="BQ496" i="1"/>
  <c r="BP496" i="1"/>
  <c r="BO496" i="1"/>
  <c r="BN496" i="1"/>
  <c r="BM496" i="1"/>
  <c r="BL496" i="1"/>
  <c r="BK496" i="1"/>
  <c r="BS495" i="1"/>
  <c r="BR495" i="1"/>
  <c r="BQ495" i="1"/>
  <c r="BP495" i="1"/>
  <c r="BO495" i="1"/>
  <c r="BN495" i="1"/>
  <c r="BM495" i="1"/>
  <c r="BL495" i="1"/>
  <c r="BK495" i="1"/>
  <c r="BS494" i="1"/>
  <c r="BR494" i="1"/>
  <c r="BQ494" i="1"/>
  <c r="BP494" i="1"/>
  <c r="BO494" i="1"/>
  <c r="BN494" i="1"/>
  <c r="BM494" i="1"/>
  <c r="BL494" i="1"/>
  <c r="BK494" i="1"/>
  <c r="BS493" i="1"/>
  <c r="BR493" i="1"/>
  <c r="BQ493" i="1"/>
  <c r="BP493" i="1"/>
  <c r="BO493" i="1"/>
  <c r="BN493" i="1"/>
  <c r="BM493" i="1"/>
  <c r="BL493" i="1"/>
  <c r="BK493" i="1"/>
  <c r="BS492" i="1"/>
  <c r="BR492" i="1"/>
  <c r="BQ492" i="1"/>
  <c r="BP492" i="1"/>
  <c r="BO492" i="1"/>
  <c r="BN492" i="1"/>
  <c r="BM492" i="1"/>
  <c r="BL492" i="1"/>
  <c r="BK492" i="1"/>
  <c r="BS1042" i="1"/>
  <c r="BR1042" i="1"/>
  <c r="BQ1042" i="1"/>
  <c r="BP1042" i="1"/>
  <c r="BO1042" i="1"/>
  <c r="BN1042" i="1"/>
  <c r="BM1042" i="1"/>
  <c r="BL1042" i="1"/>
  <c r="BK1042" i="1"/>
  <c r="BS490" i="1"/>
  <c r="BR490" i="1"/>
  <c r="BQ490" i="1"/>
  <c r="BP490" i="1"/>
  <c r="BO490" i="1"/>
  <c r="BN490" i="1"/>
  <c r="BM490" i="1"/>
  <c r="BL490" i="1"/>
  <c r="BK490" i="1"/>
  <c r="BS146" i="1"/>
  <c r="BR146" i="1"/>
  <c r="BQ146" i="1"/>
  <c r="BP146" i="1"/>
  <c r="BO146" i="1"/>
  <c r="BN146" i="1"/>
  <c r="BM146" i="1"/>
  <c r="BL146" i="1"/>
  <c r="BK146" i="1"/>
  <c r="BS488" i="1"/>
  <c r="BR488" i="1"/>
  <c r="BQ488" i="1"/>
  <c r="BP488" i="1"/>
  <c r="BO488" i="1"/>
  <c r="BN488" i="1"/>
  <c r="BM488" i="1"/>
  <c r="BL488" i="1"/>
  <c r="BK488" i="1"/>
  <c r="BS20" i="1"/>
  <c r="BR20" i="1"/>
  <c r="BQ20" i="1"/>
  <c r="BP20" i="1"/>
  <c r="BO20" i="1"/>
  <c r="BN20" i="1"/>
  <c r="BM20" i="1"/>
  <c r="BL20" i="1"/>
  <c r="BK20" i="1"/>
  <c r="BS486" i="1"/>
  <c r="BR486" i="1"/>
  <c r="BQ486" i="1"/>
  <c r="BP486" i="1"/>
  <c r="BO486" i="1"/>
  <c r="BN486" i="1"/>
  <c r="BM486" i="1"/>
  <c r="BL486" i="1"/>
  <c r="BK486" i="1"/>
  <c r="BS1039" i="1"/>
  <c r="BR1039" i="1"/>
  <c r="BQ1039" i="1"/>
  <c r="BP1039" i="1"/>
  <c r="BO1039" i="1"/>
  <c r="BN1039" i="1"/>
  <c r="BM1039" i="1"/>
  <c r="BL1039" i="1"/>
  <c r="BK1039" i="1"/>
  <c r="BS484" i="1"/>
  <c r="BR484" i="1"/>
  <c r="BQ484" i="1"/>
  <c r="BP484" i="1"/>
  <c r="BO484" i="1"/>
  <c r="BN484" i="1"/>
  <c r="BM484" i="1"/>
  <c r="BL484" i="1"/>
  <c r="BK484" i="1"/>
  <c r="BS483" i="1"/>
  <c r="BR483" i="1"/>
  <c r="BQ483" i="1"/>
  <c r="BP483" i="1"/>
  <c r="BO483" i="1"/>
  <c r="BN483" i="1"/>
  <c r="BM483" i="1"/>
  <c r="BL483" i="1"/>
  <c r="BK483" i="1"/>
  <c r="BS1029" i="1"/>
  <c r="BR1029" i="1"/>
  <c r="BQ1029" i="1"/>
  <c r="BP1029" i="1"/>
  <c r="BO1029" i="1"/>
  <c r="BN1029" i="1"/>
  <c r="BM1029" i="1"/>
  <c r="BL1029" i="1"/>
  <c r="BK1029" i="1"/>
  <c r="BS677" i="1"/>
  <c r="BR677" i="1"/>
  <c r="BQ677" i="1"/>
  <c r="BP677" i="1"/>
  <c r="BO677" i="1"/>
  <c r="BN677" i="1"/>
  <c r="BM677" i="1"/>
  <c r="BL677" i="1"/>
  <c r="BK677" i="1"/>
  <c r="BS480" i="1"/>
  <c r="BR480" i="1"/>
  <c r="BQ480" i="1"/>
  <c r="BP480" i="1"/>
  <c r="BO480" i="1"/>
  <c r="BN480" i="1"/>
  <c r="BM480" i="1"/>
  <c r="BL480" i="1"/>
  <c r="BK480" i="1"/>
  <c r="BS479" i="1"/>
  <c r="BR479" i="1"/>
  <c r="BQ479" i="1"/>
  <c r="BP479" i="1"/>
  <c r="BO479" i="1"/>
  <c r="BN479" i="1"/>
  <c r="BM479" i="1"/>
  <c r="BL479" i="1"/>
  <c r="BK479" i="1"/>
  <c r="BS478" i="1"/>
  <c r="BR478" i="1"/>
  <c r="BQ478" i="1"/>
  <c r="BP478" i="1"/>
  <c r="BO478" i="1"/>
  <c r="BN478" i="1"/>
  <c r="BM478" i="1"/>
  <c r="BL478" i="1"/>
  <c r="BK478" i="1"/>
  <c r="BS1014" i="1"/>
  <c r="BR1014" i="1"/>
  <c r="BQ1014" i="1"/>
  <c r="BP1014" i="1"/>
  <c r="BO1014" i="1"/>
  <c r="BN1014" i="1"/>
  <c r="BM1014" i="1"/>
  <c r="BL1014" i="1"/>
  <c r="BK1014" i="1"/>
  <c r="BS476" i="1"/>
  <c r="BR476" i="1"/>
  <c r="BQ476" i="1"/>
  <c r="BP476" i="1"/>
  <c r="BO476" i="1"/>
  <c r="BN476" i="1"/>
  <c r="BM476" i="1"/>
  <c r="BL476" i="1"/>
  <c r="BK476" i="1"/>
  <c r="BS475" i="1"/>
  <c r="BR475" i="1"/>
  <c r="BQ475" i="1"/>
  <c r="BP475" i="1"/>
  <c r="BO475" i="1"/>
  <c r="BN475" i="1"/>
  <c r="BM475" i="1"/>
  <c r="BL475" i="1"/>
  <c r="BK475" i="1"/>
  <c r="BS474" i="1"/>
  <c r="BR474" i="1"/>
  <c r="BQ474" i="1"/>
  <c r="BP474" i="1"/>
  <c r="BO474" i="1"/>
  <c r="BN474" i="1"/>
  <c r="BM474" i="1"/>
  <c r="BL474" i="1"/>
  <c r="BK474" i="1"/>
  <c r="BS473" i="1"/>
  <c r="BR473" i="1"/>
  <c r="BQ473" i="1"/>
  <c r="BP473" i="1"/>
  <c r="BO473" i="1"/>
  <c r="BN473" i="1"/>
  <c r="BM473" i="1"/>
  <c r="BL473" i="1"/>
  <c r="BK473" i="1"/>
  <c r="BS472" i="1"/>
  <c r="BR472" i="1"/>
  <c r="BQ472" i="1"/>
  <c r="BP472" i="1"/>
  <c r="BO472" i="1"/>
  <c r="BN472" i="1"/>
  <c r="BM472" i="1"/>
  <c r="BL472" i="1"/>
  <c r="BK472" i="1"/>
  <c r="BS471" i="1"/>
  <c r="BR471" i="1"/>
  <c r="BQ471" i="1"/>
  <c r="BP471" i="1"/>
  <c r="BO471" i="1"/>
  <c r="BN471" i="1"/>
  <c r="BM471" i="1"/>
  <c r="BL471" i="1"/>
  <c r="BK471" i="1"/>
  <c r="BS470" i="1"/>
  <c r="BR470" i="1"/>
  <c r="BQ470" i="1"/>
  <c r="BP470" i="1"/>
  <c r="BO470" i="1"/>
  <c r="BN470" i="1"/>
  <c r="BM470" i="1"/>
  <c r="BL470" i="1"/>
  <c r="BK470" i="1"/>
  <c r="BS469" i="1"/>
  <c r="BR469" i="1"/>
  <c r="BQ469" i="1"/>
  <c r="BP469" i="1"/>
  <c r="BO469" i="1"/>
  <c r="BN469" i="1"/>
  <c r="BM469" i="1"/>
  <c r="BL469" i="1"/>
  <c r="BK469" i="1"/>
  <c r="BS468" i="1"/>
  <c r="BR468" i="1"/>
  <c r="BQ468" i="1"/>
  <c r="BP468" i="1"/>
  <c r="BO468" i="1"/>
  <c r="BN468" i="1"/>
  <c r="BM468" i="1"/>
  <c r="BL468" i="1"/>
  <c r="BK468" i="1"/>
  <c r="BS467" i="1"/>
  <c r="BR467" i="1"/>
  <c r="BQ467" i="1"/>
  <c r="BP467" i="1"/>
  <c r="BO467" i="1"/>
  <c r="BN467" i="1"/>
  <c r="BM467" i="1"/>
  <c r="BL467" i="1"/>
  <c r="BK467" i="1"/>
  <c r="BS466" i="1"/>
  <c r="BR466" i="1"/>
  <c r="BQ466" i="1"/>
  <c r="BP466" i="1"/>
  <c r="BO466" i="1"/>
  <c r="BN466" i="1"/>
  <c r="BM466" i="1"/>
  <c r="BL466" i="1"/>
  <c r="BK466" i="1"/>
  <c r="BS464" i="1"/>
  <c r="BR464" i="1"/>
  <c r="BQ464" i="1"/>
  <c r="BP464" i="1"/>
  <c r="BO464" i="1"/>
  <c r="BN464" i="1"/>
  <c r="BM464" i="1"/>
  <c r="BL464" i="1"/>
  <c r="BK464" i="1"/>
  <c r="BS965" i="1"/>
  <c r="BR965" i="1"/>
  <c r="BQ965" i="1"/>
  <c r="BP965" i="1"/>
  <c r="BO965" i="1"/>
  <c r="BN965" i="1"/>
  <c r="BM965" i="1"/>
  <c r="BL965" i="1"/>
  <c r="BK965" i="1"/>
  <c r="BS951" i="1"/>
  <c r="BR951" i="1"/>
  <c r="BQ951" i="1"/>
  <c r="BP951" i="1"/>
  <c r="BO951" i="1"/>
  <c r="BN951" i="1"/>
  <c r="BM951" i="1"/>
  <c r="BL951" i="1"/>
  <c r="BK951" i="1"/>
  <c r="BS950" i="1"/>
  <c r="BR950" i="1"/>
  <c r="BQ950" i="1"/>
  <c r="BP950" i="1"/>
  <c r="BO950" i="1"/>
  <c r="BN950" i="1"/>
  <c r="BM950" i="1"/>
  <c r="BL950" i="1"/>
  <c r="BK950" i="1"/>
  <c r="BS1135" i="1"/>
  <c r="BR1135" i="1"/>
  <c r="BQ1135" i="1"/>
  <c r="BP1135" i="1"/>
  <c r="BO1135" i="1"/>
  <c r="BN1135" i="1"/>
  <c r="BM1135" i="1"/>
  <c r="BL1135" i="1"/>
  <c r="BK1135" i="1"/>
  <c r="BS943" i="1"/>
  <c r="BR943" i="1"/>
  <c r="BQ943" i="1"/>
  <c r="BP943" i="1"/>
  <c r="BO943" i="1"/>
  <c r="BN943" i="1"/>
  <c r="BM943" i="1"/>
  <c r="BL943" i="1"/>
  <c r="BK943" i="1"/>
  <c r="BS140" i="1"/>
  <c r="BR140" i="1"/>
  <c r="BQ140" i="1"/>
  <c r="BP140" i="1"/>
  <c r="BO140" i="1"/>
  <c r="BN140" i="1"/>
  <c r="BM140" i="1"/>
  <c r="BL140" i="1"/>
  <c r="BK140" i="1"/>
  <c r="BS456" i="1"/>
  <c r="BR456" i="1"/>
  <c r="BQ456" i="1"/>
  <c r="BP456" i="1"/>
  <c r="BO456" i="1"/>
  <c r="BN456" i="1"/>
  <c r="BM456" i="1"/>
  <c r="BL456" i="1"/>
  <c r="BK456" i="1"/>
  <c r="BS1009" i="1"/>
  <c r="BR1009" i="1"/>
  <c r="BQ1009" i="1"/>
  <c r="BP1009" i="1"/>
  <c r="BO1009" i="1"/>
  <c r="BN1009" i="1"/>
  <c r="BM1009" i="1"/>
  <c r="BL1009" i="1"/>
  <c r="BK1009" i="1"/>
  <c r="BS942" i="1"/>
  <c r="BR942" i="1"/>
  <c r="BQ942" i="1"/>
  <c r="BP942" i="1"/>
  <c r="BO942" i="1"/>
  <c r="BN942" i="1"/>
  <c r="BM942" i="1"/>
  <c r="BL942" i="1"/>
  <c r="BK942" i="1"/>
  <c r="BS992" i="1"/>
  <c r="BR992" i="1"/>
  <c r="BQ992" i="1"/>
  <c r="BP992" i="1"/>
  <c r="BO992" i="1"/>
  <c r="BN992" i="1"/>
  <c r="BM992" i="1"/>
  <c r="BL992" i="1"/>
  <c r="BK992" i="1"/>
  <c r="BS934" i="1"/>
  <c r="BR934" i="1"/>
  <c r="BQ934" i="1"/>
  <c r="BP934" i="1"/>
  <c r="BO934" i="1"/>
  <c r="BN934" i="1"/>
  <c r="BM934" i="1"/>
  <c r="BL934" i="1"/>
  <c r="BK934" i="1"/>
  <c r="BS933" i="1"/>
  <c r="BR933" i="1"/>
  <c r="BQ933" i="1"/>
  <c r="BP933" i="1"/>
  <c r="BO933" i="1"/>
  <c r="BN933" i="1"/>
  <c r="BM933" i="1"/>
  <c r="BL933" i="1"/>
  <c r="BK933" i="1"/>
  <c r="BS898" i="1"/>
  <c r="BR898" i="1"/>
  <c r="BQ898" i="1"/>
  <c r="BP898" i="1"/>
  <c r="BO898" i="1"/>
  <c r="BN898" i="1"/>
  <c r="BM898" i="1"/>
  <c r="BL898" i="1"/>
  <c r="BK898" i="1"/>
  <c r="BS449" i="1"/>
  <c r="BR449" i="1"/>
  <c r="BQ449" i="1"/>
  <c r="BP449" i="1"/>
  <c r="BO449" i="1"/>
  <c r="BN449" i="1"/>
  <c r="BM449" i="1"/>
  <c r="BL449" i="1"/>
  <c r="BK449" i="1"/>
  <c r="BS448" i="1"/>
  <c r="BR448" i="1"/>
  <c r="BQ448" i="1"/>
  <c r="BP448" i="1"/>
  <c r="BO448" i="1"/>
  <c r="BN448" i="1"/>
  <c r="BM448" i="1"/>
  <c r="BL448" i="1"/>
  <c r="BK448" i="1"/>
  <c r="BS657" i="1"/>
  <c r="BR657" i="1"/>
  <c r="BQ657" i="1"/>
  <c r="BP657" i="1"/>
  <c r="BO657" i="1"/>
  <c r="BN657" i="1"/>
  <c r="BM657" i="1"/>
  <c r="BL657" i="1"/>
  <c r="BK657" i="1"/>
  <c r="BS446" i="1"/>
  <c r="BR446" i="1"/>
  <c r="BQ446" i="1"/>
  <c r="BP446" i="1"/>
  <c r="BO446" i="1"/>
  <c r="BN446" i="1"/>
  <c r="BM446" i="1"/>
  <c r="BL446" i="1"/>
  <c r="BK446" i="1"/>
  <c r="BS445" i="1"/>
  <c r="BR445" i="1"/>
  <c r="BQ445" i="1"/>
  <c r="BP445" i="1"/>
  <c r="BO445" i="1"/>
  <c r="BN445" i="1"/>
  <c r="BM445" i="1"/>
  <c r="BL445" i="1"/>
  <c r="BK445" i="1"/>
  <c r="BS444" i="1"/>
  <c r="BR444" i="1"/>
  <c r="BQ444" i="1"/>
  <c r="BP444" i="1"/>
  <c r="BO444" i="1"/>
  <c r="BN444" i="1"/>
  <c r="BM444" i="1"/>
  <c r="BL444" i="1"/>
  <c r="BK444" i="1"/>
  <c r="BS443" i="1"/>
  <c r="BR443" i="1"/>
  <c r="BQ443" i="1"/>
  <c r="BP443" i="1"/>
  <c r="BO443" i="1"/>
  <c r="BN443" i="1"/>
  <c r="BM443" i="1"/>
  <c r="BL443" i="1"/>
  <c r="BK443" i="1"/>
  <c r="BS442" i="1"/>
  <c r="BR442" i="1"/>
  <c r="BQ442" i="1"/>
  <c r="BP442" i="1"/>
  <c r="BO442" i="1"/>
  <c r="BN442" i="1"/>
  <c r="BM442" i="1"/>
  <c r="BL442" i="1"/>
  <c r="BK442" i="1"/>
  <c r="BS441" i="1"/>
  <c r="BR441" i="1"/>
  <c r="BQ441" i="1"/>
  <c r="BP441" i="1"/>
  <c r="BO441" i="1"/>
  <c r="BN441" i="1"/>
  <c r="BM441" i="1"/>
  <c r="BL441" i="1"/>
  <c r="BK441" i="1"/>
  <c r="BS875" i="1"/>
  <c r="BR875" i="1"/>
  <c r="BQ875" i="1"/>
  <c r="BP875" i="1"/>
  <c r="BO875" i="1"/>
  <c r="BN875" i="1"/>
  <c r="BM875" i="1"/>
  <c r="BL875" i="1"/>
  <c r="BK875" i="1"/>
  <c r="BS857" i="1"/>
  <c r="BR857" i="1"/>
  <c r="BQ857" i="1"/>
  <c r="BP857" i="1"/>
  <c r="BO857" i="1"/>
  <c r="BN857" i="1"/>
  <c r="BM857" i="1"/>
  <c r="BL857" i="1"/>
  <c r="BK857" i="1"/>
  <c r="BS438" i="1"/>
  <c r="BR438" i="1"/>
  <c r="BQ438" i="1"/>
  <c r="BP438" i="1"/>
  <c r="BO438" i="1"/>
  <c r="BN438" i="1"/>
  <c r="BM438" i="1"/>
  <c r="BL438" i="1"/>
  <c r="BK438" i="1"/>
  <c r="BS437" i="1"/>
  <c r="BR437" i="1"/>
  <c r="BQ437" i="1"/>
  <c r="BP437" i="1"/>
  <c r="BO437" i="1"/>
  <c r="BN437" i="1"/>
  <c r="BM437" i="1"/>
  <c r="BL437" i="1"/>
  <c r="BK437" i="1"/>
  <c r="BS436" i="1"/>
  <c r="BR436" i="1"/>
  <c r="BQ436" i="1"/>
  <c r="BP436" i="1"/>
  <c r="BO436" i="1"/>
  <c r="BN436" i="1"/>
  <c r="BM436" i="1"/>
  <c r="BL436" i="1"/>
  <c r="BK436" i="1"/>
  <c r="BS595" i="1"/>
  <c r="BR595" i="1"/>
  <c r="BQ595" i="1"/>
  <c r="BP595" i="1"/>
  <c r="BO595" i="1"/>
  <c r="BN595" i="1"/>
  <c r="BM595" i="1"/>
  <c r="BL595" i="1"/>
  <c r="BK595" i="1"/>
  <c r="BS434" i="1"/>
  <c r="BR434" i="1"/>
  <c r="BQ434" i="1"/>
  <c r="BP434" i="1"/>
  <c r="BO434" i="1"/>
  <c r="BN434" i="1"/>
  <c r="BM434" i="1"/>
  <c r="BL434" i="1"/>
  <c r="BK434" i="1"/>
  <c r="BS265" i="1"/>
  <c r="BR265" i="1"/>
  <c r="BQ265" i="1"/>
  <c r="BP265" i="1"/>
  <c r="BO265" i="1"/>
  <c r="BN265" i="1"/>
  <c r="BM265" i="1"/>
  <c r="BL265" i="1"/>
  <c r="BK265" i="1"/>
  <c r="BS251" i="1"/>
  <c r="BR251" i="1"/>
  <c r="BQ251" i="1"/>
  <c r="BP251" i="1"/>
  <c r="BO251" i="1"/>
  <c r="BN251" i="1"/>
  <c r="BM251" i="1"/>
  <c r="BL251" i="1"/>
  <c r="BK251" i="1"/>
  <c r="BS252" i="1"/>
  <c r="BR252" i="1"/>
  <c r="BQ252" i="1"/>
  <c r="BP252" i="1"/>
  <c r="BO252" i="1"/>
  <c r="BN252" i="1"/>
  <c r="BM252" i="1"/>
  <c r="BL252" i="1"/>
  <c r="BK252" i="1"/>
  <c r="BS323" i="1"/>
  <c r="BR323" i="1"/>
  <c r="BQ323" i="1"/>
  <c r="BP323" i="1"/>
  <c r="BO323" i="1"/>
  <c r="BN323" i="1"/>
  <c r="BM323" i="1"/>
  <c r="BL323" i="1"/>
  <c r="BK323" i="1"/>
  <c r="BS429" i="1"/>
  <c r="BR429" i="1"/>
  <c r="BQ429" i="1"/>
  <c r="BP429" i="1"/>
  <c r="BO429" i="1"/>
  <c r="BN429" i="1"/>
  <c r="BM429" i="1"/>
  <c r="BL429" i="1"/>
  <c r="BK429" i="1"/>
  <c r="BS428" i="1"/>
  <c r="BR428" i="1"/>
  <c r="BQ428" i="1"/>
  <c r="BP428" i="1"/>
  <c r="BO428" i="1"/>
  <c r="BN428" i="1"/>
  <c r="BM428" i="1"/>
  <c r="BL428" i="1"/>
  <c r="BK428" i="1"/>
  <c r="BS427" i="1"/>
  <c r="BR427" i="1"/>
  <c r="BQ427" i="1"/>
  <c r="BP427" i="1"/>
  <c r="BO427" i="1"/>
  <c r="BN427" i="1"/>
  <c r="BM427" i="1"/>
  <c r="BL427" i="1"/>
  <c r="BK427" i="1"/>
  <c r="BS206" i="1"/>
  <c r="BR206" i="1"/>
  <c r="BQ206" i="1"/>
  <c r="BP206" i="1"/>
  <c r="BO206" i="1"/>
  <c r="BN206" i="1"/>
  <c r="BM206" i="1"/>
  <c r="BL206" i="1"/>
  <c r="BK206" i="1"/>
  <c r="BS425" i="1"/>
  <c r="BR425" i="1"/>
  <c r="BQ425" i="1"/>
  <c r="BP425" i="1"/>
  <c r="BO425" i="1"/>
  <c r="BN425" i="1"/>
  <c r="BM425" i="1"/>
  <c r="BL425" i="1"/>
  <c r="BK425" i="1"/>
  <c r="BS259" i="1"/>
  <c r="BR259" i="1"/>
  <c r="BQ259" i="1"/>
  <c r="BP259" i="1"/>
  <c r="BO259" i="1"/>
  <c r="BN259" i="1"/>
  <c r="BM259" i="1"/>
  <c r="BL259" i="1"/>
  <c r="BK259" i="1"/>
  <c r="BS423" i="1"/>
  <c r="BR423" i="1"/>
  <c r="BQ423" i="1"/>
  <c r="BP423" i="1"/>
  <c r="BO423" i="1"/>
  <c r="BN423" i="1"/>
  <c r="BM423" i="1"/>
  <c r="BL423" i="1"/>
  <c r="BK423" i="1"/>
  <c r="BS422" i="1"/>
  <c r="BR422" i="1"/>
  <c r="BQ422" i="1"/>
  <c r="BP422" i="1"/>
  <c r="BO422" i="1"/>
  <c r="BN422" i="1"/>
  <c r="BM422" i="1"/>
  <c r="BL422" i="1"/>
  <c r="BK422" i="1"/>
  <c r="BS522" i="1"/>
  <c r="BR522" i="1"/>
  <c r="BQ522" i="1"/>
  <c r="BP522" i="1"/>
  <c r="BO522" i="1"/>
  <c r="BN522" i="1"/>
  <c r="BM522" i="1"/>
  <c r="BL522" i="1"/>
  <c r="BK522" i="1"/>
  <c r="BS420" i="1"/>
  <c r="BR420" i="1"/>
  <c r="BQ420" i="1"/>
  <c r="BP420" i="1"/>
  <c r="BO420" i="1"/>
  <c r="BN420" i="1"/>
  <c r="BM420" i="1"/>
  <c r="BL420" i="1"/>
  <c r="BK420" i="1"/>
  <c r="BS419" i="1"/>
  <c r="BR419" i="1"/>
  <c r="BQ419" i="1"/>
  <c r="BP419" i="1"/>
  <c r="BO419" i="1"/>
  <c r="BN419" i="1"/>
  <c r="BM419" i="1"/>
  <c r="BL419" i="1"/>
  <c r="BK419" i="1"/>
  <c r="BS418" i="1"/>
  <c r="BR418" i="1"/>
  <c r="BQ418" i="1"/>
  <c r="BP418" i="1"/>
  <c r="BO418" i="1"/>
  <c r="BN418" i="1"/>
  <c r="BM418" i="1"/>
  <c r="BL418" i="1"/>
  <c r="BK418" i="1"/>
  <c r="BS417" i="1"/>
  <c r="BR417" i="1"/>
  <c r="BQ417" i="1"/>
  <c r="BP417" i="1"/>
  <c r="BO417" i="1"/>
  <c r="BN417" i="1"/>
  <c r="BM417" i="1"/>
  <c r="BL417" i="1"/>
  <c r="BK417" i="1"/>
  <c r="BS518" i="1"/>
  <c r="BR518" i="1"/>
  <c r="BQ518" i="1"/>
  <c r="BP518" i="1"/>
  <c r="BO518" i="1"/>
  <c r="BN518" i="1"/>
  <c r="BM518" i="1"/>
  <c r="BL518" i="1"/>
  <c r="BK518" i="1"/>
  <c r="BS656" i="1"/>
  <c r="BR656" i="1"/>
  <c r="BQ656" i="1"/>
  <c r="BP656" i="1"/>
  <c r="BO656" i="1"/>
  <c r="BN656" i="1"/>
  <c r="BM656" i="1"/>
  <c r="BL656" i="1"/>
  <c r="BK656" i="1"/>
  <c r="BS414" i="1"/>
  <c r="BR414" i="1"/>
  <c r="BQ414" i="1"/>
  <c r="BP414" i="1"/>
  <c r="BO414" i="1"/>
  <c r="BN414" i="1"/>
  <c r="BM414" i="1"/>
  <c r="BL414" i="1"/>
  <c r="BK414" i="1"/>
  <c r="BS413" i="1"/>
  <c r="BR413" i="1"/>
  <c r="BQ413" i="1"/>
  <c r="BP413" i="1"/>
  <c r="BO413" i="1"/>
  <c r="BN413" i="1"/>
  <c r="BM413" i="1"/>
  <c r="BL413" i="1"/>
  <c r="BK413" i="1"/>
  <c r="BS412" i="1"/>
  <c r="BR412" i="1"/>
  <c r="BQ412" i="1"/>
  <c r="BP412" i="1"/>
  <c r="BO412" i="1"/>
  <c r="BN412" i="1"/>
  <c r="BM412" i="1"/>
  <c r="BL412" i="1"/>
  <c r="BK412" i="1"/>
  <c r="BS150" i="1"/>
  <c r="BR150" i="1"/>
  <c r="BQ150" i="1"/>
  <c r="BP150" i="1"/>
  <c r="BO150" i="1"/>
  <c r="BN150" i="1"/>
  <c r="BM150" i="1"/>
  <c r="BL150" i="1"/>
  <c r="BK150" i="1"/>
  <c r="BS410" i="1"/>
  <c r="BR410" i="1"/>
  <c r="BQ410" i="1"/>
  <c r="BP410" i="1"/>
  <c r="BO410" i="1"/>
  <c r="BN410" i="1"/>
  <c r="BM410" i="1"/>
  <c r="BL410" i="1"/>
  <c r="BK410" i="1"/>
  <c r="BS181" i="1"/>
  <c r="BR181" i="1"/>
  <c r="BQ181" i="1"/>
  <c r="BP181" i="1"/>
  <c r="BO181" i="1"/>
  <c r="BN181" i="1"/>
  <c r="BM181" i="1"/>
  <c r="BL181" i="1"/>
  <c r="BK181" i="1"/>
  <c r="BS407" i="1"/>
  <c r="BR407" i="1"/>
  <c r="BQ407" i="1"/>
  <c r="BP407" i="1"/>
  <c r="BO407" i="1"/>
  <c r="BN407" i="1"/>
  <c r="BM407" i="1"/>
  <c r="BL407" i="1"/>
  <c r="BK407" i="1"/>
  <c r="BS406" i="1"/>
  <c r="BR406" i="1"/>
  <c r="BQ406" i="1"/>
  <c r="BP406" i="1"/>
  <c r="BO406" i="1"/>
  <c r="BN406" i="1"/>
  <c r="BM406" i="1"/>
  <c r="BL406" i="1"/>
  <c r="BK406" i="1"/>
  <c r="BS405" i="1"/>
  <c r="BR405" i="1"/>
  <c r="BQ405" i="1"/>
  <c r="BP405" i="1"/>
  <c r="BO405" i="1"/>
  <c r="BN405" i="1"/>
  <c r="BM405" i="1"/>
  <c r="BL405" i="1"/>
  <c r="BK405" i="1"/>
  <c r="BS404" i="1"/>
  <c r="BR404" i="1"/>
  <c r="BQ404" i="1"/>
  <c r="BP404" i="1"/>
  <c r="BO404" i="1"/>
  <c r="BN404" i="1"/>
  <c r="BM404" i="1"/>
  <c r="BL404" i="1"/>
  <c r="BK404" i="1"/>
  <c r="BS513" i="1"/>
  <c r="BR513" i="1"/>
  <c r="BQ513" i="1"/>
  <c r="BP513" i="1"/>
  <c r="BO513" i="1"/>
  <c r="BN513" i="1"/>
  <c r="BM513" i="1"/>
  <c r="BL513" i="1"/>
  <c r="BK513" i="1"/>
  <c r="BS402" i="1"/>
  <c r="BR402" i="1"/>
  <c r="BQ402" i="1"/>
  <c r="BP402" i="1"/>
  <c r="BO402" i="1"/>
  <c r="BN402" i="1"/>
  <c r="BM402" i="1"/>
  <c r="BL402" i="1"/>
  <c r="BK402" i="1"/>
  <c r="BS824" i="1"/>
  <c r="BR824" i="1"/>
  <c r="BQ824" i="1"/>
  <c r="BP824" i="1"/>
  <c r="BO824" i="1"/>
  <c r="BN824" i="1"/>
  <c r="BM824" i="1"/>
  <c r="BL824" i="1"/>
  <c r="BK824" i="1"/>
  <c r="BS400" i="1"/>
  <c r="BR400" i="1"/>
  <c r="BQ400" i="1"/>
  <c r="BP400" i="1"/>
  <c r="BO400" i="1"/>
  <c r="BN400" i="1"/>
  <c r="BM400" i="1"/>
  <c r="BL400" i="1"/>
  <c r="BK400" i="1"/>
  <c r="BS1171" i="1"/>
  <c r="BR1171" i="1"/>
  <c r="BQ1171" i="1"/>
  <c r="BP1171" i="1"/>
  <c r="BO1171" i="1"/>
  <c r="BN1171" i="1"/>
  <c r="BM1171" i="1"/>
  <c r="BL1171" i="1"/>
  <c r="BK1171" i="1"/>
  <c r="BS398" i="1"/>
  <c r="BR398" i="1"/>
  <c r="BQ398" i="1"/>
  <c r="BP398" i="1"/>
  <c r="BO398" i="1"/>
  <c r="BN398" i="1"/>
  <c r="BM398" i="1"/>
  <c r="BL398" i="1"/>
  <c r="BK398" i="1"/>
  <c r="BS227" i="1"/>
  <c r="BR227" i="1"/>
  <c r="BQ227" i="1"/>
  <c r="BP227" i="1"/>
  <c r="BO227" i="1"/>
  <c r="BN227" i="1"/>
  <c r="BM227" i="1"/>
  <c r="BL227" i="1"/>
  <c r="BK227" i="1"/>
  <c r="BS396" i="1"/>
  <c r="BR396" i="1"/>
  <c r="BQ396" i="1"/>
  <c r="BP396" i="1"/>
  <c r="BO396" i="1"/>
  <c r="BN396" i="1"/>
  <c r="BM396" i="1"/>
  <c r="BL396" i="1"/>
  <c r="BK396" i="1"/>
  <c r="BS817" i="1"/>
  <c r="BR817" i="1"/>
  <c r="BQ817" i="1"/>
  <c r="BP817" i="1"/>
  <c r="BO817" i="1"/>
  <c r="BN817" i="1"/>
  <c r="BM817" i="1"/>
  <c r="BL817" i="1"/>
  <c r="BK817" i="1"/>
  <c r="BS816" i="1"/>
  <c r="BR816" i="1"/>
  <c r="BQ816" i="1"/>
  <c r="BP816" i="1"/>
  <c r="BO816" i="1"/>
  <c r="BN816" i="1"/>
  <c r="BM816" i="1"/>
  <c r="BL816" i="1"/>
  <c r="BK816" i="1"/>
  <c r="BS242" i="1"/>
  <c r="BR242" i="1"/>
  <c r="BQ242" i="1"/>
  <c r="BP242" i="1"/>
  <c r="BO242" i="1"/>
  <c r="BN242" i="1"/>
  <c r="BM242" i="1"/>
  <c r="BL242" i="1"/>
  <c r="BK242" i="1"/>
  <c r="BS812" i="1"/>
  <c r="BR812" i="1"/>
  <c r="BQ812" i="1"/>
  <c r="BP812" i="1"/>
  <c r="BO812" i="1"/>
  <c r="BN812" i="1"/>
  <c r="BM812" i="1"/>
  <c r="BL812" i="1"/>
  <c r="BK812" i="1"/>
  <c r="BS806" i="1"/>
  <c r="BR806" i="1"/>
  <c r="BQ806" i="1"/>
  <c r="BP806" i="1"/>
  <c r="BO806" i="1"/>
  <c r="BN806" i="1"/>
  <c r="BM806" i="1"/>
  <c r="BL806" i="1"/>
  <c r="BK806" i="1"/>
  <c r="BS390" i="1"/>
  <c r="BR390" i="1"/>
  <c r="BQ390" i="1"/>
  <c r="BP390" i="1"/>
  <c r="BO390" i="1"/>
  <c r="BN390" i="1"/>
  <c r="BM390" i="1"/>
  <c r="BL390" i="1"/>
  <c r="BK390" i="1"/>
  <c r="BS389" i="1"/>
  <c r="BR389" i="1"/>
  <c r="BQ389" i="1"/>
  <c r="BP389" i="1"/>
  <c r="BO389" i="1"/>
  <c r="BN389" i="1"/>
  <c r="BM389" i="1"/>
  <c r="BL389" i="1"/>
  <c r="BK389" i="1"/>
  <c r="BS1085" i="1"/>
  <c r="BR1085" i="1"/>
  <c r="BQ1085" i="1"/>
  <c r="BP1085" i="1"/>
  <c r="BO1085" i="1"/>
  <c r="BN1085" i="1"/>
  <c r="BM1085" i="1"/>
  <c r="BL1085" i="1"/>
  <c r="BK1085" i="1"/>
  <c r="BS387" i="1"/>
  <c r="BR387" i="1"/>
  <c r="BQ387" i="1"/>
  <c r="BP387" i="1"/>
  <c r="BO387" i="1"/>
  <c r="BN387" i="1"/>
  <c r="BM387" i="1"/>
  <c r="BL387" i="1"/>
  <c r="BK387" i="1"/>
  <c r="BS386" i="1"/>
  <c r="BR386" i="1"/>
  <c r="BQ386" i="1"/>
  <c r="BP386" i="1"/>
  <c r="BO386" i="1"/>
  <c r="BN386" i="1"/>
  <c r="BM386" i="1"/>
  <c r="BL386" i="1"/>
  <c r="BK386" i="1"/>
  <c r="BS385" i="1"/>
  <c r="BR385" i="1"/>
  <c r="BQ385" i="1"/>
  <c r="BP385" i="1"/>
  <c r="BO385" i="1"/>
  <c r="BN385" i="1"/>
  <c r="BM385" i="1"/>
  <c r="BL385" i="1"/>
  <c r="BK385" i="1"/>
  <c r="BS784" i="1"/>
  <c r="BR784" i="1"/>
  <c r="BQ784" i="1"/>
  <c r="BP784" i="1"/>
  <c r="BO784" i="1"/>
  <c r="BN784" i="1"/>
  <c r="BM784" i="1"/>
  <c r="BL784" i="1"/>
  <c r="BK784" i="1"/>
  <c r="BS762" i="1"/>
  <c r="BR762" i="1"/>
  <c r="BQ762" i="1"/>
  <c r="BP762" i="1"/>
  <c r="BO762" i="1"/>
  <c r="BN762" i="1"/>
  <c r="BM762" i="1"/>
  <c r="BL762" i="1"/>
  <c r="BK762" i="1"/>
  <c r="BS382" i="1"/>
  <c r="BR382" i="1"/>
  <c r="BQ382" i="1"/>
  <c r="BP382" i="1"/>
  <c r="BO382" i="1"/>
  <c r="BN382" i="1"/>
  <c r="BM382" i="1"/>
  <c r="BL382" i="1"/>
  <c r="BK382" i="1"/>
  <c r="BS381" i="1"/>
  <c r="BR381" i="1"/>
  <c r="BQ381" i="1"/>
  <c r="BP381" i="1"/>
  <c r="BO381" i="1"/>
  <c r="BN381" i="1"/>
  <c r="BM381" i="1"/>
  <c r="BL381" i="1"/>
  <c r="BK381" i="1"/>
  <c r="BS761" i="1"/>
  <c r="BR761" i="1"/>
  <c r="BQ761" i="1"/>
  <c r="BP761" i="1"/>
  <c r="BO761" i="1"/>
  <c r="BN761" i="1"/>
  <c r="BM761" i="1"/>
  <c r="BL761" i="1"/>
  <c r="BK761" i="1"/>
  <c r="BS379" i="1"/>
  <c r="BR379" i="1"/>
  <c r="BQ379" i="1"/>
  <c r="BP379" i="1"/>
  <c r="BO379" i="1"/>
  <c r="BN379" i="1"/>
  <c r="BM379" i="1"/>
  <c r="BL379" i="1"/>
  <c r="BK379" i="1"/>
  <c r="BS749" i="1"/>
  <c r="BR749" i="1"/>
  <c r="BQ749" i="1"/>
  <c r="BP749" i="1"/>
  <c r="BO749" i="1"/>
  <c r="BN749" i="1"/>
  <c r="BM749" i="1"/>
  <c r="BL749" i="1"/>
  <c r="BK749" i="1"/>
  <c r="BS748" i="1"/>
  <c r="BR748" i="1"/>
  <c r="BQ748" i="1"/>
  <c r="BP748" i="1"/>
  <c r="BO748" i="1"/>
  <c r="BN748" i="1"/>
  <c r="BM748" i="1"/>
  <c r="BL748" i="1"/>
  <c r="BK748" i="1"/>
  <c r="BS376" i="1"/>
  <c r="BR376" i="1"/>
  <c r="BQ376" i="1"/>
  <c r="BP376" i="1"/>
  <c r="BO376" i="1"/>
  <c r="BN376" i="1"/>
  <c r="BM376" i="1"/>
  <c r="BL376" i="1"/>
  <c r="BK376" i="1"/>
  <c r="BS375" i="1"/>
  <c r="BR375" i="1"/>
  <c r="BQ375" i="1"/>
  <c r="BP375" i="1"/>
  <c r="BO375" i="1"/>
  <c r="BN375" i="1"/>
  <c r="BM375" i="1"/>
  <c r="BL375" i="1"/>
  <c r="BK375" i="1"/>
  <c r="BS374" i="1"/>
  <c r="BR374" i="1"/>
  <c r="BQ374" i="1"/>
  <c r="BP374" i="1"/>
  <c r="BO374" i="1"/>
  <c r="BN374" i="1"/>
  <c r="BM374" i="1"/>
  <c r="BL374" i="1"/>
  <c r="BK374" i="1"/>
  <c r="BS747" i="1"/>
  <c r="BR747" i="1"/>
  <c r="BQ747" i="1"/>
  <c r="BP747" i="1"/>
  <c r="BO747" i="1"/>
  <c r="BN747" i="1"/>
  <c r="BM747" i="1"/>
  <c r="BL747" i="1"/>
  <c r="BK747" i="1"/>
  <c r="BS372" i="1"/>
  <c r="BR372" i="1"/>
  <c r="BQ372" i="1"/>
  <c r="BP372" i="1"/>
  <c r="BO372" i="1"/>
  <c r="BN372" i="1"/>
  <c r="BM372" i="1"/>
  <c r="BL372" i="1"/>
  <c r="BK372" i="1"/>
  <c r="BS371" i="1"/>
  <c r="BR371" i="1"/>
  <c r="BQ371" i="1"/>
  <c r="BP371" i="1"/>
  <c r="BO371" i="1"/>
  <c r="BN371" i="1"/>
  <c r="BM371" i="1"/>
  <c r="BL371" i="1"/>
  <c r="BK371" i="1"/>
  <c r="BS370" i="1"/>
  <c r="BR370" i="1"/>
  <c r="BQ370" i="1"/>
  <c r="BP370" i="1"/>
  <c r="BO370" i="1"/>
  <c r="BN370" i="1"/>
  <c r="BM370" i="1"/>
  <c r="BL370" i="1"/>
  <c r="BK370" i="1"/>
  <c r="BS369" i="1"/>
  <c r="BR369" i="1"/>
  <c r="BQ369" i="1"/>
  <c r="BP369" i="1"/>
  <c r="BO369" i="1"/>
  <c r="BN369" i="1"/>
  <c r="BM369" i="1"/>
  <c r="BL369" i="1"/>
  <c r="BK369" i="1"/>
  <c r="BS746" i="1"/>
  <c r="BR746" i="1"/>
  <c r="BQ746" i="1"/>
  <c r="BP746" i="1"/>
  <c r="BO746" i="1"/>
  <c r="BN746" i="1"/>
  <c r="BM746" i="1"/>
  <c r="BL746" i="1"/>
  <c r="BK746" i="1"/>
  <c r="BS745" i="1"/>
  <c r="BR745" i="1"/>
  <c r="BQ745" i="1"/>
  <c r="BP745" i="1"/>
  <c r="BO745" i="1"/>
  <c r="BN745" i="1"/>
  <c r="BM745" i="1"/>
  <c r="BL745" i="1"/>
  <c r="BK745" i="1"/>
  <c r="BS366" i="1"/>
  <c r="BR366" i="1"/>
  <c r="BQ366" i="1"/>
  <c r="BP366" i="1"/>
  <c r="BO366" i="1"/>
  <c r="BN366" i="1"/>
  <c r="BM366" i="1"/>
  <c r="BL366" i="1"/>
  <c r="BK366" i="1"/>
  <c r="BS365" i="1"/>
  <c r="BR365" i="1"/>
  <c r="BQ365" i="1"/>
  <c r="BP365" i="1"/>
  <c r="BO365" i="1"/>
  <c r="BN365" i="1"/>
  <c r="BM365" i="1"/>
  <c r="BL365" i="1"/>
  <c r="BK365" i="1"/>
  <c r="BS740" i="1"/>
  <c r="BR740" i="1"/>
  <c r="BQ740" i="1"/>
  <c r="BP740" i="1"/>
  <c r="BO740" i="1"/>
  <c r="BN740" i="1"/>
  <c r="BM740" i="1"/>
  <c r="BL740" i="1"/>
  <c r="BK740" i="1"/>
  <c r="BS363" i="1"/>
  <c r="BR363" i="1"/>
  <c r="BQ363" i="1"/>
  <c r="BP363" i="1"/>
  <c r="BO363" i="1"/>
  <c r="BN363" i="1"/>
  <c r="BM363" i="1"/>
  <c r="BL363" i="1"/>
  <c r="BK363" i="1"/>
  <c r="BS362" i="1"/>
  <c r="BR362" i="1"/>
  <c r="BQ362" i="1"/>
  <c r="BP362" i="1"/>
  <c r="BO362" i="1"/>
  <c r="BN362" i="1"/>
  <c r="BM362" i="1"/>
  <c r="BL362" i="1"/>
  <c r="BK362" i="1"/>
  <c r="BS361" i="1"/>
  <c r="BR361" i="1"/>
  <c r="BQ361" i="1"/>
  <c r="BP361" i="1"/>
  <c r="BO361" i="1"/>
  <c r="BN361" i="1"/>
  <c r="BM361" i="1"/>
  <c r="BL361" i="1"/>
  <c r="BK361" i="1"/>
  <c r="BS360" i="1"/>
  <c r="BR360" i="1"/>
  <c r="BQ360" i="1"/>
  <c r="BP360" i="1"/>
  <c r="BO360" i="1"/>
  <c r="BN360" i="1"/>
  <c r="BM360" i="1"/>
  <c r="BL360" i="1"/>
  <c r="BK360" i="1"/>
  <c r="BS359" i="1"/>
  <c r="BR359" i="1"/>
  <c r="BQ359" i="1"/>
  <c r="BP359" i="1"/>
  <c r="BO359" i="1"/>
  <c r="BN359" i="1"/>
  <c r="BM359" i="1"/>
  <c r="BL359" i="1"/>
  <c r="BK359" i="1"/>
  <c r="BS358" i="1"/>
  <c r="BR358" i="1"/>
  <c r="BQ358" i="1"/>
  <c r="BP358" i="1"/>
  <c r="BO358" i="1"/>
  <c r="BN358" i="1"/>
  <c r="BM358" i="1"/>
  <c r="BL358" i="1"/>
  <c r="BK358" i="1"/>
  <c r="BS357" i="1"/>
  <c r="BR357" i="1"/>
  <c r="BQ357" i="1"/>
  <c r="BP357" i="1"/>
  <c r="BO357" i="1"/>
  <c r="BN357" i="1"/>
  <c r="BM357" i="1"/>
  <c r="BL357" i="1"/>
  <c r="BK357" i="1"/>
  <c r="BS739" i="1"/>
  <c r="BR739" i="1"/>
  <c r="BQ739" i="1"/>
  <c r="BP739" i="1"/>
  <c r="BO739" i="1"/>
  <c r="BN739" i="1"/>
  <c r="BM739" i="1"/>
  <c r="BL739" i="1"/>
  <c r="BK739" i="1"/>
  <c r="BS489" i="1"/>
  <c r="BR489" i="1"/>
  <c r="BQ489" i="1"/>
  <c r="BP489" i="1"/>
  <c r="BO489" i="1"/>
  <c r="BN489" i="1"/>
  <c r="BM489" i="1"/>
  <c r="BL489" i="1"/>
  <c r="BK489" i="1"/>
  <c r="BS354" i="1"/>
  <c r="BR354" i="1"/>
  <c r="BQ354" i="1"/>
  <c r="BP354" i="1"/>
  <c r="BO354" i="1"/>
  <c r="BN354" i="1"/>
  <c r="BM354" i="1"/>
  <c r="BL354" i="1"/>
  <c r="BK354" i="1"/>
  <c r="BS277" i="1"/>
  <c r="BR277" i="1"/>
  <c r="BQ277" i="1"/>
  <c r="BP277" i="1"/>
  <c r="BO277" i="1"/>
  <c r="BN277" i="1"/>
  <c r="BM277" i="1"/>
  <c r="BL277" i="1"/>
  <c r="BK277" i="1"/>
  <c r="BS352" i="1"/>
  <c r="BR352" i="1"/>
  <c r="BQ352" i="1"/>
  <c r="BP352" i="1"/>
  <c r="BO352" i="1"/>
  <c r="BN352" i="1"/>
  <c r="BM352" i="1"/>
  <c r="BL352" i="1"/>
  <c r="BK352" i="1"/>
  <c r="BS351" i="1"/>
  <c r="BR351" i="1"/>
  <c r="BQ351" i="1"/>
  <c r="BP351" i="1"/>
  <c r="BO351" i="1"/>
  <c r="BN351" i="1"/>
  <c r="BM351" i="1"/>
  <c r="BL351" i="1"/>
  <c r="BK351" i="1"/>
  <c r="BS271" i="1"/>
  <c r="BR271" i="1"/>
  <c r="BQ271" i="1"/>
  <c r="BP271" i="1"/>
  <c r="BO271" i="1"/>
  <c r="BN271" i="1"/>
  <c r="BM271" i="1"/>
  <c r="BL271" i="1"/>
  <c r="BK271" i="1"/>
  <c r="BS349" i="1"/>
  <c r="BR349" i="1"/>
  <c r="BQ349" i="1"/>
  <c r="BP349" i="1"/>
  <c r="BO349" i="1"/>
  <c r="BN349" i="1"/>
  <c r="BM349" i="1"/>
  <c r="BL349" i="1"/>
  <c r="BK349" i="1"/>
  <c r="BS738" i="1"/>
  <c r="BR738" i="1"/>
  <c r="BQ738" i="1"/>
  <c r="BP738" i="1"/>
  <c r="BO738" i="1"/>
  <c r="BN738" i="1"/>
  <c r="BM738" i="1"/>
  <c r="BL738" i="1"/>
  <c r="BK738" i="1"/>
  <c r="BS347" i="1"/>
  <c r="BR347" i="1"/>
  <c r="BQ347" i="1"/>
  <c r="BP347" i="1"/>
  <c r="BO347" i="1"/>
  <c r="BN347" i="1"/>
  <c r="BM347" i="1"/>
  <c r="BL347" i="1"/>
  <c r="BK347" i="1"/>
  <c r="BS15" i="1"/>
  <c r="BR15" i="1"/>
  <c r="BQ15" i="1"/>
  <c r="BP15" i="1"/>
  <c r="BO15" i="1"/>
  <c r="BN15" i="1"/>
  <c r="BM15" i="1"/>
  <c r="BL15" i="1"/>
  <c r="BK15" i="1"/>
  <c r="BS1036" i="1"/>
  <c r="BR1036" i="1"/>
  <c r="BQ1036" i="1"/>
  <c r="BP1036" i="1"/>
  <c r="BO1036" i="1"/>
  <c r="BN1036" i="1"/>
  <c r="BM1036" i="1"/>
  <c r="BL1036" i="1"/>
  <c r="BK1036" i="1"/>
  <c r="BS733" i="1"/>
  <c r="BR733" i="1"/>
  <c r="BQ733" i="1"/>
  <c r="BP733" i="1"/>
  <c r="BO733" i="1"/>
  <c r="BN733" i="1"/>
  <c r="BM733" i="1"/>
  <c r="BL733" i="1"/>
  <c r="BK733" i="1"/>
  <c r="BS343" i="1"/>
  <c r="BR343" i="1"/>
  <c r="BQ343" i="1"/>
  <c r="BP343" i="1"/>
  <c r="BO343" i="1"/>
  <c r="BN343" i="1"/>
  <c r="BM343" i="1"/>
  <c r="BL343" i="1"/>
  <c r="BK343" i="1"/>
  <c r="BS342" i="1"/>
  <c r="BR342" i="1"/>
  <c r="BQ342" i="1"/>
  <c r="BP342" i="1"/>
  <c r="BO342" i="1"/>
  <c r="BN342" i="1"/>
  <c r="BM342" i="1"/>
  <c r="BL342" i="1"/>
  <c r="BK342" i="1"/>
  <c r="BS341" i="1"/>
  <c r="BR341" i="1"/>
  <c r="BQ341" i="1"/>
  <c r="BP341" i="1"/>
  <c r="BO341" i="1"/>
  <c r="BN341" i="1"/>
  <c r="BM341" i="1"/>
  <c r="BL341" i="1"/>
  <c r="BK341" i="1"/>
  <c r="BS340" i="1"/>
  <c r="BR340" i="1"/>
  <c r="BQ340" i="1"/>
  <c r="BP340" i="1"/>
  <c r="BO340" i="1"/>
  <c r="BN340" i="1"/>
  <c r="BM340" i="1"/>
  <c r="BL340" i="1"/>
  <c r="BK340" i="1"/>
  <c r="BS730" i="1"/>
  <c r="BR730" i="1"/>
  <c r="BQ730" i="1"/>
  <c r="BP730" i="1"/>
  <c r="BO730" i="1"/>
  <c r="BN730" i="1"/>
  <c r="BM730" i="1"/>
  <c r="BL730" i="1"/>
  <c r="BK730" i="1"/>
  <c r="BS338" i="1"/>
  <c r="BR338" i="1"/>
  <c r="BQ338" i="1"/>
  <c r="BP338" i="1"/>
  <c r="BO338" i="1"/>
  <c r="BN338" i="1"/>
  <c r="BM338" i="1"/>
  <c r="BL338" i="1"/>
  <c r="BK338" i="1"/>
  <c r="BS337" i="1"/>
  <c r="BR337" i="1"/>
  <c r="BQ337" i="1"/>
  <c r="BP337" i="1"/>
  <c r="BO337" i="1"/>
  <c r="BN337" i="1"/>
  <c r="BM337" i="1"/>
  <c r="BL337" i="1"/>
  <c r="BK337" i="1"/>
  <c r="BS336" i="1"/>
  <c r="BR336" i="1"/>
  <c r="BQ336" i="1"/>
  <c r="BP336" i="1"/>
  <c r="BO336" i="1"/>
  <c r="BN336" i="1"/>
  <c r="BM336" i="1"/>
  <c r="BL336" i="1"/>
  <c r="BK336" i="1"/>
  <c r="BS335" i="1"/>
  <c r="BR335" i="1"/>
  <c r="BQ335" i="1"/>
  <c r="BP335" i="1"/>
  <c r="BO335" i="1"/>
  <c r="BN335" i="1"/>
  <c r="BM335" i="1"/>
  <c r="BL335" i="1"/>
  <c r="BK335" i="1"/>
  <c r="BS334" i="1"/>
  <c r="BR334" i="1"/>
  <c r="BQ334" i="1"/>
  <c r="BP334" i="1"/>
  <c r="BO334" i="1"/>
  <c r="BN334" i="1"/>
  <c r="BM334" i="1"/>
  <c r="BL334" i="1"/>
  <c r="BK334" i="1"/>
  <c r="BS333" i="1"/>
  <c r="BR333" i="1"/>
  <c r="BQ333" i="1"/>
  <c r="BP333" i="1"/>
  <c r="BO333" i="1"/>
  <c r="BN333" i="1"/>
  <c r="BM333" i="1"/>
  <c r="BL333" i="1"/>
  <c r="BK333" i="1"/>
  <c r="BS13" i="1"/>
  <c r="BR13" i="1"/>
  <c r="BQ13" i="1"/>
  <c r="BP13" i="1"/>
  <c r="BO13" i="1"/>
  <c r="BN13" i="1"/>
  <c r="BM13" i="1"/>
  <c r="BL13" i="1"/>
  <c r="BK13" i="1"/>
  <c r="BS331" i="1"/>
  <c r="BR331" i="1"/>
  <c r="BQ331" i="1"/>
  <c r="BP331" i="1"/>
  <c r="BO331" i="1"/>
  <c r="BN331" i="1"/>
  <c r="BM331" i="1"/>
  <c r="BL331" i="1"/>
  <c r="BK331" i="1"/>
  <c r="BS226" i="1"/>
  <c r="BR226" i="1"/>
  <c r="BQ226" i="1"/>
  <c r="BP226" i="1"/>
  <c r="BO226" i="1"/>
  <c r="BN226" i="1"/>
  <c r="BM226" i="1"/>
  <c r="BL226" i="1"/>
  <c r="BK226" i="1"/>
  <c r="BS329" i="1"/>
  <c r="BR329" i="1"/>
  <c r="BQ329" i="1"/>
  <c r="BP329" i="1"/>
  <c r="BO329" i="1"/>
  <c r="BN329" i="1"/>
  <c r="BM329" i="1"/>
  <c r="BL329" i="1"/>
  <c r="BK329" i="1"/>
  <c r="BS1034" i="1"/>
  <c r="BR1034" i="1"/>
  <c r="BQ1034" i="1"/>
  <c r="BP1034" i="1"/>
  <c r="BO1034" i="1"/>
  <c r="BN1034" i="1"/>
  <c r="BM1034" i="1"/>
  <c r="BL1034" i="1"/>
  <c r="BK1034" i="1"/>
  <c r="BS327" i="1"/>
  <c r="BR327" i="1"/>
  <c r="BQ327" i="1"/>
  <c r="BP327" i="1"/>
  <c r="BO327" i="1"/>
  <c r="BN327" i="1"/>
  <c r="BM327" i="1"/>
  <c r="BL327" i="1"/>
  <c r="BK327" i="1"/>
  <c r="BS326" i="1"/>
  <c r="BR326" i="1"/>
  <c r="BQ326" i="1"/>
  <c r="BP326" i="1"/>
  <c r="BO326" i="1"/>
  <c r="BN326" i="1"/>
  <c r="BM326" i="1"/>
  <c r="BL326" i="1"/>
  <c r="BK326" i="1"/>
  <c r="BS1098" i="1"/>
  <c r="BR1098" i="1"/>
  <c r="BQ1098" i="1"/>
  <c r="BP1098" i="1"/>
  <c r="BO1098" i="1"/>
  <c r="BN1098" i="1"/>
  <c r="BM1098" i="1"/>
  <c r="BL1098" i="1"/>
  <c r="BK1098" i="1"/>
  <c r="BS1019" i="1"/>
  <c r="BR1019" i="1"/>
  <c r="BQ1019" i="1"/>
  <c r="BP1019" i="1"/>
  <c r="BO1019" i="1"/>
  <c r="BN1019" i="1"/>
  <c r="BM1019" i="1"/>
  <c r="BL1019" i="1"/>
  <c r="BK1019" i="1"/>
  <c r="BS245" i="1"/>
  <c r="BR245" i="1"/>
  <c r="BQ245" i="1"/>
  <c r="BP245" i="1"/>
  <c r="BO245" i="1"/>
  <c r="BN245" i="1"/>
  <c r="BM245" i="1"/>
  <c r="BL245" i="1"/>
  <c r="BK245" i="1"/>
  <c r="BS701" i="1"/>
  <c r="BR701" i="1"/>
  <c r="BQ701" i="1"/>
  <c r="BP701" i="1"/>
  <c r="BO701" i="1"/>
  <c r="BN701" i="1"/>
  <c r="BM701" i="1"/>
  <c r="BL701" i="1"/>
  <c r="BK701" i="1"/>
  <c r="BS321" i="1"/>
  <c r="BR321" i="1"/>
  <c r="BQ321" i="1"/>
  <c r="BP321" i="1"/>
  <c r="BO321" i="1"/>
  <c r="BN321" i="1"/>
  <c r="BM321" i="1"/>
  <c r="BL321" i="1"/>
  <c r="BK321" i="1"/>
  <c r="BS184" i="1"/>
  <c r="BR184" i="1"/>
  <c r="BQ184" i="1"/>
  <c r="BP184" i="1"/>
  <c r="BO184" i="1"/>
  <c r="BN184" i="1"/>
  <c r="BM184" i="1"/>
  <c r="BL184" i="1"/>
  <c r="BK184" i="1"/>
  <c r="BS319" i="1"/>
  <c r="BR319" i="1"/>
  <c r="BQ319" i="1"/>
  <c r="BP319" i="1"/>
  <c r="BO319" i="1"/>
  <c r="BN319" i="1"/>
  <c r="BM319" i="1"/>
  <c r="BL319" i="1"/>
  <c r="BK319" i="1"/>
  <c r="BS318" i="1"/>
  <c r="BR318" i="1"/>
  <c r="BQ318" i="1"/>
  <c r="BP318" i="1"/>
  <c r="BO318" i="1"/>
  <c r="BN318" i="1"/>
  <c r="BM318" i="1"/>
  <c r="BL318" i="1"/>
  <c r="BK318" i="1"/>
  <c r="BS317" i="1"/>
  <c r="BR317" i="1"/>
  <c r="BQ317" i="1"/>
  <c r="BP317" i="1"/>
  <c r="BO317" i="1"/>
  <c r="BN317" i="1"/>
  <c r="BM317" i="1"/>
  <c r="BL317" i="1"/>
  <c r="BK317" i="1"/>
  <c r="BS316" i="1"/>
  <c r="BR316" i="1"/>
  <c r="BQ316" i="1"/>
  <c r="BP316" i="1"/>
  <c r="BO316" i="1"/>
  <c r="BN316" i="1"/>
  <c r="BM316" i="1"/>
  <c r="BL316" i="1"/>
  <c r="BK316" i="1"/>
  <c r="BS315" i="1"/>
  <c r="BR315" i="1"/>
  <c r="BQ315" i="1"/>
  <c r="BP315" i="1"/>
  <c r="BO315" i="1"/>
  <c r="BN315" i="1"/>
  <c r="BM315" i="1"/>
  <c r="BL315" i="1"/>
  <c r="BK315" i="1"/>
  <c r="BS641" i="1"/>
  <c r="BR641" i="1"/>
  <c r="BQ641" i="1"/>
  <c r="BP641" i="1"/>
  <c r="BO641" i="1"/>
  <c r="BN641" i="1"/>
  <c r="BM641" i="1"/>
  <c r="BL641" i="1"/>
  <c r="BK641" i="1"/>
  <c r="BS313" i="1"/>
  <c r="BR313" i="1"/>
  <c r="BQ313" i="1"/>
  <c r="BP313" i="1"/>
  <c r="BO313" i="1"/>
  <c r="BN313" i="1"/>
  <c r="BM313" i="1"/>
  <c r="BL313" i="1"/>
  <c r="BK313" i="1"/>
  <c r="BS16" i="1"/>
  <c r="BR16" i="1"/>
  <c r="BQ16" i="1"/>
  <c r="BP16" i="1"/>
  <c r="BO16" i="1"/>
  <c r="BN16" i="1"/>
  <c r="BM16" i="1"/>
  <c r="BL16" i="1"/>
  <c r="BK16" i="1"/>
  <c r="BS311" i="1"/>
  <c r="BR311" i="1"/>
  <c r="BQ311" i="1"/>
  <c r="BP311" i="1"/>
  <c r="BO311" i="1"/>
  <c r="BN311" i="1"/>
  <c r="BM311" i="1"/>
  <c r="BL311" i="1"/>
  <c r="BK311" i="1"/>
  <c r="BS310" i="1"/>
  <c r="BR310" i="1"/>
  <c r="BQ310" i="1"/>
  <c r="BP310" i="1"/>
  <c r="BO310" i="1"/>
  <c r="BN310" i="1"/>
  <c r="BM310" i="1"/>
  <c r="BL310" i="1"/>
  <c r="BK310" i="1"/>
  <c r="BS309" i="1"/>
  <c r="BR309" i="1"/>
  <c r="BQ309" i="1"/>
  <c r="BP309" i="1"/>
  <c r="BO309" i="1"/>
  <c r="BN309" i="1"/>
  <c r="BM309" i="1"/>
  <c r="BL309" i="1"/>
  <c r="BK309" i="1"/>
  <c r="BS637" i="1"/>
  <c r="BR637" i="1"/>
  <c r="BQ637" i="1"/>
  <c r="BP637" i="1"/>
  <c r="BO637" i="1"/>
  <c r="BN637" i="1"/>
  <c r="BM637" i="1"/>
  <c r="BL637" i="1"/>
  <c r="BK637" i="1"/>
  <c r="BS1020" i="1"/>
  <c r="BR1020" i="1"/>
  <c r="BQ1020" i="1"/>
  <c r="BP1020" i="1"/>
  <c r="BO1020" i="1"/>
  <c r="BN1020" i="1"/>
  <c r="BM1020" i="1"/>
  <c r="BL1020" i="1"/>
  <c r="BK1020" i="1"/>
  <c r="BS1090" i="1"/>
  <c r="BR1090" i="1"/>
  <c r="BQ1090" i="1"/>
  <c r="BP1090" i="1"/>
  <c r="BO1090" i="1"/>
  <c r="BN1090" i="1"/>
  <c r="BM1090" i="1"/>
  <c r="BL1090" i="1"/>
  <c r="BK1090" i="1"/>
  <c r="BS305" i="1"/>
  <c r="BR305" i="1"/>
  <c r="BQ305" i="1"/>
  <c r="BP305" i="1"/>
  <c r="BO305" i="1"/>
  <c r="BN305" i="1"/>
  <c r="BM305" i="1"/>
  <c r="BL305" i="1"/>
  <c r="BK305" i="1"/>
  <c r="BS304" i="1"/>
  <c r="BR304" i="1"/>
  <c r="BQ304" i="1"/>
  <c r="BP304" i="1"/>
  <c r="BO304" i="1"/>
  <c r="BN304" i="1"/>
  <c r="BM304" i="1"/>
  <c r="BL304" i="1"/>
  <c r="BK304" i="1"/>
  <c r="BS303" i="1"/>
  <c r="BR303" i="1"/>
  <c r="BQ303" i="1"/>
  <c r="BP303" i="1"/>
  <c r="BO303" i="1"/>
  <c r="BN303" i="1"/>
  <c r="BM303" i="1"/>
  <c r="BL303" i="1"/>
  <c r="BK303" i="1"/>
  <c r="BS651" i="1"/>
  <c r="BR651" i="1"/>
  <c r="BQ651" i="1"/>
  <c r="BP651" i="1"/>
  <c r="BO651" i="1"/>
  <c r="BN651" i="1"/>
  <c r="BM651" i="1"/>
  <c r="BL651" i="1"/>
  <c r="BK651" i="1"/>
  <c r="BS1089" i="1"/>
  <c r="BR1089" i="1"/>
  <c r="BQ1089" i="1"/>
  <c r="BP1089" i="1"/>
  <c r="BO1089" i="1"/>
  <c r="BN1089" i="1"/>
  <c r="BM1089" i="1"/>
  <c r="BL1089" i="1"/>
  <c r="BK1089" i="1"/>
  <c r="BS300" i="1"/>
  <c r="BR300" i="1"/>
  <c r="BQ300" i="1"/>
  <c r="BP300" i="1"/>
  <c r="BO300" i="1"/>
  <c r="BN300" i="1"/>
  <c r="BM300" i="1"/>
  <c r="BL300" i="1"/>
  <c r="BK300" i="1"/>
  <c r="BS299" i="1"/>
  <c r="BR299" i="1"/>
  <c r="BQ299" i="1"/>
  <c r="BP299" i="1"/>
  <c r="BO299" i="1"/>
  <c r="BN299" i="1"/>
  <c r="BM299" i="1"/>
  <c r="BL299" i="1"/>
  <c r="BK299" i="1"/>
  <c r="BS589" i="1"/>
  <c r="BR589" i="1"/>
  <c r="BQ589" i="1"/>
  <c r="BP589" i="1"/>
  <c r="BO589" i="1"/>
  <c r="BN589" i="1"/>
  <c r="BM589" i="1"/>
  <c r="BL589" i="1"/>
  <c r="BK589" i="1"/>
  <c r="BS297" i="1"/>
  <c r="BR297" i="1"/>
  <c r="BQ297" i="1"/>
  <c r="BP297" i="1"/>
  <c r="BO297" i="1"/>
  <c r="BN297" i="1"/>
  <c r="BM297" i="1"/>
  <c r="BL297" i="1"/>
  <c r="BK297" i="1"/>
  <c r="BS296" i="1"/>
  <c r="BR296" i="1"/>
  <c r="BQ296" i="1"/>
  <c r="BP296" i="1"/>
  <c r="BO296" i="1"/>
  <c r="BN296" i="1"/>
  <c r="BM296" i="1"/>
  <c r="BL296" i="1"/>
  <c r="BK296" i="1"/>
  <c r="BS295" i="1"/>
  <c r="BR295" i="1"/>
  <c r="BQ295" i="1"/>
  <c r="BP295" i="1"/>
  <c r="BO295" i="1"/>
  <c r="BN295" i="1"/>
  <c r="BM295" i="1"/>
  <c r="BL295" i="1"/>
  <c r="BK295" i="1"/>
  <c r="BS294" i="1"/>
  <c r="BR294" i="1"/>
  <c r="BQ294" i="1"/>
  <c r="BP294" i="1"/>
  <c r="BO294" i="1"/>
  <c r="BN294" i="1"/>
  <c r="BM294" i="1"/>
  <c r="BL294" i="1"/>
  <c r="BK294" i="1"/>
  <c r="BS293" i="1"/>
  <c r="BR293" i="1"/>
  <c r="BQ293" i="1"/>
  <c r="BP293" i="1"/>
  <c r="BO293" i="1"/>
  <c r="BN293" i="1"/>
  <c r="BM293" i="1"/>
  <c r="BL293" i="1"/>
  <c r="BK293" i="1"/>
  <c r="BS292" i="1"/>
  <c r="BR292" i="1"/>
  <c r="BQ292" i="1"/>
  <c r="BP292" i="1"/>
  <c r="BO292" i="1"/>
  <c r="BN292" i="1"/>
  <c r="BM292" i="1"/>
  <c r="BL292" i="1"/>
  <c r="BK292" i="1"/>
  <c r="BS291" i="1"/>
  <c r="BR291" i="1"/>
  <c r="BQ291" i="1"/>
  <c r="BP291" i="1"/>
  <c r="BO291" i="1"/>
  <c r="BN291" i="1"/>
  <c r="BM291" i="1"/>
  <c r="BL291" i="1"/>
  <c r="BK291" i="1"/>
  <c r="BS290" i="1"/>
  <c r="BR290" i="1"/>
  <c r="BQ290" i="1"/>
  <c r="BP290" i="1"/>
  <c r="BO290" i="1"/>
  <c r="BN290" i="1"/>
  <c r="BM290" i="1"/>
  <c r="BL290" i="1"/>
  <c r="BK290" i="1"/>
  <c r="BS289" i="1"/>
  <c r="BR289" i="1"/>
  <c r="BQ289" i="1"/>
  <c r="BP289" i="1"/>
  <c r="BO289" i="1"/>
  <c r="BN289" i="1"/>
  <c r="BM289" i="1"/>
  <c r="BL289" i="1"/>
  <c r="BK289" i="1"/>
  <c r="BS411" i="1"/>
  <c r="BR411" i="1"/>
  <c r="BQ411" i="1"/>
  <c r="BP411" i="1"/>
  <c r="BO411" i="1"/>
  <c r="BN411" i="1"/>
  <c r="BM411" i="1"/>
  <c r="BL411" i="1"/>
  <c r="BK411" i="1"/>
  <c r="BS312" i="1"/>
  <c r="BR312" i="1"/>
  <c r="BQ312" i="1"/>
  <c r="BP312" i="1"/>
  <c r="BO312" i="1"/>
  <c r="BN312" i="1"/>
  <c r="BM312" i="1"/>
  <c r="BL312" i="1"/>
  <c r="BK312" i="1"/>
  <c r="BS286" i="1"/>
  <c r="BR286" i="1"/>
  <c r="BQ286" i="1"/>
  <c r="BP286" i="1"/>
  <c r="BO286" i="1"/>
  <c r="BN286" i="1"/>
  <c r="BM286" i="1"/>
  <c r="BL286" i="1"/>
  <c r="BK286" i="1"/>
  <c r="BS288" i="1"/>
  <c r="BR288" i="1"/>
  <c r="BQ288" i="1"/>
  <c r="BP288" i="1"/>
  <c r="BO288" i="1"/>
  <c r="BN288" i="1"/>
  <c r="BM288" i="1"/>
  <c r="BL288" i="1"/>
  <c r="BK288" i="1"/>
  <c r="BS284" i="1"/>
  <c r="BR284" i="1"/>
  <c r="BQ284" i="1"/>
  <c r="BP284" i="1"/>
  <c r="BO284" i="1"/>
  <c r="BN284" i="1"/>
  <c r="BM284" i="1"/>
  <c r="BL284" i="1"/>
  <c r="BK284" i="1"/>
  <c r="BS283" i="1"/>
  <c r="BR283" i="1"/>
  <c r="BQ283" i="1"/>
  <c r="BP283" i="1"/>
  <c r="BO283" i="1"/>
  <c r="BN283" i="1"/>
  <c r="BM283" i="1"/>
  <c r="BL283" i="1"/>
  <c r="BK283" i="1"/>
  <c r="BS282" i="1"/>
  <c r="BR282" i="1"/>
  <c r="BQ282" i="1"/>
  <c r="BP282" i="1"/>
  <c r="BO282" i="1"/>
  <c r="BN282" i="1"/>
  <c r="BM282" i="1"/>
  <c r="BL282" i="1"/>
  <c r="BK282" i="1"/>
  <c r="BS281" i="1"/>
  <c r="BR281" i="1"/>
  <c r="BQ281" i="1"/>
  <c r="BP281" i="1"/>
  <c r="BO281" i="1"/>
  <c r="BN281" i="1"/>
  <c r="BM281" i="1"/>
  <c r="BL281" i="1"/>
  <c r="BK281" i="1"/>
  <c r="BS578" i="1"/>
  <c r="BR578" i="1"/>
  <c r="BQ578" i="1"/>
  <c r="BP578" i="1"/>
  <c r="BO578" i="1"/>
  <c r="BN578" i="1"/>
  <c r="BM578" i="1"/>
  <c r="BL578" i="1"/>
  <c r="BK578" i="1"/>
  <c r="BS279" i="1"/>
  <c r="BR279" i="1"/>
  <c r="BQ279" i="1"/>
  <c r="BP279" i="1"/>
  <c r="BO279" i="1"/>
  <c r="BN279" i="1"/>
  <c r="BM279" i="1"/>
  <c r="BL279" i="1"/>
  <c r="BK279" i="1"/>
  <c r="BS278" i="1"/>
  <c r="BR278" i="1"/>
  <c r="BQ278" i="1"/>
  <c r="BP278" i="1"/>
  <c r="BO278" i="1"/>
  <c r="BN278" i="1"/>
  <c r="BM278" i="1"/>
  <c r="BL278" i="1"/>
  <c r="BK278" i="1"/>
  <c r="BS128" i="1"/>
  <c r="BR128" i="1"/>
  <c r="BQ128" i="1"/>
  <c r="BP128" i="1"/>
  <c r="BO128" i="1"/>
  <c r="BN128" i="1"/>
  <c r="BM128" i="1"/>
  <c r="BL128" i="1"/>
  <c r="BK128" i="1"/>
  <c r="BS276" i="1"/>
  <c r="BR276" i="1"/>
  <c r="BQ276" i="1"/>
  <c r="BP276" i="1"/>
  <c r="BO276" i="1"/>
  <c r="BN276" i="1"/>
  <c r="BM276" i="1"/>
  <c r="BL276" i="1"/>
  <c r="BK276" i="1"/>
  <c r="BS275" i="1"/>
  <c r="BR275" i="1"/>
  <c r="BQ275" i="1"/>
  <c r="BP275" i="1"/>
  <c r="BO275" i="1"/>
  <c r="BN275" i="1"/>
  <c r="BM275" i="1"/>
  <c r="BL275" i="1"/>
  <c r="BK275" i="1"/>
  <c r="BS274" i="1"/>
  <c r="BR274" i="1"/>
  <c r="BQ274" i="1"/>
  <c r="BP274" i="1"/>
  <c r="BO274" i="1"/>
  <c r="BN274" i="1"/>
  <c r="BM274" i="1"/>
  <c r="BL274" i="1"/>
  <c r="BK274" i="1"/>
  <c r="BS273" i="1"/>
  <c r="BR273" i="1"/>
  <c r="BQ273" i="1"/>
  <c r="BP273" i="1"/>
  <c r="BO273" i="1"/>
  <c r="BN273" i="1"/>
  <c r="BM273" i="1"/>
  <c r="BL273" i="1"/>
  <c r="BK273" i="1"/>
  <c r="BS272" i="1"/>
  <c r="BR272" i="1"/>
  <c r="BQ272" i="1"/>
  <c r="BP272" i="1"/>
  <c r="BO272" i="1"/>
  <c r="BN272" i="1"/>
  <c r="BM272" i="1"/>
  <c r="BL272" i="1"/>
  <c r="BK272" i="1"/>
  <c r="BS32" i="1"/>
  <c r="BR32" i="1"/>
  <c r="BQ32" i="1"/>
  <c r="BP32" i="1"/>
  <c r="BO32" i="1"/>
  <c r="BN32" i="1"/>
  <c r="BM32" i="1"/>
  <c r="BL32" i="1"/>
  <c r="BK32" i="1"/>
  <c r="BS270" i="1"/>
  <c r="BR270" i="1"/>
  <c r="BQ270" i="1"/>
  <c r="BP270" i="1"/>
  <c r="BO270" i="1"/>
  <c r="BN270" i="1"/>
  <c r="BM270" i="1"/>
  <c r="BL270" i="1"/>
  <c r="BK270" i="1"/>
  <c r="BS287" i="1"/>
  <c r="BR287" i="1"/>
  <c r="BQ287" i="1"/>
  <c r="BP287" i="1"/>
  <c r="BO287" i="1"/>
  <c r="BN287" i="1"/>
  <c r="BM287" i="1"/>
  <c r="BL287" i="1"/>
  <c r="BK287" i="1"/>
  <c r="BS268" i="1"/>
  <c r="BR268" i="1"/>
  <c r="BQ268" i="1"/>
  <c r="BP268" i="1"/>
  <c r="BO268" i="1"/>
  <c r="BN268" i="1"/>
  <c r="BM268" i="1"/>
  <c r="BL268" i="1"/>
  <c r="BK268" i="1"/>
  <c r="BS266" i="1"/>
  <c r="BR266" i="1"/>
  <c r="BQ266" i="1"/>
  <c r="BP266" i="1"/>
  <c r="BO266" i="1"/>
  <c r="BN266" i="1"/>
  <c r="BM266" i="1"/>
  <c r="BL266" i="1"/>
  <c r="BK266" i="1"/>
  <c r="BS189" i="1"/>
  <c r="BR189" i="1"/>
  <c r="BQ189" i="1"/>
  <c r="BP189" i="1"/>
  <c r="BO189" i="1"/>
  <c r="BN189" i="1"/>
  <c r="BM189" i="1"/>
  <c r="BL189" i="1"/>
  <c r="BK189" i="1"/>
  <c r="BS264" i="1"/>
  <c r="BR264" i="1"/>
  <c r="BQ264" i="1"/>
  <c r="BP264" i="1"/>
  <c r="BO264" i="1"/>
  <c r="BN264" i="1"/>
  <c r="BM264" i="1"/>
  <c r="BL264" i="1"/>
  <c r="BK264" i="1"/>
  <c r="BS263" i="1"/>
  <c r="BR263" i="1"/>
  <c r="BQ263" i="1"/>
  <c r="BP263" i="1"/>
  <c r="BO263" i="1"/>
  <c r="BN263" i="1"/>
  <c r="BM263" i="1"/>
  <c r="BL263" i="1"/>
  <c r="BK263" i="1"/>
  <c r="BS262" i="1"/>
  <c r="BR262" i="1"/>
  <c r="BQ262" i="1"/>
  <c r="BP262" i="1"/>
  <c r="BO262" i="1"/>
  <c r="BN262" i="1"/>
  <c r="BM262" i="1"/>
  <c r="BL262" i="1"/>
  <c r="BK262" i="1"/>
  <c r="BS261" i="1"/>
  <c r="BR261" i="1"/>
  <c r="BQ261" i="1"/>
  <c r="BP261" i="1"/>
  <c r="BO261" i="1"/>
  <c r="BN261" i="1"/>
  <c r="BM261" i="1"/>
  <c r="BL261" i="1"/>
  <c r="BK261" i="1"/>
  <c r="BS260" i="1"/>
  <c r="BR260" i="1"/>
  <c r="BQ260" i="1"/>
  <c r="BP260" i="1"/>
  <c r="BO260" i="1"/>
  <c r="BN260" i="1"/>
  <c r="BM260" i="1"/>
  <c r="BL260" i="1"/>
  <c r="BK260" i="1"/>
  <c r="BS30" i="1"/>
  <c r="BR30" i="1"/>
  <c r="BQ30" i="1"/>
  <c r="BP30" i="1"/>
  <c r="BO30" i="1"/>
  <c r="BN30" i="1"/>
  <c r="BM30" i="1"/>
  <c r="BL30" i="1"/>
  <c r="BK30" i="1"/>
  <c r="BS258" i="1"/>
  <c r="BR258" i="1"/>
  <c r="BQ258" i="1"/>
  <c r="BP258" i="1"/>
  <c r="BO258" i="1"/>
  <c r="BN258" i="1"/>
  <c r="BM258" i="1"/>
  <c r="BL258" i="1"/>
  <c r="BK258" i="1"/>
  <c r="BS257" i="1"/>
  <c r="BR257" i="1"/>
  <c r="BQ257" i="1"/>
  <c r="BP257" i="1"/>
  <c r="BO257" i="1"/>
  <c r="BN257" i="1"/>
  <c r="BM257" i="1"/>
  <c r="BL257" i="1"/>
  <c r="BK257" i="1"/>
  <c r="BS508" i="1"/>
  <c r="BR508" i="1"/>
  <c r="BQ508" i="1"/>
  <c r="BP508" i="1"/>
  <c r="BO508" i="1"/>
  <c r="BN508" i="1"/>
  <c r="BM508" i="1"/>
  <c r="BL508" i="1"/>
  <c r="BK508" i="1"/>
  <c r="BS255" i="1"/>
  <c r="BR255" i="1"/>
  <c r="BQ255" i="1"/>
  <c r="BP255" i="1"/>
  <c r="BO255" i="1"/>
  <c r="BN255" i="1"/>
  <c r="BM255" i="1"/>
  <c r="BL255" i="1"/>
  <c r="BK255" i="1"/>
  <c r="BS254" i="1"/>
  <c r="BR254" i="1"/>
  <c r="BQ254" i="1"/>
  <c r="BP254" i="1"/>
  <c r="BO254" i="1"/>
  <c r="BN254" i="1"/>
  <c r="BM254" i="1"/>
  <c r="BL254" i="1"/>
  <c r="BK254" i="1"/>
  <c r="BS235" i="1"/>
  <c r="BR235" i="1"/>
  <c r="BQ235" i="1"/>
  <c r="BP235" i="1"/>
  <c r="BO235" i="1"/>
  <c r="BN235" i="1"/>
  <c r="BM235" i="1"/>
  <c r="BL235" i="1"/>
  <c r="BK235" i="1"/>
  <c r="BS350" i="1"/>
  <c r="BR350" i="1"/>
  <c r="BQ350" i="1"/>
  <c r="BP350" i="1"/>
  <c r="BO350" i="1"/>
  <c r="BN350" i="1"/>
  <c r="BM350" i="1"/>
  <c r="BL350" i="1"/>
  <c r="BK350" i="1"/>
  <c r="BS269" i="1"/>
  <c r="BR269" i="1"/>
  <c r="BQ269" i="1"/>
  <c r="BP269" i="1"/>
  <c r="BO269" i="1"/>
  <c r="BN269" i="1"/>
  <c r="BM269" i="1"/>
  <c r="BL269" i="1"/>
  <c r="BK269" i="1"/>
  <c r="BS250" i="1"/>
  <c r="BR250" i="1"/>
  <c r="BQ250" i="1"/>
  <c r="BP250" i="1"/>
  <c r="BO250" i="1"/>
  <c r="BN250" i="1"/>
  <c r="BM250" i="1"/>
  <c r="BL250" i="1"/>
  <c r="BK250" i="1"/>
  <c r="BS248" i="1"/>
  <c r="BR248" i="1"/>
  <c r="BQ248" i="1"/>
  <c r="BP248" i="1"/>
  <c r="BO248" i="1"/>
  <c r="BN248" i="1"/>
  <c r="BM248" i="1"/>
  <c r="BL248" i="1"/>
  <c r="BK248" i="1"/>
  <c r="BS247" i="1"/>
  <c r="BR247" i="1"/>
  <c r="BQ247" i="1"/>
  <c r="BP247" i="1"/>
  <c r="BO247" i="1"/>
  <c r="BN247" i="1"/>
  <c r="BM247" i="1"/>
  <c r="BL247" i="1"/>
  <c r="BK247" i="1"/>
  <c r="BS246" i="1"/>
  <c r="BR246" i="1"/>
  <c r="BQ246" i="1"/>
  <c r="BP246" i="1"/>
  <c r="BO246" i="1"/>
  <c r="BN246" i="1"/>
  <c r="BM246" i="1"/>
  <c r="BL246" i="1"/>
  <c r="BK246" i="1"/>
  <c r="BS432" i="1"/>
  <c r="BR432" i="1"/>
  <c r="BQ432" i="1"/>
  <c r="BP432" i="1"/>
  <c r="BO432" i="1"/>
  <c r="BN432" i="1"/>
  <c r="BM432" i="1"/>
  <c r="BL432" i="1"/>
  <c r="BK432" i="1"/>
  <c r="BS507" i="1"/>
  <c r="BR507" i="1"/>
  <c r="BQ507" i="1"/>
  <c r="BP507" i="1"/>
  <c r="BO507" i="1"/>
  <c r="BN507" i="1"/>
  <c r="BM507" i="1"/>
  <c r="BL507" i="1"/>
  <c r="BK507" i="1"/>
  <c r="BS243" i="1"/>
  <c r="BR243" i="1"/>
  <c r="BQ243" i="1"/>
  <c r="BP243" i="1"/>
  <c r="BO243" i="1"/>
  <c r="BN243" i="1"/>
  <c r="BM243" i="1"/>
  <c r="BL243" i="1"/>
  <c r="BK243" i="1"/>
  <c r="BS1088" i="1"/>
  <c r="BR1088" i="1"/>
  <c r="BQ1088" i="1"/>
  <c r="BP1088" i="1"/>
  <c r="BO1088" i="1"/>
  <c r="BN1088" i="1"/>
  <c r="BM1088" i="1"/>
  <c r="BL1088" i="1"/>
  <c r="BK1088" i="1"/>
  <c r="BS491" i="1"/>
  <c r="BR491" i="1"/>
  <c r="BQ491" i="1"/>
  <c r="BP491" i="1"/>
  <c r="BO491" i="1"/>
  <c r="BN491" i="1"/>
  <c r="BM491" i="1"/>
  <c r="BL491" i="1"/>
  <c r="BK491" i="1"/>
  <c r="BS240" i="1"/>
  <c r="BR240" i="1"/>
  <c r="BQ240" i="1"/>
  <c r="BP240" i="1"/>
  <c r="BO240" i="1"/>
  <c r="BN240" i="1"/>
  <c r="BM240" i="1"/>
  <c r="BL240" i="1"/>
  <c r="BK240" i="1"/>
  <c r="BS239" i="1"/>
  <c r="BR239" i="1"/>
  <c r="BQ239" i="1"/>
  <c r="BP239" i="1"/>
  <c r="BO239" i="1"/>
  <c r="BN239" i="1"/>
  <c r="BM239" i="1"/>
  <c r="BL239" i="1"/>
  <c r="BK239" i="1"/>
  <c r="BS238" i="1"/>
  <c r="BR238" i="1"/>
  <c r="BQ238" i="1"/>
  <c r="BP238" i="1"/>
  <c r="BO238" i="1"/>
  <c r="BN238" i="1"/>
  <c r="BM238" i="1"/>
  <c r="BL238" i="1"/>
  <c r="BK238" i="1"/>
  <c r="BS237" i="1"/>
  <c r="BR237" i="1"/>
  <c r="BQ237" i="1"/>
  <c r="BP237" i="1"/>
  <c r="BO237" i="1"/>
  <c r="BN237" i="1"/>
  <c r="BM237" i="1"/>
  <c r="BL237" i="1"/>
  <c r="BK237" i="1"/>
  <c r="BS236" i="1"/>
  <c r="BR236" i="1"/>
  <c r="BQ236" i="1"/>
  <c r="BP236" i="1"/>
  <c r="BO236" i="1"/>
  <c r="BN236" i="1"/>
  <c r="BM236" i="1"/>
  <c r="BL236" i="1"/>
  <c r="BK236" i="1"/>
  <c r="BS1015" i="1"/>
  <c r="BR1015" i="1"/>
  <c r="BQ1015" i="1"/>
  <c r="BP1015" i="1"/>
  <c r="BO1015" i="1"/>
  <c r="BN1015" i="1"/>
  <c r="BM1015" i="1"/>
  <c r="BL1015" i="1"/>
  <c r="BK1015" i="1"/>
  <c r="BS234" i="1"/>
  <c r="BR234" i="1"/>
  <c r="BQ234" i="1"/>
  <c r="BP234" i="1"/>
  <c r="BO234" i="1"/>
  <c r="BN234" i="1"/>
  <c r="BM234" i="1"/>
  <c r="BL234" i="1"/>
  <c r="BK234" i="1"/>
  <c r="BS233" i="1"/>
  <c r="BR233" i="1"/>
  <c r="BQ233" i="1"/>
  <c r="BP233" i="1"/>
  <c r="BO233" i="1"/>
  <c r="BN233" i="1"/>
  <c r="BM233" i="1"/>
  <c r="BL233" i="1"/>
  <c r="BK233" i="1"/>
  <c r="BS232" i="1"/>
  <c r="BR232" i="1"/>
  <c r="BQ232" i="1"/>
  <c r="BP232" i="1"/>
  <c r="BO232" i="1"/>
  <c r="BN232" i="1"/>
  <c r="BM232" i="1"/>
  <c r="BL232" i="1"/>
  <c r="BK232" i="1"/>
  <c r="BS231" i="1"/>
  <c r="BR231" i="1"/>
  <c r="BQ231" i="1"/>
  <c r="BP231" i="1"/>
  <c r="BO231" i="1"/>
  <c r="BN231" i="1"/>
  <c r="BM231" i="1"/>
  <c r="BL231" i="1"/>
  <c r="BK231" i="1"/>
  <c r="BS230" i="1"/>
  <c r="BR230" i="1"/>
  <c r="BQ230" i="1"/>
  <c r="BP230" i="1"/>
  <c r="BO230" i="1"/>
  <c r="BN230" i="1"/>
  <c r="BM230" i="1"/>
  <c r="BL230" i="1"/>
  <c r="BK230" i="1"/>
  <c r="BS229" i="1"/>
  <c r="BR229" i="1"/>
  <c r="BQ229" i="1"/>
  <c r="BP229" i="1"/>
  <c r="BO229" i="1"/>
  <c r="BN229" i="1"/>
  <c r="BM229" i="1"/>
  <c r="BL229" i="1"/>
  <c r="BK229" i="1"/>
  <c r="BS228" i="1"/>
  <c r="BR228" i="1"/>
  <c r="BQ228" i="1"/>
  <c r="BP228" i="1"/>
  <c r="BO228" i="1"/>
  <c r="BN228" i="1"/>
  <c r="BM228" i="1"/>
  <c r="BL228" i="1"/>
  <c r="BK228" i="1"/>
  <c r="BS87" i="1"/>
  <c r="BR87" i="1"/>
  <c r="BQ87" i="1"/>
  <c r="BP87" i="1"/>
  <c r="BO87" i="1"/>
  <c r="BN87" i="1"/>
  <c r="BM87" i="1"/>
  <c r="BL87" i="1"/>
  <c r="BK87" i="1"/>
  <c r="BS74" i="1"/>
  <c r="BR74" i="1"/>
  <c r="BQ74" i="1"/>
  <c r="BP74" i="1"/>
  <c r="BO74" i="1"/>
  <c r="BN74" i="1"/>
  <c r="BM74" i="1"/>
  <c r="BL74" i="1"/>
  <c r="BK74" i="1"/>
  <c r="BS225" i="1"/>
  <c r="BR225" i="1"/>
  <c r="BQ225" i="1"/>
  <c r="BP225" i="1"/>
  <c r="BO225" i="1"/>
  <c r="BN225" i="1"/>
  <c r="BM225" i="1"/>
  <c r="BL225" i="1"/>
  <c r="BK225" i="1"/>
  <c r="BS224" i="1"/>
  <c r="BR224" i="1"/>
  <c r="BQ224" i="1"/>
  <c r="BP224" i="1"/>
  <c r="BO224" i="1"/>
  <c r="BN224" i="1"/>
  <c r="BM224" i="1"/>
  <c r="BL224" i="1"/>
  <c r="BK224" i="1"/>
  <c r="BS116" i="1"/>
  <c r="BR116" i="1"/>
  <c r="BQ116" i="1"/>
  <c r="BP116" i="1"/>
  <c r="BO116" i="1"/>
  <c r="BN116" i="1"/>
  <c r="BM116" i="1"/>
  <c r="BL116" i="1"/>
  <c r="BK116" i="1"/>
  <c r="BS222" i="1"/>
  <c r="BR222" i="1"/>
  <c r="BQ222" i="1"/>
  <c r="BP222" i="1"/>
  <c r="BO222" i="1"/>
  <c r="BN222" i="1"/>
  <c r="BM222" i="1"/>
  <c r="BL222" i="1"/>
  <c r="BK222" i="1"/>
  <c r="BS221" i="1"/>
  <c r="BR221" i="1"/>
  <c r="BQ221" i="1"/>
  <c r="BP221" i="1"/>
  <c r="BO221" i="1"/>
  <c r="BN221" i="1"/>
  <c r="BM221" i="1"/>
  <c r="BL221" i="1"/>
  <c r="BK221" i="1"/>
  <c r="BS220" i="1"/>
  <c r="BR220" i="1"/>
  <c r="BQ220" i="1"/>
  <c r="BP220" i="1"/>
  <c r="BO220" i="1"/>
  <c r="BN220" i="1"/>
  <c r="BM220" i="1"/>
  <c r="BL220" i="1"/>
  <c r="BK220" i="1"/>
  <c r="BS219" i="1"/>
  <c r="BR219" i="1"/>
  <c r="BQ219" i="1"/>
  <c r="BP219" i="1"/>
  <c r="BO219" i="1"/>
  <c r="BN219" i="1"/>
  <c r="BM219" i="1"/>
  <c r="BL219" i="1"/>
  <c r="BK219" i="1"/>
  <c r="BS218" i="1"/>
  <c r="BR218" i="1"/>
  <c r="BQ218" i="1"/>
  <c r="BP218" i="1"/>
  <c r="BO218" i="1"/>
  <c r="BN218" i="1"/>
  <c r="BM218" i="1"/>
  <c r="BL218" i="1"/>
  <c r="BK218" i="1"/>
  <c r="BS54" i="1"/>
  <c r="BR54" i="1"/>
  <c r="BQ54" i="1"/>
  <c r="BP54" i="1"/>
  <c r="BO54" i="1"/>
  <c r="BN54" i="1"/>
  <c r="BM54" i="1"/>
  <c r="BL54" i="1"/>
  <c r="BK54" i="1"/>
  <c r="BS216" i="1"/>
  <c r="BR216" i="1"/>
  <c r="BQ216" i="1"/>
  <c r="BP216" i="1"/>
  <c r="BO216" i="1"/>
  <c r="BN216" i="1"/>
  <c r="BM216" i="1"/>
  <c r="BL216" i="1"/>
  <c r="BK216" i="1"/>
  <c r="BS215" i="1"/>
  <c r="BR215" i="1"/>
  <c r="BQ215" i="1"/>
  <c r="BP215" i="1"/>
  <c r="BO215" i="1"/>
  <c r="BN215" i="1"/>
  <c r="BM215" i="1"/>
  <c r="BL215" i="1"/>
  <c r="BK215" i="1"/>
  <c r="BS214" i="1"/>
  <c r="BR214" i="1"/>
  <c r="BQ214" i="1"/>
  <c r="BP214" i="1"/>
  <c r="BO214" i="1"/>
  <c r="BN214" i="1"/>
  <c r="BM214" i="1"/>
  <c r="BL214" i="1"/>
  <c r="BK214" i="1"/>
  <c r="BS213" i="1"/>
  <c r="BR213" i="1"/>
  <c r="BQ213" i="1"/>
  <c r="BP213" i="1"/>
  <c r="BO213" i="1"/>
  <c r="BN213" i="1"/>
  <c r="BM213" i="1"/>
  <c r="BL213" i="1"/>
  <c r="BK213" i="1"/>
  <c r="BS212" i="1"/>
  <c r="BR212" i="1"/>
  <c r="BQ212" i="1"/>
  <c r="BP212" i="1"/>
  <c r="BO212" i="1"/>
  <c r="BN212" i="1"/>
  <c r="BM212" i="1"/>
  <c r="BL212" i="1"/>
  <c r="BK212" i="1"/>
  <c r="BS211" i="1"/>
  <c r="BR211" i="1"/>
  <c r="BQ211" i="1"/>
  <c r="BP211" i="1"/>
  <c r="BO211" i="1"/>
  <c r="BN211" i="1"/>
  <c r="BM211" i="1"/>
  <c r="BL211" i="1"/>
  <c r="BK211" i="1"/>
  <c r="BS210" i="1"/>
  <c r="BR210" i="1"/>
  <c r="BQ210" i="1"/>
  <c r="BP210" i="1"/>
  <c r="BO210" i="1"/>
  <c r="BN210" i="1"/>
  <c r="BM210" i="1"/>
  <c r="BL210" i="1"/>
  <c r="BK210" i="1"/>
  <c r="BS209" i="1"/>
  <c r="BR209" i="1"/>
  <c r="BQ209" i="1"/>
  <c r="BP209" i="1"/>
  <c r="BO209" i="1"/>
  <c r="BN209" i="1"/>
  <c r="BM209" i="1"/>
  <c r="BL209" i="1"/>
  <c r="BK209" i="1"/>
  <c r="BS1016" i="1"/>
  <c r="BR1016" i="1"/>
  <c r="BQ1016" i="1"/>
  <c r="BP1016" i="1"/>
  <c r="BO1016" i="1"/>
  <c r="BN1016" i="1"/>
  <c r="BM1016" i="1"/>
  <c r="BL1016" i="1"/>
  <c r="BK1016" i="1"/>
  <c r="BS482" i="1"/>
  <c r="BR482" i="1"/>
  <c r="BQ482" i="1"/>
  <c r="BP482" i="1"/>
  <c r="BO482" i="1"/>
  <c r="BN482" i="1"/>
  <c r="BM482" i="1"/>
  <c r="BL482" i="1"/>
  <c r="BK482" i="1"/>
  <c r="BS465" i="1"/>
  <c r="BR465" i="1"/>
  <c r="BQ465" i="1"/>
  <c r="BP465" i="1"/>
  <c r="BO465" i="1"/>
  <c r="BN465" i="1"/>
  <c r="BM465" i="1"/>
  <c r="BL465" i="1"/>
  <c r="BK465" i="1"/>
  <c r="BS93" i="1"/>
  <c r="BR93" i="1"/>
  <c r="BQ93" i="1"/>
  <c r="BP93" i="1"/>
  <c r="BO93" i="1"/>
  <c r="BN93" i="1"/>
  <c r="BM93" i="1"/>
  <c r="BL93" i="1"/>
  <c r="BK93" i="1"/>
  <c r="BS204" i="1"/>
  <c r="BR204" i="1"/>
  <c r="BQ204" i="1"/>
  <c r="BP204" i="1"/>
  <c r="BO204" i="1"/>
  <c r="BN204" i="1"/>
  <c r="BM204" i="1"/>
  <c r="BL204" i="1"/>
  <c r="BK204" i="1"/>
  <c r="BS203" i="1"/>
  <c r="BR203" i="1"/>
  <c r="BQ203" i="1"/>
  <c r="BP203" i="1"/>
  <c r="BO203" i="1"/>
  <c r="BN203" i="1"/>
  <c r="BM203" i="1"/>
  <c r="BL203" i="1"/>
  <c r="BK203" i="1"/>
  <c r="BS202" i="1"/>
  <c r="BR202" i="1"/>
  <c r="BQ202" i="1"/>
  <c r="BP202" i="1"/>
  <c r="BO202" i="1"/>
  <c r="BN202" i="1"/>
  <c r="BM202" i="1"/>
  <c r="BL202" i="1"/>
  <c r="BK202" i="1"/>
  <c r="BS201" i="1"/>
  <c r="BR201" i="1"/>
  <c r="BQ201" i="1"/>
  <c r="BP201" i="1"/>
  <c r="BO201" i="1"/>
  <c r="BN201" i="1"/>
  <c r="BM201" i="1"/>
  <c r="BL201" i="1"/>
  <c r="BK201" i="1"/>
  <c r="BS200" i="1"/>
  <c r="BR200" i="1"/>
  <c r="BQ200" i="1"/>
  <c r="BP200" i="1"/>
  <c r="BO200" i="1"/>
  <c r="BN200" i="1"/>
  <c r="BM200" i="1"/>
  <c r="BL200" i="1"/>
  <c r="BK200" i="1"/>
  <c r="BS199" i="1"/>
  <c r="BR199" i="1"/>
  <c r="BQ199" i="1"/>
  <c r="BP199" i="1"/>
  <c r="BO199" i="1"/>
  <c r="BN199" i="1"/>
  <c r="BM199" i="1"/>
  <c r="BL199" i="1"/>
  <c r="BK199" i="1"/>
  <c r="BS198" i="1"/>
  <c r="BR198" i="1"/>
  <c r="BQ198" i="1"/>
  <c r="BP198" i="1"/>
  <c r="BO198" i="1"/>
  <c r="BN198" i="1"/>
  <c r="BM198" i="1"/>
  <c r="BL198" i="1"/>
  <c r="BK198" i="1"/>
  <c r="BS197" i="1"/>
  <c r="BR197" i="1"/>
  <c r="BQ197" i="1"/>
  <c r="BP197" i="1"/>
  <c r="BO197" i="1"/>
  <c r="BN197" i="1"/>
  <c r="BM197" i="1"/>
  <c r="BL197" i="1"/>
  <c r="BK197" i="1"/>
  <c r="BS196" i="1"/>
  <c r="BR196" i="1"/>
  <c r="BQ196" i="1"/>
  <c r="BP196" i="1"/>
  <c r="BO196" i="1"/>
  <c r="BN196" i="1"/>
  <c r="BM196" i="1"/>
  <c r="BL196" i="1"/>
  <c r="BK196" i="1"/>
  <c r="BS195" i="1"/>
  <c r="BR195" i="1"/>
  <c r="BQ195" i="1"/>
  <c r="BP195" i="1"/>
  <c r="BO195" i="1"/>
  <c r="BN195" i="1"/>
  <c r="BM195" i="1"/>
  <c r="BL195" i="1"/>
  <c r="BK195" i="1"/>
  <c r="BS194" i="1"/>
  <c r="BR194" i="1"/>
  <c r="BQ194" i="1"/>
  <c r="BP194" i="1"/>
  <c r="BO194" i="1"/>
  <c r="BN194" i="1"/>
  <c r="BM194" i="1"/>
  <c r="BL194" i="1"/>
  <c r="BK194" i="1"/>
  <c r="BS355" i="1"/>
  <c r="BR355" i="1"/>
  <c r="BQ355" i="1"/>
  <c r="BP355" i="1"/>
  <c r="BO355" i="1"/>
  <c r="BN355" i="1"/>
  <c r="BM355" i="1"/>
  <c r="BL355" i="1"/>
  <c r="BK355" i="1"/>
  <c r="BS192" i="1"/>
  <c r="BR192" i="1"/>
  <c r="BQ192" i="1"/>
  <c r="BP192" i="1"/>
  <c r="BO192" i="1"/>
  <c r="BN192" i="1"/>
  <c r="BM192" i="1"/>
  <c r="BL192" i="1"/>
  <c r="BK192" i="1"/>
  <c r="BS191" i="1"/>
  <c r="BR191" i="1"/>
  <c r="BQ191" i="1"/>
  <c r="BP191" i="1"/>
  <c r="BO191" i="1"/>
  <c r="BN191" i="1"/>
  <c r="BM191" i="1"/>
  <c r="BL191" i="1"/>
  <c r="BK191" i="1"/>
  <c r="BS190" i="1"/>
  <c r="BR190" i="1"/>
  <c r="BQ190" i="1"/>
  <c r="BP190" i="1"/>
  <c r="BO190" i="1"/>
  <c r="BN190" i="1"/>
  <c r="BM190" i="1"/>
  <c r="BL190" i="1"/>
  <c r="BK190" i="1"/>
  <c r="BS487" i="1"/>
  <c r="BR487" i="1"/>
  <c r="BQ487" i="1"/>
  <c r="BP487" i="1"/>
  <c r="BO487" i="1"/>
  <c r="BN487" i="1"/>
  <c r="BM487" i="1"/>
  <c r="BL487" i="1"/>
  <c r="BK487" i="1"/>
  <c r="BS463" i="1"/>
  <c r="BR463" i="1"/>
  <c r="BQ463" i="1"/>
  <c r="BP463" i="1"/>
  <c r="BO463" i="1"/>
  <c r="BN463" i="1"/>
  <c r="BM463" i="1"/>
  <c r="BL463" i="1"/>
  <c r="BK463" i="1"/>
  <c r="BS187" i="1"/>
  <c r="BR187" i="1"/>
  <c r="BQ187" i="1"/>
  <c r="BP187" i="1"/>
  <c r="BO187" i="1"/>
  <c r="BN187" i="1"/>
  <c r="BM187" i="1"/>
  <c r="BL187" i="1"/>
  <c r="BK187" i="1"/>
  <c r="BS186" i="1"/>
  <c r="BR186" i="1"/>
  <c r="BQ186" i="1"/>
  <c r="BP186" i="1"/>
  <c r="BO186" i="1"/>
  <c r="BN186" i="1"/>
  <c r="BM186" i="1"/>
  <c r="BL186" i="1"/>
  <c r="BK186" i="1"/>
  <c r="BS462" i="1"/>
  <c r="BR462" i="1"/>
  <c r="BQ462" i="1"/>
  <c r="BP462" i="1"/>
  <c r="BO462" i="1"/>
  <c r="BN462" i="1"/>
  <c r="BM462" i="1"/>
  <c r="BL462" i="1"/>
  <c r="BK462" i="1"/>
  <c r="BS459" i="1"/>
  <c r="BR459" i="1"/>
  <c r="BQ459" i="1"/>
  <c r="BP459" i="1"/>
  <c r="BO459" i="1"/>
  <c r="BN459" i="1"/>
  <c r="BM459" i="1"/>
  <c r="BL459" i="1"/>
  <c r="BK459" i="1"/>
  <c r="BS1166" i="1"/>
  <c r="BR1166" i="1"/>
  <c r="BQ1166" i="1"/>
  <c r="BP1166" i="1"/>
  <c r="BO1166" i="1"/>
  <c r="BN1166" i="1"/>
  <c r="BM1166" i="1"/>
  <c r="BL1166" i="1"/>
  <c r="BK1166" i="1"/>
  <c r="BS182" i="1"/>
  <c r="BR182" i="1"/>
  <c r="BQ182" i="1"/>
  <c r="BP182" i="1"/>
  <c r="BO182" i="1"/>
  <c r="BN182" i="1"/>
  <c r="BM182" i="1"/>
  <c r="BL182" i="1"/>
  <c r="BK182" i="1"/>
  <c r="BS461" i="1"/>
  <c r="BR461" i="1"/>
  <c r="BQ461" i="1"/>
  <c r="BP461" i="1"/>
  <c r="BO461" i="1"/>
  <c r="BN461" i="1"/>
  <c r="BM461" i="1"/>
  <c r="BL461" i="1"/>
  <c r="BK461" i="1"/>
  <c r="BS320" i="1"/>
  <c r="BR320" i="1"/>
  <c r="BQ320" i="1"/>
  <c r="BP320" i="1"/>
  <c r="BO320" i="1"/>
  <c r="BN320" i="1"/>
  <c r="BM320" i="1"/>
  <c r="BL320" i="1"/>
  <c r="BK320" i="1"/>
  <c r="BS179" i="1"/>
  <c r="BR179" i="1"/>
  <c r="BQ179" i="1"/>
  <c r="BP179" i="1"/>
  <c r="BO179" i="1"/>
  <c r="BN179" i="1"/>
  <c r="BM179" i="1"/>
  <c r="BL179" i="1"/>
  <c r="BK179" i="1"/>
  <c r="BS460" i="1"/>
  <c r="BR460" i="1"/>
  <c r="BQ460" i="1"/>
  <c r="BP460" i="1"/>
  <c r="BO460" i="1"/>
  <c r="BN460" i="1"/>
  <c r="BM460" i="1"/>
  <c r="BL460" i="1"/>
  <c r="BK460" i="1"/>
  <c r="BS177" i="1"/>
  <c r="BR177" i="1"/>
  <c r="BQ177" i="1"/>
  <c r="BP177" i="1"/>
  <c r="BO177" i="1"/>
  <c r="BN177" i="1"/>
  <c r="BM177" i="1"/>
  <c r="BL177" i="1"/>
  <c r="BK177" i="1"/>
  <c r="BS102" i="1"/>
  <c r="BR102" i="1"/>
  <c r="BQ102" i="1"/>
  <c r="BP102" i="1"/>
  <c r="BO102" i="1"/>
  <c r="BN102" i="1"/>
  <c r="BM102" i="1"/>
  <c r="BL102" i="1"/>
  <c r="BK102" i="1"/>
  <c r="BS99" i="1"/>
  <c r="BR99" i="1"/>
  <c r="BQ99" i="1"/>
  <c r="BP99" i="1"/>
  <c r="BO99" i="1"/>
  <c r="BN99" i="1"/>
  <c r="BM99" i="1"/>
  <c r="BL99" i="1"/>
  <c r="BK99" i="1"/>
  <c r="BS103" i="1"/>
  <c r="BR103" i="1"/>
  <c r="BQ103" i="1"/>
  <c r="BP103" i="1"/>
  <c r="BO103" i="1"/>
  <c r="BN103" i="1"/>
  <c r="BM103" i="1"/>
  <c r="BL103" i="1"/>
  <c r="BK103" i="1"/>
  <c r="BS173" i="1"/>
  <c r="BR173" i="1"/>
  <c r="BQ173" i="1"/>
  <c r="BP173" i="1"/>
  <c r="BO173" i="1"/>
  <c r="BN173" i="1"/>
  <c r="BM173" i="1"/>
  <c r="BL173" i="1"/>
  <c r="BK173" i="1"/>
  <c r="BS172" i="1"/>
  <c r="BR172" i="1"/>
  <c r="BQ172" i="1"/>
  <c r="BP172" i="1"/>
  <c r="BO172" i="1"/>
  <c r="BN172" i="1"/>
  <c r="BM172" i="1"/>
  <c r="BL172" i="1"/>
  <c r="BK172" i="1"/>
  <c r="BS171" i="1"/>
  <c r="BR171" i="1"/>
  <c r="BQ171" i="1"/>
  <c r="BP171" i="1"/>
  <c r="BO171" i="1"/>
  <c r="BN171" i="1"/>
  <c r="BM171" i="1"/>
  <c r="BL171" i="1"/>
  <c r="BK171" i="1"/>
  <c r="BS170" i="1"/>
  <c r="BR170" i="1"/>
  <c r="BQ170" i="1"/>
  <c r="BP170" i="1"/>
  <c r="BO170" i="1"/>
  <c r="BN170" i="1"/>
  <c r="BM170" i="1"/>
  <c r="BL170" i="1"/>
  <c r="BK170" i="1"/>
  <c r="BS169" i="1"/>
  <c r="BR169" i="1"/>
  <c r="BQ169" i="1"/>
  <c r="BP169" i="1"/>
  <c r="BO169" i="1"/>
  <c r="BN169" i="1"/>
  <c r="BM169" i="1"/>
  <c r="BL169" i="1"/>
  <c r="BK169" i="1"/>
  <c r="BS168" i="1"/>
  <c r="BR168" i="1"/>
  <c r="BQ168" i="1"/>
  <c r="BP168" i="1"/>
  <c r="BO168" i="1"/>
  <c r="BN168" i="1"/>
  <c r="BM168" i="1"/>
  <c r="BL168" i="1"/>
  <c r="BK168" i="1"/>
  <c r="BS167" i="1"/>
  <c r="BR167" i="1"/>
  <c r="BQ167" i="1"/>
  <c r="BP167" i="1"/>
  <c r="BO167" i="1"/>
  <c r="BN167" i="1"/>
  <c r="BM167" i="1"/>
  <c r="BL167" i="1"/>
  <c r="BK167" i="1"/>
  <c r="BS166" i="1"/>
  <c r="BR166" i="1"/>
  <c r="BQ166" i="1"/>
  <c r="BP166" i="1"/>
  <c r="BO166" i="1"/>
  <c r="BN166" i="1"/>
  <c r="BM166" i="1"/>
  <c r="BL166" i="1"/>
  <c r="BK166" i="1"/>
  <c r="BS165" i="1"/>
  <c r="BR165" i="1"/>
  <c r="BQ165" i="1"/>
  <c r="BP165" i="1"/>
  <c r="BO165" i="1"/>
  <c r="BN165" i="1"/>
  <c r="BM165" i="1"/>
  <c r="BL165" i="1"/>
  <c r="BK165" i="1"/>
  <c r="BS164" i="1"/>
  <c r="BR164" i="1"/>
  <c r="BQ164" i="1"/>
  <c r="BP164" i="1"/>
  <c r="BO164" i="1"/>
  <c r="BN164" i="1"/>
  <c r="BM164" i="1"/>
  <c r="BL164" i="1"/>
  <c r="BK164" i="1"/>
  <c r="BS163" i="1"/>
  <c r="BR163" i="1"/>
  <c r="BQ163" i="1"/>
  <c r="BP163" i="1"/>
  <c r="BO163" i="1"/>
  <c r="BN163" i="1"/>
  <c r="BM163" i="1"/>
  <c r="BL163" i="1"/>
  <c r="BK163" i="1"/>
  <c r="BS162" i="1"/>
  <c r="BR162" i="1"/>
  <c r="BQ162" i="1"/>
  <c r="BP162" i="1"/>
  <c r="BO162" i="1"/>
  <c r="BN162" i="1"/>
  <c r="BM162" i="1"/>
  <c r="BL162" i="1"/>
  <c r="BK162" i="1"/>
  <c r="BS161" i="1"/>
  <c r="BR161" i="1"/>
  <c r="BQ161" i="1"/>
  <c r="BP161" i="1"/>
  <c r="BO161" i="1"/>
  <c r="BN161" i="1"/>
  <c r="BM161" i="1"/>
  <c r="BL161" i="1"/>
  <c r="BK161" i="1"/>
  <c r="BS160" i="1"/>
  <c r="BR160" i="1"/>
  <c r="BQ160" i="1"/>
  <c r="BP160" i="1"/>
  <c r="BO160" i="1"/>
  <c r="BN160" i="1"/>
  <c r="BM160" i="1"/>
  <c r="BL160" i="1"/>
  <c r="BK160" i="1"/>
  <c r="BS458" i="1"/>
  <c r="BR458" i="1"/>
  <c r="BQ458" i="1"/>
  <c r="BP458" i="1"/>
  <c r="BO458" i="1"/>
  <c r="BN458" i="1"/>
  <c r="BM458" i="1"/>
  <c r="BL458" i="1"/>
  <c r="BK458" i="1"/>
  <c r="BS158" i="1"/>
  <c r="BR158" i="1"/>
  <c r="BQ158" i="1"/>
  <c r="BP158" i="1"/>
  <c r="BO158" i="1"/>
  <c r="BN158" i="1"/>
  <c r="BM158" i="1"/>
  <c r="BL158" i="1"/>
  <c r="BK158" i="1"/>
  <c r="BS454" i="1"/>
  <c r="BR454" i="1"/>
  <c r="BQ454" i="1"/>
  <c r="BP454" i="1"/>
  <c r="BO454" i="1"/>
  <c r="BN454" i="1"/>
  <c r="BM454" i="1"/>
  <c r="BL454" i="1"/>
  <c r="BK454" i="1"/>
  <c r="BS156" i="1"/>
  <c r="BR156" i="1"/>
  <c r="BQ156" i="1"/>
  <c r="BP156" i="1"/>
  <c r="BO156" i="1"/>
  <c r="BN156" i="1"/>
  <c r="BM156" i="1"/>
  <c r="BL156" i="1"/>
  <c r="BK156" i="1"/>
  <c r="BS452" i="1"/>
  <c r="BR452" i="1"/>
  <c r="BQ452" i="1"/>
  <c r="BP452" i="1"/>
  <c r="BO452" i="1"/>
  <c r="BN452" i="1"/>
  <c r="BM452" i="1"/>
  <c r="BL452" i="1"/>
  <c r="BK452" i="1"/>
  <c r="BS154" i="1"/>
  <c r="BR154" i="1"/>
  <c r="BQ154" i="1"/>
  <c r="BP154" i="1"/>
  <c r="BO154" i="1"/>
  <c r="BN154" i="1"/>
  <c r="BM154" i="1"/>
  <c r="BL154" i="1"/>
  <c r="BK154" i="1"/>
  <c r="BS153" i="1"/>
  <c r="BR153" i="1"/>
  <c r="BQ153" i="1"/>
  <c r="BP153" i="1"/>
  <c r="BO153" i="1"/>
  <c r="BN153" i="1"/>
  <c r="BM153" i="1"/>
  <c r="BL153" i="1"/>
  <c r="BK153" i="1"/>
  <c r="BS451" i="1"/>
  <c r="BR451" i="1"/>
  <c r="BQ451" i="1"/>
  <c r="BP451" i="1"/>
  <c r="BO451" i="1"/>
  <c r="BN451" i="1"/>
  <c r="BM451" i="1"/>
  <c r="BL451" i="1"/>
  <c r="BK451" i="1"/>
  <c r="BS151" i="1"/>
  <c r="BR151" i="1"/>
  <c r="BQ151" i="1"/>
  <c r="BP151" i="1"/>
  <c r="BO151" i="1"/>
  <c r="BN151" i="1"/>
  <c r="BM151" i="1"/>
  <c r="BL151" i="1"/>
  <c r="BK151" i="1"/>
  <c r="BS175" i="1"/>
  <c r="BR175" i="1"/>
  <c r="BQ175" i="1"/>
  <c r="BP175" i="1"/>
  <c r="BO175" i="1"/>
  <c r="BN175" i="1"/>
  <c r="BM175" i="1"/>
  <c r="BL175" i="1"/>
  <c r="BK175" i="1"/>
  <c r="BS450" i="1"/>
  <c r="BR450" i="1"/>
  <c r="BQ450" i="1"/>
  <c r="BP450" i="1"/>
  <c r="BO450" i="1"/>
  <c r="BN450" i="1"/>
  <c r="BM450" i="1"/>
  <c r="BL450" i="1"/>
  <c r="BK450" i="1"/>
  <c r="BS447" i="1"/>
  <c r="BR447" i="1"/>
  <c r="BQ447" i="1"/>
  <c r="BP447" i="1"/>
  <c r="BO447" i="1"/>
  <c r="BN447" i="1"/>
  <c r="BM447" i="1"/>
  <c r="BL447" i="1"/>
  <c r="BK447" i="1"/>
  <c r="BS388" i="1"/>
  <c r="BR388" i="1"/>
  <c r="BQ388" i="1"/>
  <c r="BP388" i="1"/>
  <c r="BO388" i="1"/>
  <c r="BN388" i="1"/>
  <c r="BM388" i="1"/>
  <c r="BL388" i="1"/>
  <c r="BK388" i="1"/>
  <c r="BS384" i="1"/>
  <c r="BR384" i="1"/>
  <c r="BQ384" i="1"/>
  <c r="BP384" i="1"/>
  <c r="BO384" i="1"/>
  <c r="BN384" i="1"/>
  <c r="BM384" i="1"/>
  <c r="BL384" i="1"/>
  <c r="BK384" i="1"/>
  <c r="BS383" i="1"/>
  <c r="BR383" i="1"/>
  <c r="BQ383" i="1"/>
  <c r="BP383" i="1"/>
  <c r="BO383" i="1"/>
  <c r="BN383" i="1"/>
  <c r="BM383" i="1"/>
  <c r="BL383" i="1"/>
  <c r="BK383" i="1"/>
  <c r="BS380" i="1"/>
  <c r="BR380" i="1"/>
  <c r="BQ380" i="1"/>
  <c r="BP380" i="1"/>
  <c r="BO380" i="1"/>
  <c r="BN380" i="1"/>
  <c r="BM380" i="1"/>
  <c r="BL380" i="1"/>
  <c r="BK380" i="1"/>
  <c r="BS143" i="1"/>
  <c r="BR143" i="1"/>
  <c r="BQ143" i="1"/>
  <c r="BP143" i="1"/>
  <c r="BO143" i="1"/>
  <c r="BN143" i="1"/>
  <c r="BM143" i="1"/>
  <c r="BL143" i="1"/>
  <c r="BK143" i="1"/>
  <c r="BS142" i="1"/>
  <c r="BR142" i="1"/>
  <c r="BQ142" i="1"/>
  <c r="BP142" i="1"/>
  <c r="BO142" i="1"/>
  <c r="BN142" i="1"/>
  <c r="BM142" i="1"/>
  <c r="BL142" i="1"/>
  <c r="BK142" i="1"/>
  <c r="BS141" i="1"/>
  <c r="BR141" i="1"/>
  <c r="BQ141" i="1"/>
  <c r="BP141" i="1"/>
  <c r="BO141" i="1"/>
  <c r="BN141" i="1"/>
  <c r="BM141" i="1"/>
  <c r="BL141" i="1"/>
  <c r="BK141" i="1"/>
  <c r="BS353" i="1"/>
  <c r="BR353" i="1"/>
  <c r="BQ353" i="1"/>
  <c r="BP353" i="1"/>
  <c r="BO353" i="1"/>
  <c r="BN353" i="1"/>
  <c r="BM353" i="1"/>
  <c r="BL353" i="1"/>
  <c r="BK353" i="1"/>
  <c r="BS139" i="1"/>
  <c r="BR139" i="1"/>
  <c r="BQ139" i="1"/>
  <c r="BP139" i="1"/>
  <c r="BO139" i="1"/>
  <c r="BN139" i="1"/>
  <c r="BM139" i="1"/>
  <c r="BL139" i="1"/>
  <c r="BK139" i="1"/>
  <c r="BS138" i="1"/>
  <c r="BR138" i="1"/>
  <c r="BQ138" i="1"/>
  <c r="BP138" i="1"/>
  <c r="BO138" i="1"/>
  <c r="BN138" i="1"/>
  <c r="BM138" i="1"/>
  <c r="BL138" i="1"/>
  <c r="BK138" i="1"/>
  <c r="BS137" i="1"/>
  <c r="BR137" i="1"/>
  <c r="BQ137" i="1"/>
  <c r="BP137" i="1"/>
  <c r="BO137" i="1"/>
  <c r="BN137" i="1"/>
  <c r="BM137" i="1"/>
  <c r="BL137" i="1"/>
  <c r="BK137" i="1"/>
  <c r="BS136" i="1"/>
  <c r="BR136" i="1"/>
  <c r="BQ136" i="1"/>
  <c r="BP136" i="1"/>
  <c r="BO136" i="1"/>
  <c r="BN136" i="1"/>
  <c r="BM136" i="1"/>
  <c r="BL136" i="1"/>
  <c r="BK136" i="1"/>
  <c r="BS135" i="1"/>
  <c r="BR135" i="1"/>
  <c r="BQ135" i="1"/>
  <c r="BP135" i="1"/>
  <c r="BO135" i="1"/>
  <c r="BN135" i="1"/>
  <c r="BM135" i="1"/>
  <c r="BL135" i="1"/>
  <c r="BK135" i="1"/>
  <c r="BS134" i="1"/>
  <c r="BR134" i="1"/>
  <c r="BQ134" i="1"/>
  <c r="BP134" i="1"/>
  <c r="BO134" i="1"/>
  <c r="BN134" i="1"/>
  <c r="BM134" i="1"/>
  <c r="BL134" i="1"/>
  <c r="BK134" i="1"/>
  <c r="BS133" i="1"/>
  <c r="BR133" i="1"/>
  <c r="BQ133" i="1"/>
  <c r="BP133" i="1"/>
  <c r="BO133" i="1"/>
  <c r="BN133" i="1"/>
  <c r="BM133" i="1"/>
  <c r="BL133" i="1"/>
  <c r="BK133" i="1"/>
  <c r="BS132" i="1"/>
  <c r="BR132" i="1"/>
  <c r="BQ132" i="1"/>
  <c r="BP132" i="1"/>
  <c r="BO132" i="1"/>
  <c r="BN132" i="1"/>
  <c r="BM132" i="1"/>
  <c r="BL132" i="1"/>
  <c r="BK132" i="1"/>
  <c r="BS130" i="1"/>
  <c r="BR130" i="1"/>
  <c r="BQ130" i="1"/>
  <c r="BP130" i="1"/>
  <c r="BO130" i="1"/>
  <c r="BN130" i="1"/>
  <c r="BM130" i="1"/>
  <c r="BL130" i="1"/>
  <c r="BK130" i="1"/>
  <c r="BS129" i="1"/>
  <c r="BR129" i="1"/>
  <c r="BQ129" i="1"/>
  <c r="BP129" i="1"/>
  <c r="BO129" i="1"/>
  <c r="BN129" i="1"/>
  <c r="BM129" i="1"/>
  <c r="BL129" i="1"/>
  <c r="BK129" i="1"/>
  <c r="BS68" i="1"/>
  <c r="BR68" i="1"/>
  <c r="BQ68" i="1"/>
  <c r="BP68" i="1"/>
  <c r="BO68" i="1"/>
  <c r="BN68" i="1"/>
  <c r="BM68" i="1"/>
  <c r="BL68" i="1"/>
  <c r="BK68" i="1"/>
  <c r="BS127" i="1"/>
  <c r="BR127" i="1"/>
  <c r="BQ127" i="1"/>
  <c r="BP127" i="1"/>
  <c r="BO127" i="1"/>
  <c r="BN127" i="1"/>
  <c r="BM127" i="1"/>
  <c r="BL127" i="1"/>
  <c r="BK127" i="1"/>
  <c r="BS126" i="1"/>
  <c r="BR126" i="1"/>
  <c r="BQ126" i="1"/>
  <c r="BP126" i="1"/>
  <c r="BO126" i="1"/>
  <c r="BN126" i="1"/>
  <c r="BM126" i="1"/>
  <c r="BL126" i="1"/>
  <c r="BK126" i="1"/>
  <c r="BS125" i="1"/>
  <c r="BR125" i="1"/>
  <c r="BQ125" i="1"/>
  <c r="BP125" i="1"/>
  <c r="BO125" i="1"/>
  <c r="BN125" i="1"/>
  <c r="BM125" i="1"/>
  <c r="BL125" i="1"/>
  <c r="BK125" i="1"/>
  <c r="BS377" i="1"/>
  <c r="BR377" i="1"/>
  <c r="BQ377" i="1"/>
  <c r="BP377" i="1"/>
  <c r="BO377" i="1"/>
  <c r="BN377" i="1"/>
  <c r="BM377" i="1"/>
  <c r="BL377" i="1"/>
  <c r="BK377" i="1"/>
  <c r="BS368" i="1"/>
  <c r="BR368" i="1"/>
  <c r="BQ368" i="1"/>
  <c r="BP368" i="1"/>
  <c r="BO368" i="1"/>
  <c r="BN368" i="1"/>
  <c r="BM368" i="1"/>
  <c r="BL368" i="1"/>
  <c r="BK368" i="1"/>
  <c r="BS122" i="1"/>
  <c r="BR122" i="1"/>
  <c r="BQ122" i="1"/>
  <c r="BP122" i="1"/>
  <c r="BO122" i="1"/>
  <c r="BN122" i="1"/>
  <c r="BM122" i="1"/>
  <c r="BL122" i="1"/>
  <c r="BK122" i="1"/>
  <c r="BS121" i="1"/>
  <c r="BR121" i="1"/>
  <c r="BQ121" i="1"/>
  <c r="BP121" i="1"/>
  <c r="BO121" i="1"/>
  <c r="BN121" i="1"/>
  <c r="BM121" i="1"/>
  <c r="BL121" i="1"/>
  <c r="BK121" i="1"/>
  <c r="BS120" i="1"/>
  <c r="BR120" i="1"/>
  <c r="BQ120" i="1"/>
  <c r="BP120" i="1"/>
  <c r="BO120" i="1"/>
  <c r="BN120" i="1"/>
  <c r="BM120" i="1"/>
  <c r="BL120" i="1"/>
  <c r="BK120" i="1"/>
  <c r="BS119" i="1"/>
  <c r="BR119" i="1"/>
  <c r="BQ119" i="1"/>
  <c r="BP119" i="1"/>
  <c r="BO119" i="1"/>
  <c r="BN119" i="1"/>
  <c r="BM119" i="1"/>
  <c r="BL119" i="1"/>
  <c r="BK119" i="1"/>
  <c r="BS118" i="1"/>
  <c r="BR118" i="1"/>
  <c r="BQ118" i="1"/>
  <c r="BP118" i="1"/>
  <c r="BO118" i="1"/>
  <c r="BN118" i="1"/>
  <c r="BM118" i="1"/>
  <c r="BL118" i="1"/>
  <c r="BK118" i="1"/>
  <c r="BS117" i="1"/>
  <c r="BR117" i="1"/>
  <c r="BQ117" i="1"/>
  <c r="BP117" i="1"/>
  <c r="BO117" i="1"/>
  <c r="BN117" i="1"/>
  <c r="BM117" i="1"/>
  <c r="BL117" i="1"/>
  <c r="BK117" i="1"/>
  <c r="BS457" i="1"/>
  <c r="BR457" i="1"/>
  <c r="BQ457" i="1"/>
  <c r="BP457" i="1"/>
  <c r="BO457" i="1"/>
  <c r="BN457" i="1"/>
  <c r="BM457" i="1"/>
  <c r="BL457" i="1"/>
  <c r="BK457" i="1"/>
  <c r="BS115" i="1"/>
  <c r="BR115" i="1"/>
  <c r="BQ115" i="1"/>
  <c r="BP115" i="1"/>
  <c r="BO115" i="1"/>
  <c r="BN115" i="1"/>
  <c r="BM115" i="1"/>
  <c r="BL115" i="1"/>
  <c r="BK115" i="1"/>
  <c r="BS367" i="1"/>
  <c r="BR367" i="1"/>
  <c r="BQ367" i="1"/>
  <c r="BP367" i="1"/>
  <c r="BO367" i="1"/>
  <c r="BN367" i="1"/>
  <c r="BM367" i="1"/>
  <c r="BL367" i="1"/>
  <c r="BK367" i="1"/>
  <c r="BS113" i="1"/>
  <c r="BR113" i="1"/>
  <c r="BQ113" i="1"/>
  <c r="BP113" i="1"/>
  <c r="BO113" i="1"/>
  <c r="BN113" i="1"/>
  <c r="BM113" i="1"/>
  <c r="BL113" i="1"/>
  <c r="BK113" i="1"/>
  <c r="BS339" i="1"/>
  <c r="BR339" i="1"/>
  <c r="BQ339" i="1"/>
  <c r="BP339" i="1"/>
  <c r="BO339" i="1"/>
  <c r="BN339" i="1"/>
  <c r="BM339" i="1"/>
  <c r="BL339" i="1"/>
  <c r="BK339" i="1"/>
  <c r="BS111" i="1"/>
  <c r="BR111" i="1"/>
  <c r="BQ111" i="1"/>
  <c r="BP111" i="1"/>
  <c r="BO111" i="1"/>
  <c r="BN111" i="1"/>
  <c r="BM111" i="1"/>
  <c r="BL111" i="1"/>
  <c r="BK111" i="1"/>
  <c r="BS110" i="1"/>
  <c r="BR110" i="1"/>
  <c r="BQ110" i="1"/>
  <c r="BP110" i="1"/>
  <c r="BO110" i="1"/>
  <c r="BN110" i="1"/>
  <c r="BM110" i="1"/>
  <c r="BL110" i="1"/>
  <c r="BK110" i="1"/>
  <c r="BS109" i="1"/>
  <c r="BR109" i="1"/>
  <c r="BQ109" i="1"/>
  <c r="BP109" i="1"/>
  <c r="BO109" i="1"/>
  <c r="BN109" i="1"/>
  <c r="BM109" i="1"/>
  <c r="BL109" i="1"/>
  <c r="BK109" i="1"/>
  <c r="BS108" i="1"/>
  <c r="BR108" i="1"/>
  <c r="BQ108" i="1"/>
  <c r="BP108" i="1"/>
  <c r="BO108" i="1"/>
  <c r="BN108" i="1"/>
  <c r="BM108" i="1"/>
  <c r="BL108" i="1"/>
  <c r="BK108" i="1"/>
  <c r="BS107" i="1"/>
  <c r="BR107" i="1"/>
  <c r="BQ107" i="1"/>
  <c r="BP107" i="1"/>
  <c r="BO107" i="1"/>
  <c r="BN107" i="1"/>
  <c r="BM107" i="1"/>
  <c r="BL107" i="1"/>
  <c r="BK107" i="1"/>
  <c r="BS106" i="1"/>
  <c r="BR106" i="1"/>
  <c r="BQ106" i="1"/>
  <c r="BP106" i="1"/>
  <c r="BO106" i="1"/>
  <c r="BN106" i="1"/>
  <c r="BM106" i="1"/>
  <c r="BL106" i="1"/>
  <c r="BK106" i="1"/>
  <c r="BS105" i="1"/>
  <c r="BR105" i="1"/>
  <c r="BQ105" i="1"/>
  <c r="BP105" i="1"/>
  <c r="BO105" i="1"/>
  <c r="BN105" i="1"/>
  <c r="BM105" i="1"/>
  <c r="BL105" i="1"/>
  <c r="BK105" i="1"/>
  <c r="BS453" i="1"/>
  <c r="BR453" i="1"/>
  <c r="BQ453" i="1"/>
  <c r="BP453" i="1"/>
  <c r="BO453" i="1"/>
  <c r="BN453" i="1"/>
  <c r="BM453" i="1"/>
  <c r="BL453" i="1"/>
  <c r="BK453" i="1"/>
  <c r="BS104" i="1"/>
  <c r="BR104" i="1"/>
  <c r="BQ104" i="1"/>
  <c r="BP104" i="1"/>
  <c r="BO104" i="1"/>
  <c r="BN104" i="1"/>
  <c r="BM104" i="1"/>
  <c r="BL104" i="1"/>
  <c r="BK104" i="1"/>
  <c r="BS455" i="1"/>
  <c r="BR455" i="1"/>
  <c r="BQ455" i="1"/>
  <c r="BP455" i="1"/>
  <c r="BO455" i="1"/>
  <c r="BN455" i="1"/>
  <c r="BM455" i="1"/>
  <c r="BL455" i="1"/>
  <c r="BK455" i="1"/>
  <c r="BS101" i="1"/>
  <c r="BR101" i="1"/>
  <c r="BQ101" i="1"/>
  <c r="BP101" i="1"/>
  <c r="BO101" i="1"/>
  <c r="BN101" i="1"/>
  <c r="BM101" i="1"/>
  <c r="BL101" i="1"/>
  <c r="BK101" i="1"/>
  <c r="BS100" i="1"/>
  <c r="BR100" i="1"/>
  <c r="BQ100" i="1"/>
  <c r="BP100" i="1"/>
  <c r="BO100" i="1"/>
  <c r="BN100" i="1"/>
  <c r="BM100" i="1"/>
  <c r="BL100" i="1"/>
  <c r="BK100" i="1"/>
  <c r="BS403" i="1"/>
  <c r="BR403" i="1"/>
  <c r="BQ403" i="1"/>
  <c r="BP403" i="1"/>
  <c r="BO403" i="1"/>
  <c r="BN403" i="1"/>
  <c r="BM403" i="1"/>
  <c r="BL403" i="1"/>
  <c r="BK403" i="1"/>
  <c r="BS631" i="1"/>
  <c r="BR631" i="1"/>
  <c r="BQ631" i="1"/>
  <c r="BP631" i="1"/>
  <c r="BO631" i="1"/>
  <c r="BN631" i="1"/>
  <c r="BM631" i="1"/>
  <c r="BL631" i="1"/>
  <c r="BK631" i="1"/>
  <c r="BS635" i="1"/>
  <c r="BR635" i="1"/>
  <c r="BQ635" i="1"/>
  <c r="BP635" i="1"/>
  <c r="BO635" i="1"/>
  <c r="BN635" i="1"/>
  <c r="BM635" i="1"/>
  <c r="BL635" i="1"/>
  <c r="BK635" i="1"/>
  <c r="BS397" i="1"/>
  <c r="BR397" i="1"/>
  <c r="BQ397" i="1"/>
  <c r="BP397" i="1"/>
  <c r="BO397" i="1"/>
  <c r="BN397" i="1"/>
  <c r="BM397" i="1"/>
  <c r="BL397" i="1"/>
  <c r="BK397" i="1"/>
  <c r="BS95" i="1"/>
  <c r="BR95" i="1"/>
  <c r="BQ95" i="1"/>
  <c r="BP95" i="1"/>
  <c r="BO95" i="1"/>
  <c r="BN95" i="1"/>
  <c r="BM95" i="1"/>
  <c r="BL95" i="1"/>
  <c r="BK95" i="1"/>
  <c r="BS94" i="1"/>
  <c r="BR94" i="1"/>
  <c r="BQ94" i="1"/>
  <c r="BP94" i="1"/>
  <c r="BO94" i="1"/>
  <c r="BN94" i="1"/>
  <c r="BM94" i="1"/>
  <c r="BL94" i="1"/>
  <c r="BK94" i="1"/>
  <c r="BS430" i="1"/>
  <c r="BR430" i="1"/>
  <c r="BQ430" i="1"/>
  <c r="BP430" i="1"/>
  <c r="BO430" i="1"/>
  <c r="BN430" i="1"/>
  <c r="BM430" i="1"/>
  <c r="BL430" i="1"/>
  <c r="BK430" i="1"/>
  <c r="BS609" i="1"/>
  <c r="BR609" i="1"/>
  <c r="BQ609" i="1"/>
  <c r="BP609" i="1"/>
  <c r="BO609" i="1"/>
  <c r="BN609" i="1"/>
  <c r="BM609" i="1"/>
  <c r="BL609" i="1"/>
  <c r="BK609" i="1"/>
  <c r="BS426" i="1"/>
  <c r="BR426" i="1"/>
  <c r="BQ426" i="1"/>
  <c r="BP426" i="1"/>
  <c r="BO426" i="1"/>
  <c r="BN426" i="1"/>
  <c r="BM426" i="1"/>
  <c r="BL426" i="1"/>
  <c r="BK426" i="1"/>
  <c r="BS90" i="1"/>
  <c r="BR90" i="1"/>
  <c r="BQ90" i="1"/>
  <c r="BP90" i="1"/>
  <c r="BO90" i="1"/>
  <c r="BN90" i="1"/>
  <c r="BM90" i="1"/>
  <c r="BL90" i="1"/>
  <c r="BK90" i="1"/>
  <c r="BS89" i="1"/>
  <c r="BR89" i="1"/>
  <c r="BQ89" i="1"/>
  <c r="BP89" i="1"/>
  <c r="BO89" i="1"/>
  <c r="BN89" i="1"/>
  <c r="BM89" i="1"/>
  <c r="BL89" i="1"/>
  <c r="BK89" i="1"/>
  <c r="BS88" i="1"/>
  <c r="BR88" i="1"/>
  <c r="BQ88" i="1"/>
  <c r="BP88" i="1"/>
  <c r="BO88" i="1"/>
  <c r="BN88" i="1"/>
  <c r="BM88" i="1"/>
  <c r="BL88" i="1"/>
  <c r="BK88" i="1"/>
  <c r="BS43" i="1"/>
  <c r="BR43" i="1"/>
  <c r="BQ43" i="1"/>
  <c r="BP43" i="1"/>
  <c r="BO43" i="1"/>
  <c r="BN43" i="1"/>
  <c r="BM43" i="1"/>
  <c r="BL43" i="1"/>
  <c r="BK43" i="1"/>
  <c r="BS86" i="1"/>
  <c r="BR86" i="1"/>
  <c r="BQ86" i="1"/>
  <c r="BP86" i="1"/>
  <c r="BO86" i="1"/>
  <c r="BN86" i="1"/>
  <c r="BM86" i="1"/>
  <c r="BL86" i="1"/>
  <c r="BK86" i="1"/>
  <c r="BS85" i="1"/>
  <c r="BR85" i="1"/>
  <c r="BQ85" i="1"/>
  <c r="BP85" i="1"/>
  <c r="BO85" i="1"/>
  <c r="BN85" i="1"/>
  <c r="BM85" i="1"/>
  <c r="BL85" i="1"/>
  <c r="BK85" i="1"/>
  <c r="BS84" i="1"/>
  <c r="BR84" i="1"/>
  <c r="BQ84" i="1"/>
  <c r="BP84" i="1"/>
  <c r="BO84" i="1"/>
  <c r="BN84" i="1"/>
  <c r="BM84" i="1"/>
  <c r="BL84" i="1"/>
  <c r="BK84" i="1"/>
  <c r="BS83" i="1"/>
  <c r="BR83" i="1"/>
  <c r="BQ83" i="1"/>
  <c r="BP83" i="1"/>
  <c r="BO83" i="1"/>
  <c r="BN83" i="1"/>
  <c r="BM83" i="1"/>
  <c r="BL83" i="1"/>
  <c r="BK83" i="1"/>
  <c r="BS82" i="1"/>
  <c r="BR82" i="1"/>
  <c r="BQ82" i="1"/>
  <c r="BP82" i="1"/>
  <c r="BO82" i="1"/>
  <c r="BN82" i="1"/>
  <c r="BM82" i="1"/>
  <c r="BL82" i="1"/>
  <c r="BK82" i="1"/>
  <c r="BS81" i="1"/>
  <c r="BR81" i="1"/>
  <c r="BQ81" i="1"/>
  <c r="BP81" i="1"/>
  <c r="BO81" i="1"/>
  <c r="BN81" i="1"/>
  <c r="BM81" i="1"/>
  <c r="BL81" i="1"/>
  <c r="BK81" i="1"/>
  <c r="BS80" i="1"/>
  <c r="BR80" i="1"/>
  <c r="BQ80" i="1"/>
  <c r="BP80" i="1"/>
  <c r="BO80" i="1"/>
  <c r="BN80" i="1"/>
  <c r="BM80" i="1"/>
  <c r="BL80" i="1"/>
  <c r="BK80" i="1"/>
  <c r="BS79" i="1"/>
  <c r="BR79" i="1"/>
  <c r="BQ79" i="1"/>
  <c r="BP79" i="1"/>
  <c r="BO79" i="1"/>
  <c r="BN79" i="1"/>
  <c r="BM79" i="1"/>
  <c r="BL79" i="1"/>
  <c r="BK79" i="1"/>
  <c r="BS78" i="1"/>
  <c r="BR78" i="1"/>
  <c r="BQ78" i="1"/>
  <c r="BP78" i="1"/>
  <c r="BO78" i="1"/>
  <c r="BN78" i="1"/>
  <c r="BM78" i="1"/>
  <c r="BL78" i="1"/>
  <c r="BK78" i="1"/>
  <c r="BS77" i="1"/>
  <c r="BR77" i="1"/>
  <c r="BQ77" i="1"/>
  <c r="BP77" i="1"/>
  <c r="BO77" i="1"/>
  <c r="BN77" i="1"/>
  <c r="BM77" i="1"/>
  <c r="BL77" i="1"/>
  <c r="BK77" i="1"/>
  <c r="BS76" i="1"/>
  <c r="BR76" i="1"/>
  <c r="BQ76" i="1"/>
  <c r="BP76" i="1"/>
  <c r="BO76" i="1"/>
  <c r="BN76" i="1"/>
  <c r="BM76" i="1"/>
  <c r="BL76" i="1"/>
  <c r="BK76" i="1"/>
  <c r="BS75" i="1"/>
  <c r="BR75" i="1"/>
  <c r="BQ75" i="1"/>
  <c r="BP75" i="1"/>
  <c r="BO75" i="1"/>
  <c r="BN75" i="1"/>
  <c r="BM75" i="1"/>
  <c r="BL75" i="1"/>
  <c r="BK75" i="1"/>
  <c r="BS435" i="1"/>
  <c r="BR435" i="1"/>
  <c r="BQ435" i="1"/>
  <c r="BP435" i="1"/>
  <c r="BO435" i="1"/>
  <c r="BN435" i="1"/>
  <c r="BM435" i="1"/>
  <c r="BL435" i="1"/>
  <c r="BK435" i="1"/>
  <c r="BS73" i="1"/>
  <c r="BR73" i="1"/>
  <c r="BQ73" i="1"/>
  <c r="BP73" i="1"/>
  <c r="BO73" i="1"/>
  <c r="BN73" i="1"/>
  <c r="BM73" i="1"/>
  <c r="BL73" i="1"/>
  <c r="BK73" i="1"/>
  <c r="BS72" i="1"/>
  <c r="BR72" i="1"/>
  <c r="BQ72" i="1"/>
  <c r="BP72" i="1"/>
  <c r="BO72" i="1"/>
  <c r="BN72" i="1"/>
  <c r="BM72" i="1"/>
  <c r="BL72" i="1"/>
  <c r="BK72" i="1"/>
  <c r="BS71" i="1"/>
  <c r="BR71" i="1"/>
  <c r="BQ71" i="1"/>
  <c r="BP71" i="1"/>
  <c r="BO71" i="1"/>
  <c r="BN71" i="1"/>
  <c r="BM71" i="1"/>
  <c r="BL71" i="1"/>
  <c r="BK71" i="1"/>
  <c r="BS1116" i="1"/>
  <c r="BR1116" i="1"/>
  <c r="BQ1116" i="1"/>
  <c r="BP1116" i="1"/>
  <c r="BO1116" i="1"/>
  <c r="BN1116" i="1"/>
  <c r="BM1116" i="1"/>
  <c r="BL1116" i="1"/>
  <c r="BK1116" i="1"/>
  <c r="BS69" i="1"/>
  <c r="BR69" i="1"/>
  <c r="BQ69" i="1"/>
  <c r="BP69" i="1"/>
  <c r="BO69" i="1"/>
  <c r="BN69" i="1"/>
  <c r="BM69" i="1"/>
  <c r="BL69" i="1"/>
  <c r="BK69" i="1"/>
  <c r="BS322" i="1"/>
  <c r="BR322" i="1"/>
  <c r="BQ322" i="1"/>
  <c r="BP322" i="1"/>
  <c r="BO322" i="1"/>
  <c r="BN322" i="1"/>
  <c r="BM322" i="1"/>
  <c r="BL322" i="1"/>
  <c r="BK322" i="1"/>
  <c r="BS67" i="1"/>
  <c r="BR67" i="1"/>
  <c r="BQ67" i="1"/>
  <c r="BP67" i="1"/>
  <c r="BO67" i="1"/>
  <c r="BN67" i="1"/>
  <c r="BM67" i="1"/>
  <c r="BL67" i="1"/>
  <c r="BK67" i="1"/>
  <c r="BS302" i="1"/>
  <c r="BR302" i="1"/>
  <c r="BQ302" i="1"/>
  <c r="BP302" i="1"/>
  <c r="BO302" i="1"/>
  <c r="BN302" i="1"/>
  <c r="BM302" i="1"/>
  <c r="BL302" i="1"/>
  <c r="BK302" i="1"/>
  <c r="BS65" i="1"/>
  <c r="BR65" i="1"/>
  <c r="BQ65" i="1"/>
  <c r="BP65" i="1"/>
  <c r="BO65" i="1"/>
  <c r="BN65" i="1"/>
  <c r="BM65" i="1"/>
  <c r="BL65" i="1"/>
  <c r="BK65" i="1"/>
  <c r="BS64" i="1"/>
  <c r="BR64" i="1"/>
  <c r="BQ64" i="1"/>
  <c r="BP64" i="1"/>
  <c r="BO64" i="1"/>
  <c r="BN64" i="1"/>
  <c r="BM64" i="1"/>
  <c r="BL64" i="1"/>
  <c r="BK64" i="1"/>
  <c r="BS63" i="1"/>
  <c r="BR63" i="1"/>
  <c r="BQ63" i="1"/>
  <c r="BP63" i="1"/>
  <c r="BO63" i="1"/>
  <c r="BN63" i="1"/>
  <c r="BM63" i="1"/>
  <c r="BL63" i="1"/>
  <c r="BK63" i="1"/>
  <c r="BS62" i="1"/>
  <c r="BR62" i="1"/>
  <c r="BQ62" i="1"/>
  <c r="BP62" i="1"/>
  <c r="BO62" i="1"/>
  <c r="BN62" i="1"/>
  <c r="BM62" i="1"/>
  <c r="BL62" i="1"/>
  <c r="BK62" i="1"/>
  <c r="BS61" i="1"/>
  <c r="BR61" i="1"/>
  <c r="BQ61" i="1"/>
  <c r="BP61" i="1"/>
  <c r="BO61" i="1"/>
  <c r="BN61" i="1"/>
  <c r="BM61" i="1"/>
  <c r="BL61" i="1"/>
  <c r="BK61" i="1"/>
  <c r="BU60" i="1"/>
  <c r="BS217" i="1"/>
  <c r="BR217" i="1"/>
  <c r="BQ217" i="1"/>
  <c r="BP217" i="1"/>
  <c r="BO217" i="1"/>
  <c r="BN217" i="1"/>
  <c r="BM217" i="1"/>
  <c r="BL217" i="1"/>
  <c r="BK217" i="1"/>
  <c r="BS58" i="1"/>
  <c r="BR58" i="1"/>
  <c r="BQ58" i="1"/>
  <c r="BP58" i="1"/>
  <c r="BO58" i="1"/>
  <c r="BN58" i="1"/>
  <c r="BM58" i="1"/>
  <c r="BL58" i="1"/>
  <c r="BK58" i="1"/>
  <c r="BS57" i="1"/>
  <c r="BR57" i="1"/>
  <c r="BQ57" i="1"/>
  <c r="BP57" i="1"/>
  <c r="BO57" i="1"/>
  <c r="BN57" i="1"/>
  <c r="BM57" i="1"/>
  <c r="BL57" i="1"/>
  <c r="BK57" i="1"/>
  <c r="BS644" i="1"/>
  <c r="BR644" i="1"/>
  <c r="BQ644" i="1"/>
  <c r="BP644" i="1"/>
  <c r="BO644" i="1"/>
  <c r="BN644" i="1"/>
  <c r="BM644" i="1"/>
  <c r="BL644" i="1"/>
  <c r="BK644" i="1"/>
  <c r="BS55" i="1"/>
  <c r="BR55" i="1"/>
  <c r="BQ55" i="1"/>
  <c r="BP55" i="1"/>
  <c r="BO55" i="1"/>
  <c r="BN55" i="1"/>
  <c r="BM55" i="1"/>
  <c r="BL55" i="1"/>
  <c r="BK55" i="1"/>
  <c r="BS97" i="1"/>
  <c r="BR97" i="1"/>
  <c r="BQ97" i="1"/>
  <c r="BP97" i="1"/>
  <c r="BO97" i="1"/>
  <c r="BN97" i="1"/>
  <c r="BM97" i="1"/>
  <c r="BL97" i="1"/>
  <c r="BK97" i="1"/>
  <c r="BS53" i="1"/>
  <c r="BR53" i="1"/>
  <c r="BQ53" i="1"/>
  <c r="BP53" i="1"/>
  <c r="BO53" i="1"/>
  <c r="BN53" i="1"/>
  <c r="BM53" i="1"/>
  <c r="BL53" i="1"/>
  <c r="BK53" i="1"/>
  <c r="BS52" i="1"/>
  <c r="BR52" i="1"/>
  <c r="BQ52" i="1"/>
  <c r="BP52" i="1"/>
  <c r="BO52" i="1"/>
  <c r="BN52" i="1"/>
  <c r="BM52" i="1"/>
  <c r="BL52" i="1"/>
  <c r="BK52" i="1"/>
  <c r="BS51" i="1"/>
  <c r="BR51" i="1"/>
  <c r="BQ51" i="1"/>
  <c r="BP51" i="1"/>
  <c r="BO51" i="1"/>
  <c r="BN51" i="1"/>
  <c r="BM51" i="1"/>
  <c r="BL51" i="1"/>
  <c r="BK51" i="1"/>
  <c r="BS50" i="1"/>
  <c r="BR50" i="1"/>
  <c r="BQ50" i="1"/>
  <c r="BP50" i="1"/>
  <c r="BO50" i="1"/>
  <c r="BN50" i="1"/>
  <c r="BM50" i="1"/>
  <c r="BL50" i="1"/>
  <c r="BK50" i="1"/>
  <c r="BS49" i="1"/>
  <c r="BR49" i="1"/>
  <c r="BQ49" i="1"/>
  <c r="BP49" i="1"/>
  <c r="BO49" i="1"/>
  <c r="BN49" i="1"/>
  <c r="BM49" i="1"/>
  <c r="BL49" i="1"/>
  <c r="BK49" i="1"/>
  <c r="BS48" i="1"/>
  <c r="BR48" i="1"/>
  <c r="BQ48" i="1"/>
  <c r="BP48" i="1"/>
  <c r="BO48" i="1"/>
  <c r="BN48" i="1"/>
  <c r="BM48" i="1"/>
  <c r="BL48" i="1"/>
  <c r="BK48" i="1"/>
  <c r="BS47" i="1"/>
  <c r="BR47" i="1"/>
  <c r="BQ47" i="1"/>
  <c r="BP47" i="1"/>
  <c r="BO47" i="1"/>
  <c r="BN47" i="1"/>
  <c r="BM47" i="1"/>
  <c r="BL47" i="1"/>
  <c r="BK47" i="1"/>
  <c r="BS46" i="1"/>
  <c r="BR46" i="1"/>
  <c r="BQ46" i="1"/>
  <c r="BP46" i="1"/>
  <c r="BO46" i="1"/>
  <c r="BN46" i="1"/>
  <c r="BM46" i="1"/>
  <c r="BL46" i="1"/>
  <c r="BK46" i="1"/>
  <c r="BS298" i="1"/>
  <c r="BR298" i="1"/>
  <c r="BQ298" i="1"/>
  <c r="BP298" i="1"/>
  <c r="BO298" i="1"/>
  <c r="BN298" i="1"/>
  <c r="BM298" i="1"/>
  <c r="BL298" i="1"/>
  <c r="BK298" i="1"/>
  <c r="BS56" i="1"/>
  <c r="BR56" i="1"/>
  <c r="BQ56" i="1"/>
  <c r="BP56" i="1"/>
  <c r="BO56" i="1"/>
  <c r="BN56" i="1"/>
  <c r="BM56" i="1"/>
  <c r="BL56" i="1"/>
  <c r="BK56" i="1"/>
  <c r="BS424" i="1"/>
  <c r="BR424" i="1"/>
  <c r="BQ424" i="1"/>
  <c r="BP424" i="1"/>
  <c r="BO424" i="1"/>
  <c r="BN424" i="1"/>
  <c r="BM424" i="1"/>
  <c r="BL424" i="1"/>
  <c r="BK424" i="1"/>
  <c r="BS42" i="1"/>
  <c r="BR42" i="1"/>
  <c r="BQ42" i="1"/>
  <c r="BP42" i="1"/>
  <c r="BO42" i="1"/>
  <c r="BN42" i="1"/>
  <c r="BM42" i="1"/>
  <c r="BL42" i="1"/>
  <c r="BK42" i="1"/>
  <c r="BS241" i="1"/>
  <c r="BR241" i="1"/>
  <c r="BQ241" i="1"/>
  <c r="BP241" i="1"/>
  <c r="BO241" i="1"/>
  <c r="BN241" i="1"/>
  <c r="BM241" i="1"/>
  <c r="BL241" i="1"/>
  <c r="BK241" i="1"/>
  <c r="BS207" i="1"/>
  <c r="BR207" i="1"/>
  <c r="BQ207" i="1"/>
  <c r="BP207" i="1"/>
  <c r="BO207" i="1"/>
  <c r="BN207" i="1"/>
  <c r="BM207" i="1"/>
  <c r="BL207" i="1"/>
  <c r="BK207" i="1"/>
  <c r="BS959" i="1"/>
  <c r="BR959" i="1"/>
  <c r="BQ959" i="1"/>
  <c r="BP959" i="1"/>
  <c r="BO959" i="1"/>
  <c r="BN959" i="1"/>
  <c r="BM959" i="1"/>
  <c r="BL959" i="1"/>
  <c r="BK959" i="1"/>
  <c r="BS159" i="1"/>
  <c r="BR159" i="1"/>
  <c r="BQ159" i="1"/>
  <c r="BP159" i="1"/>
  <c r="BO159" i="1"/>
  <c r="BN159" i="1"/>
  <c r="BM159" i="1"/>
  <c r="BL159" i="1"/>
  <c r="BK159" i="1"/>
  <c r="BS157" i="1"/>
  <c r="BR157" i="1"/>
  <c r="BQ157" i="1"/>
  <c r="BP157" i="1"/>
  <c r="BO157" i="1"/>
  <c r="BN157" i="1"/>
  <c r="BM157" i="1"/>
  <c r="BL157" i="1"/>
  <c r="BK157" i="1"/>
  <c r="BS155" i="1"/>
  <c r="BR155" i="1"/>
  <c r="BQ155" i="1"/>
  <c r="BP155" i="1"/>
  <c r="BO155" i="1"/>
  <c r="BN155" i="1"/>
  <c r="BM155" i="1"/>
  <c r="BL155" i="1"/>
  <c r="BK155" i="1"/>
  <c r="BS123" i="1"/>
  <c r="BR123" i="1"/>
  <c r="BQ123" i="1"/>
  <c r="BP123" i="1"/>
  <c r="BO123" i="1"/>
  <c r="BN123" i="1"/>
  <c r="BM123" i="1"/>
  <c r="BL123" i="1"/>
  <c r="BK123" i="1"/>
  <c r="AD1169" i="1" l="1"/>
  <c r="AF1169" i="1" s="1"/>
  <c r="AD1168" i="1"/>
  <c r="AF1168" i="1" s="1"/>
  <c r="AD1167" i="1"/>
  <c r="AF1167" i="1" s="1"/>
  <c r="AD711" i="1"/>
  <c r="AF711" i="1" s="1"/>
  <c r="AD1165" i="1"/>
  <c r="AF1165" i="1" s="1"/>
  <c r="AD703" i="1"/>
  <c r="AF703" i="1" s="1"/>
  <c r="AD1162" i="1"/>
  <c r="AF1162" i="1" s="1"/>
  <c r="AD1161" i="1"/>
  <c r="AF1161" i="1" s="1"/>
  <c r="AD1160" i="1"/>
  <c r="AF1160" i="1" s="1"/>
  <c r="AF956" i="1"/>
  <c r="AD1157" i="1"/>
  <c r="AF1157" i="1" s="1"/>
  <c r="AD1155" i="1"/>
  <c r="AF1155" i="1" s="1"/>
  <c r="AD1154" i="1"/>
  <c r="AF1154" i="1" s="1"/>
  <c r="AD1153" i="1"/>
  <c r="AF1153" i="1" s="1"/>
  <c r="AD1152" i="1"/>
  <c r="AF1152" i="1" s="1"/>
  <c r="AD1151" i="1"/>
  <c r="AF1151" i="1" s="1"/>
  <c r="AF1150" i="1"/>
  <c r="AD1149" i="1"/>
  <c r="AF1149" i="1" s="1"/>
  <c r="AD1148" i="1"/>
  <c r="AF1148" i="1" s="1"/>
  <c r="AD1147" i="1"/>
  <c r="AF1147" i="1" s="1"/>
  <c r="AD1146" i="1"/>
  <c r="AF1146" i="1" s="1"/>
  <c r="AD1145" i="1"/>
  <c r="AF1145" i="1" s="1"/>
  <c r="AD941" i="1"/>
  <c r="AF941" i="1" s="1"/>
  <c r="AD1143" i="1"/>
  <c r="AF1143" i="1" s="1"/>
  <c r="AD1142" i="1"/>
  <c r="AF1142" i="1" s="1"/>
  <c r="AD1139" i="1"/>
  <c r="AF1139" i="1" s="1"/>
  <c r="AD1138" i="1"/>
  <c r="AF1138" i="1" s="1"/>
  <c r="AD1137" i="1"/>
  <c r="AF1137" i="1" s="1"/>
  <c r="AD1136" i="1"/>
  <c r="AF1136" i="1" s="1"/>
  <c r="AD935" i="1"/>
  <c r="AF935" i="1" s="1"/>
  <c r="AD1134" i="1"/>
  <c r="AF1134" i="1" s="1"/>
  <c r="AD1133" i="1"/>
  <c r="AF1133" i="1" s="1"/>
  <c r="AD1132" i="1"/>
  <c r="AF1132" i="1" s="1"/>
  <c r="AD1131" i="1"/>
  <c r="AF1131" i="1" s="1"/>
  <c r="AD1130" i="1"/>
  <c r="AF1130" i="1" s="1"/>
  <c r="AD1129" i="1"/>
  <c r="AF1129" i="1" s="1"/>
  <c r="AD1128" i="1"/>
  <c r="AF1128" i="1" s="1"/>
  <c r="AD1127" i="1"/>
  <c r="AF1127" i="1" s="1"/>
  <c r="AD1126" i="1"/>
  <c r="AF1126" i="1" s="1"/>
  <c r="AD1125" i="1"/>
  <c r="AF1125" i="1" s="1"/>
  <c r="AD1124" i="1"/>
  <c r="AF1124" i="1" s="1"/>
  <c r="AD1123" i="1"/>
  <c r="AF1123" i="1" s="1"/>
  <c r="AD1122" i="1"/>
  <c r="AF1122" i="1" s="1"/>
  <c r="AD1121" i="1"/>
  <c r="AF1121" i="1" s="1"/>
  <c r="AD1120" i="1"/>
  <c r="AF1120" i="1" s="1"/>
  <c r="AD1118" i="1"/>
  <c r="AF1118" i="1" s="1"/>
  <c r="AD1117" i="1"/>
  <c r="AF1117" i="1" s="1"/>
  <c r="AD737" i="1"/>
  <c r="AF737" i="1" s="1"/>
  <c r="AD1115" i="1"/>
  <c r="AF1115" i="1" s="1"/>
  <c r="AD1114" i="1"/>
  <c r="AF1114" i="1" s="1"/>
  <c r="AD1113" i="1"/>
  <c r="AF1113" i="1" s="1"/>
  <c r="AD1112" i="1"/>
  <c r="AF1112" i="1" s="1"/>
  <c r="AD1111" i="1"/>
  <c r="AF1111" i="1" s="1"/>
  <c r="AD1110" i="1"/>
  <c r="AF1110" i="1" s="1"/>
  <c r="AF1109" i="1"/>
  <c r="AF1108" i="1"/>
  <c r="AF1107" i="1"/>
  <c r="AD1106" i="1"/>
  <c r="AF1106" i="1" s="1"/>
  <c r="AD1105" i="1"/>
  <c r="AF1105" i="1" s="1"/>
  <c r="AD1104" i="1"/>
  <c r="AF1104" i="1" s="1"/>
  <c r="AD1103" i="1"/>
  <c r="AF1103" i="1" s="1"/>
  <c r="AD1102" i="1"/>
  <c r="AF1102" i="1" s="1"/>
  <c r="AD1100" i="1"/>
  <c r="AF1100" i="1" s="1"/>
  <c r="AD1099" i="1"/>
  <c r="AF1099" i="1" s="1"/>
  <c r="AD926" i="1"/>
  <c r="AF926" i="1" s="1"/>
  <c r="AD1096" i="1"/>
  <c r="AF1096" i="1" s="1"/>
  <c r="AD1095" i="1"/>
  <c r="AF1095" i="1" s="1"/>
  <c r="AD1094" i="1"/>
  <c r="AF1094" i="1" s="1"/>
  <c r="AD1093" i="1"/>
  <c r="AF1093" i="1" s="1"/>
  <c r="AD1092" i="1"/>
  <c r="AF1092" i="1" s="1"/>
  <c r="AD1091" i="1"/>
  <c r="AF1091" i="1" s="1"/>
  <c r="AD180" i="1"/>
  <c r="AF180" i="1" s="1"/>
  <c r="AD205" i="1"/>
  <c r="AF205" i="1" s="1"/>
  <c r="AD193" i="1"/>
  <c r="AF193" i="1" s="1"/>
  <c r="AD1087" i="1"/>
  <c r="AF1087" i="1" s="1"/>
  <c r="AD1086" i="1"/>
  <c r="AF1086" i="1" s="1"/>
  <c r="AD590" i="1"/>
  <c r="AF590" i="1" s="1"/>
  <c r="AD1083" i="1"/>
  <c r="AF1083" i="1" s="1"/>
  <c r="AD918" i="1"/>
  <c r="AF918" i="1" s="1"/>
  <c r="AD1081" i="1"/>
  <c r="AF1081" i="1" s="1"/>
  <c r="AD917" i="1"/>
  <c r="AF917" i="1" s="1"/>
  <c r="AD1079" i="1"/>
  <c r="AF1079" i="1" s="1"/>
  <c r="AD1078" i="1"/>
  <c r="AF1078" i="1" s="1"/>
  <c r="AD1077" i="1"/>
  <c r="AF1077" i="1" s="1"/>
  <c r="AD1076" i="1"/>
  <c r="AD1075" i="1"/>
  <c r="AF1075" i="1" s="1"/>
  <c r="AD1074" i="1"/>
  <c r="AF1074" i="1" s="1"/>
  <c r="AD1073" i="1"/>
  <c r="AF1073" i="1" s="1"/>
  <c r="AD1072" i="1"/>
  <c r="AF1072" i="1" s="1"/>
  <c r="AD1071" i="1"/>
  <c r="AF1071" i="1" s="1"/>
  <c r="AD1070" i="1"/>
  <c r="AF1070" i="1" s="1"/>
  <c r="AD1069" i="1"/>
  <c r="AF1069" i="1" s="1"/>
  <c r="AD1068" i="1"/>
  <c r="AF1068" i="1" s="1"/>
  <c r="AD587" i="1"/>
  <c r="AF587" i="1" s="1"/>
  <c r="AD1066" i="1"/>
  <c r="AF1066" i="1" s="1"/>
  <c r="AD1065" i="1"/>
  <c r="AF1065" i="1" s="1"/>
  <c r="AD1064" i="1"/>
  <c r="AF1064" i="1" s="1"/>
  <c r="AD1063" i="1"/>
  <c r="AF1063" i="1" s="1"/>
  <c r="AD1060" i="1"/>
  <c r="AF1060" i="1" s="1"/>
  <c r="AD314" i="1"/>
  <c r="AF314" i="1" s="1"/>
  <c r="AD1058" i="1"/>
  <c r="AF1058" i="1" s="1"/>
  <c r="AD916" i="1"/>
  <c r="AF916" i="1" s="1"/>
  <c r="AD1055" i="1"/>
  <c r="AF1055" i="1" s="1"/>
  <c r="AD1054" i="1"/>
  <c r="AF1054" i="1" s="1"/>
  <c r="AD1050" i="1"/>
  <c r="AF1050" i="1" s="1"/>
  <c r="AD1049" i="1"/>
  <c r="AF1049" i="1" s="1"/>
  <c r="AD1048" i="1"/>
  <c r="AF1048" i="1" s="1"/>
  <c r="AD1047" i="1"/>
  <c r="AF1047" i="1" s="1"/>
  <c r="AD1046" i="1"/>
  <c r="AF1046" i="1" s="1"/>
  <c r="AD1045" i="1"/>
  <c r="AF1045" i="1" s="1"/>
  <c r="AD1043" i="1"/>
  <c r="AF1043" i="1" s="1"/>
  <c r="AD1041" i="1"/>
  <c r="AF1041" i="1" s="1"/>
  <c r="AD1039" i="1"/>
  <c r="AF1039" i="1" s="1"/>
  <c r="AD1038" i="1"/>
  <c r="AF1038" i="1" s="1"/>
  <c r="AD1037" i="1"/>
  <c r="AF1037" i="1" s="1"/>
  <c r="AD913" i="1"/>
  <c r="AF913" i="1" s="1"/>
  <c r="AD21" i="1"/>
  <c r="AF21" i="1" s="1"/>
  <c r="AD29" i="1"/>
  <c r="AF29" i="1" s="1"/>
  <c r="AD912" i="1"/>
  <c r="AF912" i="1" s="1"/>
  <c r="AD1032" i="1"/>
  <c r="AF1032" i="1" s="1"/>
  <c r="AD1031" i="1"/>
  <c r="AF1031" i="1" s="1"/>
  <c r="AD1030" i="1"/>
  <c r="AF1030" i="1" s="1"/>
  <c r="AD1028" i="1"/>
  <c r="AF1028" i="1" s="1"/>
  <c r="AD1027" i="1"/>
  <c r="AF1027" i="1" s="1"/>
  <c r="AD900" i="1"/>
  <c r="AF900" i="1" s="1"/>
  <c r="AD1025" i="1"/>
  <c r="AF1025" i="1" s="1"/>
  <c r="AD1024" i="1"/>
  <c r="AF1024" i="1" s="1"/>
  <c r="AD1023" i="1"/>
  <c r="AF1023" i="1" s="1"/>
  <c r="AD1022" i="1"/>
  <c r="AF1022" i="1" s="1"/>
  <c r="AD1021" i="1"/>
  <c r="AF1021" i="1" s="1"/>
  <c r="AD876" i="1"/>
  <c r="AF876" i="1" s="1"/>
  <c r="AD873" i="1"/>
  <c r="AF873" i="1" s="1"/>
  <c r="AD1018" i="1"/>
  <c r="AF1018" i="1" s="1"/>
  <c r="AD1017" i="1"/>
  <c r="AF1017" i="1" s="1"/>
  <c r="AD677" i="1"/>
  <c r="AF677" i="1" s="1"/>
  <c r="AD667" i="1"/>
  <c r="AF667" i="1" s="1"/>
  <c r="AD1014" i="1"/>
  <c r="AF1014" i="1" s="1"/>
  <c r="AD1013" i="1"/>
  <c r="AF1013" i="1" s="1"/>
  <c r="AD1012" i="1"/>
  <c r="AF1012" i="1" s="1"/>
  <c r="AD1011" i="1"/>
  <c r="AF1011" i="1" s="1"/>
  <c r="AD1010" i="1"/>
  <c r="AF1010" i="1" s="1"/>
  <c r="AD868" i="1"/>
  <c r="AF868" i="1" s="1"/>
  <c r="AD1008" i="1"/>
  <c r="AF1008" i="1" s="1"/>
  <c r="AD1007" i="1"/>
  <c r="AF1007" i="1" s="1"/>
  <c r="AD1006" i="1"/>
  <c r="AF1006" i="1" s="1"/>
  <c r="AD1005" i="1"/>
  <c r="AF1005" i="1" s="1"/>
  <c r="AD1004" i="1"/>
  <c r="AF1004" i="1" s="1"/>
  <c r="AD1003" i="1"/>
  <c r="AF1003" i="1" s="1"/>
  <c r="AD1002" i="1"/>
  <c r="AF1002" i="1" s="1"/>
  <c r="AD1001" i="1"/>
  <c r="AF1001" i="1" s="1"/>
  <c r="AD1000" i="1"/>
  <c r="AF1000" i="1" s="1"/>
  <c r="AD999" i="1"/>
  <c r="AF999" i="1" s="1"/>
  <c r="AD998" i="1"/>
  <c r="AF998" i="1" s="1"/>
  <c r="AD997" i="1"/>
  <c r="AF997" i="1" s="1"/>
  <c r="AD996" i="1"/>
  <c r="AF996" i="1" s="1"/>
  <c r="AD995" i="1"/>
  <c r="AF995" i="1" s="1"/>
  <c r="AD994" i="1"/>
  <c r="AF994" i="1" s="1"/>
  <c r="AD993" i="1"/>
  <c r="AF993" i="1" s="1"/>
  <c r="AD991" i="1"/>
  <c r="AF991" i="1" s="1"/>
  <c r="AD990" i="1"/>
  <c r="AF990" i="1" s="1"/>
  <c r="AD989" i="1"/>
  <c r="AF989" i="1" s="1"/>
  <c r="AD988" i="1"/>
  <c r="AF988" i="1" s="1"/>
  <c r="AD987" i="1"/>
  <c r="AF987" i="1" s="1"/>
  <c r="AD986" i="1"/>
  <c r="AF986" i="1" s="1"/>
  <c r="AD985" i="1"/>
  <c r="AF985" i="1" s="1"/>
  <c r="AD984" i="1"/>
  <c r="AF984" i="1" s="1"/>
  <c r="AD983" i="1"/>
  <c r="AF983" i="1" s="1"/>
  <c r="AD982" i="1"/>
  <c r="AF982" i="1" s="1"/>
  <c r="AD981" i="1"/>
  <c r="AF981" i="1" s="1"/>
  <c r="AD980" i="1"/>
  <c r="AF980" i="1" s="1"/>
  <c r="AD979" i="1"/>
  <c r="AF979" i="1" s="1"/>
  <c r="AD978" i="1"/>
  <c r="AF978" i="1" s="1"/>
  <c r="AD977" i="1"/>
  <c r="AF977" i="1" s="1"/>
  <c r="AD976" i="1"/>
  <c r="AF976" i="1" s="1"/>
  <c r="AD975" i="1"/>
  <c r="AF975" i="1" s="1"/>
  <c r="AD972" i="1"/>
  <c r="AF972" i="1" s="1"/>
  <c r="AD971" i="1"/>
  <c r="AF971" i="1" s="1"/>
  <c r="AD970" i="1"/>
  <c r="AF970" i="1" s="1"/>
  <c r="AD969" i="1"/>
  <c r="AF969" i="1" s="1"/>
  <c r="AD968" i="1"/>
  <c r="AF968" i="1" s="1"/>
  <c r="AD967" i="1"/>
  <c r="AF967" i="1" s="1"/>
  <c r="AD966" i="1"/>
  <c r="AF966" i="1" s="1"/>
  <c r="AD965" i="1"/>
  <c r="AF965" i="1" s="1"/>
  <c r="AD176" i="1"/>
  <c r="AF176" i="1" s="1"/>
  <c r="AD962" i="1"/>
  <c r="AF962" i="1" s="1"/>
  <c r="AD961" i="1"/>
  <c r="AF961" i="1" s="1"/>
  <c r="AD960" i="1"/>
  <c r="AF960" i="1" s="1"/>
  <c r="AD59" i="1"/>
  <c r="AF59" i="1" s="1"/>
  <c r="AD958" i="1"/>
  <c r="AF958" i="1" s="1"/>
  <c r="AD957" i="1"/>
  <c r="AF957" i="1" s="1"/>
  <c r="AF955" i="1"/>
  <c r="AD866" i="1"/>
  <c r="AF866" i="1" s="1"/>
  <c r="AD953" i="1"/>
  <c r="AF953" i="1" s="1"/>
  <c r="AD952" i="1"/>
  <c r="AF952" i="1" s="1"/>
  <c r="AD951" i="1"/>
  <c r="AF951" i="1" s="1"/>
  <c r="AD950" i="1"/>
  <c r="AF950" i="1" s="1"/>
  <c r="AD1159" i="1"/>
  <c r="AF1159" i="1" s="1"/>
  <c r="AD948" i="1"/>
  <c r="AF948" i="1" s="1"/>
  <c r="AD947" i="1"/>
  <c r="AF947" i="1" s="1"/>
  <c r="AD946" i="1"/>
  <c r="AF946" i="1" s="1"/>
  <c r="AD945" i="1"/>
  <c r="AF945" i="1" s="1"/>
  <c r="AD944" i="1"/>
  <c r="AF944" i="1" s="1"/>
  <c r="AD943" i="1"/>
  <c r="AF943" i="1" s="1"/>
  <c r="AD860" i="1"/>
  <c r="AF860" i="1" s="1"/>
  <c r="AD940" i="1"/>
  <c r="AF940" i="1" s="1"/>
  <c r="AD939" i="1"/>
  <c r="AF939" i="1" s="1"/>
  <c r="AD938" i="1"/>
  <c r="AF938" i="1" s="1"/>
  <c r="AD937" i="1"/>
  <c r="AF937" i="1" s="1"/>
  <c r="AD936" i="1"/>
  <c r="AF936" i="1" s="1"/>
  <c r="AD764" i="1"/>
  <c r="AF764" i="1" s="1"/>
  <c r="AD934" i="1"/>
  <c r="AF934" i="1" s="1"/>
  <c r="AD933" i="1"/>
  <c r="AF933" i="1" s="1"/>
  <c r="AD932" i="1"/>
  <c r="AF932" i="1" s="1"/>
  <c r="AD931" i="1"/>
  <c r="AF931" i="1" s="1"/>
  <c r="AD930" i="1"/>
  <c r="AF930" i="1" s="1"/>
  <c r="AD830" i="1"/>
  <c r="AF830" i="1" s="1"/>
  <c r="AD928" i="1"/>
  <c r="AF928" i="1" s="1"/>
  <c r="AD927" i="1"/>
  <c r="AF927" i="1" s="1"/>
  <c r="AD736" i="1"/>
  <c r="AF736" i="1" s="1"/>
  <c r="AD925" i="1"/>
  <c r="AF925" i="1" s="1"/>
  <c r="AD924" i="1"/>
  <c r="AF924" i="1" s="1"/>
  <c r="AD923" i="1"/>
  <c r="AF923" i="1" s="1"/>
  <c r="AD922" i="1"/>
  <c r="AF922" i="1" s="1"/>
  <c r="AD921" i="1"/>
  <c r="AF921" i="1" s="1"/>
  <c r="AD920" i="1"/>
  <c r="AF920" i="1" s="1"/>
  <c r="AD919" i="1"/>
  <c r="AF919" i="1" s="1"/>
  <c r="AD825" i="1"/>
  <c r="AF825" i="1" s="1"/>
  <c r="AD819" i="1"/>
  <c r="AF819" i="1" s="1"/>
  <c r="AD818" i="1"/>
  <c r="AF818" i="1" s="1"/>
  <c r="AD915" i="1"/>
  <c r="AF915" i="1" s="1"/>
  <c r="AD815" i="1"/>
  <c r="AF815" i="1" s="1"/>
  <c r="AD799" i="1"/>
  <c r="AF799" i="1" s="1"/>
  <c r="AD911" i="1"/>
  <c r="AF911" i="1" s="1"/>
  <c r="AD910" i="1"/>
  <c r="AF910" i="1" s="1"/>
  <c r="AD908" i="1"/>
  <c r="AF908" i="1" s="1"/>
  <c r="AD909" i="1"/>
  <c r="AF909" i="1" s="1"/>
  <c r="AD907" i="1"/>
  <c r="AF907" i="1" s="1"/>
  <c r="AD906" i="1"/>
  <c r="AF906" i="1" s="1"/>
  <c r="AD904" i="1"/>
  <c r="AF904" i="1" s="1"/>
  <c r="AD903" i="1"/>
  <c r="AF903" i="1" s="1"/>
  <c r="AD902" i="1"/>
  <c r="AF902" i="1" s="1"/>
  <c r="AD901" i="1"/>
  <c r="AF901" i="1" s="1"/>
  <c r="AD582" i="1"/>
  <c r="AF582" i="1" s="1"/>
  <c r="AD899" i="1"/>
  <c r="AF899" i="1" s="1"/>
  <c r="AD898" i="1"/>
  <c r="AF898" i="1" s="1"/>
  <c r="AD897" i="1"/>
  <c r="AF897" i="1" s="1"/>
  <c r="AD896" i="1"/>
  <c r="AF896" i="1" s="1"/>
  <c r="AD895" i="1"/>
  <c r="AF895" i="1" s="1"/>
  <c r="AD894" i="1"/>
  <c r="AF894" i="1" s="1"/>
  <c r="AD893" i="1"/>
  <c r="AF893" i="1" s="1"/>
  <c r="AD892" i="1"/>
  <c r="AF892" i="1" s="1"/>
  <c r="AD890" i="1"/>
  <c r="AF890" i="1" s="1"/>
  <c r="AD889" i="1"/>
  <c r="AF889" i="1" s="1"/>
  <c r="AD888" i="1"/>
  <c r="AF888" i="1" s="1"/>
  <c r="AD887" i="1"/>
  <c r="AF887" i="1" s="1"/>
  <c r="AD886" i="1"/>
  <c r="AF886" i="1" s="1"/>
  <c r="AD885" i="1"/>
  <c r="AF885" i="1" s="1"/>
  <c r="AD884" i="1"/>
  <c r="AF884" i="1" s="1"/>
  <c r="AD883" i="1"/>
  <c r="AF883" i="1" s="1"/>
  <c r="AD882" i="1"/>
  <c r="AF882" i="1" s="1"/>
  <c r="AD881" i="1"/>
  <c r="AF881" i="1" s="1"/>
  <c r="AD880" i="1"/>
  <c r="AF880" i="1" s="1"/>
  <c r="AD879" i="1"/>
  <c r="AF879" i="1" s="1"/>
  <c r="AD878" i="1"/>
  <c r="AF878" i="1" s="1"/>
  <c r="AD877" i="1"/>
  <c r="AF877" i="1" s="1"/>
  <c r="AD657" i="1"/>
  <c r="AF657" i="1" s="1"/>
  <c r="AD875" i="1"/>
  <c r="AF875" i="1" s="1"/>
  <c r="AD874" i="1"/>
  <c r="AF874" i="1" s="1"/>
  <c r="AD872" i="1"/>
  <c r="AF872" i="1" s="1"/>
  <c r="AD871" i="1"/>
  <c r="AF871" i="1" s="1"/>
  <c r="AD870" i="1"/>
  <c r="AF870" i="1" s="1"/>
  <c r="AD869" i="1"/>
  <c r="AF869" i="1" s="1"/>
  <c r="AD867" i="1"/>
  <c r="AF867" i="1" s="1"/>
  <c r="AD346" i="1"/>
  <c r="AF346" i="1" s="1"/>
  <c r="AD865" i="1"/>
  <c r="AF865" i="1" s="1"/>
  <c r="AD864" i="1"/>
  <c r="AF864" i="1" s="1"/>
  <c r="AD863" i="1"/>
  <c r="AF863" i="1" s="1"/>
  <c r="AD862" i="1"/>
  <c r="AF862" i="1" s="1"/>
  <c r="AD861" i="1"/>
  <c r="AF861" i="1" s="1"/>
  <c r="AD741" i="1"/>
  <c r="AF741" i="1" s="1"/>
  <c r="AD859" i="1"/>
  <c r="AF859" i="1" s="1"/>
  <c r="AD858" i="1"/>
  <c r="AF858" i="1" s="1"/>
  <c r="AD857" i="1"/>
  <c r="AF857" i="1" s="1"/>
  <c r="AD856" i="1"/>
  <c r="AF856" i="1" s="1"/>
  <c r="AD854" i="1"/>
  <c r="AF854" i="1" s="1"/>
  <c r="AD852" i="1"/>
  <c r="AF852" i="1" s="1"/>
  <c r="AD851" i="1"/>
  <c r="AF851" i="1" s="1"/>
  <c r="AD850" i="1"/>
  <c r="AF850" i="1" s="1"/>
  <c r="AD849" i="1"/>
  <c r="AF849" i="1" s="1"/>
  <c r="AD848" i="1"/>
  <c r="AF848" i="1" s="1"/>
  <c r="AD847" i="1"/>
  <c r="AF847" i="1" s="1"/>
  <c r="AD846" i="1"/>
  <c r="AF846" i="1" s="1"/>
  <c r="AD845" i="1"/>
  <c r="AF845" i="1" s="1"/>
  <c r="AD844" i="1"/>
  <c r="AF844" i="1" s="1"/>
  <c r="AD843" i="1"/>
  <c r="AF843" i="1" s="1"/>
  <c r="AD842" i="1"/>
  <c r="AF842" i="1" s="1"/>
  <c r="AD841" i="1"/>
  <c r="AF841" i="1" s="1"/>
  <c r="AD840" i="1"/>
  <c r="AF840" i="1" s="1"/>
  <c r="AD839" i="1"/>
  <c r="AF839" i="1" s="1"/>
  <c r="AD838" i="1"/>
  <c r="AF838" i="1" s="1"/>
  <c r="AD837" i="1"/>
  <c r="AF837" i="1" s="1"/>
  <c r="AD836" i="1"/>
  <c r="AF836" i="1" s="1"/>
  <c r="AD835" i="1"/>
  <c r="AF835" i="1" s="1"/>
  <c r="AD834" i="1"/>
  <c r="AF834" i="1" s="1"/>
  <c r="AD833" i="1"/>
  <c r="AF833" i="1" s="1"/>
  <c r="AD832" i="1"/>
  <c r="AF832" i="1" s="1"/>
  <c r="AD831" i="1"/>
  <c r="AF831" i="1" s="1"/>
  <c r="AD760" i="1"/>
  <c r="AF760" i="1" s="1"/>
  <c r="AD829" i="1"/>
  <c r="AF829" i="1" s="1"/>
  <c r="AD828" i="1"/>
  <c r="AF828" i="1" s="1"/>
  <c r="AD827" i="1"/>
  <c r="AF827" i="1" s="1"/>
  <c r="AD826" i="1"/>
  <c r="AF826" i="1" s="1"/>
  <c r="AD656" i="1"/>
  <c r="AF656" i="1" s="1"/>
  <c r="AD824" i="1"/>
  <c r="AF824" i="1" s="1"/>
  <c r="AD822" i="1"/>
  <c r="AF822" i="1" s="1"/>
  <c r="AD821" i="1"/>
  <c r="AF821" i="1" s="1"/>
  <c r="AD820" i="1"/>
  <c r="AF820" i="1" s="1"/>
  <c r="AD795" i="1"/>
  <c r="AF795" i="1" s="1"/>
  <c r="AD817" i="1"/>
  <c r="AF817" i="1" s="1"/>
  <c r="AD816" i="1"/>
  <c r="AF816" i="1" s="1"/>
  <c r="AD757" i="1"/>
  <c r="AF757" i="1" s="1"/>
  <c r="AD813" i="1"/>
  <c r="AF813" i="1" s="1"/>
  <c r="AD811" i="1"/>
  <c r="AF811" i="1" s="1"/>
  <c r="AD810" i="1"/>
  <c r="AF810" i="1" s="1"/>
  <c r="AD809" i="1"/>
  <c r="AF809" i="1" s="1"/>
  <c r="AD808" i="1"/>
  <c r="AF808" i="1" s="1"/>
  <c r="AD807" i="1"/>
  <c r="AF807" i="1" s="1"/>
  <c r="AD805" i="1"/>
  <c r="AF805" i="1" s="1"/>
  <c r="AD804" i="1"/>
  <c r="AF804" i="1" s="1"/>
  <c r="AD803" i="1"/>
  <c r="AF803" i="1" s="1"/>
  <c r="AD802" i="1"/>
  <c r="AF802" i="1" s="1"/>
  <c r="AD801" i="1"/>
  <c r="AF801" i="1" s="1"/>
  <c r="AD800" i="1"/>
  <c r="AF800" i="1" s="1"/>
  <c r="AD744" i="1"/>
  <c r="AF744" i="1" s="1"/>
  <c r="AD798" i="1"/>
  <c r="AF798" i="1" s="1"/>
  <c r="AD797" i="1"/>
  <c r="AF797" i="1" s="1"/>
  <c r="AD796" i="1"/>
  <c r="AF796" i="1" s="1"/>
  <c r="AD1085" i="1"/>
  <c r="AF1085" i="1" s="1"/>
  <c r="AD794" i="1"/>
  <c r="AF794" i="1" s="1"/>
  <c r="AD792" i="1"/>
  <c r="AF792" i="1" s="1"/>
  <c r="AD791" i="1"/>
  <c r="AF791" i="1" s="1"/>
  <c r="AD40" i="1"/>
  <c r="AF40" i="1" s="1"/>
  <c r="AD789" i="1"/>
  <c r="AF789" i="1" s="1"/>
  <c r="AD788" i="1"/>
  <c r="AF788" i="1" s="1"/>
  <c r="AD787" i="1"/>
  <c r="AF787" i="1" s="1"/>
  <c r="AD786" i="1"/>
  <c r="AF786" i="1" s="1"/>
  <c r="AD785" i="1"/>
  <c r="AF785" i="1" s="1"/>
  <c r="AD784" i="1"/>
  <c r="AF784" i="1" s="1"/>
  <c r="AD783" i="1"/>
  <c r="AF783" i="1" s="1"/>
  <c r="AD782" i="1"/>
  <c r="AF782" i="1" s="1"/>
  <c r="AD781" i="1"/>
  <c r="AF781" i="1" s="1"/>
  <c r="AD790" i="1"/>
  <c r="AF790" i="1" s="1"/>
  <c r="AD779" i="1"/>
  <c r="AF779" i="1" s="1"/>
  <c r="AD1084" i="1"/>
  <c r="AF1084" i="1" s="1"/>
  <c r="AD777" i="1"/>
  <c r="AF777" i="1" s="1"/>
  <c r="AD776" i="1"/>
  <c r="AF776" i="1" s="1"/>
  <c r="AD775" i="1"/>
  <c r="AF775" i="1" s="1"/>
  <c r="AD774" i="1"/>
  <c r="AF774" i="1" s="1"/>
  <c r="AD773" i="1"/>
  <c r="AF773" i="1" s="1"/>
  <c r="AD772" i="1"/>
  <c r="AF772" i="1" s="1"/>
  <c r="AD771" i="1"/>
  <c r="AF771" i="1" s="1"/>
  <c r="AD770" i="1"/>
  <c r="AF770" i="1" s="1"/>
  <c r="AD769" i="1"/>
  <c r="AF769" i="1" s="1"/>
  <c r="AD768" i="1"/>
  <c r="AF768" i="1" s="1"/>
  <c r="AD767" i="1"/>
  <c r="AF767" i="1" s="1"/>
  <c r="AD766" i="1"/>
  <c r="AF766" i="1" s="1"/>
  <c r="AD765" i="1"/>
  <c r="AF765" i="1" s="1"/>
  <c r="AD780" i="1"/>
  <c r="AF780" i="1" s="1"/>
  <c r="AD763" i="1"/>
  <c r="AF763" i="1" s="1"/>
  <c r="AD408" i="1"/>
  <c r="AF408" i="1" s="1"/>
  <c r="AD759" i="1"/>
  <c r="AF759" i="1" s="1"/>
  <c r="AD758" i="1"/>
  <c r="AF758" i="1" s="1"/>
  <c r="AD301" i="1"/>
  <c r="AF301" i="1" s="1"/>
  <c r="AD755" i="1"/>
  <c r="AF755" i="1" s="1"/>
  <c r="AD754" i="1"/>
  <c r="AF754" i="1" s="1"/>
  <c r="AD753" i="1"/>
  <c r="AF753" i="1" s="1"/>
  <c r="AD752" i="1"/>
  <c r="AF752" i="1" s="1"/>
  <c r="AD751" i="1"/>
  <c r="AF751" i="1" s="1"/>
  <c r="AD750" i="1"/>
  <c r="AF750" i="1" s="1"/>
  <c r="AD749" i="1"/>
  <c r="AF749" i="1" s="1"/>
  <c r="AD748" i="1"/>
  <c r="AF748" i="1" s="1"/>
  <c r="AD747" i="1"/>
  <c r="AF747" i="1" s="1"/>
  <c r="AD1082" i="1"/>
  <c r="AF1082" i="1" s="1"/>
  <c r="AD1080" i="1"/>
  <c r="AF1080" i="1" s="1"/>
  <c r="AD1067" i="1"/>
  <c r="AF1067" i="1" s="1"/>
  <c r="AD1059" i="1"/>
  <c r="AF1059" i="1" s="1"/>
  <c r="AD740" i="1"/>
  <c r="AF740" i="1" s="1"/>
  <c r="AD739" i="1"/>
  <c r="AF739" i="1" s="1"/>
  <c r="AD738" i="1"/>
  <c r="AF738" i="1" s="1"/>
  <c r="AD1057" i="1"/>
  <c r="AF1057" i="1" s="1"/>
  <c r="AD1036" i="1"/>
  <c r="AF1036" i="1" s="1"/>
  <c r="AD1035" i="1"/>
  <c r="AF1035" i="1" s="1"/>
  <c r="AD734" i="1"/>
  <c r="AF734" i="1" s="1"/>
  <c r="AD732" i="1"/>
  <c r="AF732" i="1" s="1"/>
  <c r="AD729" i="1"/>
  <c r="AF729" i="1" s="1"/>
  <c r="AD728" i="1"/>
  <c r="AF728" i="1" s="1"/>
  <c r="AD727" i="1"/>
  <c r="AF727" i="1" s="1"/>
  <c r="AD726" i="1"/>
  <c r="AF726" i="1" s="1"/>
  <c r="AD725" i="1"/>
  <c r="AF725" i="1" s="1"/>
  <c r="AD724" i="1"/>
  <c r="AF724" i="1" s="1"/>
  <c r="AD778" i="1"/>
  <c r="AF778" i="1" s="1"/>
  <c r="AD722" i="1"/>
  <c r="AF722" i="1" s="1"/>
  <c r="AD721" i="1"/>
  <c r="AF721" i="1" s="1"/>
  <c r="AD720" i="1"/>
  <c r="AF720" i="1" s="1"/>
  <c r="AD718" i="1"/>
  <c r="AF718" i="1" s="1"/>
  <c r="AD717" i="1"/>
  <c r="AF717" i="1" s="1"/>
  <c r="AD716" i="1"/>
  <c r="AF716" i="1" s="1"/>
  <c r="AD714" i="1"/>
  <c r="AF714" i="1" s="1"/>
  <c r="AD713" i="1"/>
  <c r="AF713" i="1" s="1"/>
  <c r="AD743" i="1"/>
  <c r="AF743" i="1" s="1"/>
  <c r="AD1034" i="1"/>
  <c r="AF1034" i="1" s="1"/>
  <c r="AD710" i="1"/>
  <c r="AF710" i="1" s="1"/>
  <c r="AD709" i="1"/>
  <c r="AF709" i="1" s="1"/>
  <c r="AD708" i="1"/>
  <c r="AF708" i="1" s="1"/>
  <c r="AD707" i="1"/>
  <c r="AD706" i="1"/>
  <c r="AF706" i="1" s="1"/>
  <c r="AD705" i="1"/>
  <c r="AF705" i="1" s="1"/>
  <c r="AD704" i="1"/>
  <c r="AF704" i="1" s="1"/>
  <c r="AF949" i="1"/>
  <c r="AD702" i="1"/>
  <c r="AF702" i="1" s="1"/>
  <c r="AD701" i="1"/>
  <c r="AF701" i="1" s="1"/>
  <c r="AD700" i="1"/>
  <c r="AF700" i="1" s="1"/>
  <c r="AD699" i="1"/>
  <c r="AF699" i="1" s="1"/>
  <c r="AD698" i="1"/>
  <c r="AF698" i="1" s="1"/>
  <c r="AD697" i="1"/>
  <c r="AF697" i="1" s="1"/>
  <c r="AD696" i="1"/>
  <c r="AD695" i="1"/>
  <c r="AD694" i="1"/>
  <c r="AD693" i="1"/>
  <c r="AD692" i="1"/>
  <c r="AF692" i="1" s="1"/>
  <c r="AD691" i="1"/>
  <c r="AF691" i="1" s="1"/>
  <c r="AD690" i="1"/>
  <c r="AF690" i="1" s="1"/>
  <c r="AD689" i="1"/>
  <c r="AD688" i="1"/>
  <c r="AD687" i="1"/>
  <c r="AD686" i="1"/>
  <c r="AD685" i="1"/>
  <c r="AD684" i="1"/>
  <c r="AF684" i="1" s="1"/>
  <c r="AD683" i="1"/>
  <c r="AF683" i="1" s="1"/>
  <c r="AD682" i="1"/>
  <c r="AF682" i="1" s="1"/>
  <c r="AD681" i="1"/>
  <c r="AF681" i="1" s="1"/>
  <c r="AD680" i="1"/>
  <c r="AF680" i="1" s="1"/>
  <c r="AD679" i="1"/>
  <c r="AF679" i="1" s="1"/>
  <c r="AD678" i="1"/>
  <c r="AF678" i="1" s="1"/>
  <c r="AF1033" i="1"/>
  <c r="AD676" i="1"/>
  <c r="AF676" i="1" s="1"/>
  <c r="AD675" i="1"/>
  <c r="AF675" i="1" s="1"/>
  <c r="AD674" i="1"/>
  <c r="AF674" i="1" s="1"/>
  <c r="AD672" i="1"/>
  <c r="AF672" i="1" s="1"/>
  <c r="AD671" i="1"/>
  <c r="AF671" i="1" s="1"/>
  <c r="AD670" i="1"/>
  <c r="AF670" i="1" s="1"/>
  <c r="AD669" i="1"/>
  <c r="AF669" i="1" s="1"/>
  <c r="AD668" i="1"/>
  <c r="AF668" i="1" s="1"/>
  <c r="AD653" i="1"/>
  <c r="AF653" i="1" s="1"/>
  <c r="AD666" i="1"/>
  <c r="AF666" i="1" s="1"/>
  <c r="AD665" i="1"/>
  <c r="AF665" i="1" s="1"/>
  <c r="AD664" i="1"/>
  <c r="AF664" i="1" s="1"/>
  <c r="AD663" i="1"/>
  <c r="AF663" i="1" s="1"/>
  <c r="AD662" i="1"/>
  <c r="AF662" i="1" s="1"/>
  <c r="AD661" i="1"/>
  <c r="AF661" i="1" s="1"/>
  <c r="AD660" i="1"/>
  <c r="AF660" i="1" s="1"/>
  <c r="AD659" i="1"/>
  <c r="AF659" i="1" s="1"/>
  <c r="AD658" i="1"/>
  <c r="AF658" i="1" s="1"/>
  <c r="AD28" i="1"/>
  <c r="AF28" i="1" s="1"/>
  <c r="AD393" i="1"/>
  <c r="AF393" i="1" s="1"/>
  <c r="AD392" i="1"/>
  <c r="AF392" i="1" s="1"/>
  <c r="AD654" i="1"/>
  <c r="AF654" i="1" s="1"/>
  <c r="AD1026" i="1"/>
  <c r="AF1026" i="1" s="1"/>
  <c r="AD652" i="1"/>
  <c r="AF652" i="1" s="1"/>
  <c r="AD651" i="1"/>
  <c r="AF651" i="1" s="1"/>
  <c r="AD650" i="1"/>
  <c r="AF650" i="1" s="1"/>
  <c r="AD649" i="1"/>
  <c r="AF649" i="1" s="1"/>
  <c r="AD648" i="1"/>
  <c r="AF648" i="1" s="1"/>
  <c r="AD647" i="1"/>
  <c r="AF647" i="1" s="1"/>
  <c r="AD646" i="1"/>
  <c r="AF646" i="1" s="1"/>
  <c r="AD645" i="1"/>
  <c r="AF645" i="1" s="1"/>
  <c r="AD332" i="1"/>
  <c r="AF332" i="1" s="1"/>
  <c r="AD643" i="1"/>
  <c r="AF643" i="1" s="1"/>
  <c r="AD642" i="1"/>
  <c r="AF642" i="1" s="1"/>
  <c r="AD431" i="1"/>
  <c r="AF431" i="1" s="1"/>
  <c r="AD640" i="1"/>
  <c r="AD639" i="1"/>
  <c r="AF639" i="1" s="1"/>
  <c r="AD638" i="1"/>
  <c r="AF638" i="1" s="1"/>
  <c r="AD573" i="1"/>
  <c r="AF573" i="1" s="1"/>
  <c r="AD636" i="1"/>
  <c r="AF636" i="1" s="1"/>
  <c r="AD572" i="1"/>
  <c r="AF572" i="1" s="1"/>
  <c r="AD634" i="1"/>
  <c r="AF634" i="1" s="1"/>
  <c r="AD633" i="1"/>
  <c r="AF633" i="1" s="1"/>
  <c r="AD632" i="1"/>
  <c r="AF632" i="1" s="1"/>
  <c r="AD569" i="1"/>
  <c r="AF569" i="1" s="1"/>
  <c r="AD630" i="1"/>
  <c r="AF630" i="1" s="1"/>
  <c r="AD629" i="1"/>
  <c r="AF629" i="1" s="1"/>
  <c r="AD628" i="1"/>
  <c r="AF628" i="1" s="1"/>
  <c r="AD627" i="1"/>
  <c r="AF627" i="1" s="1"/>
  <c r="AD626" i="1"/>
  <c r="AF626" i="1" s="1"/>
  <c r="AD625" i="1"/>
  <c r="AF625" i="1" s="1"/>
  <c r="AD624" i="1"/>
  <c r="AF624" i="1" s="1"/>
  <c r="AD623" i="1"/>
  <c r="AF623" i="1" s="1"/>
  <c r="AD285" i="1"/>
  <c r="AF285" i="1" s="1"/>
  <c r="AD620" i="1"/>
  <c r="AF620" i="1" s="1"/>
  <c r="AD253" i="1"/>
  <c r="AF253" i="1" s="1"/>
  <c r="AD619" i="1"/>
  <c r="AF619" i="1" s="1"/>
  <c r="AD617" i="1"/>
  <c r="AF617" i="1" s="1"/>
  <c r="AD616" i="1"/>
  <c r="AF616" i="1" s="1"/>
  <c r="AD615" i="1"/>
  <c r="AF615" i="1" s="1"/>
  <c r="AD614" i="1"/>
  <c r="AF614" i="1" s="1"/>
  <c r="AD613" i="1"/>
  <c r="AF613" i="1" s="1"/>
  <c r="AD612" i="1"/>
  <c r="AF612" i="1" s="1"/>
  <c r="AD611" i="1"/>
  <c r="AF611" i="1" s="1"/>
  <c r="AD610" i="1"/>
  <c r="AF610" i="1" s="1"/>
  <c r="AD553" i="1"/>
  <c r="AF553" i="1" s="1"/>
  <c r="AD608" i="1"/>
  <c r="AF608" i="1" s="1"/>
  <c r="AD607" i="1"/>
  <c r="AF607" i="1" s="1"/>
  <c r="AD606" i="1"/>
  <c r="AF606" i="1" s="1"/>
  <c r="AD605" i="1"/>
  <c r="AF605" i="1" s="1"/>
  <c r="AD604" i="1"/>
  <c r="AF604" i="1" s="1"/>
  <c r="AD603" i="1"/>
  <c r="AD602" i="1"/>
  <c r="AF602" i="1" s="1"/>
  <c r="AD601" i="1"/>
  <c r="AF601" i="1" s="1"/>
  <c r="AD600" i="1"/>
  <c r="AF600" i="1" s="1"/>
  <c r="AD599" i="1"/>
  <c r="AF599" i="1" s="1"/>
  <c r="AD598" i="1"/>
  <c r="AF598" i="1" s="1"/>
  <c r="AD597" i="1"/>
  <c r="AF597" i="1" s="1"/>
  <c r="AF596" i="1"/>
  <c r="AD535" i="1"/>
  <c r="AF535" i="1" s="1"/>
  <c r="AD594" i="1"/>
  <c r="AF594" i="1" s="1"/>
  <c r="AD593" i="1"/>
  <c r="AF593" i="1" s="1"/>
  <c r="AD592" i="1"/>
  <c r="AF592" i="1" s="1"/>
  <c r="AD591" i="1"/>
  <c r="AF591" i="1" s="1"/>
  <c r="AD98" i="1"/>
  <c r="AD589" i="1"/>
  <c r="AF589" i="1" s="1"/>
  <c r="AD588" i="1"/>
  <c r="AF588" i="1" s="1"/>
  <c r="AD963" i="1"/>
  <c r="AF963" i="1" s="1"/>
  <c r="AD586" i="1"/>
  <c r="AF586" i="1" s="1"/>
  <c r="AD585" i="1"/>
  <c r="AF585" i="1" s="1"/>
  <c r="AD584" i="1"/>
  <c r="AF584" i="1" s="1"/>
  <c r="AD583" i="1"/>
  <c r="AF583" i="1" s="1"/>
  <c r="AD44" i="1"/>
  <c r="AF44" i="1" s="1"/>
  <c r="AD581" i="1"/>
  <c r="AF581" i="1" s="1"/>
  <c r="AD580" i="1"/>
  <c r="AF580" i="1" s="1"/>
  <c r="AD579" i="1"/>
  <c r="AF579" i="1" s="1"/>
  <c r="AD578" i="1"/>
  <c r="AF578" i="1" s="1"/>
  <c r="AD577" i="1"/>
  <c r="AF577" i="1" s="1"/>
  <c r="AD576" i="1"/>
  <c r="AF576" i="1" s="1"/>
  <c r="AD575" i="1"/>
  <c r="AF575" i="1" s="1"/>
  <c r="AD574" i="1"/>
  <c r="AF574" i="1" s="1"/>
  <c r="AD308" i="1"/>
  <c r="AF308" i="1" s="1"/>
  <c r="AD306" i="1"/>
  <c r="AF306" i="1" s="1"/>
  <c r="AD571" i="1"/>
  <c r="AF571" i="1" s="1"/>
  <c r="AD570" i="1"/>
  <c r="AF570" i="1" s="1"/>
  <c r="AD307" i="1"/>
  <c r="AF307" i="1" s="1"/>
  <c r="AD568" i="1"/>
  <c r="AF568" i="1" s="1"/>
  <c r="AD567" i="1"/>
  <c r="AF567" i="1" s="1"/>
  <c r="AD566" i="1"/>
  <c r="AF566" i="1" s="1"/>
  <c r="AD565" i="1"/>
  <c r="AF565" i="1" s="1"/>
  <c r="AD564" i="1"/>
  <c r="AF564" i="1" s="1"/>
  <c r="AD563" i="1"/>
  <c r="AF563" i="1" s="1"/>
  <c r="AD558" i="1"/>
  <c r="AF558" i="1" s="1"/>
  <c r="AD561" i="1"/>
  <c r="AF561" i="1" s="1"/>
  <c r="AD560" i="1"/>
  <c r="AF560" i="1" s="1"/>
  <c r="AD559" i="1"/>
  <c r="AF559" i="1" s="1"/>
  <c r="AD557" i="1"/>
  <c r="AF557" i="1" s="1"/>
  <c r="AD556" i="1"/>
  <c r="AF556" i="1" s="1"/>
  <c r="AD555" i="1"/>
  <c r="AF555" i="1" s="1"/>
  <c r="AD554" i="1"/>
  <c r="AF554" i="1" s="1"/>
  <c r="AD655" i="1"/>
  <c r="AF655" i="1" s="1"/>
  <c r="AD552" i="1"/>
  <c r="AF552" i="1" s="1"/>
  <c r="AD551" i="1"/>
  <c r="AF551" i="1" s="1"/>
  <c r="AD550" i="1"/>
  <c r="AD549" i="1"/>
  <c r="AF549" i="1" s="1"/>
  <c r="AD548" i="1"/>
  <c r="AF548" i="1" s="1"/>
  <c r="AD547" i="1"/>
  <c r="AF547" i="1" s="1"/>
  <c r="AD546" i="1"/>
  <c r="AF546" i="1" s="1"/>
  <c r="AD545" i="1"/>
  <c r="AF545" i="1" s="1"/>
  <c r="AD544" i="1"/>
  <c r="AF544" i="1" s="1"/>
  <c r="AD543" i="1"/>
  <c r="AF543" i="1" s="1"/>
  <c r="AD542" i="1"/>
  <c r="AF542" i="1" s="1"/>
  <c r="AD541" i="1"/>
  <c r="AF541" i="1" s="1"/>
  <c r="AD540" i="1"/>
  <c r="AF540" i="1" s="1"/>
  <c r="AD539" i="1"/>
  <c r="AF539" i="1" s="1"/>
  <c r="AD538" i="1"/>
  <c r="AF538" i="1" s="1"/>
  <c r="AD537" i="1"/>
  <c r="AF537" i="1" s="1"/>
  <c r="AD536" i="1"/>
  <c r="AF536" i="1" s="1"/>
  <c r="AD416" i="1"/>
  <c r="AF416" i="1" s="1"/>
  <c r="AD534" i="1"/>
  <c r="AF534" i="1" s="1"/>
  <c r="AD533" i="1"/>
  <c r="AF533" i="1" s="1"/>
  <c r="AD532" i="1"/>
  <c r="AF532" i="1" s="1"/>
  <c r="AD531" i="1"/>
  <c r="AF531" i="1" s="1"/>
  <c r="AD530" i="1"/>
  <c r="AF530" i="1" s="1"/>
  <c r="AD529" i="1"/>
  <c r="AF529" i="1" s="1"/>
  <c r="AD528" i="1"/>
  <c r="AF528" i="1" s="1"/>
  <c r="AD527" i="1"/>
  <c r="AD526" i="1"/>
  <c r="AF526" i="1" s="1"/>
  <c r="AD525" i="1"/>
  <c r="AF525" i="1" s="1"/>
  <c r="AD524" i="1"/>
  <c r="AF524" i="1" s="1"/>
  <c r="AD523" i="1"/>
  <c r="AF523" i="1" s="1"/>
  <c r="AD325" i="1"/>
  <c r="AF325" i="1" s="1"/>
  <c r="AD521" i="1"/>
  <c r="AF521" i="1" s="1"/>
  <c r="AD520" i="1"/>
  <c r="AF520" i="1" s="1"/>
  <c r="AD519" i="1"/>
  <c r="AF519" i="1" s="1"/>
  <c r="AD621" i="1"/>
  <c r="AF621" i="1" s="1"/>
  <c r="AD517" i="1"/>
  <c r="AF517" i="1" s="1"/>
  <c r="AD515" i="1"/>
  <c r="AF515" i="1" s="1"/>
  <c r="AD514" i="1"/>
  <c r="AF514" i="1" s="1"/>
  <c r="AD516" i="1"/>
  <c r="AF516" i="1" s="1"/>
  <c r="AD3" i="1"/>
  <c r="AF3" i="1" s="1"/>
  <c r="AD512" i="1"/>
  <c r="AF512" i="1" s="1"/>
  <c r="AD511" i="1"/>
  <c r="AF511" i="1" s="1"/>
  <c r="AD510" i="1"/>
  <c r="AF510" i="1" s="1"/>
  <c r="AD509" i="1"/>
  <c r="AF509" i="1" s="1"/>
  <c r="AF508" i="1"/>
  <c r="AF507" i="1"/>
  <c r="AD506" i="1"/>
  <c r="AF506" i="1" s="1"/>
  <c r="AF505" i="1"/>
  <c r="AD504" i="1"/>
  <c r="AF504" i="1" s="1"/>
  <c r="AF503" i="1"/>
  <c r="AD502" i="1"/>
  <c r="AF502" i="1" s="1"/>
  <c r="AD501" i="1"/>
  <c r="AF501" i="1" s="1"/>
  <c r="AD500" i="1"/>
  <c r="AF500" i="1" s="1"/>
  <c r="AD499" i="1"/>
  <c r="AF499" i="1" s="1"/>
  <c r="AD498" i="1"/>
  <c r="AF498" i="1" s="1"/>
  <c r="AD497" i="1"/>
  <c r="AF497" i="1" s="1"/>
  <c r="AD496" i="1"/>
  <c r="AF496" i="1" s="1"/>
  <c r="AD495" i="1"/>
  <c r="AF495" i="1" s="1"/>
  <c r="AD494" i="1"/>
  <c r="AF494" i="1" s="1"/>
  <c r="AD493" i="1"/>
  <c r="AF493" i="1" s="1"/>
  <c r="AD492" i="1"/>
  <c r="AD491" i="1"/>
  <c r="AF491" i="1" s="1"/>
  <c r="AD490" i="1"/>
  <c r="AD146" i="1"/>
  <c r="AF146" i="1" s="1"/>
  <c r="AD488" i="1"/>
  <c r="AF488" i="1" s="1"/>
  <c r="AD20" i="1"/>
  <c r="AF20" i="1" s="1"/>
  <c r="AD486" i="1"/>
  <c r="AF486" i="1" s="1"/>
  <c r="AD485" i="1"/>
  <c r="AF485" i="1" s="1"/>
  <c r="AD484" i="1"/>
  <c r="AF484" i="1" s="1"/>
  <c r="AD483" i="1"/>
  <c r="AF483" i="1" s="1"/>
  <c r="AD482" i="1"/>
  <c r="AF482" i="1" s="1"/>
  <c r="AD481" i="1"/>
  <c r="AD480" i="1"/>
  <c r="AF480" i="1" s="1"/>
  <c r="AD479" i="1"/>
  <c r="AF479" i="1" s="1"/>
  <c r="AD478" i="1"/>
  <c r="AF478" i="1" s="1"/>
  <c r="AD477" i="1"/>
  <c r="AF477" i="1" s="1"/>
  <c r="AD476" i="1"/>
  <c r="AF476" i="1" s="1"/>
  <c r="AD475" i="1"/>
  <c r="AF475" i="1" s="1"/>
  <c r="AD474" i="1"/>
  <c r="AF474" i="1" s="1"/>
  <c r="AD473" i="1"/>
  <c r="AF473" i="1" s="1"/>
  <c r="AD472" i="1"/>
  <c r="AF472" i="1" s="1"/>
  <c r="AD471" i="1"/>
  <c r="AF471" i="1" s="1"/>
  <c r="AD470" i="1"/>
  <c r="AF470" i="1" s="1"/>
  <c r="AD469" i="1"/>
  <c r="AF469" i="1" s="1"/>
  <c r="AF468" i="1"/>
  <c r="AD467" i="1"/>
  <c r="AF467" i="1" s="1"/>
  <c r="AD466" i="1"/>
  <c r="AF466" i="1" s="1"/>
  <c r="AD465" i="1"/>
  <c r="AF465" i="1" s="1"/>
  <c r="AD464" i="1"/>
  <c r="AF464" i="1" s="1"/>
  <c r="AD463" i="1"/>
  <c r="AF463" i="1" s="1"/>
  <c r="AD462" i="1"/>
  <c r="AF462" i="1" s="1"/>
  <c r="AD461" i="1"/>
  <c r="AD460" i="1"/>
  <c r="AD1135" i="1"/>
  <c r="AF1135" i="1" s="1"/>
  <c r="AD458" i="1"/>
  <c r="AD140" i="1"/>
  <c r="AF140" i="1" s="1"/>
  <c r="AD456" i="1"/>
  <c r="AD1009" i="1"/>
  <c r="AF1009" i="1" s="1"/>
  <c r="AD454" i="1"/>
  <c r="AD992" i="1"/>
  <c r="AF992" i="1" s="1"/>
  <c r="AD452" i="1"/>
  <c r="AD451" i="1"/>
  <c r="AF451" i="1" s="1"/>
  <c r="AD450" i="1"/>
  <c r="AD449" i="1"/>
  <c r="AD448" i="1"/>
  <c r="AF448" i="1" s="1"/>
  <c r="AD447" i="1"/>
  <c r="AF447" i="1" s="1"/>
  <c r="AD446" i="1"/>
  <c r="AF446" i="1" s="1"/>
  <c r="AD445" i="1"/>
  <c r="AF445" i="1" s="1"/>
  <c r="AD444" i="1"/>
  <c r="AF444" i="1" s="1"/>
  <c r="AD443" i="1"/>
  <c r="AF443" i="1" s="1"/>
  <c r="AD442" i="1"/>
  <c r="AF442" i="1" s="1"/>
  <c r="AD441" i="1"/>
  <c r="AF441" i="1" s="1"/>
  <c r="AD440" i="1"/>
  <c r="AF440" i="1" s="1"/>
  <c r="AD439" i="1"/>
  <c r="AF439" i="1" s="1"/>
  <c r="AD438" i="1"/>
  <c r="AF438" i="1" s="1"/>
  <c r="AD437" i="1"/>
  <c r="AF437" i="1" s="1"/>
  <c r="AD436" i="1"/>
  <c r="AF436" i="1" s="1"/>
  <c r="AD595" i="1"/>
  <c r="AF595" i="1" s="1"/>
  <c r="AD434" i="1"/>
  <c r="AF434" i="1" s="1"/>
  <c r="AD265" i="1"/>
  <c r="AF265" i="1" s="1"/>
  <c r="AD251" i="1"/>
  <c r="AF251" i="1" s="1"/>
  <c r="AD252" i="1"/>
  <c r="AF252" i="1" s="1"/>
  <c r="AD323" i="1"/>
  <c r="AF323" i="1" s="1"/>
  <c r="AD429" i="1"/>
  <c r="AF429" i="1" s="1"/>
  <c r="AD428" i="1"/>
  <c r="AF428" i="1" s="1"/>
  <c r="AD427" i="1"/>
  <c r="AF427" i="1" s="1"/>
  <c r="AD206" i="1"/>
  <c r="AF206" i="1" s="1"/>
  <c r="AD425" i="1"/>
  <c r="AF425" i="1" s="1"/>
  <c r="AD259" i="1"/>
  <c r="AF259" i="1" s="1"/>
  <c r="AD423" i="1"/>
  <c r="AF423" i="1" s="1"/>
  <c r="AD422" i="1"/>
  <c r="AF422" i="1" s="1"/>
  <c r="AD522" i="1"/>
  <c r="AF522" i="1" s="1"/>
  <c r="AD420" i="1"/>
  <c r="AF420" i="1" s="1"/>
  <c r="AD419" i="1"/>
  <c r="AF419" i="1" s="1"/>
  <c r="AD418" i="1"/>
  <c r="AF418" i="1" s="1"/>
  <c r="AD417" i="1"/>
  <c r="AF417" i="1" s="1"/>
  <c r="AD518" i="1"/>
  <c r="AF518" i="1" s="1"/>
  <c r="AD415" i="1"/>
  <c r="AF415" i="1" s="1"/>
  <c r="AD414" i="1"/>
  <c r="AF414" i="1" s="1"/>
  <c r="AD413" i="1"/>
  <c r="AF413" i="1" s="1"/>
  <c r="AD412" i="1"/>
  <c r="AF412" i="1" s="1"/>
  <c r="AD150" i="1"/>
  <c r="AF150" i="1" s="1"/>
  <c r="AD410" i="1"/>
  <c r="AF410" i="1" s="1"/>
  <c r="AD181" i="1"/>
  <c r="AF181" i="1" s="1"/>
  <c r="AD407" i="1"/>
  <c r="AD406" i="1"/>
  <c r="AF406" i="1" s="1"/>
  <c r="AD405" i="1"/>
  <c r="AF405" i="1" s="1"/>
  <c r="AD404" i="1"/>
  <c r="AF404" i="1" s="1"/>
  <c r="AD513" i="1"/>
  <c r="AF513" i="1" s="1"/>
  <c r="AD402" i="1"/>
  <c r="AF402" i="1" s="1"/>
  <c r="AD401" i="1"/>
  <c r="AF401" i="1" s="1"/>
  <c r="AD400" i="1"/>
  <c r="AF400" i="1" s="1"/>
  <c r="AD1171" i="1"/>
  <c r="AF1171" i="1" s="1"/>
  <c r="AG1171" i="1" s="1"/>
  <c r="B11" i="24" s="1"/>
  <c r="D11" i="24" s="1"/>
  <c r="AD398" i="1"/>
  <c r="AF398" i="1" s="1"/>
  <c r="AD227" i="1"/>
  <c r="AF227" i="1" s="1"/>
  <c r="AD396" i="1"/>
  <c r="AF396" i="1" s="1"/>
  <c r="AD395" i="1"/>
  <c r="AF395" i="1" s="1"/>
  <c r="AD394" i="1"/>
  <c r="AF394" i="1" s="1"/>
  <c r="AD242" i="1"/>
  <c r="AF242" i="1" s="1"/>
  <c r="AD183" i="1"/>
  <c r="AF183" i="1" s="1"/>
  <c r="AD391" i="1"/>
  <c r="AF391" i="1" s="1"/>
  <c r="AD390" i="1"/>
  <c r="AF390" i="1" s="1"/>
  <c r="AD389" i="1"/>
  <c r="AF389" i="1" s="1"/>
  <c r="AD388" i="1"/>
  <c r="AF388" i="1" s="1"/>
  <c r="AD387" i="1"/>
  <c r="AF387" i="1" s="1"/>
  <c r="AD386" i="1"/>
  <c r="AF386" i="1" s="1"/>
  <c r="AD385" i="1"/>
  <c r="AF385" i="1" s="1"/>
  <c r="AD384" i="1"/>
  <c r="AF384" i="1" s="1"/>
  <c r="AD383" i="1"/>
  <c r="AF383" i="1" s="1"/>
  <c r="AD382" i="1"/>
  <c r="AF382" i="1" s="1"/>
  <c r="AD381" i="1"/>
  <c r="AF381" i="1" s="1"/>
  <c r="AD380" i="1"/>
  <c r="AF380" i="1" s="1"/>
  <c r="AD379" i="1"/>
  <c r="AF379" i="1" s="1"/>
  <c r="AD378" i="1"/>
  <c r="AF378" i="1" s="1"/>
  <c r="AD377" i="1"/>
  <c r="AF377" i="1" s="1"/>
  <c r="AD376" i="1"/>
  <c r="AF376" i="1" s="1"/>
  <c r="AD375" i="1"/>
  <c r="AF375" i="1" s="1"/>
  <c r="AD374" i="1"/>
  <c r="AF374" i="1" s="1"/>
  <c r="AD373" i="1"/>
  <c r="AF373" i="1" s="1"/>
  <c r="AD372" i="1"/>
  <c r="AF372" i="1" s="1"/>
  <c r="AD371" i="1"/>
  <c r="AF371" i="1" s="1"/>
  <c r="AD370" i="1"/>
  <c r="AF370" i="1" s="1"/>
  <c r="AD369" i="1"/>
  <c r="AF369" i="1" s="1"/>
  <c r="AD368" i="1"/>
  <c r="AF368" i="1" s="1"/>
  <c r="AD367" i="1"/>
  <c r="AF367" i="1" s="1"/>
  <c r="AD366" i="1"/>
  <c r="AF366" i="1" s="1"/>
  <c r="AD365" i="1"/>
  <c r="AF365" i="1" s="1"/>
  <c r="AD364" i="1"/>
  <c r="AF364" i="1" s="1"/>
  <c r="AD363" i="1"/>
  <c r="AF363" i="1" s="1"/>
  <c r="AD362" i="1"/>
  <c r="AF362" i="1" s="1"/>
  <c r="AD361" i="1"/>
  <c r="AF361" i="1" s="1"/>
  <c r="AD360" i="1"/>
  <c r="AF360" i="1" s="1"/>
  <c r="AD359" i="1"/>
  <c r="AF359" i="1" s="1"/>
  <c r="AD358" i="1"/>
  <c r="AF358" i="1" s="1"/>
  <c r="AD357" i="1"/>
  <c r="AF357" i="1" s="1"/>
  <c r="AD356" i="1"/>
  <c r="AF356" i="1" s="1"/>
  <c r="AD489" i="1"/>
  <c r="AF489" i="1" s="1"/>
  <c r="AD354" i="1"/>
  <c r="AF354" i="1" s="1"/>
  <c r="AD277" i="1"/>
  <c r="AF277" i="1" s="1"/>
  <c r="AD352" i="1"/>
  <c r="AF352" i="1" s="1"/>
  <c r="AD351" i="1"/>
  <c r="AF351" i="1" s="1"/>
  <c r="AD271" i="1"/>
  <c r="AF271" i="1" s="1"/>
  <c r="AD349" i="1"/>
  <c r="AF349" i="1" s="1"/>
  <c r="AD348" i="1"/>
  <c r="AF348" i="1" s="1"/>
  <c r="AD347" i="1"/>
  <c r="AF347" i="1" s="1"/>
  <c r="AD15" i="1"/>
  <c r="AF15" i="1" s="1"/>
  <c r="AD345" i="1"/>
  <c r="AF345" i="1" s="1"/>
  <c r="AD344" i="1"/>
  <c r="AD343" i="1"/>
  <c r="AF343" i="1" s="1"/>
  <c r="AD342" i="1"/>
  <c r="AF342" i="1" s="1"/>
  <c r="AD341" i="1"/>
  <c r="AF341" i="1" s="1"/>
  <c r="AD340" i="1"/>
  <c r="AF340" i="1" s="1"/>
  <c r="AD339" i="1"/>
  <c r="AF339" i="1" s="1"/>
  <c r="AD338" i="1"/>
  <c r="AF338" i="1" s="1"/>
  <c r="AD337" i="1"/>
  <c r="AF337" i="1" s="1"/>
  <c r="AD336" i="1"/>
  <c r="AF336" i="1" s="1"/>
  <c r="AD335" i="1"/>
  <c r="AF335" i="1" s="1"/>
  <c r="AD334" i="1"/>
  <c r="AD333" i="1"/>
  <c r="AF333" i="1" s="1"/>
  <c r="AD13" i="1"/>
  <c r="AF13" i="1" s="1"/>
  <c r="AD331" i="1"/>
  <c r="AF331" i="1" s="1"/>
  <c r="AD226" i="1"/>
  <c r="AF226" i="1" s="1"/>
  <c r="AD329" i="1"/>
  <c r="AF329" i="1" s="1"/>
  <c r="AD328" i="1"/>
  <c r="AF328" i="1" s="1"/>
  <c r="AD327" i="1"/>
  <c r="AF327" i="1" s="1"/>
  <c r="AD326" i="1"/>
  <c r="AF326" i="1" s="1"/>
  <c r="AD1098" i="1"/>
  <c r="AF1098" i="1" s="1"/>
  <c r="AD1019" i="1"/>
  <c r="AF1019" i="1" s="1"/>
  <c r="AD245" i="1"/>
  <c r="AF245" i="1" s="1"/>
  <c r="AD322" i="1"/>
  <c r="AF322" i="1" s="1"/>
  <c r="AD321" i="1"/>
  <c r="AF321" i="1" s="1"/>
  <c r="AD184" i="1"/>
  <c r="AF184" i="1" s="1"/>
  <c r="AD319" i="1"/>
  <c r="AF319" i="1" s="1"/>
  <c r="AD318" i="1"/>
  <c r="AF318" i="1" s="1"/>
  <c r="AD317" i="1"/>
  <c r="AF317" i="1" s="1"/>
  <c r="AD316" i="1"/>
  <c r="AF316" i="1" s="1"/>
  <c r="AD315" i="1"/>
  <c r="AF315" i="1" s="1"/>
  <c r="AD641" i="1"/>
  <c r="AF641" i="1" s="1"/>
  <c r="AD313" i="1"/>
  <c r="AF313" i="1" s="1"/>
  <c r="AD16" i="1"/>
  <c r="AF16" i="1" s="1"/>
  <c r="AD311" i="1"/>
  <c r="AF311" i="1" s="1"/>
  <c r="AD310" i="1"/>
  <c r="AF310" i="1" s="1"/>
  <c r="AD309" i="1"/>
  <c r="AF309" i="1" s="1"/>
  <c r="AD637" i="1"/>
  <c r="AF637" i="1" s="1"/>
  <c r="AD1020" i="1"/>
  <c r="AF1020" i="1" s="1"/>
  <c r="AD1090" i="1"/>
  <c r="AF1090" i="1" s="1"/>
  <c r="AD305" i="1"/>
  <c r="AF305" i="1" s="1"/>
  <c r="AD304" i="1"/>
  <c r="AF304" i="1" s="1"/>
  <c r="AD303" i="1"/>
  <c r="AF303" i="1" s="1"/>
  <c r="AD302" i="1"/>
  <c r="AF302" i="1" s="1"/>
  <c r="AD1089" i="1"/>
  <c r="AF1089" i="1" s="1"/>
  <c r="AD300" i="1"/>
  <c r="AF300" i="1" s="1"/>
  <c r="AD299" i="1"/>
  <c r="AF299" i="1" s="1"/>
  <c r="AD298" i="1"/>
  <c r="AF298" i="1" s="1"/>
  <c r="AD297" i="1"/>
  <c r="AF297" i="1" s="1"/>
  <c r="AD296" i="1"/>
  <c r="AF296" i="1" s="1"/>
  <c r="AD295" i="1"/>
  <c r="AF295" i="1" s="1"/>
  <c r="AD294" i="1"/>
  <c r="AF294" i="1" s="1"/>
  <c r="AD293" i="1"/>
  <c r="AF293" i="1" s="1"/>
  <c r="AD292" i="1"/>
  <c r="AF292" i="1" s="1"/>
  <c r="AD291" i="1"/>
  <c r="AF291" i="1" s="1"/>
  <c r="AD290" i="1"/>
  <c r="AF290" i="1" s="1"/>
  <c r="AD289" i="1"/>
  <c r="AF289" i="1" s="1"/>
  <c r="AD411" i="1"/>
  <c r="AF411" i="1" s="1"/>
  <c r="AD312" i="1"/>
  <c r="AF312" i="1" s="1"/>
  <c r="AD286" i="1"/>
  <c r="AF286" i="1" s="1"/>
  <c r="AD288" i="1"/>
  <c r="AF288" i="1" s="1"/>
  <c r="AD284" i="1"/>
  <c r="AF284" i="1" s="1"/>
  <c r="AD283" i="1"/>
  <c r="AF283" i="1" s="1"/>
  <c r="AD282" i="1"/>
  <c r="AF282" i="1" s="1"/>
  <c r="AD281" i="1"/>
  <c r="AF281" i="1" s="1"/>
  <c r="AD280" i="1"/>
  <c r="AF280" i="1" s="1"/>
  <c r="AD279" i="1"/>
  <c r="AF279" i="1" s="1"/>
  <c r="AD278" i="1"/>
  <c r="AF278" i="1" s="1"/>
  <c r="AD128" i="1"/>
  <c r="AF128" i="1" s="1"/>
  <c r="AD276" i="1"/>
  <c r="AF276" i="1" s="1"/>
  <c r="AD275" i="1"/>
  <c r="AF275" i="1" s="1"/>
  <c r="AD274" i="1"/>
  <c r="AF274" i="1" s="1"/>
  <c r="AD273" i="1"/>
  <c r="AF273" i="1" s="1"/>
  <c r="AD272" i="1"/>
  <c r="AF272" i="1" s="1"/>
  <c r="AD32" i="1"/>
  <c r="AF32" i="1" s="1"/>
  <c r="AD270" i="1"/>
  <c r="AF270" i="1" s="1"/>
  <c r="AD287" i="1"/>
  <c r="AF287" i="1" s="1"/>
  <c r="AD268" i="1"/>
  <c r="AF268" i="1" s="1"/>
  <c r="AD267" i="1"/>
  <c r="AF267" i="1" s="1"/>
  <c r="AD266" i="1"/>
  <c r="AF266" i="1" s="1"/>
  <c r="AD189" i="1"/>
  <c r="AF189" i="1" s="1"/>
  <c r="AD264" i="1"/>
  <c r="AF264" i="1" s="1"/>
  <c r="AD263" i="1"/>
  <c r="AF263" i="1" s="1"/>
  <c r="AD262" i="1"/>
  <c r="AF262" i="1" s="1"/>
  <c r="AD261" i="1"/>
  <c r="AF261" i="1" s="1"/>
  <c r="AD260" i="1"/>
  <c r="AF260" i="1" s="1"/>
  <c r="AD30" i="1"/>
  <c r="AF30" i="1" s="1"/>
  <c r="AD258" i="1"/>
  <c r="AF258" i="1" s="1"/>
  <c r="AD257" i="1"/>
  <c r="AF257" i="1" s="1"/>
  <c r="AD256" i="1"/>
  <c r="AF256" i="1" s="1"/>
  <c r="AD255" i="1"/>
  <c r="AF255" i="1" s="1"/>
  <c r="AD254" i="1"/>
  <c r="AF254" i="1" s="1"/>
  <c r="AD235" i="1"/>
  <c r="AF235" i="1" s="1"/>
  <c r="AD350" i="1"/>
  <c r="AF350" i="1" s="1"/>
  <c r="AD269" i="1"/>
  <c r="AF269" i="1" s="1"/>
  <c r="AD250" i="1"/>
  <c r="AF250" i="1" s="1"/>
  <c r="AD248" i="1"/>
  <c r="AF248" i="1" s="1"/>
  <c r="AD247" i="1"/>
  <c r="AF247" i="1" s="1"/>
  <c r="AD246" i="1"/>
  <c r="AF246" i="1" s="1"/>
  <c r="AD432" i="1"/>
  <c r="AF432" i="1" s="1"/>
  <c r="AD244" i="1"/>
  <c r="AF244" i="1" s="1"/>
  <c r="AD243" i="1"/>
  <c r="AF243" i="1" s="1"/>
  <c r="AD1088" i="1"/>
  <c r="AF1088" i="1" s="1"/>
  <c r="AD241" i="1"/>
  <c r="AF241" i="1" s="1"/>
  <c r="AD240" i="1"/>
  <c r="AF240" i="1" s="1"/>
  <c r="AD238" i="1"/>
  <c r="AF238" i="1" s="1"/>
  <c r="AD237" i="1"/>
  <c r="AF237" i="1" s="1"/>
  <c r="AD236" i="1"/>
  <c r="AF236" i="1" s="1"/>
  <c r="AD1015" i="1"/>
  <c r="AF1015" i="1" s="1"/>
  <c r="AD234" i="1"/>
  <c r="AD233" i="1"/>
  <c r="AF233" i="1" s="1"/>
  <c r="AD232" i="1"/>
  <c r="AF232" i="1" s="1"/>
  <c r="AD231" i="1"/>
  <c r="AF231" i="1" s="1"/>
  <c r="AD230" i="1"/>
  <c r="AF230" i="1" s="1"/>
  <c r="AD229" i="1"/>
  <c r="AF229" i="1" s="1"/>
  <c r="AD228" i="1"/>
  <c r="AD87" i="1"/>
  <c r="AF87" i="1" s="1"/>
  <c r="AD74" i="1"/>
  <c r="AF74" i="1" s="1"/>
  <c r="AD225" i="1"/>
  <c r="AF225" i="1" s="1"/>
  <c r="AD224" i="1"/>
  <c r="AF224" i="1" s="1"/>
  <c r="AD116" i="1"/>
  <c r="AF116" i="1" s="1"/>
  <c r="AD222" i="1"/>
  <c r="AF222" i="1" s="1"/>
  <c r="AD221" i="1"/>
  <c r="AF221" i="1" s="1"/>
  <c r="AD220" i="1"/>
  <c r="AF220" i="1" s="1"/>
  <c r="AD219" i="1"/>
  <c r="AF219" i="1" s="1"/>
  <c r="AD218" i="1"/>
  <c r="AF218" i="1" s="1"/>
  <c r="AD54" i="1"/>
  <c r="AF54" i="1" s="1"/>
  <c r="AD216" i="1"/>
  <c r="AF216" i="1" s="1"/>
  <c r="AD215" i="1"/>
  <c r="AF215" i="1" s="1"/>
  <c r="AD214" i="1"/>
  <c r="AF214" i="1" s="1"/>
  <c r="AD213" i="1"/>
  <c r="AF213" i="1" s="1"/>
  <c r="AD212" i="1"/>
  <c r="AF212" i="1" s="1"/>
  <c r="AD211" i="1"/>
  <c r="AF211" i="1" s="1"/>
  <c r="AD210" i="1"/>
  <c r="AF210" i="1" s="1"/>
  <c r="AD209" i="1"/>
  <c r="AF209" i="1" s="1"/>
  <c r="AD1016" i="1"/>
  <c r="AF1016" i="1" s="1"/>
  <c r="AD207" i="1"/>
  <c r="AF207" i="1" s="1"/>
  <c r="AD959" i="1"/>
  <c r="AF959" i="1" s="1"/>
  <c r="AD93" i="1"/>
  <c r="AF93" i="1" s="1"/>
  <c r="AD204" i="1"/>
  <c r="AF204" i="1" s="1"/>
  <c r="AD203" i="1"/>
  <c r="AF203" i="1" s="1"/>
  <c r="AD202" i="1"/>
  <c r="AF202" i="1" s="1"/>
  <c r="AD201" i="1"/>
  <c r="AF201" i="1" s="1"/>
  <c r="AD200" i="1"/>
  <c r="AF200" i="1" s="1"/>
  <c r="AD199" i="1"/>
  <c r="AF199" i="1" s="1"/>
  <c r="AD198" i="1"/>
  <c r="AD197" i="1"/>
  <c r="AF197" i="1" s="1"/>
  <c r="AD196" i="1"/>
  <c r="AF196" i="1" s="1"/>
  <c r="AD195" i="1"/>
  <c r="AF195" i="1" s="1"/>
  <c r="AD194" i="1"/>
  <c r="AF194" i="1" s="1"/>
  <c r="AD355" i="1"/>
  <c r="AF355" i="1" s="1"/>
  <c r="AD192" i="1"/>
  <c r="AF192" i="1" s="1"/>
  <c r="AD191" i="1"/>
  <c r="AF191" i="1" s="1"/>
  <c r="AD190" i="1"/>
  <c r="AF190" i="1" s="1"/>
  <c r="AD487" i="1"/>
  <c r="AF487" i="1" s="1"/>
  <c r="AD188" i="1"/>
  <c r="AF188" i="1" s="1"/>
  <c r="AD187" i="1"/>
  <c r="AF187" i="1" s="1"/>
  <c r="AD186" i="1"/>
  <c r="AF186" i="1" s="1"/>
  <c r="AD185" i="1"/>
  <c r="AF185" i="1" s="1"/>
  <c r="AD459" i="1"/>
  <c r="AF459" i="1" s="1"/>
  <c r="AD1166" i="1"/>
  <c r="AF1166" i="1" s="1"/>
  <c r="AD182" i="1"/>
  <c r="AF182" i="1" s="1"/>
  <c r="AD174" i="1"/>
  <c r="AF174" i="1" s="1"/>
  <c r="AD320" i="1"/>
  <c r="AF320" i="1" s="1"/>
  <c r="AD179" i="1"/>
  <c r="AD178" i="1"/>
  <c r="AF178" i="1" s="1"/>
  <c r="AD177" i="1"/>
  <c r="AF177" i="1" s="1"/>
  <c r="AD102" i="1"/>
  <c r="AF102" i="1" s="1"/>
  <c r="AD99" i="1"/>
  <c r="AF99" i="1" s="1"/>
  <c r="AD103" i="1"/>
  <c r="AF103" i="1" s="1"/>
  <c r="AD173" i="1"/>
  <c r="AF173" i="1" s="1"/>
  <c r="AD172" i="1"/>
  <c r="AF172" i="1" s="1"/>
  <c r="AD171" i="1"/>
  <c r="AF171" i="1" s="1"/>
  <c r="AD170" i="1"/>
  <c r="AF170" i="1" s="1"/>
  <c r="AD169" i="1"/>
  <c r="AF169" i="1" s="1"/>
  <c r="AD168" i="1"/>
  <c r="AF168" i="1" s="1"/>
  <c r="AD167" i="1"/>
  <c r="AF167" i="1" s="1"/>
  <c r="AD166" i="1"/>
  <c r="AD165" i="1"/>
  <c r="AF165" i="1" s="1"/>
  <c r="AD164" i="1"/>
  <c r="AD163" i="1"/>
  <c r="AF163" i="1" s="1"/>
  <c r="AD162" i="1"/>
  <c r="AF162" i="1" s="1"/>
  <c r="AD161" i="1"/>
  <c r="AF161" i="1" s="1"/>
  <c r="AD160" i="1"/>
  <c r="AD159" i="1"/>
  <c r="AF159" i="1" s="1"/>
  <c r="AD158" i="1"/>
  <c r="AD157" i="1"/>
  <c r="AF157" i="1" s="1"/>
  <c r="AD156" i="1"/>
  <c r="AD155" i="1"/>
  <c r="AF155" i="1" s="1"/>
  <c r="AD154" i="1"/>
  <c r="AD153" i="1"/>
  <c r="AF153" i="1" s="1"/>
  <c r="AD152" i="1"/>
  <c r="AF152" i="1" s="1"/>
  <c r="AD151" i="1"/>
  <c r="AF151" i="1" s="1"/>
  <c r="AD175" i="1"/>
  <c r="AD149" i="1"/>
  <c r="AF149" i="1" s="1"/>
  <c r="AD148" i="1"/>
  <c r="AF148" i="1" s="1"/>
  <c r="AD147" i="1"/>
  <c r="AF147" i="1" s="1"/>
  <c r="AD70" i="1"/>
  <c r="AF70" i="1" s="1"/>
  <c r="AD145" i="1"/>
  <c r="AF145" i="1" s="1"/>
  <c r="AD144" i="1"/>
  <c r="AF144" i="1" s="1"/>
  <c r="AD143" i="1"/>
  <c r="AF143" i="1" s="1"/>
  <c r="AD142" i="1"/>
  <c r="AF142" i="1" s="1"/>
  <c r="AD141" i="1"/>
  <c r="AF141" i="1" s="1"/>
  <c r="AD353" i="1"/>
  <c r="AF353" i="1" s="1"/>
  <c r="AD139" i="1"/>
  <c r="AF139" i="1" s="1"/>
  <c r="AD138" i="1"/>
  <c r="AF138" i="1" s="1"/>
  <c r="AD137" i="1"/>
  <c r="AF137" i="1" s="1"/>
  <c r="AD136" i="1"/>
  <c r="AF136" i="1" s="1"/>
  <c r="AD135" i="1"/>
  <c r="AF135" i="1" s="1"/>
  <c r="AD134" i="1"/>
  <c r="AF134" i="1" s="1"/>
  <c r="AD133" i="1"/>
  <c r="AF133" i="1" s="1"/>
  <c r="AD132" i="1"/>
  <c r="AF132" i="1" s="1"/>
  <c r="AD130" i="1"/>
  <c r="AF130" i="1" s="1"/>
  <c r="AD129" i="1"/>
  <c r="AF129" i="1" s="1"/>
  <c r="AD68" i="1"/>
  <c r="AF68" i="1" s="1"/>
  <c r="AD127" i="1"/>
  <c r="AF127" i="1" s="1"/>
  <c r="AD126" i="1"/>
  <c r="AF126" i="1" s="1"/>
  <c r="AD125" i="1"/>
  <c r="AF125" i="1" s="1"/>
  <c r="AD124" i="1"/>
  <c r="AF124" i="1" s="1"/>
  <c r="AD123" i="1"/>
  <c r="AF123" i="1" s="1"/>
  <c r="AD122" i="1"/>
  <c r="AF122" i="1" s="1"/>
  <c r="C7" i="24" s="1"/>
  <c r="AD121" i="1"/>
  <c r="AF121" i="1" s="1"/>
  <c r="AD120" i="1"/>
  <c r="AF120" i="1" s="1"/>
  <c r="AD119" i="1"/>
  <c r="AF119" i="1" s="1"/>
  <c r="AD118" i="1"/>
  <c r="AF118" i="1" s="1"/>
  <c r="AD117" i="1"/>
  <c r="AF117" i="1" s="1"/>
  <c r="AD457" i="1"/>
  <c r="AF457" i="1" s="1"/>
  <c r="AD115" i="1"/>
  <c r="AF115" i="1" s="1"/>
  <c r="AD114" i="1"/>
  <c r="AF114" i="1" s="1"/>
  <c r="AD113" i="1"/>
  <c r="AF113" i="1" s="1"/>
  <c r="AD112" i="1"/>
  <c r="AF112" i="1" s="1"/>
  <c r="AD111" i="1"/>
  <c r="AF111" i="1" s="1"/>
  <c r="AD110" i="1"/>
  <c r="AF110" i="1" s="1"/>
  <c r="AD109" i="1"/>
  <c r="AD108" i="1"/>
  <c r="AF108" i="1" s="1"/>
  <c r="AD107" i="1"/>
  <c r="AD106" i="1"/>
  <c r="AF106" i="1" s="1"/>
  <c r="AD105" i="1"/>
  <c r="AF105" i="1" s="1"/>
  <c r="AD453" i="1"/>
  <c r="AF453" i="1" s="1"/>
  <c r="AD104" i="1"/>
  <c r="AD455" i="1"/>
  <c r="AF455" i="1" s="1"/>
  <c r="AD101" i="1"/>
  <c r="AF101" i="1" s="1"/>
  <c r="AD100" i="1"/>
  <c r="AF100" i="1" s="1"/>
  <c r="AD403" i="1"/>
  <c r="AF403" i="1" s="1"/>
  <c r="AD631" i="1"/>
  <c r="AF631" i="1" s="1"/>
  <c r="AD635" i="1"/>
  <c r="AF635" i="1" s="1"/>
  <c r="AD397" i="1"/>
  <c r="AF397" i="1" s="1"/>
  <c r="AD95" i="1"/>
  <c r="AF95" i="1" s="1"/>
  <c r="AD94" i="1"/>
  <c r="AF94" i="1" s="1"/>
  <c r="AD430" i="1"/>
  <c r="AF430" i="1" s="1"/>
  <c r="AD609" i="1"/>
  <c r="AF609" i="1" s="1"/>
  <c r="AD426" i="1"/>
  <c r="AF426" i="1" s="1"/>
  <c r="AD90" i="1"/>
  <c r="AF90" i="1" s="1"/>
  <c r="AD89" i="1"/>
  <c r="AF89" i="1" s="1"/>
  <c r="AD88" i="1"/>
  <c r="AF88" i="1" s="1"/>
  <c r="AD43" i="1"/>
  <c r="AF43" i="1" s="1"/>
  <c r="AD86" i="1"/>
  <c r="AF86" i="1" s="1"/>
  <c r="AD85" i="1"/>
  <c r="AF85" i="1" s="1"/>
  <c r="AD84" i="1"/>
  <c r="AF84" i="1" s="1"/>
  <c r="AD83" i="1"/>
  <c r="AF83" i="1" s="1"/>
  <c r="AD82" i="1"/>
  <c r="AF82" i="1" s="1"/>
  <c r="AD81" i="1"/>
  <c r="AF81" i="1" s="1"/>
  <c r="AD80" i="1"/>
  <c r="AF80" i="1" s="1"/>
  <c r="AD79" i="1"/>
  <c r="AF79" i="1" s="1"/>
  <c r="AD78" i="1"/>
  <c r="AF78" i="1" s="1"/>
  <c r="AD77" i="1"/>
  <c r="AF77" i="1" s="1"/>
  <c r="AD76" i="1"/>
  <c r="AF76" i="1" s="1"/>
  <c r="AD75" i="1"/>
  <c r="AD435" i="1"/>
  <c r="AF435" i="1" s="1"/>
  <c r="AD73" i="1"/>
  <c r="AF73" i="1" s="1"/>
  <c r="AD72" i="1"/>
  <c r="AF72" i="1" s="1"/>
  <c r="AD71" i="1"/>
  <c r="AF71" i="1" s="1"/>
  <c r="AD1116" i="1"/>
  <c r="AF1116" i="1" s="1"/>
  <c r="AD69" i="1"/>
  <c r="AF69" i="1" s="1"/>
  <c r="AD67" i="1"/>
  <c r="AD66" i="1"/>
  <c r="AF66" i="1" s="1"/>
  <c r="AD65" i="1"/>
  <c r="AF65" i="1" s="1"/>
  <c r="AD64" i="1"/>
  <c r="AF64" i="1" s="1"/>
  <c r="AD63" i="1"/>
  <c r="AD62" i="1"/>
  <c r="AF62" i="1" s="1"/>
  <c r="AD61" i="1"/>
  <c r="AF61" i="1" s="1"/>
  <c r="AD217" i="1"/>
  <c r="AF217" i="1" s="1"/>
  <c r="AD58" i="1"/>
  <c r="AF58" i="1" s="1"/>
  <c r="AD57" i="1"/>
  <c r="AF57" i="1" s="1"/>
  <c r="AD644" i="1"/>
  <c r="AF644" i="1" s="1"/>
  <c r="AD55" i="1"/>
  <c r="AF55" i="1" s="1"/>
  <c r="AD97" i="1"/>
  <c r="AF97" i="1" s="1"/>
  <c r="AD53" i="1"/>
  <c r="AF53" i="1" s="1"/>
  <c r="AD52" i="1"/>
  <c r="AD51" i="1"/>
  <c r="AF51" i="1" s="1"/>
  <c r="AF50" i="1"/>
  <c r="AD49" i="1"/>
  <c r="AF49" i="1" s="1"/>
  <c r="AD48" i="1"/>
  <c r="AF48" i="1" s="1"/>
  <c r="AD47" i="1"/>
  <c r="AF47" i="1" s="1"/>
  <c r="AD46" i="1"/>
  <c r="AD45" i="1"/>
  <c r="AF45" i="1" s="1"/>
  <c r="AD56" i="1"/>
  <c r="AF56" i="1" s="1"/>
  <c r="AD424" i="1"/>
  <c r="AF424" i="1" s="1"/>
  <c r="AD42" i="1"/>
  <c r="AF42" i="1" s="1"/>
  <c r="B10" i="24" l="1"/>
  <c r="B13" i="24"/>
  <c r="D13" i="24" s="1"/>
  <c r="B6" i="24"/>
  <c r="D6" i="24" s="1"/>
  <c r="B9" i="24"/>
  <c r="D9" i="24" s="1"/>
  <c r="B15" i="24"/>
  <c r="D15" i="24" s="1"/>
  <c r="AF228" i="1"/>
  <c r="C12" i="24" s="1"/>
  <c r="B12" i="24"/>
  <c r="AF46" i="1"/>
  <c r="C5" i="24" s="1"/>
  <c r="B5" i="24"/>
  <c r="AF63" i="1"/>
  <c r="B7" i="24"/>
  <c r="D7" i="24" s="1"/>
  <c r="AF179" i="1"/>
  <c r="B14" i="24"/>
  <c r="D14" i="24" s="1"/>
  <c r="AF707" i="1"/>
  <c r="B8" i="24"/>
  <c r="D8" i="24" s="1"/>
  <c r="AF52" i="1"/>
  <c r="AF107" i="1"/>
  <c r="K3" i="14"/>
  <c r="AF175" i="1"/>
  <c r="K9" i="14"/>
  <c r="AF234" i="1"/>
  <c r="K4" i="14"/>
  <c r="AF104" i="1"/>
  <c r="K5" i="14"/>
  <c r="AF109" i="1"/>
  <c r="K8" i="14"/>
  <c r="AF334" i="1"/>
  <c r="K10" i="14"/>
  <c r="AF449" i="1"/>
  <c r="K7" i="14"/>
  <c r="AF527" i="1"/>
  <c r="K2" i="14"/>
  <c r="AF67" i="1"/>
  <c r="K6" i="14"/>
  <c r="I14" i="2"/>
  <c r="AF154" i="1"/>
  <c r="AF160" i="1"/>
  <c r="AF166" i="1"/>
  <c r="AF688" i="1"/>
  <c r="AF694" i="1"/>
  <c r="AF458" i="1"/>
  <c r="AF603" i="1"/>
  <c r="AF640" i="1"/>
  <c r="AF689" i="1"/>
  <c r="AF695" i="1"/>
  <c r="AF1076" i="1"/>
  <c r="AF156" i="1"/>
  <c r="AF198" i="1"/>
  <c r="AF696" i="1"/>
  <c r="AF454" i="1"/>
  <c r="AF460" i="1"/>
  <c r="AF490" i="1"/>
  <c r="AF550" i="1"/>
  <c r="AF685" i="1"/>
  <c r="AF158" i="1"/>
  <c r="AF164" i="1"/>
  <c r="AF461" i="1"/>
  <c r="AF686" i="1"/>
  <c r="AF450" i="1"/>
  <c r="AF456" i="1"/>
  <c r="AF492" i="1"/>
  <c r="AF687" i="1"/>
  <c r="AF693" i="1"/>
  <c r="N22" i="2"/>
  <c r="M22" i="2"/>
  <c r="K22" i="2"/>
  <c r="E34" i="32"/>
  <c r="F34" i="32" s="1"/>
  <c r="E32" i="32"/>
  <c r="F32" i="32" s="1"/>
  <c r="E23" i="32"/>
  <c r="F23" i="32" s="1"/>
  <c r="E19" i="32"/>
  <c r="F19" i="32" s="1"/>
  <c r="E14" i="32"/>
  <c r="F14" i="32" s="1"/>
  <c r="E8" i="32"/>
  <c r="F8" i="32" s="1"/>
  <c r="E7" i="32"/>
  <c r="F7" i="32" s="1"/>
  <c r="E6" i="32"/>
  <c r="F6" i="32" s="1"/>
  <c r="B10" i="32"/>
  <c r="E35" i="32"/>
  <c r="F35" i="32" s="1"/>
  <c r="E29" i="32"/>
  <c r="F29" i="32" s="1"/>
  <c r="E26" i="32"/>
  <c r="F26" i="32" s="1"/>
  <c r="E22" i="32"/>
  <c r="F22" i="32" s="1"/>
  <c r="E18" i="32"/>
  <c r="F18" i="32" s="1"/>
  <c r="E15" i="32"/>
  <c r="F15" i="32" s="1"/>
  <c r="E9" i="32"/>
  <c r="F9" i="32" s="1"/>
  <c r="E3" i="32"/>
  <c r="F3" i="32" s="1"/>
  <c r="E2" i="32"/>
  <c r="F2" i="32" s="1"/>
  <c r="B9" i="32"/>
  <c r="B8" i="32"/>
  <c r="E36" i="32"/>
  <c r="F36" i="32" s="1"/>
  <c r="E28" i="32"/>
  <c r="F28" i="32" s="1"/>
  <c r="E25" i="32"/>
  <c r="F25" i="32" s="1"/>
  <c r="E21" i="32"/>
  <c r="F21" i="32" s="1"/>
  <c r="E17" i="32"/>
  <c r="F17" i="32" s="1"/>
  <c r="E16" i="32"/>
  <c r="F16" i="32" s="1"/>
  <c r="E10" i="32"/>
  <c r="F10" i="32" s="1"/>
  <c r="E4" i="32"/>
  <c r="F4" i="32" s="1"/>
  <c r="E33" i="32"/>
  <c r="F33" i="32" s="1"/>
  <c r="E31" i="32"/>
  <c r="F31" i="32" s="1"/>
  <c r="E20" i="32"/>
  <c r="F20" i="32" s="1"/>
  <c r="E13" i="32"/>
  <c r="F13" i="32" s="1"/>
  <c r="E12" i="32"/>
  <c r="F12" i="32" s="1"/>
  <c r="E11" i="32"/>
  <c r="F11" i="32" s="1"/>
  <c r="E5" i="32"/>
  <c r="F5" i="32" s="1"/>
  <c r="B11" i="32"/>
  <c r="B7" i="32"/>
  <c r="AF452" i="1"/>
  <c r="AF75" i="1"/>
  <c r="C17" i="2"/>
  <c r="C16" i="2"/>
  <c r="C12" i="2"/>
  <c r="C18" i="2"/>
  <c r="AF344" i="1"/>
  <c r="AF481" i="1"/>
  <c r="C4" i="24"/>
  <c r="AX1171" i="1"/>
  <c r="G973" i="1"/>
  <c r="BT973" i="1" s="1"/>
  <c r="C10" i="24" l="1"/>
  <c r="D10" i="24" s="1"/>
  <c r="E10" i="24" s="1"/>
  <c r="D5" i="24"/>
  <c r="D12" i="24"/>
  <c r="E30" i="32"/>
  <c r="F30" i="32" s="1"/>
  <c r="K13" i="14"/>
  <c r="K12" i="14"/>
  <c r="K15" i="14"/>
  <c r="K17" i="14"/>
  <c r="K14" i="14"/>
  <c r="K16" i="14"/>
  <c r="L22" i="2"/>
  <c r="E27" i="32"/>
  <c r="F27" i="32" s="1"/>
  <c r="E24" i="32"/>
  <c r="F24" i="32" s="1"/>
  <c r="E11" i="24"/>
  <c r="E8" i="24"/>
  <c r="E14" i="24"/>
  <c r="E5" i="24"/>
  <c r="BP973" i="1"/>
  <c r="BL973" i="1"/>
  <c r="BS973" i="1"/>
  <c r="BO973" i="1"/>
  <c r="BK973" i="1"/>
  <c r="BR973" i="1"/>
  <c r="BN973" i="1"/>
  <c r="BQ973" i="1"/>
  <c r="BM973" i="1"/>
  <c r="AD973" i="1"/>
  <c r="AF973" i="1" s="1"/>
  <c r="BR974" i="1"/>
  <c r="BN974" i="1"/>
  <c r="BQ974" i="1"/>
  <c r="BM974" i="1"/>
  <c r="BP974" i="1"/>
  <c r="BL974" i="1"/>
  <c r="BS974" i="1"/>
  <c r="BO974" i="1"/>
  <c r="BK974" i="1"/>
  <c r="Z1157" i="1"/>
  <c r="Z1148" i="1"/>
  <c r="Z1147" i="1"/>
  <c r="Z807" i="1"/>
  <c r="Z620" i="1"/>
  <c r="Z516" i="1"/>
  <c r="Z1171" i="1"/>
  <c r="Z1170" i="1"/>
  <c r="Z1169" i="1"/>
  <c r="Z1168" i="1"/>
  <c r="Z1167" i="1"/>
  <c r="Z711" i="1"/>
  <c r="Z1165" i="1"/>
  <c r="Z703" i="1"/>
  <c r="Z1162" i="1"/>
  <c r="Z1161" i="1"/>
  <c r="Z1160" i="1"/>
  <c r="Z956" i="1"/>
  <c r="Z1158" i="1"/>
  <c r="Z1156" i="1"/>
  <c r="Z1155" i="1"/>
  <c r="Z1154" i="1"/>
  <c r="Z1153" i="1"/>
  <c r="Z1152" i="1"/>
  <c r="Z1151" i="1"/>
  <c r="Z1150" i="1"/>
  <c r="AB1150" i="1" s="1"/>
  <c r="Z1149" i="1"/>
  <c r="Z1146" i="1"/>
  <c r="AB1146" i="1" s="1"/>
  <c r="Z1145" i="1"/>
  <c r="AB1145" i="1" s="1"/>
  <c r="Z941" i="1"/>
  <c r="Z1143" i="1"/>
  <c r="Z1142" i="1"/>
  <c r="Z1139" i="1"/>
  <c r="Z1138" i="1"/>
  <c r="Z1137" i="1"/>
  <c r="Z1136" i="1"/>
  <c r="Z935" i="1"/>
  <c r="Z1134" i="1"/>
  <c r="Z1133" i="1"/>
  <c r="AB1133" i="1" s="1"/>
  <c r="Z1132" i="1"/>
  <c r="AB1132" i="1" s="1"/>
  <c r="Z1131" i="1"/>
  <c r="AB1131" i="1" s="1"/>
  <c r="Z1130" i="1"/>
  <c r="Z1129" i="1"/>
  <c r="Z1128" i="1"/>
  <c r="AB1128" i="1" s="1"/>
  <c r="Z1127" i="1"/>
  <c r="Z1126" i="1"/>
  <c r="Z1125" i="1"/>
  <c r="Z1124" i="1"/>
  <c r="Z1123" i="1"/>
  <c r="Z1122" i="1"/>
  <c r="Z1121" i="1"/>
  <c r="Z1120" i="1"/>
  <c r="AB1120" i="1" s="1"/>
  <c r="Z1118" i="1"/>
  <c r="Z1117" i="1"/>
  <c r="Z737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AB1100" i="1" s="1"/>
  <c r="Z1099" i="1"/>
  <c r="AB1099" i="1" s="1"/>
  <c r="Z926" i="1"/>
  <c r="AB926" i="1" s="1"/>
  <c r="Z1097" i="1"/>
  <c r="Z1096" i="1"/>
  <c r="AB1096" i="1" s="1"/>
  <c r="Z1095" i="1"/>
  <c r="Z1094" i="1"/>
  <c r="Z1093" i="1"/>
  <c r="Z1092" i="1"/>
  <c r="Z1091" i="1"/>
  <c r="Z180" i="1"/>
  <c r="AB180" i="1" s="1"/>
  <c r="Z205" i="1"/>
  <c r="Z193" i="1"/>
  <c r="Z1087" i="1"/>
  <c r="Z1086" i="1"/>
  <c r="Z719" i="1"/>
  <c r="Z590" i="1"/>
  <c r="AB590" i="1" s="1"/>
  <c r="Z1083" i="1"/>
  <c r="AB1083" i="1" s="1"/>
  <c r="Z918" i="1"/>
  <c r="Z1081" i="1"/>
  <c r="Z917" i="1"/>
  <c r="Z1079" i="1"/>
  <c r="Z1078" i="1"/>
  <c r="Z1077" i="1"/>
  <c r="AB1077" i="1" s="1"/>
  <c r="Z1076" i="1"/>
  <c r="Z1075" i="1"/>
  <c r="Z1074" i="1"/>
  <c r="Z1073" i="1"/>
  <c r="Z1072" i="1"/>
  <c r="Z1071" i="1"/>
  <c r="Z1070" i="1"/>
  <c r="Z1069" i="1"/>
  <c r="AB1069" i="1" s="1"/>
  <c r="Z1068" i="1"/>
  <c r="AB1068" i="1" s="1"/>
  <c r="Z587" i="1"/>
  <c r="Z1066" i="1"/>
  <c r="Z1065" i="1"/>
  <c r="AB1065" i="1" s="1"/>
  <c r="Z1064" i="1"/>
  <c r="Z1063" i="1"/>
  <c r="Z1060" i="1"/>
  <c r="Z314" i="1"/>
  <c r="Z1058" i="1"/>
  <c r="Z916" i="1"/>
  <c r="Z1055" i="1"/>
  <c r="Z1054" i="1"/>
  <c r="AB1054" i="1" s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AB1041" i="1" s="1"/>
  <c r="Z1040" i="1"/>
  <c r="Z1039" i="1"/>
  <c r="Z1038" i="1"/>
  <c r="Z1037" i="1"/>
  <c r="Z913" i="1"/>
  <c r="Z21" i="1"/>
  <c r="Z29" i="1"/>
  <c r="Z912" i="1"/>
  <c r="Z1032" i="1"/>
  <c r="Z1031" i="1"/>
  <c r="Z1030" i="1"/>
  <c r="Z1029" i="1"/>
  <c r="Z1028" i="1"/>
  <c r="Z1027" i="1"/>
  <c r="Z900" i="1"/>
  <c r="Z1025" i="1"/>
  <c r="Z1024" i="1"/>
  <c r="AB1024" i="1" s="1"/>
  <c r="Z1023" i="1"/>
  <c r="Z1022" i="1"/>
  <c r="Z1021" i="1"/>
  <c r="Z876" i="1"/>
  <c r="Z873" i="1"/>
  <c r="Z1018" i="1"/>
  <c r="AB1018" i="1" s="1"/>
  <c r="Z1017" i="1"/>
  <c r="Z677" i="1"/>
  <c r="Z667" i="1"/>
  <c r="Z1014" i="1"/>
  <c r="Z1013" i="1"/>
  <c r="Z1012" i="1"/>
  <c r="Z1011" i="1"/>
  <c r="Z1010" i="1"/>
  <c r="Z868" i="1"/>
  <c r="Z1008" i="1"/>
  <c r="Z1007" i="1"/>
  <c r="Z1006" i="1"/>
  <c r="Z1005" i="1"/>
  <c r="AB1005" i="1" s="1"/>
  <c r="Z1004" i="1"/>
  <c r="Z1003" i="1"/>
  <c r="Z1002" i="1"/>
  <c r="Z1001" i="1"/>
  <c r="Z1000" i="1"/>
  <c r="Z999" i="1"/>
  <c r="Z998" i="1"/>
  <c r="AB998" i="1" s="1"/>
  <c r="Z997" i="1"/>
  <c r="Z996" i="1"/>
  <c r="Z995" i="1"/>
  <c r="Z994" i="1"/>
  <c r="Z993" i="1"/>
  <c r="Z742" i="1"/>
  <c r="Z991" i="1"/>
  <c r="Z990" i="1"/>
  <c r="Z989" i="1"/>
  <c r="AB989" i="1" s="1"/>
  <c r="Z988" i="1"/>
  <c r="Z987" i="1"/>
  <c r="Z986" i="1"/>
  <c r="Z985" i="1"/>
  <c r="AB985" i="1" s="1"/>
  <c r="Z984" i="1"/>
  <c r="AB984" i="1" s="1"/>
  <c r="Z983" i="1"/>
  <c r="AB983" i="1" s="1"/>
  <c r="AB982" i="1"/>
  <c r="Z981" i="1"/>
  <c r="Z980" i="1"/>
  <c r="Z979" i="1"/>
  <c r="AB979" i="1" s="1"/>
  <c r="Z978" i="1"/>
  <c r="AB978" i="1" s="1"/>
  <c r="Z977" i="1"/>
  <c r="Z976" i="1"/>
  <c r="Z975" i="1"/>
  <c r="AB975" i="1" s="1"/>
  <c r="Z974" i="1"/>
  <c r="Z973" i="1"/>
  <c r="Z972" i="1"/>
  <c r="AB972" i="1" s="1"/>
  <c r="Z971" i="1"/>
  <c r="AB971" i="1" s="1"/>
  <c r="Z970" i="1"/>
  <c r="AB970" i="1" s="1"/>
  <c r="Z969" i="1"/>
  <c r="Z968" i="1"/>
  <c r="Z967" i="1"/>
  <c r="Z966" i="1"/>
  <c r="Z965" i="1"/>
  <c r="Z176" i="1"/>
  <c r="Z962" i="1"/>
  <c r="Z961" i="1"/>
  <c r="Z960" i="1"/>
  <c r="AB960" i="1" s="1"/>
  <c r="Z59" i="1"/>
  <c r="AB59" i="1" s="1"/>
  <c r="Z958" i="1"/>
  <c r="Z957" i="1"/>
  <c r="Z955" i="1"/>
  <c r="Z866" i="1"/>
  <c r="Z954" i="1"/>
  <c r="Z953" i="1"/>
  <c r="Z952" i="1"/>
  <c r="Z951" i="1"/>
  <c r="Z950" i="1"/>
  <c r="Z1159" i="1"/>
  <c r="Z948" i="1"/>
  <c r="Z947" i="1"/>
  <c r="Z946" i="1"/>
  <c r="Z945" i="1"/>
  <c r="Z944" i="1"/>
  <c r="Z943" i="1"/>
  <c r="Z942" i="1"/>
  <c r="Z860" i="1"/>
  <c r="Z940" i="1"/>
  <c r="AB940" i="1" s="1"/>
  <c r="Z939" i="1"/>
  <c r="Z938" i="1"/>
  <c r="Z937" i="1"/>
  <c r="Z936" i="1"/>
  <c r="Z764" i="1"/>
  <c r="Z934" i="1"/>
  <c r="Z933" i="1"/>
  <c r="Z932" i="1"/>
  <c r="AB932" i="1" s="1"/>
  <c r="Z931" i="1"/>
  <c r="AB931" i="1" s="1"/>
  <c r="Z930" i="1"/>
  <c r="AB930" i="1" s="1"/>
  <c r="Z830" i="1"/>
  <c r="Z928" i="1"/>
  <c r="Z927" i="1"/>
  <c r="Z736" i="1"/>
  <c r="Z925" i="1"/>
  <c r="AB925" i="1" s="1"/>
  <c r="Z924" i="1"/>
  <c r="Z923" i="1"/>
  <c r="Z922" i="1"/>
  <c r="Z921" i="1"/>
  <c r="Z920" i="1"/>
  <c r="Z919" i="1"/>
  <c r="Z825" i="1"/>
  <c r="Z819" i="1"/>
  <c r="Z818" i="1"/>
  <c r="Z915" i="1"/>
  <c r="AB915" i="1" s="1"/>
  <c r="Z914" i="1"/>
  <c r="Z815" i="1"/>
  <c r="Z799" i="1"/>
  <c r="Z911" i="1"/>
  <c r="Z910" i="1"/>
  <c r="Z908" i="1"/>
  <c r="AB908" i="1" s="1"/>
  <c r="Z909" i="1"/>
  <c r="AB909" i="1" s="1"/>
  <c r="Z907" i="1"/>
  <c r="Z906" i="1"/>
  <c r="Z904" i="1"/>
  <c r="AB904" i="1" s="1"/>
  <c r="Z903" i="1"/>
  <c r="AB903" i="1" s="1"/>
  <c r="Z902" i="1"/>
  <c r="Z901" i="1"/>
  <c r="Z582" i="1"/>
  <c r="AB582" i="1" s="1"/>
  <c r="Z899" i="1"/>
  <c r="Z898" i="1"/>
  <c r="Z897" i="1"/>
  <c r="AB897" i="1" s="1"/>
  <c r="Z896" i="1"/>
  <c r="Z895" i="1"/>
  <c r="Z894" i="1"/>
  <c r="Z893" i="1"/>
  <c r="Z892" i="1"/>
  <c r="Z891" i="1"/>
  <c r="Z890" i="1"/>
  <c r="AB890" i="1" s="1"/>
  <c r="Z889" i="1"/>
  <c r="AB889" i="1" s="1"/>
  <c r="Z888" i="1"/>
  <c r="AB888" i="1" s="1"/>
  <c r="Z887" i="1"/>
  <c r="Z886" i="1"/>
  <c r="Z885" i="1"/>
  <c r="Z884" i="1"/>
  <c r="Z883" i="1"/>
  <c r="AB883" i="1" s="1"/>
  <c r="Z882" i="1"/>
  <c r="AB882" i="1" s="1"/>
  <c r="Z881" i="1"/>
  <c r="AB881" i="1" s="1"/>
  <c r="Z880" i="1"/>
  <c r="AB880" i="1" s="1"/>
  <c r="Z879" i="1"/>
  <c r="Z878" i="1"/>
  <c r="Z877" i="1"/>
  <c r="Z657" i="1"/>
  <c r="Z875" i="1"/>
  <c r="Z874" i="1"/>
  <c r="Z731" i="1"/>
  <c r="Z872" i="1"/>
  <c r="Z871" i="1"/>
  <c r="Z870" i="1"/>
  <c r="Z869" i="1"/>
  <c r="Z723" i="1"/>
  <c r="Z867" i="1"/>
  <c r="Z346" i="1"/>
  <c r="Z865" i="1"/>
  <c r="Z864" i="1"/>
  <c r="Z863" i="1"/>
  <c r="Z862" i="1"/>
  <c r="Z861" i="1"/>
  <c r="Z741" i="1"/>
  <c r="Z859" i="1"/>
  <c r="AB859" i="1" s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AB846" i="1" s="1"/>
  <c r="Z845" i="1"/>
  <c r="AB845" i="1" s="1"/>
  <c r="Z844" i="1"/>
  <c r="AB844" i="1" s="1"/>
  <c r="Z843" i="1"/>
  <c r="AB843" i="1" s="1"/>
  <c r="Z842" i="1"/>
  <c r="AB842" i="1" s="1"/>
  <c r="Z841" i="1"/>
  <c r="AB841" i="1" s="1"/>
  <c r="Z840" i="1"/>
  <c r="AB840" i="1" s="1"/>
  <c r="Z839" i="1"/>
  <c r="AB839" i="1" s="1"/>
  <c r="Z838" i="1"/>
  <c r="AB838" i="1" s="1"/>
  <c r="Z837" i="1"/>
  <c r="Z836" i="1"/>
  <c r="Z835" i="1"/>
  <c r="Z834" i="1"/>
  <c r="Z833" i="1"/>
  <c r="AB833" i="1" s="1"/>
  <c r="Z832" i="1"/>
  <c r="AB832" i="1" s="1"/>
  <c r="Z831" i="1"/>
  <c r="AB831" i="1" s="1"/>
  <c r="Z760" i="1"/>
  <c r="Z829" i="1"/>
  <c r="AB829" i="1" s="1"/>
  <c r="Z828" i="1"/>
  <c r="Z827" i="1"/>
  <c r="Z826" i="1"/>
  <c r="Z656" i="1"/>
  <c r="Z824" i="1"/>
  <c r="Z822" i="1"/>
  <c r="AB822" i="1" s="1"/>
  <c r="Z821" i="1"/>
  <c r="Z820" i="1"/>
  <c r="AB820" i="1" s="1"/>
  <c r="Z795" i="1"/>
  <c r="Z817" i="1"/>
  <c r="Z816" i="1"/>
  <c r="Z757" i="1"/>
  <c r="Z814" i="1"/>
  <c r="Z813" i="1"/>
  <c r="Z812" i="1"/>
  <c r="Z811" i="1"/>
  <c r="Z810" i="1"/>
  <c r="Z809" i="1"/>
  <c r="Z808" i="1"/>
  <c r="Z806" i="1"/>
  <c r="Z805" i="1"/>
  <c r="Z804" i="1"/>
  <c r="Z803" i="1"/>
  <c r="Z802" i="1"/>
  <c r="Z801" i="1"/>
  <c r="Z800" i="1"/>
  <c r="AB800" i="1" s="1"/>
  <c r="Z744" i="1"/>
  <c r="AB744" i="1" s="1"/>
  <c r="Z798" i="1"/>
  <c r="Z797" i="1"/>
  <c r="Z796" i="1"/>
  <c r="Z1085" i="1"/>
  <c r="Z794" i="1"/>
  <c r="AB794" i="1" s="1"/>
  <c r="Z792" i="1"/>
  <c r="AB792" i="1" s="1"/>
  <c r="Z791" i="1"/>
  <c r="AB791" i="1" s="1"/>
  <c r="Z40" i="1"/>
  <c r="AB40" i="1" s="1"/>
  <c r="Z789" i="1"/>
  <c r="Z788" i="1"/>
  <c r="Z787" i="1"/>
  <c r="Z786" i="1"/>
  <c r="Z785" i="1"/>
  <c r="Z784" i="1"/>
  <c r="AB784" i="1" s="1"/>
  <c r="Z783" i="1"/>
  <c r="AB783" i="1" s="1"/>
  <c r="Z782" i="1"/>
  <c r="AB782" i="1" s="1"/>
  <c r="Z781" i="1"/>
  <c r="AB781" i="1" s="1"/>
  <c r="Z790" i="1"/>
  <c r="Z779" i="1"/>
  <c r="Z1084" i="1"/>
  <c r="Z777" i="1"/>
  <c r="AB777" i="1" s="1"/>
  <c r="Z776" i="1"/>
  <c r="Z775" i="1"/>
  <c r="Z774" i="1"/>
  <c r="Z773" i="1"/>
  <c r="Z772" i="1"/>
  <c r="AB772" i="1" s="1"/>
  <c r="Z771" i="1"/>
  <c r="Z770" i="1"/>
  <c r="Z769" i="1"/>
  <c r="Z768" i="1"/>
  <c r="Z767" i="1"/>
  <c r="AB767" i="1" s="1"/>
  <c r="Z766" i="1"/>
  <c r="Z765" i="1"/>
  <c r="AB765" i="1" s="1"/>
  <c r="Z780" i="1"/>
  <c r="Z763" i="1"/>
  <c r="Z762" i="1"/>
  <c r="Z761" i="1"/>
  <c r="Z408" i="1"/>
  <c r="Z759" i="1"/>
  <c r="Z758" i="1"/>
  <c r="Z301" i="1"/>
  <c r="Z755" i="1"/>
  <c r="Z754" i="1"/>
  <c r="Z753" i="1"/>
  <c r="Z752" i="1"/>
  <c r="Z751" i="1"/>
  <c r="Z750" i="1"/>
  <c r="Z749" i="1"/>
  <c r="Z748" i="1"/>
  <c r="Z747" i="1"/>
  <c r="Z746" i="1"/>
  <c r="Z745" i="1"/>
  <c r="Z1082" i="1"/>
  <c r="Z1080" i="1"/>
  <c r="Z1067" i="1"/>
  <c r="Z1059" i="1"/>
  <c r="Z740" i="1"/>
  <c r="Z739" i="1"/>
  <c r="Z738" i="1"/>
  <c r="Z1057" i="1"/>
  <c r="Z1036" i="1"/>
  <c r="Z1035" i="1"/>
  <c r="Z734" i="1"/>
  <c r="Z733" i="1"/>
  <c r="Z732" i="1"/>
  <c r="Z712" i="1"/>
  <c r="Z730" i="1"/>
  <c r="Z729" i="1"/>
  <c r="Z728" i="1"/>
  <c r="Z727" i="1"/>
  <c r="Z726" i="1"/>
  <c r="Z725" i="1"/>
  <c r="Z724" i="1"/>
  <c r="Z778" i="1"/>
  <c r="AB778" i="1" s="1"/>
  <c r="Z722" i="1"/>
  <c r="Z721" i="1"/>
  <c r="AB721" i="1" s="1"/>
  <c r="Z720" i="1"/>
  <c r="AB720" i="1" s="1"/>
  <c r="Z735" i="1"/>
  <c r="Z718" i="1"/>
  <c r="Z717" i="1"/>
  <c r="Z716" i="1"/>
  <c r="Z715" i="1"/>
  <c r="Z714" i="1"/>
  <c r="Z713" i="1"/>
  <c r="Z743" i="1"/>
  <c r="Z1034" i="1"/>
  <c r="Z710" i="1"/>
  <c r="AB710" i="1" s="1"/>
  <c r="Z709" i="1"/>
  <c r="AB709" i="1" s="1"/>
  <c r="Z708" i="1"/>
  <c r="Z707" i="1"/>
  <c r="Z706" i="1"/>
  <c r="AB706" i="1" s="1"/>
  <c r="Z705" i="1"/>
  <c r="Z704" i="1"/>
  <c r="Z949" i="1"/>
  <c r="Z702" i="1"/>
  <c r="Z701" i="1"/>
  <c r="Z700" i="1"/>
  <c r="Z699" i="1"/>
  <c r="Z698" i="1"/>
  <c r="Z697" i="1"/>
  <c r="AB697" i="1" s="1"/>
  <c r="Z696" i="1"/>
  <c r="Z695" i="1"/>
  <c r="Z694" i="1"/>
  <c r="Z693" i="1"/>
  <c r="Z692" i="1"/>
  <c r="AB692" i="1" s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1033" i="1"/>
  <c r="Z676" i="1"/>
  <c r="AB676" i="1" s="1"/>
  <c r="Z675" i="1"/>
  <c r="Z674" i="1"/>
  <c r="AB674" i="1" s="1"/>
  <c r="Z672" i="1"/>
  <c r="Z671" i="1"/>
  <c r="Z670" i="1"/>
  <c r="Z669" i="1"/>
  <c r="Z668" i="1"/>
  <c r="Z653" i="1"/>
  <c r="Z666" i="1"/>
  <c r="Z665" i="1"/>
  <c r="Z664" i="1"/>
  <c r="Z663" i="1"/>
  <c r="Z662" i="1"/>
  <c r="Z661" i="1"/>
  <c r="Z660" i="1"/>
  <c r="Z659" i="1"/>
  <c r="Z658" i="1"/>
  <c r="Z28" i="1"/>
  <c r="Z393" i="1"/>
  <c r="Z392" i="1"/>
  <c r="Z654" i="1"/>
  <c r="Z1026" i="1"/>
  <c r="Z652" i="1"/>
  <c r="Z651" i="1"/>
  <c r="Z650" i="1"/>
  <c r="Z649" i="1"/>
  <c r="Z648" i="1"/>
  <c r="Z647" i="1"/>
  <c r="Z646" i="1"/>
  <c r="Z645" i="1"/>
  <c r="Z332" i="1"/>
  <c r="Z643" i="1"/>
  <c r="Z642" i="1"/>
  <c r="Z431" i="1"/>
  <c r="Z640" i="1"/>
  <c r="Z639" i="1"/>
  <c r="Z638" i="1"/>
  <c r="Z573" i="1"/>
  <c r="Z636" i="1"/>
  <c r="Z572" i="1"/>
  <c r="Z634" i="1"/>
  <c r="Z633" i="1"/>
  <c r="Z632" i="1"/>
  <c r="Z569" i="1"/>
  <c r="Z630" i="1"/>
  <c r="Z629" i="1"/>
  <c r="Z628" i="1"/>
  <c r="Z627" i="1"/>
  <c r="Z626" i="1"/>
  <c r="Z625" i="1"/>
  <c r="Z624" i="1"/>
  <c r="Z623" i="1"/>
  <c r="Z285" i="1"/>
  <c r="Z253" i="1"/>
  <c r="Z619" i="1"/>
  <c r="Z617" i="1"/>
  <c r="Z616" i="1"/>
  <c r="Z615" i="1"/>
  <c r="Z614" i="1"/>
  <c r="Z613" i="1"/>
  <c r="Z612" i="1"/>
  <c r="Z611" i="1"/>
  <c r="Z610" i="1"/>
  <c r="Z553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35" i="1"/>
  <c r="Z594" i="1"/>
  <c r="Z593" i="1"/>
  <c r="Z592" i="1"/>
  <c r="Z591" i="1"/>
  <c r="Z98" i="1"/>
  <c r="Z589" i="1"/>
  <c r="Z588" i="1"/>
  <c r="Z963" i="1"/>
  <c r="Z586" i="1"/>
  <c r="Z585" i="1"/>
  <c r="Z584" i="1"/>
  <c r="Z583" i="1"/>
  <c r="Z44" i="1"/>
  <c r="Z581" i="1"/>
  <c r="Z580" i="1"/>
  <c r="Z579" i="1"/>
  <c r="Z578" i="1"/>
  <c r="Z577" i="1"/>
  <c r="Z576" i="1"/>
  <c r="Z575" i="1"/>
  <c r="Z574" i="1"/>
  <c r="Z308" i="1"/>
  <c r="Z306" i="1"/>
  <c r="Z571" i="1"/>
  <c r="Z570" i="1"/>
  <c r="Z307" i="1"/>
  <c r="Z568" i="1"/>
  <c r="Z567" i="1"/>
  <c r="Z566" i="1"/>
  <c r="Z565" i="1"/>
  <c r="Z564" i="1"/>
  <c r="Z563" i="1"/>
  <c r="Z558" i="1"/>
  <c r="Z561" i="1"/>
  <c r="Z560" i="1"/>
  <c r="Z559" i="1"/>
  <c r="Z557" i="1"/>
  <c r="Z556" i="1"/>
  <c r="Z555" i="1"/>
  <c r="Z554" i="1"/>
  <c r="Z655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416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325" i="1"/>
  <c r="Z521" i="1"/>
  <c r="Z520" i="1"/>
  <c r="Z519" i="1"/>
  <c r="Z621" i="1"/>
  <c r="Z517" i="1"/>
  <c r="Z515" i="1"/>
  <c r="Z514" i="1"/>
  <c r="Z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146" i="1"/>
  <c r="Z488" i="1"/>
  <c r="Z20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1135" i="1"/>
  <c r="Z458" i="1"/>
  <c r="Z140" i="1"/>
  <c r="Z456" i="1"/>
  <c r="Z1009" i="1"/>
  <c r="Z454" i="1"/>
  <c r="Z992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AB441" i="1" s="1"/>
  <c r="Z440" i="1"/>
  <c r="Z439" i="1"/>
  <c r="Z438" i="1"/>
  <c r="Z437" i="1"/>
  <c r="Z436" i="1"/>
  <c r="Z595" i="1"/>
  <c r="Z434" i="1"/>
  <c r="Z265" i="1"/>
  <c r="Z251" i="1"/>
  <c r="Z252" i="1"/>
  <c r="Z323" i="1"/>
  <c r="Z429" i="1"/>
  <c r="Z428" i="1"/>
  <c r="Z427" i="1"/>
  <c r="Z206" i="1"/>
  <c r="Z425" i="1"/>
  <c r="Z259" i="1"/>
  <c r="Z423" i="1"/>
  <c r="Z422" i="1"/>
  <c r="Z522" i="1"/>
  <c r="Z420" i="1"/>
  <c r="Z419" i="1"/>
  <c r="Z418" i="1"/>
  <c r="AB418" i="1" s="1"/>
  <c r="Z417" i="1"/>
  <c r="AB417" i="1" s="1"/>
  <c r="Z518" i="1"/>
  <c r="AB518" i="1" s="1"/>
  <c r="Z415" i="1"/>
  <c r="Z414" i="1"/>
  <c r="Z413" i="1"/>
  <c r="Z412" i="1"/>
  <c r="Z150" i="1"/>
  <c r="Z410" i="1"/>
  <c r="Z181" i="1"/>
  <c r="Z407" i="1"/>
  <c r="Z406" i="1"/>
  <c r="Z405" i="1"/>
  <c r="Z404" i="1"/>
  <c r="Z513" i="1"/>
  <c r="Z402" i="1"/>
  <c r="Z401" i="1"/>
  <c r="Z400" i="1"/>
  <c r="Z398" i="1"/>
  <c r="Z227" i="1"/>
  <c r="Z396" i="1"/>
  <c r="Z395" i="1"/>
  <c r="Z394" i="1"/>
  <c r="Z242" i="1"/>
  <c r="Z183" i="1"/>
  <c r="Z391" i="1"/>
  <c r="Z390" i="1"/>
  <c r="Z389" i="1"/>
  <c r="Z388" i="1"/>
  <c r="Z387" i="1"/>
  <c r="Z386" i="1"/>
  <c r="AB386" i="1" s="1"/>
  <c r="Z385" i="1"/>
  <c r="AB385" i="1" s="1"/>
  <c r="Z384" i="1"/>
  <c r="Z383" i="1"/>
  <c r="Z382" i="1"/>
  <c r="Z381" i="1"/>
  <c r="Z380" i="1"/>
  <c r="Z379" i="1"/>
  <c r="Z378" i="1"/>
  <c r="AB378" i="1" s="1"/>
  <c r="Z377" i="1"/>
  <c r="AB377" i="1" s="1"/>
  <c r="Z376" i="1"/>
  <c r="Z375" i="1"/>
  <c r="AB375" i="1" s="1"/>
  <c r="Z374" i="1"/>
  <c r="AB374" i="1" s="1"/>
  <c r="Z373" i="1"/>
  <c r="Z372" i="1"/>
  <c r="AB372" i="1" s="1"/>
  <c r="Z371" i="1"/>
  <c r="AB371" i="1" s="1"/>
  <c r="Z370" i="1"/>
  <c r="Z369" i="1"/>
  <c r="Z368" i="1"/>
  <c r="Z367" i="1"/>
  <c r="AB367" i="1" s="1"/>
  <c r="Z366" i="1"/>
  <c r="Z365" i="1"/>
  <c r="Z364" i="1"/>
  <c r="AB364" i="1" s="1"/>
  <c r="Z363" i="1"/>
  <c r="Z362" i="1"/>
  <c r="Z361" i="1"/>
  <c r="Z360" i="1"/>
  <c r="Z359" i="1"/>
  <c r="Z358" i="1"/>
  <c r="Z357" i="1"/>
  <c r="Z356" i="1"/>
  <c r="AB356" i="1" s="1"/>
  <c r="Z489" i="1"/>
  <c r="AB489" i="1" s="1"/>
  <c r="Z354" i="1"/>
  <c r="Z277" i="1"/>
  <c r="AB277" i="1" s="1"/>
  <c r="Z352" i="1"/>
  <c r="Z351" i="1"/>
  <c r="Z271" i="1"/>
  <c r="AB271" i="1" s="1"/>
  <c r="Z349" i="1"/>
  <c r="Z348" i="1"/>
  <c r="Z347" i="1"/>
  <c r="Z15" i="1"/>
  <c r="Z345" i="1"/>
  <c r="Z344" i="1"/>
  <c r="Z343" i="1"/>
  <c r="Z342" i="1"/>
  <c r="AB342" i="1" s="1"/>
  <c r="Z341" i="1"/>
  <c r="Z340" i="1"/>
  <c r="Z339" i="1"/>
  <c r="Z338" i="1"/>
  <c r="Z337" i="1"/>
  <c r="Z336" i="1"/>
  <c r="Z335" i="1"/>
  <c r="Z334" i="1"/>
  <c r="Z333" i="1"/>
  <c r="Z13" i="1"/>
  <c r="Z331" i="1"/>
  <c r="Z226" i="1"/>
  <c r="Z329" i="1"/>
  <c r="Z328" i="1"/>
  <c r="Z327" i="1"/>
  <c r="Z326" i="1"/>
  <c r="Z1098" i="1"/>
  <c r="Z1019" i="1"/>
  <c r="Z245" i="1"/>
  <c r="Z322" i="1"/>
  <c r="Z321" i="1"/>
  <c r="Z184" i="1"/>
  <c r="Z319" i="1"/>
  <c r="Z318" i="1"/>
  <c r="Z317" i="1"/>
  <c r="Z316" i="1"/>
  <c r="Z315" i="1"/>
  <c r="Z641" i="1"/>
  <c r="Z313" i="1"/>
  <c r="Z16" i="1"/>
  <c r="Z311" i="1"/>
  <c r="Z310" i="1"/>
  <c r="Z309" i="1"/>
  <c r="Z637" i="1"/>
  <c r="Z1020" i="1"/>
  <c r="Z1090" i="1"/>
  <c r="AB1090" i="1" s="1"/>
  <c r="Z305" i="1"/>
  <c r="Z304" i="1"/>
  <c r="Z303" i="1"/>
  <c r="Z302" i="1"/>
  <c r="Z1089" i="1"/>
  <c r="Z300" i="1"/>
  <c r="Z299" i="1"/>
  <c r="AB299" i="1" s="1"/>
  <c r="Z298" i="1"/>
  <c r="AB298" i="1" s="1"/>
  <c r="Z297" i="1"/>
  <c r="AB297" i="1" s="1"/>
  <c r="Z296" i="1"/>
  <c r="Z295" i="1"/>
  <c r="AB295" i="1" s="1"/>
  <c r="Z294" i="1"/>
  <c r="AB294" i="1" s="1"/>
  <c r="Z293" i="1"/>
  <c r="Z292" i="1"/>
  <c r="AB292" i="1" s="1"/>
  <c r="Z291" i="1"/>
  <c r="Z290" i="1"/>
  <c r="AB290" i="1" s="1"/>
  <c r="Z289" i="1"/>
  <c r="Z411" i="1"/>
  <c r="AB411" i="1" s="1"/>
  <c r="Z312" i="1"/>
  <c r="Z286" i="1"/>
  <c r="Z288" i="1"/>
  <c r="Z284" i="1"/>
  <c r="Z283" i="1"/>
  <c r="AB283" i="1" s="1"/>
  <c r="Z282" i="1"/>
  <c r="Z281" i="1"/>
  <c r="AB281" i="1" s="1"/>
  <c r="Z280" i="1"/>
  <c r="AB280" i="1" s="1"/>
  <c r="Z279" i="1"/>
  <c r="AB279" i="1" s="1"/>
  <c r="Z278" i="1"/>
  <c r="Z128" i="1"/>
  <c r="AB128" i="1" s="1"/>
  <c r="Z276" i="1"/>
  <c r="Z275" i="1"/>
  <c r="AB275" i="1" s="1"/>
  <c r="Z274" i="1"/>
  <c r="Z273" i="1"/>
  <c r="AB273" i="1" s="1"/>
  <c r="Z272" i="1"/>
  <c r="AB272" i="1" s="1"/>
  <c r="Z32" i="1"/>
  <c r="Z270" i="1"/>
  <c r="Z287" i="1"/>
  <c r="Z268" i="1"/>
  <c r="Z267" i="1"/>
  <c r="Z266" i="1"/>
  <c r="Z189" i="1"/>
  <c r="Z264" i="1"/>
  <c r="Z263" i="1"/>
  <c r="Z262" i="1"/>
  <c r="Z261" i="1"/>
  <c r="Z260" i="1"/>
  <c r="Z30" i="1"/>
  <c r="Z258" i="1"/>
  <c r="Z257" i="1"/>
  <c r="Z256" i="1"/>
  <c r="Z255" i="1"/>
  <c r="Z254" i="1"/>
  <c r="Z235" i="1"/>
  <c r="Z350" i="1"/>
  <c r="Z269" i="1"/>
  <c r="Z250" i="1"/>
  <c r="Z248" i="1"/>
  <c r="Z247" i="1"/>
  <c r="Z246" i="1"/>
  <c r="Z432" i="1"/>
  <c r="Z244" i="1"/>
  <c r="Z243" i="1"/>
  <c r="Z1088" i="1"/>
  <c r="Z241" i="1"/>
  <c r="Z240" i="1"/>
  <c r="Z239" i="1"/>
  <c r="Z238" i="1"/>
  <c r="Z237" i="1"/>
  <c r="Z236" i="1"/>
  <c r="Z1015" i="1"/>
  <c r="Z234" i="1"/>
  <c r="Z233" i="1"/>
  <c r="Z232" i="1"/>
  <c r="Z231" i="1"/>
  <c r="Z230" i="1"/>
  <c r="Z229" i="1"/>
  <c r="Z228" i="1"/>
  <c r="Z87" i="1"/>
  <c r="Z74" i="1"/>
  <c r="Z225" i="1"/>
  <c r="Z224" i="1"/>
  <c r="Z116" i="1"/>
  <c r="Z222" i="1"/>
  <c r="Z221" i="1"/>
  <c r="Z220" i="1"/>
  <c r="Z219" i="1"/>
  <c r="Z218" i="1"/>
  <c r="Z54" i="1"/>
  <c r="AB54" i="1" s="1"/>
  <c r="Z216" i="1"/>
  <c r="Z215" i="1"/>
  <c r="AB215" i="1" s="1"/>
  <c r="Z214" i="1"/>
  <c r="Z213" i="1"/>
  <c r="Z212" i="1"/>
  <c r="Z211" i="1"/>
  <c r="Z210" i="1"/>
  <c r="Z209" i="1"/>
  <c r="Z1016" i="1"/>
  <c r="AB1016" i="1" s="1"/>
  <c r="Z207" i="1"/>
  <c r="AB207" i="1" s="1"/>
  <c r="Z959" i="1"/>
  <c r="Z93" i="1"/>
  <c r="AB93" i="1" s="1"/>
  <c r="Z204" i="1"/>
  <c r="Z203" i="1"/>
  <c r="AB203" i="1" s="1"/>
  <c r="Z202" i="1"/>
  <c r="AB202" i="1" s="1"/>
  <c r="Z201" i="1"/>
  <c r="Z200" i="1"/>
  <c r="AB200" i="1" s="1"/>
  <c r="Z199" i="1"/>
  <c r="Z198" i="1"/>
  <c r="Z197" i="1"/>
  <c r="AB197" i="1" s="1"/>
  <c r="Z196" i="1"/>
  <c r="AB196" i="1" s="1"/>
  <c r="Z195" i="1"/>
  <c r="Z194" i="1"/>
  <c r="Z355" i="1"/>
  <c r="AB355" i="1" s="1"/>
  <c r="Z192" i="1"/>
  <c r="Z191" i="1"/>
  <c r="AB191" i="1" s="1"/>
  <c r="Z190" i="1"/>
  <c r="Z487" i="1"/>
  <c r="AB487" i="1" s="1"/>
  <c r="Z188" i="1"/>
  <c r="Z187" i="1"/>
  <c r="AB187" i="1" s="1"/>
  <c r="Z186" i="1"/>
  <c r="Z185" i="1"/>
  <c r="Z459" i="1"/>
  <c r="AB459" i="1" s="1"/>
  <c r="Z1166" i="1"/>
  <c r="AB1166" i="1" s="1"/>
  <c r="Z182" i="1"/>
  <c r="Z174" i="1"/>
  <c r="Z320" i="1"/>
  <c r="Z179" i="1"/>
  <c r="Z178" i="1"/>
  <c r="Z177" i="1"/>
  <c r="Z102" i="1"/>
  <c r="Z99" i="1"/>
  <c r="Z103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AB152" i="1" s="1"/>
  <c r="Z151" i="1"/>
  <c r="AB151" i="1" s="1"/>
  <c r="Z175" i="1"/>
  <c r="Z149" i="1"/>
  <c r="Z148" i="1"/>
  <c r="Z147" i="1"/>
  <c r="Z70" i="1"/>
  <c r="Z145" i="1"/>
  <c r="Z144" i="1"/>
  <c r="Z143" i="1"/>
  <c r="Z142" i="1"/>
  <c r="Z141" i="1"/>
  <c r="Z353" i="1"/>
  <c r="Z139" i="1"/>
  <c r="Z138" i="1"/>
  <c r="Z137" i="1"/>
  <c r="AB137" i="1" s="1"/>
  <c r="Z136" i="1"/>
  <c r="Z135" i="1"/>
  <c r="Z134" i="1"/>
  <c r="Z133" i="1"/>
  <c r="AB133" i="1" s="1"/>
  <c r="Z132" i="1"/>
  <c r="AB132" i="1" s="1"/>
  <c r="Z130" i="1"/>
  <c r="Z129" i="1"/>
  <c r="Z68" i="1"/>
  <c r="Z127" i="1"/>
  <c r="Z126" i="1"/>
  <c r="Z125" i="1"/>
  <c r="Z124" i="1"/>
  <c r="Z123" i="1"/>
  <c r="AB123" i="1" s="1"/>
  <c r="Z122" i="1"/>
  <c r="Z121" i="1"/>
  <c r="AB121" i="1" s="1"/>
  <c r="Z120" i="1"/>
  <c r="Z119" i="1"/>
  <c r="Z118" i="1"/>
  <c r="Z117" i="1"/>
  <c r="AB117" i="1" s="1"/>
  <c r="Z457" i="1"/>
  <c r="Z115" i="1"/>
  <c r="Z114" i="1"/>
  <c r="AB114" i="1" s="1"/>
  <c r="Z113" i="1"/>
  <c r="Z112" i="1"/>
  <c r="AB112" i="1" s="1"/>
  <c r="Z111" i="1"/>
  <c r="AB111" i="1" s="1"/>
  <c r="Z110" i="1"/>
  <c r="Z109" i="1"/>
  <c r="Z108" i="1"/>
  <c r="Z107" i="1"/>
  <c r="Z106" i="1"/>
  <c r="Z105" i="1"/>
  <c r="Z453" i="1"/>
  <c r="AB453" i="1" s="1"/>
  <c r="Z104" i="1"/>
  <c r="Z455" i="1"/>
  <c r="AB455" i="1" s="1"/>
  <c r="Z101" i="1"/>
  <c r="Z100" i="1"/>
  <c r="Z403" i="1"/>
  <c r="Z631" i="1"/>
  <c r="Z635" i="1"/>
  <c r="Z397" i="1"/>
  <c r="Z95" i="1"/>
  <c r="Z94" i="1"/>
  <c r="Z430" i="1"/>
  <c r="Z609" i="1"/>
  <c r="Z426" i="1"/>
  <c r="Z90" i="1"/>
  <c r="Z89" i="1"/>
  <c r="Z88" i="1"/>
  <c r="Z43" i="1"/>
  <c r="Z86" i="1"/>
  <c r="Z85" i="1"/>
  <c r="Z84" i="1"/>
  <c r="Z83" i="1"/>
  <c r="Z82" i="1"/>
  <c r="Z81" i="1"/>
  <c r="Z80" i="1"/>
  <c r="Z79" i="1"/>
  <c r="Z78" i="1"/>
  <c r="Z77" i="1"/>
  <c r="Z76" i="1"/>
  <c r="Z75" i="1"/>
  <c r="Z435" i="1"/>
  <c r="Z73" i="1"/>
  <c r="Z72" i="1"/>
  <c r="AB72" i="1" s="1"/>
  <c r="Z71" i="1"/>
  <c r="Z1116" i="1"/>
  <c r="Z69" i="1"/>
  <c r="AB69" i="1" s="1"/>
  <c r="Z433" i="1"/>
  <c r="AB433" i="1" s="1"/>
  <c r="Z67" i="1"/>
  <c r="AB67" i="1" s="1"/>
  <c r="Z66" i="1"/>
  <c r="Z65" i="1"/>
  <c r="AB65" i="1" s="1"/>
  <c r="Z64" i="1"/>
  <c r="Z63" i="1"/>
  <c r="Z62" i="1"/>
  <c r="Z61" i="1"/>
  <c r="Z217" i="1"/>
  <c r="Z58" i="1"/>
  <c r="Z57" i="1"/>
  <c r="Z644" i="1"/>
  <c r="Z55" i="1"/>
  <c r="Z97" i="1"/>
  <c r="AB97" i="1" s="1"/>
  <c r="Z53" i="1"/>
  <c r="Z52" i="1"/>
  <c r="Z51" i="1"/>
  <c r="AB51" i="1" s="1"/>
  <c r="Z50" i="1"/>
  <c r="AB50" i="1" s="1"/>
  <c r="Z49" i="1"/>
  <c r="Z48" i="1"/>
  <c r="Z47" i="1"/>
  <c r="Z46" i="1"/>
  <c r="Z45" i="1"/>
  <c r="AB45" i="1" s="1"/>
  <c r="Z56" i="1"/>
  <c r="Z424" i="1"/>
  <c r="Z42" i="1"/>
  <c r="K1157" i="1"/>
  <c r="K1148" i="1"/>
  <c r="K1147" i="1"/>
  <c r="K807" i="1"/>
  <c r="K620" i="1"/>
  <c r="K516" i="1"/>
  <c r="K1171" i="1"/>
  <c r="K1170" i="1"/>
  <c r="K1169" i="1"/>
  <c r="K1168" i="1"/>
  <c r="K1167" i="1"/>
  <c r="K711" i="1"/>
  <c r="K1165" i="1"/>
  <c r="K703" i="1"/>
  <c r="K1162" i="1"/>
  <c r="K1161" i="1"/>
  <c r="K1160" i="1"/>
  <c r="K956" i="1"/>
  <c r="K1158" i="1"/>
  <c r="K1156" i="1"/>
  <c r="K1155" i="1"/>
  <c r="K1154" i="1"/>
  <c r="K1153" i="1"/>
  <c r="K1152" i="1"/>
  <c r="K1151" i="1"/>
  <c r="K1149" i="1"/>
  <c r="K941" i="1"/>
  <c r="K1143" i="1"/>
  <c r="K1142" i="1"/>
  <c r="K1139" i="1"/>
  <c r="K1138" i="1"/>
  <c r="K1137" i="1"/>
  <c r="K1136" i="1"/>
  <c r="K935" i="1"/>
  <c r="K1134" i="1"/>
  <c r="K1130" i="1"/>
  <c r="K1129" i="1"/>
  <c r="K1127" i="1"/>
  <c r="K1126" i="1"/>
  <c r="K1125" i="1"/>
  <c r="K1124" i="1"/>
  <c r="K1123" i="1"/>
  <c r="K1122" i="1"/>
  <c r="K1121" i="1"/>
  <c r="K1118" i="1"/>
  <c r="K1117" i="1"/>
  <c r="K737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097" i="1"/>
  <c r="K1095" i="1"/>
  <c r="K1094" i="1"/>
  <c r="K1093" i="1"/>
  <c r="K1092" i="1"/>
  <c r="K1091" i="1"/>
  <c r="K205" i="1"/>
  <c r="K193" i="1"/>
  <c r="K1087" i="1"/>
  <c r="K1086" i="1"/>
  <c r="K719" i="1"/>
  <c r="K918" i="1"/>
  <c r="K1081" i="1"/>
  <c r="K917" i="1"/>
  <c r="K1079" i="1"/>
  <c r="K1078" i="1"/>
  <c r="K1075" i="1"/>
  <c r="K1074" i="1"/>
  <c r="K1073" i="1"/>
  <c r="K1072" i="1"/>
  <c r="K1071" i="1"/>
  <c r="K1070" i="1"/>
  <c r="K587" i="1"/>
  <c r="K1066" i="1"/>
  <c r="K1064" i="1"/>
  <c r="K1063" i="1"/>
  <c r="K1060" i="1"/>
  <c r="K314" i="1"/>
  <c r="K1058" i="1"/>
  <c r="K916" i="1"/>
  <c r="K1055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0" i="1"/>
  <c r="K1039" i="1"/>
  <c r="K1038" i="1"/>
  <c r="K1037" i="1"/>
  <c r="K913" i="1"/>
  <c r="K21" i="1"/>
  <c r="K29" i="1"/>
  <c r="K912" i="1"/>
  <c r="K1032" i="1"/>
  <c r="K1031" i="1"/>
  <c r="K1030" i="1"/>
  <c r="K1029" i="1"/>
  <c r="K1028" i="1"/>
  <c r="K1027" i="1"/>
  <c r="K900" i="1"/>
  <c r="K1025" i="1"/>
  <c r="K1023" i="1"/>
  <c r="K1022" i="1"/>
  <c r="K1021" i="1"/>
  <c r="K876" i="1"/>
  <c r="K873" i="1"/>
  <c r="K1017" i="1"/>
  <c r="K677" i="1"/>
  <c r="K667" i="1"/>
  <c r="K1014" i="1"/>
  <c r="K1013" i="1"/>
  <c r="K1012" i="1"/>
  <c r="K1011" i="1"/>
  <c r="K1010" i="1"/>
  <c r="K868" i="1"/>
  <c r="K1008" i="1"/>
  <c r="K1007" i="1"/>
  <c r="K1006" i="1"/>
  <c r="K1004" i="1"/>
  <c r="K1003" i="1"/>
  <c r="K1002" i="1"/>
  <c r="K1001" i="1"/>
  <c r="K1000" i="1"/>
  <c r="K999" i="1"/>
  <c r="K997" i="1"/>
  <c r="K996" i="1"/>
  <c r="K995" i="1"/>
  <c r="K994" i="1"/>
  <c r="K993" i="1"/>
  <c r="K742" i="1"/>
  <c r="K991" i="1"/>
  <c r="K990" i="1"/>
  <c r="K988" i="1"/>
  <c r="K987" i="1"/>
  <c r="K986" i="1"/>
  <c r="K981" i="1"/>
  <c r="K980" i="1"/>
  <c r="K977" i="1"/>
  <c r="K976" i="1"/>
  <c r="K974" i="1"/>
  <c r="K973" i="1"/>
  <c r="K969" i="1"/>
  <c r="K968" i="1"/>
  <c r="K967" i="1"/>
  <c r="K966" i="1"/>
  <c r="K965" i="1"/>
  <c r="K176" i="1"/>
  <c r="K962" i="1"/>
  <c r="K961" i="1"/>
  <c r="K958" i="1"/>
  <c r="K957" i="1"/>
  <c r="K955" i="1"/>
  <c r="K866" i="1"/>
  <c r="K954" i="1"/>
  <c r="K953" i="1"/>
  <c r="K952" i="1"/>
  <c r="K951" i="1"/>
  <c r="K950" i="1"/>
  <c r="K1159" i="1"/>
  <c r="K948" i="1"/>
  <c r="K947" i="1"/>
  <c r="K946" i="1"/>
  <c r="K945" i="1"/>
  <c r="K944" i="1"/>
  <c r="K943" i="1"/>
  <c r="K942" i="1"/>
  <c r="K860" i="1"/>
  <c r="K939" i="1"/>
  <c r="K938" i="1"/>
  <c r="K937" i="1"/>
  <c r="K936" i="1"/>
  <c r="K764" i="1"/>
  <c r="K934" i="1"/>
  <c r="K933" i="1"/>
  <c r="K830" i="1"/>
  <c r="K928" i="1"/>
  <c r="K927" i="1"/>
  <c r="K736" i="1"/>
  <c r="K924" i="1"/>
  <c r="K923" i="1"/>
  <c r="K922" i="1"/>
  <c r="K921" i="1"/>
  <c r="K920" i="1"/>
  <c r="K919" i="1"/>
  <c r="K825" i="1"/>
  <c r="K819" i="1"/>
  <c r="K818" i="1"/>
  <c r="K914" i="1"/>
  <c r="K815" i="1"/>
  <c r="K799" i="1"/>
  <c r="K911" i="1"/>
  <c r="K910" i="1"/>
  <c r="K907" i="1"/>
  <c r="K906" i="1"/>
  <c r="K902" i="1"/>
  <c r="K901" i="1"/>
  <c r="K899" i="1"/>
  <c r="K898" i="1"/>
  <c r="K896" i="1"/>
  <c r="K895" i="1"/>
  <c r="K894" i="1"/>
  <c r="K893" i="1"/>
  <c r="K892" i="1"/>
  <c r="K891" i="1"/>
  <c r="K887" i="1"/>
  <c r="K886" i="1"/>
  <c r="K885" i="1"/>
  <c r="K884" i="1"/>
  <c r="K879" i="1"/>
  <c r="K878" i="1"/>
  <c r="K877" i="1"/>
  <c r="K657" i="1"/>
  <c r="K875" i="1"/>
  <c r="K874" i="1"/>
  <c r="K731" i="1"/>
  <c r="K872" i="1"/>
  <c r="K871" i="1"/>
  <c r="K870" i="1"/>
  <c r="K869" i="1"/>
  <c r="K723" i="1"/>
  <c r="K867" i="1"/>
  <c r="K346" i="1"/>
  <c r="K865" i="1"/>
  <c r="K864" i="1"/>
  <c r="K863" i="1"/>
  <c r="K862" i="1"/>
  <c r="K861" i="1"/>
  <c r="K741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37" i="1"/>
  <c r="K836" i="1"/>
  <c r="K835" i="1"/>
  <c r="K834" i="1"/>
  <c r="K760" i="1"/>
  <c r="K828" i="1"/>
  <c r="K827" i="1"/>
  <c r="K826" i="1"/>
  <c r="K656" i="1"/>
  <c r="K824" i="1"/>
  <c r="K821" i="1"/>
  <c r="K795" i="1"/>
  <c r="K817" i="1"/>
  <c r="K816" i="1"/>
  <c r="K757" i="1"/>
  <c r="K814" i="1"/>
  <c r="K813" i="1"/>
  <c r="K812" i="1"/>
  <c r="K811" i="1"/>
  <c r="K810" i="1"/>
  <c r="K809" i="1"/>
  <c r="K808" i="1"/>
  <c r="K806" i="1"/>
  <c r="K805" i="1"/>
  <c r="K804" i="1"/>
  <c r="K803" i="1"/>
  <c r="K802" i="1"/>
  <c r="K801" i="1"/>
  <c r="K798" i="1"/>
  <c r="K797" i="1"/>
  <c r="K796" i="1"/>
  <c r="K1085" i="1"/>
  <c r="K789" i="1"/>
  <c r="K788" i="1"/>
  <c r="K787" i="1"/>
  <c r="K786" i="1"/>
  <c r="K785" i="1"/>
  <c r="K790" i="1"/>
  <c r="K779" i="1"/>
  <c r="K1084" i="1"/>
  <c r="K776" i="1"/>
  <c r="K775" i="1"/>
  <c r="K774" i="1"/>
  <c r="K773" i="1"/>
  <c r="K771" i="1"/>
  <c r="K770" i="1"/>
  <c r="K769" i="1"/>
  <c r="K768" i="1"/>
  <c r="K766" i="1"/>
  <c r="K780" i="1"/>
  <c r="K763" i="1"/>
  <c r="K762" i="1"/>
  <c r="K761" i="1"/>
  <c r="K408" i="1"/>
  <c r="K759" i="1"/>
  <c r="K758" i="1"/>
  <c r="K301" i="1"/>
  <c r="K755" i="1"/>
  <c r="K754" i="1"/>
  <c r="K753" i="1"/>
  <c r="K752" i="1"/>
  <c r="K751" i="1"/>
  <c r="K750" i="1"/>
  <c r="K749" i="1"/>
  <c r="K748" i="1"/>
  <c r="K747" i="1"/>
  <c r="K746" i="1"/>
  <c r="K745" i="1"/>
  <c r="K1082" i="1"/>
  <c r="K1080" i="1"/>
  <c r="K1067" i="1"/>
  <c r="K1059" i="1"/>
  <c r="K740" i="1"/>
  <c r="K739" i="1"/>
  <c r="K738" i="1"/>
  <c r="K1057" i="1"/>
  <c r="K1036" i="1"/>
  <c r="K1035" i="1"/>
  <c r="K734" i="1"/>
  <c r="K733" i="1"/>
  <c r="K732" i="1"/>
  <c r="K712" i="1"/>
  <c r="K730" i="1"/>
  <c r="K729" i="1"/>
  <c r="K728" i="1"/>
  <c r="K727" i="1"/>
  <c r="K726" i="1"/>
  <c r="K725" i="1"/>
  <c r="K724" i="1"/>
  <c r="K722" i="1"/>
  <c r="K735" i="1"/>
  <c r="K718" i="1"/>
  <c r="K717" i="1"/>
  <c r="K716" i="1"/>
  <c r="K715" i="1"/>
  <c r="K714" i="1"/>
  <c r="K713" i="1"/>
  <c r="K743" i="1"/>
  <c r="K1034" i="1"/>
  <c r="K708" i="1"/>
  <c r="K707" i="1"/>
  <c r="K705" i="1"/>
  <c r="K704" i="1"/>
  <c r="K949" i="1"/>
  <c r="K702" i="1"/>
  <c r="K701" i="1"/>
  <c r="K700" i="1"/>
  <c r="K699" i="1"/>
  <c r="K698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1033" i="1"/>
  <c r="K675" i="1"/>
  <c r="K672" i="1"/>
  <c r="K671" i="1"/>
  <c r="K670" i="1"/>
  <c r="K669" i="1"/>
  <c r="K668" i="1"/>
  <c r="K653" i="1"/>
  <c r="K666" i="1"/>
  <c r="K665" i="1"/>
  <c r="K664" i="1"/>
  <c r="K663" i="1"/>
  <c r="K662" i="1"/>
  <c r="K661" i="1"/>
  <c r="K660" i="1"/>
  <c r="K659" i="1"/>
  <c r="K658" i="1"/>
  <c r="K28" i="1"/>
  <c r="K393" i="1"/>
  <c r="K392" i="1"/>
  <c r="K654" i="1"/>
  <c r="K1026" i="1"/>
  <c r="K652" i="1"/>
  <c r="K651" i="1"/>
  <c r="K650" i="1"/>
  <c r="K649" i="1"/>
  <c r="K648" i="1"/>
  <c r="K647" i="1"/>
  <c r="K646" i="1"/>
  <c r="K645" i="1"/>
  <c r="K332" i="1"/>
  <c r="K643" i="1"/>
  <c r="K642" i="1"/>
  <c r="K431" i="1"/>
  <c r="K640" i="1"/>
  <c r="K639" i="1"/>
  <c r="K638" i="1"/>
  <c r="K573" i="1"/>
  <c r="K636" i="1"/>
  <c r="K572" i="1"/>
  <c r="K634" i="1"/>
  <c r="K633" i="1"/>
  <c r="K632" i="1"/>
  <c r="K569" i="1"/>
  <c r="K630" i="1"/>
  <c r="K629" i="1"/>
  <c r="K628" i="1"/>
  <c r="K627" i="1"/>
  <c r="K626" i="1"/>
  <c r="K625" i="1"/>
  <c r="K624" i="1"/>
  <c r="K623" i="1"/>
  <c r="K285" i="1"/>
  <c r="K253" i="1"/>
  <c r="K619" i="1"/>
  <c r="K617" i="1"/>
  <c r="K616" i="1"/>
  <c r="K615" i="1"/>
  <c r="K614" i="1"/>
  <c r="K613" i="1"/>
  <c r="K612" i="1"/>
  <c r="K611" i="1"/>
  <c r="K610" i="1"/>
  <c r="K553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35" i="1"/>
  <c r="K594" i="1"/>
  <c r="K593" i="1"/>
  <c r="K592" i="1"/>
  <c r="K591" i="1"/>
  <c r="K98" i="1"/>
  <c r="K589" i="1"/>
  <c r="K588" i="1"/>
  <c r="K963" i="1"/>
  <c r="K586" i="1"/>
  <c r="K585" i="1"/>
  <c r="K584" i="1"/>
  <c r="K583" i="1"/>
  <c r="K44" i="1"/>
  <c r="K581" i="1"/>
  <c r="K580" i="1"/>
  <c r="K579" i="1"/>
  <c r="K578" i="1"/>
  <c r="K577" i="1"/>
  <c r="K576" i="1"/>
  <c r="K575" i="1"/>
  <c r="K574" i="1"/>
  <c r="K308" i="1"/>
  <c r="K306" i="1"/>
  <c r="K571" i="1"/>
  <c r="K570" i="1"/>
  <c r="K307" i="1"/>
  <c r="K568" i="1"/>
  <c r="K567" i="1"/>
  <c r="K566" i="1"/>
  <c r="K565" i="1"/>
  <c r="K564" i="1"/>
  <c r="K563" i="1"/>
  <c r="K558" i="1"/>
  <c r="K561" i="1"/>
  <c r="K560" i="1"/>
  <c r="K559" i="1"/>
  <c r="K557" i="1"/>
  <c r="K556" i="1"/>
  <c r="K555" i="1"/>
  <c r="K554" i="1"/>
  <c r="K655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416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325" i="1"/>
  <c r="K521" i="1"/>
  <c r="K520" i="1"/>
  <c r="K519" i="1"/>
  <c r="K621" i="1"/>
  <c r="K517" i="1"/>
  <c r="K515" i="1"/>
  <c r="K514" i="1"/>
  <c r="K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146" i="1"/>
  <c r="K488" i="1"/>
  <c r="K20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1135" i="1"/>
  <c r="K458" i="1"/>
  <c r="K140" i="1"/>
  <c r="K456" i="1"/>
  <c r="K1009" i="1"/>
  <c r="K454" i="1"/>
  <c r="K992" i="1"/>
  <c r="K452" i="1"/>
  <c r="K451" i="1"/>
  <c r="K450" i="1"/>
  <c r="K449" i="1"/>
  <c r="K448" i="1"/>
  <c r="K447" i="1"/>
  <c r="K446" i="1"/>
  <c r="K445" i="1"/>
  <c r="K444" i="1"/>
  <c r="K443" i="1"/>
  <c r="K442" i="1"/>
  <c r="K440" i="1"/>
  <c r="K439" i="1"/>
  <c r="K438" i="1"/>
  <c r="K437" i="1"/>
  <c r="K436" i="1"/>
  <c r="K595" i="1"/>
  <c r="K434" i="1"/>
  <c r="K265" i="1"/>
  <c r="K251" i="1"/>
  <c r="K252" i="1"/>
  <c r="K323" i="1"/>
  <c r="K429" i="1"/>
  <c r="K428" i="1"/>
  <c r="K427" i="1"/>
  <c r="K206" i="1"/>
  <c r="K425" i="1"/>
  <c r="K259" i="1"/>
  <c r="K423" i="1"/>
  <c r="K422" i="1"/>
  <c r="K522" i="1"/>
  <c r="K420" i="1"/>
  <c r="K419" i="1"/>
  <c r="K415" i="1"/>
  <c r="K414" i="1"/>
  <c r="K413" i="1"/>
  <c r="K412" i="1"/>
  <c r="K150" i="1"/>
  <c r="K410" i="1"/>
  <c r="K181" i="1"/>
  <c r="K407" i="1"/>
  <c r="K406" i="1"/>
  <c r="K405" i="1"/>
  <c r="K404" i="1"/>
  <c r="K513" i="1"/>
  <c r="K402" i="1"/>
  <c r="K401" i="1"/>
  <c r="K400" i="1"/>
  <c r="K398" i="1"/>
  <c r="K227" i="1"/>
  <c r="K396" i="1"/>
  <c r="K395" i="1"/>
  <c r="K394" i="1"/>
  <c r="K242" i="1"/>
  <c r="K183" i="1"/>
  <c r="K391" i="1"/>
  <c r="K390" i="1"/>
  <c r="K389" i="1"/>
  <c r="K388" i="1"/>
  <c r="K387" i="1"/>
  <c r="K384" i="1"/>
  <c r="K383" i="1"/>
  <c r="K382" i="1"/>
  <c r="K381" i="1"/>
  <c r="K380" i="1"/>
  <c r="K379" i="1"/>
  <c r="K376" i="1"/>
  <c r="K373" i="1"/>
  <c r="K370" i="1"/>
  <c r="K369" i="1"/>
  <c r="K368" i="1"/>
  <c r="K366" i="1"/>
  <c r="K365" i="1"/>
  <c r="K363" i="1"/>
  <c r="K362" i="1"/>
  <c r="K361" i="1"/>
  <c r="K360" i="1"/>
  <c r="K359" i="1"/>
  <c r="K358" i="1"/>
  <c r="K357" i="1"/>
  <c r="K354" i="1"/>
  <c r="K352" i="1"/>
  <c r="K351" i="1"/>
  <c r="K349" i="1"/>
  <c r="K348" i="1"/>
  <c r="K347" i="1"/>
  <c r="K15" i="1"/>
  <c r="K345" i="1"/>
  <c r="K344" i="1"/>
  <c r="K343" i="1"/>
  <c r="K341" i="1"/>
  <c r="K340" i="1"/>
  <c r="K339" i="1"/>
  <c r="K338" i="1"/>
  <c r="K337" i="1"/>
  <c r="K336" i="1"/>
  <c r="K335" i="1"/>
  <c r="K334" i="1"/>
  <c r="K333" i="1"/>
  <c r="K13" i="1"/>
  <c r="K331" i="1"/>
  <c r="K226" i="1"/>
  <c r="K329" i="1"/>
  <c r="K328" i="1"/>
  <c r="K327" i="1"/>
  <c r="K326" i="1"/>
  <c r="K1098" i="1"/>
  <c r="K1019" i="1"/>
  <c r="K245" i="1"/>
  <c r="K322" i="1"/>
  <c r="K321" i="1"/>
  <c r="K184" i="1"/>
  <c r="K319" i="1"/>
  <c r="K318" i="1"/>
  <c r="K317" i="1"/>
  <c r="K316" i="1"/>
  <c r="K315" i="1"/>
  <c r="K641" i="1"/>
  <c r="K313" i="1"/>
  <c r="K16" i="1"/>
  <c r="K311" i="1"/>
  <c r="K310" i="1"/>
  <c r="K309" i="1"/>
  <c r="K637" i="1"/>
  <c r="K1020" i="1"/>
  <c r="K305" i="1"/>
  <c r="K304" i="1"/>
  <c r="K303" i="1"/>
  <c r="K302" i="1"/>
  <c r="K1089" i="1"/>
  <c r="K300" i="1"/>
  <c r="K296" i="1"/>
  <c r="K293" i="1"/>
  <c r="K291" i="1"/>
  <c r="K289" i="1"/>
  <c r="K312" i="1"/>
  <c r="K286" i="1"/>
  <c r="K288" i="1"/>
  <c r="K284" i="1"/>
  <c r="K282" i="1"/>
  <c r="K278" i="1"/>
  <c r="K276" i="1"/>
  <c r="K274" i="1"/>
  <c r="K32" i="1"/>
  <c r="K270" i="1"/>
  <c r="K287" i="1"/>
  <c r="K268" i="1"/>
  <c r="K267" i="1"/>
  <c r="K266" i="1"/>
  <c r="K189" i="1"/>
  <c r="K264" i="1"/>
  <c r="K263" i="1"/>
  <c r="K262" i="1"/>
  <c r="K261" i="1"/>
  <c r="K260" i="1"/>
  <c r="K30" i="1"/>
  <c r="K258" i="1"/>
  <c r="K257" i="1"/>
  <c r="K256" i="1"/>
  <c r="K255" i="1"/>
  <c r="K254" i="1"/>
  <c r="K235" i="1"/>
  <c r="K350" i="1"/>
  <c r="K269" i="1"/>
  <c r="K250" i="1"/>
  <c r="K248" i="1"/>
  <c r="K247" i="1"/>
  <c r="K246" i="1"/>
  <c r="K432" i="1"/>
  <c r="K244" i="1"/>
  <c r="K243" i="1"/>
  <c r="K1088" i="1"/>
  <c r="K241" i="1"/>
  <c r="K240" i="1"/>
  <c r="K239" i="1"/>
  <c r="K238" i="1"/>
  <c r="K237" i="1"/>
  <c r="K236" i="1"/>
  <c r="K1015" i="1"/>
  <c r="K234" i="1"/>
  <c r="K233" i="1"/>
  <c r="K232" i="1"/>
  <c r="K231" i="1"/>
  <c r="K230" i="1"/>
  <c r="K229" i="1"/>
  <c r="K228" i="1"/>
  <c r="K87" i="1"/>
  <c r="K74" i="1"/>
  <c r="K225" i="1"/>
  <c r="K224" i="1"/>
  <c r="K116" i="1"/>
  <c r="K222" i="1"/>
  <c r="K221" i="1"/>
  <c r="K220" i="1"/>
  <c r="K219" i="1"/>
  <c r="K218" i="1"/>
  <c r="K216" i="1"/>
  <c r="K214" i="1"/>
  <c r="K213" i="1"/>
  <c r="K212" i="1"/>
  <c r="K211" i="1"/>
  <c r="K210" i="1"/>
  <c r="K209" i="1"/>
  <c r="K959" i="1"/>
  <c r="K204" i="1"/>
  <c r="K201" i="1"/>
  <c r="K199" i="1"/>
  <c r="K195" i="1"/>
  <c r="K194" i="1"/>
  <c r="K192" i="1"/>
  <c r="K190" i="1"/>
  <c r="K188" i="1"/>
  <c r="K186" i="1"/>
  <c r="K185" i="1"/>
  <c r="K182" i="1"/>
  <c r="K174" i="1"/>
  <c r="K320" i="1"/>
  <c r="K179" i="1"/>
  <c r="K178" i="1"/>
  <c r="K177" i="1"/>
  <c r="K102" i="1"/>
  <c r="K99" i="1"/>
  <c r="K103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75" i="1"/>
  <c r="K149" i="1"/>
  <c r="K148" i="1"/>
  <c r="K147" i="1"/>
  <c r="K70" i="1"/>
  <c r="K145" i="1"/>
  <c r="K144" i="1"/>
  <c r="K143" i="1"/>
  <c r="K142" i="1"/>
  <c r="K141" i="1"/>
  <c r="K353" i="1"/>
  <c r="K139" i="1"/>
  <c r="K138" i="1"/>
  <c r="K136" i="1"/>
  <c r="K135" i="1"/>
  <c r="K134" i="1"/>
  <c r="K130" i="1"/>
  <c r="K129" i="1"/>
  <c r="K68" i="1"/>
  <c r="K127" i="1"/>
  <c r="K126" i="1"/>
  <c r="K125" i="1"/>
  <c r="K124" i="1"/>
  <c r="K122" i="1"/>
  <c r="K120" i="1"/>
  <c r="K119" i="1"/>
  <c r="K118" i="1"/>
  <c r="K457" i="1"/>
  <c r="K115" i="1"/>
  <c r="K113" i="1"/>
  <c r="K110" i="1"/>
  <c r="K109" i="1"/>
  <c r="K108" i="1"/>
  <c r="K107" i="1"/>
  <c r="K106" i="1"/>
  <c r="K105" i="1"/>
  <c r="K104" i="1"/>
  <c r="K101" i="1"/>
  <c r="K100" i="1"/>
  <c r="K403" i="1"/>
  <c r="K631" i="1"/>
  <c r="K635" i="1"/>
  <c r="K397" i="1"/>
  <c r="K95" i="1"/>
  <c r="K94" i="1"/>
  <c r="K430" i="1"/>
  <c r="K609" i="1"/>
  <c r="K426" i="1"/>
  <c r="K90" i="1"/>
  <c r="K89" i="1"/>
  <c r="K88" i="1"/>
  <c r="K43" i="1"/>
  <c r="K86" i="1"/>
  <c r="K85" i="1"/>
  <c r="K84" i="1"/>
  <c r="K83" i="1"/>
  <c r="K82" i="1"/>
  <c r="K81" i="1"/>
  <c r="K80" i="1"/>
  <c r="K79" i="1"/>
  <c r="K78" i="1"/>
  <c r="K77" i="1"/>
  <c r="K76" i="1"/>
  <c r="K75" i="1"/>
  <c r="K435" i="1"/>
  <c r="K73" i="1"/>
  <c r="K71" i="1"/>
  <c r="K1116" i="1"/>
  <c r="K66" i="1"/>
  <c r="K64" i="1"/>
  <c r="K63" i="1"/>
  <c r="K62" i="1"/>
  <c r="K61" i="1"/>
  <c r="K217" i="1"/>
  <c r="K58" i="1"/>
  <c r="K57" i="1"/>
  <c r="K644" i="1"/>
  <c r="K55" i="1"/>
  <c r="K53" i="1"/>
  <c r="K52" i="1"/>
  <c r="K49" i="1"/>
  <c r="K48" i="1"/>
  <c r="K47" i="1"/>
  <c r="K46" i="1"/>
  <c r="K56" i="1"/>
  <c r="K424" i="1"/>
  <c r="K42" i="1"/>
  <c r="C16" i="24" l="1"/>
  <c r="E7" i="24"/>
  <c r="AB694" i="1"/>
  <c r="AB1076" i="1"/>
  <c r="AB695" i="1"/>
  <c r="AB696" i="1"/>
  <c r="AB198" i="1"/>
  <c r="AB693" i="1"/>
  <c r="AB47" i="1"/>
  <c r="AB76" i="1"/>
  <c r="AB80" i="1"/>
  <c r="AB84" i="1"/>
  <c r="AB88" i="1"/>
  <c r="AB609" i="1"/>
  <c r="AB397" i="1"/>
  <c r="AB100" i="1"/>
  <c r="AB108" i="1"/>
  <c r="AB457" i="1"/>
  <c r="AB120" i="1"/>
  <c r="AB124" i="1"/>
  <c r="AB68" i="1"/>
  <c r="AB153" i="1"/>
  <c r="AB157" i="1"/>
  <c r="AB161" i="1"/>
  <c r="AB165" i="1"/>
  <c r="AB169" i="1"/>
  <c r="AB173" i="1"/>
  <c r="AB177" i="1"/>
  <c r="AB174" i="1"/>
  <c r="AB209" i="1"/>
  <c r="AB213" i="1"/>
  <c r="AB221" i="1"/>
  <c r="AB225" i="1"/>
  <c r="AB229" i="1"/>
  <c r="AB233" i="1"/>
  <c r="AB237" i="1"/>
  <c r="AB241" i="1"/>
  <c r="AB432" i="1"/>
  <c r="AB250" i="1"/>
  <c r="AB254" i="1"/>
  <c r="AB258" i="1"/>
  <c r="AB262" i="1"/>
  <c r="AB266" i="1"/>
  <c r="AB270" i="1"/>
  <c r="AB274" i="1"/>
  <c r="AB278" i="1"/>
  <c r="AB282" i="1"/>
  <c r="AB286" i="1"/>
  <c r="AB302" i="1"/>
  <c r="AB15" i="1"/>
  <c r="AB354" i="1"/>
  <c r="AB358" i="1"/>
  <c r="AB362" i="1"/>
  <c r="AB366" i="1"/>
  <c r="AB370" i="1"/>
  <c r="AB382" i="1"/>
  <c r="AB390" i="1"/>
  <c r="AB394" i="1"/>
  <c r="AB398" i="1"/>
  <c r="AB513" i="1"/>
  <c r="AB407" i="1"/>
  <c r="AB412" i="1"/>
  <c r="AB420" i="1"/>
  <c r="AB259" i="1"/>
  <c r="AB428" i="1"/>
  <c r="AB251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7" i="1"/>
  <c r="AB521" i="1"/>
  <c r="AB525" i="1"/>
  <c r="AB529" i="1"/>
  <c r="AB533" i="1"/>
  <c r="AB537" i="1"/>
  <c r="AB541" i="1"/>
  <c r="AB545" i="1"/>
  <c r="AB549" i="1"/>
  <c r="AB655" i="1"/>
  <c r="AB557" i="1"/>
  <c r="AB558" i="1"/>
  <c r="AB566" i="1"/>
  <c r="AB570" i="1"/>
  <c r="AB574" i="1"/>
  <c r="AB578" i="1"/>
  <c r="AB44" i="1"/>
  <c r="AB586" i="1"/>
  <c r="AB98" i="1"/>
  <c r="AB594" i="1"/>
  <c r="AB598" i="1"/>
  <c r="AB602" i="1"/>
  <c r="AB606" i="1"/>
  <c r="AB610" i="1"/>
  <c r="AB614" i="1"/>
  <c r="AB619" i="1"/>
  <c r="AB624" i="1"/>
  <c r="AB628" i="1"/>
  <c r="AB632" i="1"/>
  <c r="AB636" i="1"/>
  <c r="AB640" i="1"/>
  <c r="AB332" i="1"/>
  <c r="AB648" i="1"/>
  <c r="AB652" i="1"/>
  <c r="AB393" i="1"/>
  <c r="AB660" i="1"/>
  <c r="AB664" i="1"/>
  <c r="AB668" i="1"/>
  <c r="AB672" i="1"/>
  <c r="AB1033" i="1"/>
  <c r="AB681" i="1"/>
  <c r="AB685" i="1"/>
  <c r="AB689" i="1"/>
  <c r="AB701" i="1"/>
  <c r="AB705" i="1"/>
  <c r="AB713" i="1"/>
  <c r="AB717" i="1"/>
  <c r="AB725" i="1"/>
  <c r="AB729" i="1"/>
  <c r="AB733" i="1"/>
  <c r="AB1057" i="1"/>
  <c r="AB1059" i="1"/>
  <c r="AB745" i="1"/>
  <c r="AB749" i="1"/>
  <c r="AB753" i="1"/>
  <c r="AB758" i="1"/>
  <c r="AB762" i="1"/>
  <c r="AB766" i="1"/>
  <c r="AB770" i="1"/>
  <c r="AB1084" i="1"/>
  <c r="AB786" i="1"/>
  <c r="AB1085" i="1"/>
  <c r="AB803" i="1"/>
  <c r="AB808" i="1"/>
  <c r="AB812" i="1"/>
  <c r="AB816" i="1"/>
  <c r="AB826" i="1"/>
  <c r="AB760" i="1"/>
  <c r="AB834" i="1"/>
  <c r="AB850" i="1"/>
  <c r="AB854" i="1"/>
  <c r="AB858" i="1"/>
  <c r="AB862" i="1"/>
  <c r="AB346" i="1"/>
  <c r="AB870" i="1"/>
  <c r="AB874" i="1"/>
  <c r="AB878" i="1"/>
  <c r="AB886" i="1"/>
  <c r="AB894" i="1"/>
  <c r="AB898" i="1"/>
  <c r="AB907" i="1"/>
  <c r="AB919" i="1"/>
  <c r="AB923" i="1"/>
  <c r="AB927" i="1"/>
  <c r="AB764" i="1"/>
  <c r="AB939" i="1"/>
  <c r="AB943" i="1"/>
  <c r="AB947" i="1"/>
  <c r="AB951" i="1"/>
  <c r="AB866" i="1"/>
  <c r="AB980" i="1"/>
  <c r="AB988" i="1"/>
  <c r="AB742" i="1"/>
  <c r="AB996" i="1"/>
  <c r="AB1008" i="1"/>
  <c r="AB1012" i="1"/>
  <c r="AB677" i="1"/>
  <c r="AB876" i="1"/>
  <c r="AB1028" i="1"/>
  <c r="AB1032" i="1"/>
  <c r="AB913" i="1"/>
  <c r="AB1040" i="1"/>
  <c r="AB916" i="1"/>
  <c r="AB1063" i="1"/>
  <c r="AB587" i="1"/>
  <c r="AB1079" i="1"/>
  <c r="AB1091" i="1"/>
  <c r="AB1095" i="1"/>
  <c r="AB1103" i="1"/>
  <c r="AB1107" i="1"/>
  <c r="AB1111" i="1"/>
  <c r="AB1115" i="1"/>
  <c r="AB1124" i="1"/>
  <c r="AB1136" i="1"/>
  <c r="AB1142" i="1"/>
  <c r="AB1152" i="1"/>
  <c r="AB1156" i="1"/>
  <c r="AB1161" i="1"/>
  <c r="AB711" i="1"/>
  <c r="AB1170" i="1"/>
  <c r="AB807" i="1"/>
  <c r="AB424" i="1"/>
  <c r="AB217" i="1"/>
  <c r="AB141" i="1"/>
  <c r="AB149" i="1"/>
  <c r="AB185" i="1"/>
  <c r="AB201" i="1"/>
  <c r="AB310" i="1"/>
  <c r="AB318" i="1"/>
  <c r="AB226" i="1"/>
  <c r="AB774" i="1"/>
  <c r="AB902" i="1"/>
  <c r="AB176" i="1"/>
  <c r="AB976" i="1"/>
  <c r="AB1004" i="1"/>
  <c r="AB1044" i="1"/>
  <c r="AB1071" i="1"/>
  <c r="AB42" i="1"/>
  <c r="AB46" i="1"/>
  <c r="AB322" i="1"/>
  <c r="AB334" i="1"/>
  <c r="AB968" i="1"/>
  <c r="AB1048" i="1"/>
  <c r="AB1075" i="1"/>
  <c r="AB1087" i="1"/>
  <c r="AB56" i="1"/>
  <c r="AB48" i="1"/>
  <c r="AB52" i="1"/>
  <c r="AB644" i="1"/>
  <c r="AB61" i="1"/>
  <c r="AB73" i="1"/>
  <c r="AB77" i="1"/>
  <c r="AB81" i="1"/>
  <c r="AB85" i="1"/>
  <c r="AB89" i="1"/>
  <c r="AB430" i="1"/>
  <c r="AB635" i="1"/>
  <c r="AB101" i="1"/>
  <c r="AB105" i="1"/>
  <c r="AB109" i="1"/>
  <c r="AB113" i="1"/>
  <c r="AB125" i="1"/>
  <c r="AB129" i="1"/>
  <c r="AB134" i="1"/>
  <c r="AB138" i="1"/>
  <c r="AB142" i="1"/>
  <c r="AB70" i="1"/>
  <c r="AB175" i="1"/>
  <c r="AB154" i="1"/>
  <c r="AB158" i="1"/>
  <c r="AB162" i="1"/>
  <c r="AB166" i="1"/>
  <c r="AB170" i="1"/>
  <c r="AB103" i="1"/>
  <c r="AB178" i="1"/>
  <c r="AB182" i="1"/>
  <c r="AB186" i="1"/>
  <c r="AB190" i="1"/>
  <c r="AB194" i="1"/>
  <c r="AB959" i="1"/>
  <c r="AB210" i="1"/>
  <c r="AB214" i="1"/>
  <c r="AB218" i="1"/>
  <c r="AB222" i="1"/>
  <c r="AB74" i="1"/>
  <c r="AB230" i="1"/>
  <c r="AB234" i="1"/>
  <c r="AB238" i="1"/>
  <c r="AB1088" i="1"/>
  <c r="AB246" i="1"/>
  <c r="AB269" i="1"/>
  <c r="AB255" i="1"/>
  <c r="AB30" i="1"/>
  <c r="AB263" i="1"/>
  <c r="AB267" i="1"/>
  <c r="AB32" i="1"/>
  <c r="AB312" i="1"/>
  <c r="AB291" i="1"/>
  <c r="AB303" i="1"/>
  <c r="AB1020" i="1"/>
  <c r="AB311" i="1"/>
  <c r="AB315" i="1"/>
  <c r="AB319" i="1"/>
  <c r="AB245" i="1"/>
  <c r="AB327" i="1"/>
  <c r="AB331" i="1"/>
  <c r="AB335" i="1"/>
  <c r="AB339" i="1"/>
  <c r="AB343" i="1"/>
  <c r="AB347" i="1"/>
  <c r="AB351" i="1"/>
  <c r="AB359" i="1"/>
  <c r="AB363" i="1"/>
  <c r="AB55" i="1"/>
  <c r="AB64" i="1"/>
  <c r="AB145" i="1"/>
  <c r="AB641" i="1"/>
  <c r="AB326" i="1"/>
  <c r="AB338" i="1"/>
  <c r="AB821" i="1"/>
  <c r="AB911" i="1"/>
  <c r="AB1000" i="1"/>
  <c r="AB1052" i="1"/>
  <c r="AB49" i="1"/>
  <c r="AB53" i="1"/>
  <c r="AB57" i="1"/>
  <c r="AB62" i="1"/>
  <c r="AB66" i="1"/>
  <c r="AB1116" i="1"/>
  <c r="AB435" i="1"/>
  <c r="AB78" i="1"/>
  <c r="AB82" i="1"/>
  <c r="AB86" i="1"/>
  <c r="AB90" i="1"/>
  <c r="AB94" i="1"/>
  <c r="AB631" i="1"/>
  <c r="AB106" i="1"/>
  <c r="AB110" i="1"/>
  <c r="AB118" i="1"/>
  <c r="AB122" i="1"/>
  <c r="AB126" i="1"/>
  <c r="AB130" i="1"/>
  <c r="AB135" i="1"/>
  <c r="AB139" i="1"/>
  <c r="AB143" i="1"/>
  <c r="AB147" i="1"/>
  <c r="AB155" i="1"/>
  <c r="AB159" i="1"/>
  <c r="AB163" i="1"/>
  <c r="AB167" i="1"/>
  <c r="AB171" i="1"/>
  <c r="AB99" i="1"/>
  <c r="AB179" i="1"/>
  <c r="AB195" i="1"/>
  <c r="AB199" i="1"/>
  <c r="AB211" i="1"/>
  <c r="AB219" i="1"/>
  <c r="AB116" i="1"/>
  <c r="AB87" i="1"/>
  <c r="AB231" i="1"/>
  <c r="AB1015" i="1"/>
  <c r="AB239" i="1"/>
  <c r="AB243" i="1"/>
  <c r="AB247" i="1"/>
  <c r="AB350" i="1"/>
  <c r="AB256" i="1"/>
  <c r="AB260" i="1"/>
  <c r="AB264" i="1"/>
  <c r="AB268" i="1"/>
  <c r="AB276" i="1"/>
  <c r="AB284" i="1"/>
  <c r="AB296" i="1"/>
  <c r="AB300" i="1"/>
  <c r="AB304" i="1"/>
  <c r="AB637" i="1"/>
  <c r="AB16" i="1"/>
  <c r="AB316" i="1"/>
  <c r="AB184" i="1"/>
  <c r="AB1019" i="1"/>
  <c r="AB328" i="1"/>
  <c r="AB13" i="1"/>
  <c r="AB336" i="1"/>
  <c r="AB340" i="1"/>
  <c r="AB344" i="1"/>
  <c r="AB348" i="1"/>
  <c r="AB352" i="1"/>
  <c r="AB360" i="1"/>
  <c r="AB368" i="1"/>
  <c r="AB58" i="1"/>
  <c r="AB63" i="1"/>
  <c r="AB71" i="1"/>
  <c r="AB75" i="1"/>
  <c r="AB79" i="1"/>
  <c r="AB83" i="1"/>
  <c r="AB43" i="1"/>
  <c r="AB426" i="1"/>
  <c r="AB95" i="1"/>
  <c r="AB403" i="1"/>
  <c r="AB104" i="1"/>
  <c r="AB107" i="1"/>
  <c r="AB115" i="1"/>
  <c r="AB119" i="1"/>
  <c r="AB127" i="1"/>
  <c r="AB136" i="1"/>
  <c r="AB353" i="1"/>
  <c r="AB144" i="1"/>
  <c r="AB148" i="1"/>
  <c r="AB156" i="1"/>
  <c r="AB160" i="1"/>
  <c r="AB164" i="1"/>
  <c r="AB168" i="1"/>
  <c r="AB172" i="1"/>
  <c r="AB102" i="1"/>
  <c r="AB320" i="1"/>
  <c r="AB188" i="1"/>
  <c r="AB192" i="1"/>
  <c r="AB204" i="1"/>
  <c r="AB212" i="1"/>
  <c r="AB216" i="1"/>
  <c r="AB220" i="1"/>
  <c r="AB224" i="1"/>
  <c r="AB228" i="1"/>
  <c r="AB232" i="1"/>
  <c r="AB236" i="1"/>
  <c r="AB240" i="1"/>
  <c r="AB244" i="1"/>
  <c r="AB248" i="1"/>
  <c r="AB235" i="1"/>
  <c r="AB257" i="1"/>
  <c r="AB261" i="1"/>
  <c r="AB189" i="1"/>
  <c r="AB287" i="1"/>
  <c r="AB288" i="1"/>
  <c r="AB289" i="1"/>
  <c r="AB293" i="1"/>
  <c r="AB1089" i="1"/>
  <c r="AB305" i="1"/>
  <c r="AB309" i="1"/>
  <c r="AB313" i="1"/>
  <c r="AB317" i="1"/>
  <c r="AB321" i="1"/>
  <c r="AB1098" i="1"/>
  <c r="AB329" i="1"/>
  <c r="AB333" i="1"/>
  <c r="AB337" i="1"/>
  <c r="AB341" i="1"/>
  <c r="AB345" i="1"/>
  <c r="AB349" i="1"/>
  <c r="AB357" i="1"/>
  <c r="AB361" i="1"/>
  <c r="AB365" i="1"/>
  <c r="AB369" i="1"/>
  <c r="AB373" i="1"/>
  <c r="AB381" i="1"/>
  <c r="AB389" i="1"/>
  <c r="AB242" i="1"/>
  <c r="AB227" i="1"/>
  <c r="AB402" i="1"/>
  <c r="AB406" i="1"/>
  <c r="AB150" i="1"/>
  <c r="AB415" i="1"/>
  <c r="AB419" i="1"/>
  <c r="AB423" i="1"/>
  <c r="AB427" i="1"/>
  <c r="AB252" i="1"/>
  <c r="AB595" i="1"/>
  <c r="AB439" i="1"/>
  <c r="AB443" i="1"/>
  <c r="AB447" i="1"/>
  <c r="AB451" i="1"/>
  <c r="AB1009" i="1"/>
  <c r="AB1135" i="1"/>
  <c r="AB463" i="1"/>
  <c r="AB467" i="1"/>
  <c r="AB471" i="1"/>
  <c r="AB475" i="1"/>
  <c r="AB479" i="1"/>
  <c r="AB483" i="1"/>
  <c r="AB20" i="1"/>
  <c r="AB491" i="1"/>
  <c r="AB495" i="1"/>
  <c r="AB499" i="1"/>
  <c r="AB503" i="1"/>
  <c r="AB507" i="1"/>
  <c r="AB511" i="1"/>
  <c r="AB515" i="1"/>
  <c r="AB520" i="1"/>
  <c r="AB524" i="1"/>
  <c r="AB528" i="1"/>
  <c r="AB532" i="1"/>
  <c r="AB536" i="1"/>
  <c r="AB540" i="1"/>
  <c r="AB544" i="1"/>
  <c r="AB548" i="1"/>
  <c r="AB552" i="1"/>
  <c r="AB556" i="1"/>
  <c r="AB561" i="1"/>
  <c r="AB565" i="1"/>
  <c r="AB307" i="1"/>
  <c r="AB308" i="1"/>
  <c r="AB577" i="1"/>
  <c r="AB581" i="1"/>
  <c r="AB585" i="1"/>
  <c r="AB589" i="1"/>
  <c r="AB593" i="1"/>
  <c r="AB597" i="1"/>
  <c r="AB601" i="1"/>
  <c r="AB605" i="1"/>
  <c r="AB553" i="1"/>
  <c r="AB613" i="1"/>
  <c r="AB617" i="1"/>
  <c r="AB623" i="1"/>
  <c r="AB627" i="1"/>
  <c r="AB569" i="1"/>
  <c r="AB572" i="1"/>
  <c r="AB639" i="1"/>
  <c r="AB643" i="1"/>
  <c r="AB647" i="1"/>
  <c r="AB651" i="1"/>
  <c r="AB392" i="1"/>
  <c r="AB659" i="1"/>
  <c r="AB663" i="1"/>
  <c r="AB653" i="1"/>
  <c r="AB671" i="1"/>
  <c r="AB680" i="1"/>
  <c r="AB684" i="1"/>
  <c r="AB688" i="1"/>
  <c r="AB700" i="1"/>
  <c r="AB704" i="1"/>
  <c r="AB708" i="1"/>
  <c r="AB743" i="1"/>
  <c r="AB716" i="1"/>
  <c r="AB724" i="1"/>
  <c r="AB728" i="1"/>
  <c r="AB732" i="1"/>
  <c r="AB1036" i="1"/>
  <c r="AB740" i="1"/>
  <c r="AB1082" i="1"/>
  <c r="AB748" i="1"/>
  <c r="AB752" i="1"/>
  <c r="AB301" i="1"/>
  <c r="AB761" i="1"/>
  <c r="AB769" i="1"/>
  <c r="AB773" i="1"/>
  <c r="AB785" i="1"/>
  <c r="AB789" i="1"/>
  <c r="AB798" i="1"/>
  <c r="AB802" i="1"/>
  <c r="AB806" i="1"/>
  <c r="AB811" i="1"/>
  <c r="AB757" i="1"/>
  <c r="AB656" i="1"/>
  <c r="AB837" i="1"/>
  <c r="AB849" i="1"/>
  <c r="AB853" i="1"/>
  <c r="AB857" i="1"/>
  <c r="AB861" i="1"/>
  <c r="AB865" i="1"/>
  <c r="AB869" i="1"/>
  <c r="AB731" i="1"/>
  <c r="AB877" i="1"/>
  <c r="AB885" i="1"/>
  <c r="AB893" i="1"/>
  <c r="AB901" i="1"/>
  <c r="AB906" i="1"/>
  <c r="AB910" i="1"/>
  <c r="AB914" i="1"/>
  <c r="AB825" i="1"/>
  <c r="AB922" i="1"/>
  <c r="AB736" i="1"/>
  <c r="AB934" i="1"/>
  <c r="AB938" i="1"/>
  <c r="AB942" i="1"/>
  <c r="AB946" i="1"/>
  <c r="AB950" i="1"/>
  <c r="AB954" i="1"/>
  <c r="AB958" i="1"/>
  <c r="AB962" i="1"/>
  <c r="AB967" i="1"/>
  <c r="AB987" i="1"/>
  <c r="AB991" i="1"/>
  <c r="AB995" i="1"/>
  <c r="AB999" i="1"/>
  <c r="AB1003" i="1"/>
  <c r="AB1007" i="1"/>
  <c r="AB1011" i="1"/>
  <c r="AB667" i="1"/>
  <c r="AB873" i="1"/>
  <c r="AB1023" i="1"/>
  <c r="AB1027" i="1"/>
  <c r="AB1031" i="1"/>
  <c r="AB21" i="1"/>
  <c r="AB1039" i="1"/>
  <c r="AB1043" i="1"/>
  <c r="AB1047" i="1"/>
  <c r="AB1051" i="1"/>
  <c r="AB1055" i="1"/>
  <c r="AB1060" i="1"/>
  <c r="AB1066" i="1"/>
  <c r="AB1070" i="1"/>
  <c r="AB1074" i="1"/>
  <c r="AB1078" i="1"/>
  <c r="AB918" i="1"/>
  <c r="AB1086" i="1"/>
  <c r="AB1094" i="1"/>
  <c r="AB1102" i="1"/>
  <c r="AB1106" i="1"/>
  <c r="AB1110" i="1"/>
  <c r="AB1114" i="1"/>
  <c r="AB1118" i="1"/>
  <c r="AB1123" i="1"/>
  <c r="AB1127" i="1"/>
  <c r="AB935" i="1"/>
  <c r="AB1139" i="1"/>
  <c r="AB1151" i="1"/>
  <c r="AB1155" i="1"/>
  <c r="AB1160" i="1"/>
  <c r="AB1165" i="1"/>
  <c r="AB1169" i="1"/>
  <c r="AB620" i="1"/>
  <c r="AB1157" i="1"/>
  <c r="AB379" i="1"/>
  <c r="AB383" i="1"/>
  <c r="AB387" i="1"/>
  <c r="AB391" i="1"/>
  <c r="AB395" i="1"/>
  <c r="AB400" i="1"/>
  <c r="AB404" i="1"/>
  <c r="AB181" i="1"/>
  <c r="AB413" i="1"/>
  <c r="AB522" i="1"/>
  <c r="AB425" i="1"/>
  <c r="AB429" i="1"/>
  <c r="AB265" i="1"/>
  <c r="AB437" i="1"/>
  <c r="AB445" i="1"/>
  <c r="AB449" i="1"/>
  <c r="AB992" i="1"/>
  <c r="AB140" i="1"/>
  <c r="AB461" i="1"/>
  <c r="AB465" i="1"/>
  <c r="AB469" i="1"/>
  <c r="AB473" i="1"/>
  <c r="AB477" i="1"/>
  <c r="AB481" i="1"/>
  <c r="AB485" i="1"/>
  <c r="AB146" i="1"/>
  <c r="AB493" i="1"/>
  <c r="AB497" i="1"/>
  <c r="AB501" i="1"/>
  <c r="AB505" i="1"/>
  <c r="AB509" i="1"/>
  <c r="AB3" i="1"/>
  <c r="AB621" i="1"/>
  <c r="AB325" i="1"/>
  <c r="AB526" i="1"/>
  <c r="AB530" i="1"/>
  <c r="AB534" i="1"/>
  <c r="AB538" i="1"/>
  <c r="AB542" i="1"/>
  <c r="AB546" i="1"/>
  <c r="AB550" i="1"/>
  <c r="AB554" i="1"/>
  <c r="AB559" i="1"/>
  <c r="AB563" i="1"/>
  <c r="AB567" i="1"/>
  <c r="AB571" i="1"/>
  <c r="AB575" i="1"/>
  <c r="AB579" i="1"/>
  <c r="AB583" i="1"/>
  <c r="AB963" i="1"/>
  <c r="AB591" i="1"/>
  <c r="AB535" i="1"/>
  <c r="AB599" i="1"/>
  <c r="AB603" i="1"/>
  <c r="AB607" i="1"/>
  <c r="AB611" i="1"/>
  <c r="AB615" i="1"/>
  <c r="AB253" i="1"/>
  <c r="AB625" i="1"/>
  <c r="AB629" i="1"/>
  <c r="AB633" i="1"/>
  <c r="AB573" i="1"/>
  <c r="AB431" i="1"/>
  <c r="AB645" i="1"/>
  <c r="AB649" i="1"/>
  <c r="AB1026" i="1"/>
  <c r="AB28" i="1"/>
  <c r="AB661" i="1"/>
  <c r="AB665" i="1"/>
  <c r="AB669" i="1"/>
  <c r="AB678" i="1"/>
  <c r="AB682" i="1"/>
  <c r="AB686" i="1"/>
  <c r="AB690" i="1"/>
  <c r="AB698" i="1"/>
  <c r="AB702" i="1"/>
  <c r="AB714" i="1"/>
  <c r="AB718" i="1"/>
  <c r="AB722" i="1"/>
  <c r="AB726" i="1"/>
  <c r="AB730" i="1"/>
  <c r="AB734" i="1"/>
  <c r="AB738" i="1"/>
  <c r="AB1067" i="1"/>
  <c r="AB746" i="1"/>
  <c r="AB750" i="1"/>
  <c r="AB754" i="1"/>
  <c r="AB759" i="1"/>
  <c r="AB763" i="1"/>
  <c r="AB771" i="1"/>
  <c r="AB775" i="1"/>
  <c r="AB779" i="1"/>
  <c r="AB787" i="1"/>
  <c r="AB796" i="1"/>
  <c r="AB804" i="1"/>
  <c r="AB809" i="1"/>
  <c r="AB813" i="1"/>
  <c r="AB817" i="1"/>
  <c r="AB827" i="1"/>
  <c r="AB835" i="1"/>
  <c r="AB847" i="1"/>
  <c r="AB851" i="1"/>
  <c r="AB855" i="1"/>
  <c r="AB863" i="1"/>
  <c r="AB867" i="1"/>
  <c r="AB871" i="1"/>
  <c r="AB875" i="1"/>
  <c r="AB879" i="1"/>
  <c r="AB887" i="1"/>
  <c r="AB891" i="1"/>
  <c r="AB895" i="1"/>
  <c r="AB899" i="1"/>
  <c r="AB799" i="1"/>
  <c r="AB818" i="1"/>
  <c r="AB920" i="1"/>
  <c r="AB924" i="1"/>
  <c r="AB928" i="1"/>
  <c r="AB936" i="1"/>
  <c r="AB944" i="1"/>
  <c r="AB948" i="1"/>
  <c r="AB952" i="1"/>
  <c r="AB955" i="1"/>
  <c r="AB965" i="1"/>
  <c r="AB969" i="1"/>
  <c r="AB973" i="1"/>
  <c r="AB977" i="1"/>
  <c r="AB981" i="1"/>
  <c r="AB993" i="1"/>
  <c r="AB997" i="1"/>
  <c r="AB1001" i="1"/>
  <c r="AB868" i="1"/>
  <c r="AB1013" i="1"/>
  <c r="AB1017" i="1"/>
  <c r="AB1021" i="1"/>
  <c r="AB1025" i="1"/>
  <c r="AB1029" i="1"/>
  <c r="AB912" i="1"/>
  <c r="AB1037" i="1"/>
  <c r="AB1045" i="1"/>
  <c r="AB1049" i="1"/>
  <c r="AB1053" i="1"/>
  <c r="AB1058" i="1"/>
  <c r="AB1064" i="1"/>
  <c r="AB1072" i="1"/>
  <c r="AB917" i="1"/>
  <c r="AB193" i="1"/>
  <c r="AB1092" i="1"/>
  <c r="AB1104" i="1"/>
  <c r="AB1108" i="1"/>
  <c r="AB1112" i="1"/>
  <c r="AB737" i="1"/>
  <c r="AB1121" i="1"/>
  <c r="AB1125" i="1"/>
  <c r="AB1129" i="1"/>
  <c r="AB1137" i="1"/>
  <c r="AB1143" i="1"/>
  <c r="AB1149" i="1"/>
  <c r="AB1153" i="1"/>
  <c r="AB1158" i="1"/>
  <c r="AB1162" i="1"/>
  <c r="AB1167" i="1"/>
  <c r="AB1171" i="1"/>
  <c r="AB1147" i="1"/>
  <c r="AB376" i="1"/>
  <c r="AB380" i="1"/>
  <c r="AB384" i="1"/>
  <c r="AB388" i="1"/>
  <c r="AB183" i="1"/>
  <c r="AB396" i="1"/>
  <c r="AB401" i="1"/>
  <c r="AB405" i="1"/>
  <c r="AB410" i="1"/>
  <c r="AB414" i="1"/>
  <c r="AB422" i="1"/>
  <c r="AB206" i="1"/>
  <c r="AB323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9" i="1"/>
  <c r="AB523" i="1"/>
  <c r="AB527" i="1"/>
  <c r="AB531" i="1"/>
  <c r="AB416" i="1"/>
  <c r="AB539" i="1"/>
  <c r="AB543" i="1"/>
  <c r="AB547" i="1"/>
  <c r="AB551" i="1"/>
  <c r="AB555" i="1"/>
  <c r="AB560" i="1"/>
  <c r="AB564" i="1"/>
  <c r="AB568" i="1"/>
  <c r="AB306" i="1"/>
  <c r="AB576" i="1"/>
  <c r="AB580" i="1"/>
  <c r="AB584" i="1"/>
  <c r="AB588" i="1"/>
  <c r="AB592" i="1"/>
  <c r="AB596" i="1"/>
  <c r="AB600" i="1"/>
  <c r="AB604" i="1"/>
  <c r="AB608" i="1"/>
  <c r="AB612" i="1"/>
  <c r="AB616" i="1"/>
  <c r="AB285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5" i="1"/>
  <c r="AB679" i="1"/>
  <c r="AB683" i="1"/>
  <c r="AB687" i="1"/>
  <c r="AB691" i="1"/>
  <c r="AB699" i="1"/>
  <c r="AB949" i="1"/>
  <c r="AB707" i="1"/>
  <c r="AB1034" i="1"/>
  <c r="AB715" i="1"/>
  <c r="AB735" i="1"/>
  <c r="AB727" i="1"/>
  <c r="AB712" i="1"/>
  <c r="AB1035" i="1"/>
  <c r="AB739" i="1"/>
  <c r="AB1080" i="1"/>
  <c r="AB747" i="1"/>
  <c r="AB751" i="1"/>
  <c r="AB755" i="1"/>
  <c r="AB408" i="1"/>
  <c r="AB780" i="1"/>
  <c r="AB768" i="1"/>
  <c r="AB776" i="1"/>
  <c r="AB790" i="1"/>
  <c r="AB788" i="1"/>
  <c r="AB797" i="1"/>
  <c r="AB801" i="1"/>
  <c r="AB805" i="1"/>
  <c r="AB810" i="1"/>
  <c r="AB814" i="1"/>
  <c r="AB795" i="1"/>
  <c r="AB824" i="1"/>
  <c r="AB828" i="1"/>
  <c r="AB836" i="1"/>
  <c r="AB848" i="1"/>
  <c r="AB852" i="1"/>
  <c r="AB856" i="1"/>
  <c r="AB741" i="1"/>
  <c r="AB864" i="1"/>
  <c r="AB723" i="1"/>
  <c r="AB872" i="1"/>
  <c r="AB657" i="1"/>
  <c r="AB884" i="1"/>
  <c r="AB892" i="1"/>
  <c r="AB896" i="1"/>
  <c r="AB815" i="1"/>
  <c r="AB819" i="1"/>
  <c r="AB921" i="1"/>
  <c r="AB830" i="1"/>
  <c r="AB933" i="1"/>
  <c r="AB937" i="1"/>
  <c r="AB860" i="1"/>
  <c r="AB945" i="1"/>
  <c r="AB1159" i="1"/>
  <c r="AB953" i="1"/>
  <c r="AB957" i="1"/>
  <c r="AB961" i="1"/>
  <c r="AB966" i="1"/>
  <c r="AB974" i="1"/>
  <c r="AB986" i="1"/>
  <c r="AB990" i="1"/>
  <c r="AB994" i="1"/>
  <c r="AB1002" i="1"/>
  <c r="AB1006" i="1"/>
  <c r="AB1010" i="1"/>
  <c r="AB1014" i="1"/>
  <c r="AB1022" i="1"/>
  <c r="AB900" i="1"/>
  <c r="AB1030" i="1"/>
  <c r="AB29" i="1"/>
  <c r="AB1038" i="1"/>
  <c r="AB1042" i="1"/>
  <c r="AB1046" i="1"/>
  <c r="AB1050" i="1"/>
  <c r="AB314" i="1"/>
  <c r="AB1073" i="1"/>
  <c r="AB1081" i="1"/>
  <c r="AB719" i="1"/>
  <c r="AB205" i="1"/>
  <c r="AB1093" i="1"/>
  <c r="AB1097" i="1"/>
  <c r="AB1101" i="1"/>
  <c r="AB1105" i="1"/>
  <c r="AB1109" i="1"/>
  <c r="AB1113" i="1"/>
  <c r="AB1117" i="1"/>
  <c r="AB1122" i="1"/>
  <c r="AB1126" i="1"/>
  <c r="AB1130" i="1"/>
  <c r="AB1134" i="1"/>
  <c r="AB1138" i="1"/>
  <c r="AB941" i="1"/>
  <c r="AB1154" i="1"/>
  <c r="AB956" i="1"/>
  <c r="AB703" i="1"/>
  <c r="AB1168" i="1"/>
  <c r="AB516" i="1"/>
  <c r="AB1148" i="1"/>
  <c r="P36" i="16"/>
  <c r="AD855" i="1"/>
  <c r="AF855" i="1" s="1"/>
  <c r="AD814" i="1"/>
  <c r="AF814" i="1" l="1"/>
  <c r="AD1173" i="1"/>
  <c r="AF1173" i="1" s="1"/>
  <c r="B4" i="24"/>
  <c r="B16" i="24" s="1"/>
  <c r="H786" i="1"/>
  <c r="H1155" i="1"/>
  <c r="H1103" i="1"/>
  <c r="H180" i="1"/>
  <c r="H1046" i="1"/>
  <c r="H876" i="1"/>
  <c r="H866" i="1"/>
  <c r="H923" i="1"/>
  <c r="H922" i="1"/>
  <c r="D16" i="24" l="1"/>
  <c r="D20" i="24" s="1"/>
  <c r="D17" i="24"/>
  <c r="D4" i="24"/>
  <c r="E4" i="24" s="1"/>
  <c r="H706" i="1"/>
  <c r="E16" i="24" l="1"/>
  <c r="E18" i="24" s="1"/>
  <c r="H1170" i="1"/>
  <c r="H1169" i="1"/>
  <c r="H1168" i="1"/>
  <c r="H1167" i="1"/>
  <c r="H711" i="1"/>
  <c r="H1165" i="1"/>
  <c r="H703" i="1"/>
  <c r="H1162" i="1"/>
  <c r="H1161" i="1"/>
  <c r="H1160" i="1"/>
  <c r="H956" i="1"/>
  <c r="H1158" i="1"/>
  <c r="H1156" i="1"/>
  <c r="H1154" i="1"/>
  <c r="H1153" i="1"/>
  <c r="H1152" i="1"/>
  <c r="H896" i="1"/>
  <c r="H895" i="1"/>
  <c r="H1151" i="1"/>
  <c r="H1150" i="1"/>
  <c r="H1149" i="1"/>
  <c r="H1146" i="1"/>
  <c r="H1145" i="1"/>
  <c r="H941" i="1"/>
  <c r="H1143" i="1"/>
  <c r="H1142" i="1"/>
  <c r="H1139" i="1"/>
  <c r="H1138" i="1"/>
  <c r="H1136" i="1"/>
  <c r="H9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8" i="1"/>
  <c r="H1117" i="1"/>
  <c r="H737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2" i="1"/>
  <c r="H1101" i="1"/>
  <c r="H1100" i="1"/>
  <c r="H1099" i="1"/>
  <c r="H926" i="1"/>
  <c r="H1097" i="1"/>
  <c r="H1096" i="1"/>
  <c r="H1095" i="1"/>
  <c r="H1094" i="1"/>
  <c r="H1093" i="1"/>
  <c r="H1092" i="1"/>
  <c r="H1091" i="1"/>
  <c r="H205" i="1"/>
  <c r="H193" i="1"/>
  <c r="H984" i="1"/>
  <c r="H1086" i="1"/>
  <c r="H719" i="1"/>
  <c r="H590" i="1"/>
  <c r="H1083" i="1"/>
  <c r="H918" i="1"/>
  <c r="H1081" i="1"/>
  <c r="H917" i="1"/>
  <c r="H1079" i="1"/>
  <c r="H1078" i="1"/>
  <c r="H1077" i="1"/>
  <c r="H1076" i="1"/>
  <c r="H1075" i="1"/>
  <c r="H977" i="1"/>
  <c r="H894" i="1"/>
  <c r="H1074" i="1"/>
  <c r="H1073" i="1"/>
  <c r="H1072" i="1"/>
  <c r="H1071" i="1"/>
  <c r="H1070" i="1"/>
  <c r="H1069" i="1"/>
  <c r="H1068" i="1"/>
  <c r="H587" i="1"/>
  <c r="H1066" i="1"/>
  <c r="H1065" i="1"/>
  <c r="H1064" i="1"/>
  <c r="H1063" i="1"/>
  <c r="H1060" i="1"/>
  <c r="H314" i="1"/>
  <c r="H1058" i="1"/>
  <c r="H916" i="1"/>
  <c r="H1055" i="1"/>
  <c r="H1054" i="1"/>
  <c r="H1050" i="1"/>
  <c r="H1049" i="1"/>
  <c r="H1048" i="1"/>
  <c r="H1047" i="1"/>
  <c r="H1045" i="1"/>
  <c r="H1044" i="1"/>
  <c r="H1043" i="1"/>
  <c r="H1042" i="1"/>
  <c r="H1041" i="1"/>
  <c r="H1040" i="1"/>
  <c r="H1039" i="1"/>
  <c r="H1038" i="1"/>
  <c r="H1037" i="1"/>
  <c r="H913" i="1"/>
  <c r="H534" i="1"/>
  <c r="H29" i="1"/>
  <c r="H912" i="1"/>
  <c r="H1032" i="1"/>
  <c r="H1031" i="1"/>
  <c r="H1030" i="1"/>
  <c r="H1029" i="1"/>
  <c r="H1028" i="1"/>
  <c r="H1027" i="1"/>
  <c r="H900" i="1"/>
  <c r="H1025" i="1"/>
  <c r="H1024" i="1"/>
  <c r="H1023" i="1"/>
  <c r="H1022" i="1"/>
  <c r="H1021" i="1"/>
  <c r="H873" i="1"/>
  <c r="H1018" i="1"/>
  <c r="H1017" i="1"/>
  <c r="H667" i="1"/>
  <c r="H1013" i="1"/>
  <c r="H1012" i="1"/>
  <c r="H1011" i="1"/>
  <c r="H1010" i="1"/>
  <c r="H868" i="1"/>
  <c r="H1008" i="1"/>
  <c r="H1007" i="1"/>
  <c r="H1006" i="1"/>
  <c r="H1005" i="1"/>
  <c r="H1004" i="1"/>
  <c r="H1003" i="1"/>
  <c r="H1002" i="1"/>
  <c r="H1001" i="1"/>
  <c r="H1000" i="1"/>
  <c r="H999" i="1"/>
  <c r="H893" i="1"/>
  <c r="H998" i="1"/>
  <c r="H997" i="1"/>
  <c r="H996" i="1"/>
  <c r="H995" i="1"/>
  <c r="H994" i="1"/>
  <c r="H993" i="1"/>
  <c r="H742" i="1"/>
  <c r="H991" i="1"/>
  <c r="H990" i="1"/>
  <c r="H527" i="1"/>
  <c r="H988" i="1"/>
  <c r="H987" i="1"/>
  <c r="H986" i="1"/>
  <c r="H985" i="1"/>
  <c r="H206" i="1"/>
  <c r="H983" i="1"/>
  <c r="H982" i="1"/>
  <c r="H981" i="1"/>
  <c r="H980" i="1"/>
  <c r="H979" i="1"/>
  <c r="H978" i="1"/>
  <c r="H975" i="1"/>
  <c r="H974" i="1"/>
  <c r="H973" i="1"/>
  <c r="H972" i="1"/>
  <c r="H971" i="1"/>
  <c r="H970" i="1"/>
  <c r="H976" i="1"/>
  <c r="H385" i="1"/>
  <c r="H375" i="1"/>
  <c r="H967" i="1"/>
  <c r="H966" i="1"/>
  <c r="H965" i="1"/>
  <c r="H176" i="1"/>
  <c r="H1089" i="1"/>
  <c r="H961" i="1"/>
  <c r="H960" i="1"/>
  <c r="H59" i="1"/>
  <c r="H958" i="1"/>
  <c r="H957" i="1"/>
  <c r="H955" i="1"/>
  <c r="H954" i="1"/>
  <c r="H953" i="1"/>
  <c r="H952" i="1"/>
  <c r="H951" i="1"/>
  <c r="H950" i="1"/>
  <c r="H1159" i="1"/>
  <c r="H948" i="1"/>
  <c r="H947" i="1"/>
  <c r="H946" i="1"/>
  <c r="H945" i="1"/>
  <c r="H944" i="1"/>
  <c r="H942" i="1"/>
  <c r="H860" i="1"/>
  <c r="H940" i="1"/>
  <c r="H939" i="1"/>
  <c r="H938" i="1"/>
  <c r="H937" i="1"/>
  <c r="H936" i="1"/>
  <c r="H764" i="1"/>
  <c r="H934" i="1"/>
  <c r="H933" i="1"/>
  <c r="H932" i="1"/>
  <c r="H930" i="1"/>
  <c r="H830" i="1"/>
  <c r="H928" i="1"/>
  <c r="H927" i="1"/>
  <c r="H736" i="1"/>
  <c r="H925" i="1"/>
  <c r="H924" i="1"/>
  <c r="H921" i="1"/>
  <c r="H920" i="1"/>
  <c r="H919" i="1"/>
  <c r="H825" i="1"/>
  <c r="H819" i="1"/>
  <c r="H818" i="1"/>
  <c r="H915" i="1"/>
  <c r="H914" i="1"/>
  <c r="H815" i="1"/>
  <c r="H799" i="1"/>
  <c r="H911" i="1"/>
  <c r="H910" i="1"/>
  <c r="H908" i="1"/>
  <c r="H909" i="1"/>
  <c r="H907" i="1"/>
  <c r="H906" i="1"/>
  <c r="H904" i="1"/>
  <c r="H903" i="1"/>
  <c r="H902" i="1"/>
  <c r="H901" i="1"/>
  <c r="H582" i="1"/>
  <c r="H899" i="1"/>
  <c r="H708" i="1"/>
  <c r="H898" i="1"/>
  <c r="H897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657" i="1"/>
  <c r="H875" i="1"/>
  <c r="H874" i="1"/>
  <c r="H731" i="1"/>
  <c r="H872" i="1"/>
  <c r="H871" i="1"/>
  <c r="H870" i="1"/>
  <c r="H869" i="1"/>
  <c r="H723" i="1"/>
  <c r="H867" i="1"/>
  <c r="H346" i="1"/>
  <c r="H865" i="1"/>
  <c r="H864" i="1"/>
  <c r="H863" i="1"/>
  <c r="H862" i="1"/>
  <c r="H861" i="1"/>
  <c r="H741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760" i="1"/>
  <c r="H829" i="1"/>
  <c r="H828" i="1"/>
  <c r="H827" i="1"/>
  <c r="H656" i="1"/>
  <c r="H822" i="1"/>
  <c r="H821" i="1"/>
  <c r="H820" i="1"/>
  <c r="H892" i="1"/>
  <c r="H795" i="1"/>
  <c r="H817" i="1"/>
  <c r="H816" i="1"/>
  <c r="H757" i="1"/>
  <c r="H814" i="1"/>
  <c r="H813" i="1"/>
  <c r="H812" i="1"/>
  <c r="H811" i="1"/>
  <c r="H810" i="1"/>
  <c r="H809" i="1"/>
  <c r="H808" i="1"/>
  <c r="H805" i="1"/>
  <c r="H804" i="1"/>
  <c r="H803" i="1"/>
  <c r="H802" i="1"/>
  <c r="H801" i="1"/>
  <c r="H744" i="1"/>
  <c r="H798" i="1"/>
  <c r="H797" i="1"/>
  <c r="H796" i="1"/>
  <c r="H1085" i="1"/>
  <c r="H794" i="1"/>
  <c r="H792" i="1"/>
  <c r="H40" i="1"/>
  <c r="H789" i="1"/>
  <c r="H788" i="1"/>
  <c r="H785" i="1"/>
  <c r="H784" i="1"/>
  <c r="H783" i="1"/>
  <c r="H782" i="1"/>
  <c r="H781" i="1"/>
  <c r="H790" i="1"/>
  <c r="H779" i="1"/>
  <c r="H1084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80" i="1"/>
  <c r="H765" i="1"/>
  <c r="H763" i="1"/>
  <c r="H762" i="1"/>
  <c r="H761" i="1"/>
  <c r="H408" i="1"/>
  <c r="H759" i="1"/>
  <c r="H758" i="1"/>
  <c r="H301" i="1"/>
  <c r="H755" i="1"/>
  <c r="H102" i="1"/>
  <c r="H753" i="1"/>
  <c r="H162" i="1"/>
  <c r="H751" i="1"/>
  <c r="H139" i="1"/>
  <c r="H749" i="1"/>
  <c r="H748" i="1"/>
  <c r="H747" i="1"/>
  <c r="H746" i="1"/>
  <c r="H745" i="1"/>
  <c r="H64" i="1"/>
  <c r="H968" i="1"/>
  <c r="H1067" i="1"/>
  <c r="H1059" i="1"/>
  <c r="H740" i="1"/>
  <c r="H739" i="1"/>
  <c r="H738" i="1"/>
  <c r="H669" i="1"/>
  <c r="H1036" i="1"/>
  <c r="H44" i="1"/>
  <c r="H734" i="1"/>
  <c r="H733" i="1"/>
  <c r="H732" i="1"/>
  <c r="H712" i="1"/>
  <c r="H730" i="1"/>
  <c r="H729" i="1"/>
  <c r="H728" i="1"/>
  <c r="H196" i="1"/>
  <c r="H726" i="1"/>
  <c r="H725" i="1"/>
  <c r="H724" i="1"/>
  <c r="H778" i="1"/>
  <c r="H186" i="1"/>
  <c r="H720" i="1"/>
  <c r="H735" i="1"/>
  <c r="H718" i="1"/>
  <c r="H717" i="1"/>
  <c r="H716" i="1"/>
  <c r="H715" i="1"/>
  <c r="H714" i="1"/>
  <c r="H713" i="1"/>
  <c r="H743" i="1"/>
  <c r="H1034" i="1"/>
  <c r="H692" i="1"/>
  <c r="H709" i="1"/>
  <c r="H707" i="1"/>
  <c r="H705" i="1"/>
  <c r="H704" i="1"/>
  <c r="H949" i="1"/>
  <c r="H691" i="1"/>
  <c r="H700" i="1"/>
  <c r="H699" i="1"/>
  <c r="H698" i="1"/>
  <c r="H697" i="1"/>
  <c r="H696" i="1"/>
  <c r="H695" i="1"/>
  <c r="H694" i="1"/>
  <c r="H693" i="1"/>
  <c r="H690" i="1"/>
  <c r="H680" i="1"/>
  <c r="H21" i="1"/>
  <c r="H689" i="1"/>
  <c r="H688" i="1"/>
  <c r="H687" i="1"/>
  <c r="H686" i="1"/>
  <c r="H685" i="1"/>
  <c r="H684" i="1"/>
  <c r="H683" i="1"/>
  <c r="H682" i="1"/>
  <c r="H681" i="1"/>
  <c r="H962" i="1"/>
  <c r="H679" i="1"/>
  <c r="H678" i="1"/>
  <c r="H1033" i="1"/>
  <c r="H676" i="1"/>
  <c r="H675" i="1"/>
  <c r="H672" i="1"/>
  <c r="H671" i="1"/>
  <c r="H670" i="1"/>
  <c r="H446" i="1"/>
  <c r="H668" i="1"/>
  <c r="H653" i="1"/>
  <c r="H666" i="1"/>
  <c r="H665" i="1"/>
  <c r="H664" i="1"/>
  <c r="H663" i="1"/>
  <c r="H662" i="1"/>
  <c r="H406" i="1"/>
  <c r="H660" i="1"/>
  <c r="H659" i="1"/>
  <c r="H658" i="1"/>
  <c r="H28" i="1"/>
  <c r="H393" i="1"/>
  <c r="H392" i="1"/>
  <c r="H654" i="1"/>
  <c r="H1026" i="1"/>
  <c r="H652" i="1"/>
  <c r="H651" i="1"/>
  <c r="H650" i="1"/>
  <c r="H649" i="1"/>
  <c r="H648" i="1"/>
  <c r="H647" i="1"/>
  <c r="H646" i="1"/>
  <c r="H645" i="1"/>
  <c r="H332" i="1"/>
  <c r="H643" i="1"/>
  <c r="H642" i="1"/>
  <c r="H431" i="1"/>
  <c r="H640" i="1"/>
  <c r="H639" i="1"/>
  <c r="H638" i="1"/>
  <c r="H573" i="1"/>
  <c r="H636" i="1"/>
  <c r="H572" i="1"/>
  <c r="H634" i="1"/>
  <c r="H633" i="1"/>
  <c r="H632" i="1"/>
  <c r="H569" i="1"/>
  <c r="H630" i="1"/>
  <c r="H629" i="1"/>
  <c r="H628" i="1"/>
  <c r="H627" i="1"/>
  <c r="H626" i="1"/>
  <c r="H625" i="1"/>
  <c r="H624" i="1"/>
  <c r="H623" i="1"/>
  <c r="H376" i="1"/>
  <c r="H620" i="1"/>
  <c r="H253" i="1"/>
  <c r="H619" i="1"/>
  <c r="H617" i="1"/>
  <c r="H616" i="1"/>
  <c r="H615" i="1"/>
  <c r="H203" i="1"/>
  <c r="H613" i="1"/>
  <c r="H612" i="1"/>
  <c r="H611" i="1"/>
  <c r="H610" i="1"/>
  <c r="H553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35" i="1"/>
  <c r="H594" i="1"/>
  <c r="H593" i="1"/>
  <c r="H592" i="1"/>
  <c r="H591" i="1"/>
  <c r="H98" i="1"/>
  <c r="H589" i="1"/>
  <c r="H588" i="1"/>
  <c r="H963" i="1"/>
  <c r="H586" i="1"/>
  <c r="H585" i="1"/>
  <c r="H584" i="1"/>
  <c r="H583" i="1"/>
  <c r="H202" i="1"/>
  <c r="H99" i="1"/>
  <c r="H580" i="1"/>
  <c r="H579" i="1"/>
  <c r="H578" i="1"/>
  <c r="H577" i="1"/>
  <c r="H576" i="1"/>
  <c r="H575" i="1"/>
  <c r="H574" i="1"/>
  <c r="H308" i="1"/>
  <c r="H306" i="1"/>
  <c r="H571" i="1"/>
  <c r="H570" i="1"/>
  <c r="H307" i="1"/>
  <c r="H568" i="1"/>
  <c r="H567" i="1"/>
  <c r="H566" i="1"/>
  <c r="H565" i="1"/>
  <c r="H564" i="1"/>
  <c r="H563" i="1"/>
  <c r="H558" i="1"/>
  <c r="H103" i="1"/>
  <c r="H559" i="1"/>
  <c r="H557" i="1"/>
  <c r="H556" i="1"/>
  <c r="H555" i="1"/>
  <c r="H554" i="1"/>
  <c r="H655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416" i="1"/>
  <c r="H533" i="1"/>
  <c r="H532" i="1"/>
  <c r="H531" i="1"/>
  <c r="H530" i="1"/>
  <c r="H529" i="1"/>
  <c r="H528" i="1"/>
  <c r="H526" i="1"/>
  <c r="H525" i="1"/>
  <c r="H524" i="1"/>
  <c r="H523" i="1"/>
  <c r="H325" i="1"/>
  <c r="H521" i="1"/>
  <c r="H520" i="1"/>
  <c r="H519" i="1"/>
  <c r="H621" i="1"/>
  <c r="H517" i="1"/>
  <c r="H516" i="1"/>
  <c r="H515" i="1"/>
  <c r="H514" i="1"/>
  <c r="H1082" i="1"/>
  <c r="H1080" i="1"/>
  <c r="H1057" i="1"/>
  <c r="H511" i="1"/>
  <c r="H510" i="1"/>
  <c r="H1035" i="1"/>
  <c r="H508" i="1"/>
  <c r="H507" i="1"/>
  <c r="H506" i="1"/>
  <c r="H505" i="1"/>
  <c r="H504" i="1"/>
  <c r="H503" i="1"/>
  <c r="H502" i="1"/>
  <c r="H501" i="1"/>
  <c r="H727" i="1"/>
  <c r="H722" i="1"/>
  <c r="H498" i="1"/>
  <c r="H497" i="1"/>
  <c r="H496" i="1"/>
  <c r="H495" i="1"/>
  <c r="H494" i="1"/>
  <c r="H493" i="1"/>
  <c r="H492" i="1"/>
  <c r="H491" i="1"/>
  <c r="H490" i="1"/>
  <c r="H146" i="1"/>
  <c r="H488" i="1"/>
  <c r="H20" i="1"/>
  <c r="H486" i="1"/>
  <c r="H485" i="1"/>
  <c r="H710" i="1"/>
  <c r="H483" i="1"/>
  <c r="H482" i="1"/>
  <c r="H481" i="1"/>
  <c r="H480" i="1"/>
  <c r="H702" i="1"/>
  <c r="H478" i="1"/>
  <c r="H477" i="1"/>
  <c r="H476" i="1"/>
  <c r="H474" i="1"/>
  <c r="H473" i="1"/>
  <c r="H472" i="1"/>
  <c r="H471" i="1"/>
  <c r="H470" i="1"/>
  <c r="H3" i="1"/>
  <c r="H468" i="1"/>
  <c r="H512" i="1"/>
  <c r="H509" i="1"/>
  <c r="H465" i="1"/>
  <c r="H464" i="1"/>
  <c r="H463" i="1"/>
  <c r="H462" i="1"/>
  <c r="H461" i="1"/>
  <c r="H460" i="1"/>
  <c r="H475" i="1"/>
  <c r="H458" i="1"/>
  <c r="H140" i="1"/>
  <c r="H467" i="1"/>
  <c r="H204" i="1"/>
  <c r="H454" i="1"/>
  <c r="H992" i="1"/>
  <c r="H452" i="1"/>
  <c r="H451" i="1"/>
  <c r="H450" i="1"/>
  <c r="H449" i="1"/>
  <c r="H447" i="1"/>
  <c r="H445" i="1"/>
  <c r="H444" i="1"/>
  <c r="H443" i="1"/>
  <c r="H442" i="1"/>
  <c r="H441" i="1"/>
  <c r="H440" i="1"/>
  <c r="H439" i="1"/>
  <c r="H438" i="1"/>
  <c r="H437" i="1"/>
  <c r="H436" i="1"/>
  <c r="H595" i="1"/>
  <c r="H434" i="1"/>
  <c r="H265" i="1"/>
  <c r="H251" i="1"/>
  <c r="H252" i="1"/>
  <c r="H323" i="1"/>
  <c r="H429" i="1"/>
  <c r="H428" i="1"/>
  <c r="H427" i="1"/>
  <c r="H1087" i="1"/>
  <c r="H425" i="1"/>
  <c r="H259" i="1"/>
  <c r="H423" i="1"/>
  <c r="H422" i="1"/>
  <c r="H522" i="1"/>
  <c r="H420" i="1"/>
  <c r="H419" i="1"/>
  <c r="H418" i="1"/>
  <c r="H417" i="1"/>
  <c r="H518" i="1"/>
  <c r="H415" i="1"/>
  <c r="H414" i="1"/>
  <c r="H413" i="1"/>
  <c r="H412" i="1"/>
  <c r="H150" i="1"/>
  <c r="H410" i="1"/>
  <c r="H181" i="1"/>
  <c r="H407" i="1"/>
  <c r="H989" i="1"/>
  <c r="H405" i="1"/>
  <c r="H404" i="1"/>
  <c r="H513" i="1"/>
  <c r="H402" i="1"/>
  <c r="H401" i="1"/>
  <c r="H400" i="1"/>
  <c r="H1171" i="1"/>
  <c r="H398" i="1"/>
  <c r="H227" i="1"/>
  <c r="H396" i="1"/>
  <c r="H395" i="1"/>
  <c r="H394" i="1"/>
  <c r="H242" i="1"/>
  <c r="H183" i="1"/>
  <c r="H391" i="1"/>
  <c r="H390" i="1"/>
  <c r="H389" i="1"/>
  <c r="H388" i="1"/>
  <c r="H387" i="1"/>
  <c r="H386" i="1"/>
  <c r="H969" i="1"/>
  <c r="H384" i="1"/>
  <c r="H383" i="1"/>
  <c r="H382" i="1"/>
  <c r="H754" i="1"/>
  <c r="H380" i="1"/>
  <c r="H379" i="1"/>
  <c r="H378" i="1"/>
  <c r="H377" i="1"/>
  <c r="H752" i="1"/>
  <c r="H750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489" i="1"/>
  <c r="H354" i="1"/>
  <c r="H277" i="1"/>
  <c r="H352" i="1"/>
  <c r="H351" i="1"/>
  <c r="H271" i="1"/>
  <c r="H349" i="1"/>
  <c r="H348" i="1"/>
  <c r="H347" i="1"/>
  <c r="H15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13" i="1"/>
  <c r="H331" i="1"/>
  <c r="H226" i="1"/>
  <c r="H329" i="1"/>
  <c r="H328" i="1"/>
  <c r="H327" i="1"/>
  <c r="H326" i="1"/>
  <c r="H1098" i="1"/>
  <c r="H661" i="1"/>
  <c r="H245" i="1"/>
  <c r="H322" i="1"/>
  <c r="H321" i="1"/>
  <c r="H184" i="1"/>
  <c r="H319" i="1"/>
  <c r="H318" i="1"/>
  <c r="H317" i="1"/>
  <c r="H316" i="1"/>
  <c r="H315" i="1"/>
  <c r="H641" i="1"/>
  <c r="H313" i="1"/>
  <c r="H16" i="1"/>
  <c r="H311" i="1"/>
  <c r="H310" i="1"/>
  <c r="H309" i="1"/>
  <c r="H637" i="1"/>
  <c r="H285" i="1"/>
  <c r="H614" i="1"/>
  <c r="H305" i="1"/>
  <c r="H304" i="1"/>
  <c r="H303" i="1"/>
  <c r="H302" i="1"/>
  <c r="H581" i="1"/>
  <c r="H300" i="1"/>
  <c r="H299" i="1"/>
  <c r="H298" i="1"/>
  <c r="H297" i="1"/>
  <c r="H296" i="1"/>
  <c r="H295" i="1"/>
  <c r="H294" i="1"/>
  <c r="H293" i="1"/>
  <c r="H561" i="1"/>
  <c r="H291" i="1"/>
  <c r="H290" i="1"/>
  <c r="H289" i="1"/>
  <c r="H411" i="1"/>
  <c r="H312" i="1"/>
  <c r="H286" i="1"/>
  <c r="H288" i="1"/>
  <c r="H284" i="1"/>
  <c r="H283" i="1"/>
  <c r="H282" i="1"/>
  <c r="H281" i="1"/>
  <c r="H280" i="1"/>
  <c r="H279" i="1"/>
  <c r="H278" i="1"/>
  <c r="H128" i="1"/>
  <c r="H276" i="1"/>
  <c r="H275" i="1"/>
  <c r="H274" i="1"/>
  <c r="H273" i="1"/>
  <c r="H272" i="1"/>
  <c r="H32" i="1"/>
  <c r="H270" i="1"/>
  <c r="H287" i="1"/>
  <c r="H268" i="1"/>
  <c r="H267" i="1"/>
  <c r="H266" i="1"/>
  <c r="H189" i="1"/>
  <c r="H264" i="1"/>
  <c r="H263" i="1"/>
  <c r="H262" i="1"/>
  <c r="H261" i="1"/>
  <c r="H260" i="1"/>
  <c r="H30" i="1"/>
  <c r="H258" i="1"/>
  <c r="H257" i="1"/>
  <c r="H256" i="1"/>
  <c r="H255" i="1"/>
  <c r="H254" i="1"/>
  <c r="H235" i="1"/>
  <c r="H350" i="1"/>
  <c r="H269" i="1"/>
  <c r="H250" i="1"/>
  <c r="H248" i="1"/>
  <c r="H247" i="1"/>
  <c r="H246" i="1"/>
  <c r="H432" i="1"/>
  <c r="H244" i="1"/>
  <c r="H243" i="1"/>
  <c r="H1088" i="1"/>
  <c r="H241" i="1"/>
  <c r="H240" i="1"/>
  <c r="H560" i="1"/>
  <c r="H238" i="1"/>
  <c r="H237" i="1"/>
  <c r="H236" i="1"/>
  <c r="H1015" i="1"/>
  <c r="H234" i="1"/>
  <c r="H233" i="1"/>
  <c r="H232" i="1"/>
  <c r="H231" i="1"/>
  <c r="H230" i="1"/>
  <c r="H229" i="1"/>
  <c r="H500" i="1"/>
  <c r="H499" i="1"/>
  <c r="H484" i="1"/>
  <c r="H225" i="1"/>
  <c r="H479" i="1"/>
  <c r="H469" i="1"/>
  <c r="H466" i="1"/>
  <c r="H1135" i="1"/>
  <c r="H220" i="1"/>
  <c r="H219" i="1"/>
  <c r="H218" i="1"/>
  <c r="H456" i="1"/>
  <c r="H216" i="1"/>
  <c r="H215" i="1"/>
  <c r="H214" i="1"/>
  <c r="H213" i="1"/>
  <c r="H212" i="1"/>
  <c r="H211" i="1"/>
  <c r="H210" i="1"/>
  <c r="H209" i="1"/>
  <c r="H1009" i="1"/>
  <c r="H207" i="1"/>
  <c r="H448" i="1"/>
  <c r="H381" i="1"/>
  <c r="H1019" i="1"/>
  <c r="H1020" i="1"/>
  <c r="H1090" i="1"/>
  <c r="H201" i="1"/>
  <c r="H200" i="1"/>
  <c r="H199" i="1"/>
  <c r="H198" i="1"/>
  <c r="H292" i="1"/>
  <c r="H239" i="1"/>
  <c r="H195" i="1"/>
  <c r="H194" i="1"/>
  <c r="H355" i="1"/>
  <c r="H192" i="1"/>
  <c r="H191" i="1"/>
  <c r="H190" i="1"/>
  <c r="H487" i="1"/>
  <c r="H188" i="1"/>
  <c r="H187" i="1"/>
  <c r="H228" i="1"/>
  <c r="H185" i="1"/>
  <c r="H459" i="1"/>
  <c r="H1166" i="1"/>
  <c r="H182" i="1"/>
  <c r="H174" i="1"/>
  <c r="H320" i="1"/>
  <c r="H179" i="1"/>
  <c r="H178" i="1"/>
  <c r="H177" i="1"/>
  <c r="H87" i="1"/>
  <c r="H74" i="1"/>
  <c r="H224" i="1"/>
  <c r="H173" i="1"/>
  <c r="H172" i="1"/>
  <c r="H171" i="1"/>
  <c r="H170" i="1"/>
  <c r="H169" i="1"/>
  <c r="H168" i="1"/>
  <c r="H167" i="1"/>
  <c r="H166" i="1"/>
  <c r="H165" i="1"/>
  <c r="H164" i="1"/>
  <c r="H116" i="1"/>
  <c r="H222" i="1"/>
  <c r="H163" i="1"/>
  <c r="H221" i="1"/>
  <c r="H161" i="1"/>
  <c r="H160" i="1"/>
  <c r="H159" i="1"/>
  <c r="H158" i="1"/>
  <c r="H157" i="1"/>
  <c r="H156" i="1"/>
  <c r="H155" i="1"/>
  <c r="H154" i="1"/>
  <c r="H153" i="1"/>
  <c r="H152" i="1"/>
  <c r="H151" i="1"/>
  <c r="H175" i="1"/>
  <c r="H149" i="1"/>
  <c r="H148" i="1"/>
  <c r="H147" i="1"/>
  <c r="H70" i="1"/>
  <c r="H145" i="1"/>
  <c r="H144" i="1"/>
  <c r="H143" i="1"/>
  <c r="H142" i="1"/>
  <c r="H141" i="1"/>
  <c r="H353" i="1"/>
  <c r="H54" i="1"/>
  <c r="H138" i="1"/>
  <c r="H137" i="1"/>
  <c r="H136" i="1"/>
  <c r="H135" i="1"/>
  <c r="H134" i="1"/>
  <c r="H133" i="1"/>
  <c r="H132" i="1"/>
  <c r="H130" i="1"/>
  <c r="H129" i="1"/>
  <c r="H1016" i="1"/>
  <c r="H127" i="1"/>
  <c r="H126" i="1"/>
  <c r="H125" i="1"/>
  <c r="H124" i="1"/>
  <c r="H123" i="1"/>
  <c r="H122" i="1"/>
  <c r="H121" i="1"/>
  <c r="H120" i="1"/>
  <c r="H959" i="1"/>
  <c r="H118" i="1"/>
  <c r="H117" i="1"/>
  <c r="H457" i="1"/>
  <c r="H115" i="1"/>
  <c r="H114" i="1"/>
  <c r="H113" i="1"/>
  <c r="H112" i="1"/>
  <c r="H111" i="1"/>
  <c r="H110" i="1"/>
  <c r="H109" i="1"/>
  <c r="H108" i="1"/>
  <c r="H107" i="1"/>
  <c r="H106" i="1"/>
  <c r="H105" i="1"/>
  <c r="H453" i="1"/>
  <c r="H104" i="1"/>
  <c r="H455" i="1"/>
  <c r="H101" i="1"/>
  <c r="H100" i="1"/>
  <c r="H403" i="1"/>
  <c r="H631" i="1"/>
  <c r="H635" i="1"/>
  <c r="H397" i="1"/>
  <c r="H95" i="1"/>
  <c r="H94" i="1"/>
  <c r="H430" i="1"/>
  <c r="H609" i="1"/>
  <c r="H426" i="1"/>
  <c r="H90" i="1"/>
  <c r="H89" i="1"/>
  <c r="H88" i="1"/>
  <c r="H43" i="1"/>
  <c r="H86" i="1"/>
  <c r="H85" i="1"/>
  <c r="H84" i="1"/>
  <c r="H83" i="1"/>
  <c r="H82" i="1"/>
  <c r="H81" i="1"/>
  <c r="H80" i="1"/>
  <c r="H79" i="1"/>
  <c r="H78" i="1"/>
  <c r="H77" i="1"/>
  <c r="H76" i="1"/>
  <c r="H75" i="1"/>
  <c r="H435" i="1"/>
  <c r="H73" i="1"/>
  <c r="H72" i="1"/>
  <c r="H71" i="1"/>
  <c r="H1116" i="1"/>
  <c r="H69" i="1"/>
  <c r="H433" i="1"/>
  <c r="H67" i="1"/>
  <c r="H66" i="1"/>
  <c r="H65" i="1"/>
  <c r="H93" i="1"/>
  <c r="H63" i="1"/>
  <c r="H62" i="1"/>
  <c r="H61" i="1"/>
  <c r="H217" i="1"/>
  <c r="H58" i="1"/>
  <c r="H57" i="1"/>
  <c r="H644" i="1"/>
  <c r="H55" i="1"/>
  <c r="H97" i="1"/>
  <c r="H53" i="1"/>
  <c r="H52" i="1"/>
  <c r="H51" i="1"/>
  <c r="H50" i="1"/>
  <c r="H49" i="1"/>
  <c r="H48" i="1"/>
  <c r="H47" i="1"/>
  <c r="H46" i="1"/>
  <c r="H45" i="1"/>
  <c r="H197" i="1"/>
  <c r="H424" i="1"/>
  <c r="H42" i="1"/>
  <c r="H68" i="1"/>
  <c r="H119" i="1"/>
  <c r="H56" i="1"/>
  <c r="J4" i="14" l="1"/>
  <c r="G2" i="14" l="1"/>
  <c r="C25" i="2" l="1"/>
  <c r="E8" i="14" l="1"/>
  <c r="D5" i="14"/>
  <c r="F5" i="14"/>
  <c r="J3" i="14"/>
  <c r="H2" i="14"/>
  <c r="H5" i="14" l="1"/>
  <c r="H10" i="14"/>
  <c r="C10" i="14"/>
  <c r="J5" i="14"/>
  <c r="F4" i="14"/>
  <c r="G6" i="14"/>
  <c r="F8" i="14"/>
  <c r="I7" i="14"/>
  <c r="I9" i="14"/>
  <c r="E6" i="14"/>
  <c r="H7" i="14"/>
  <c r="F7" i="14"/>
  <c r="D4" i="14"/>
  <c r="G4" i="14"/>
  <c r="E7" i="14"/>
  <c r="F2" i="14"/>
  <c r="C4" i="14"/>
  <c r="G5" i="14"/>
  <c r="H6" i="14"/>
  <c r="I2" i="14"/>
  <c r="C5" i="14"/>
  <c r="G7" i="14"/>
  <c r="F3" i="14"/>
  <c r="J2" i="14"/>
  <c r="D10" i="14"/>
  <c r="E5" i="14"/>
  <c r="D9" i="14"/>
  <c r="H4" i="14"/>
  <c r="G10" i="14"/>
  <c r="C2" i="14"/>
  <c r="J9" i="14"/>
  <c r="D3" i="14"/>
  <c r="F6" i="14"/>
  <c r="E3" i="14"/>
  <c r="F10" i="14"/>
  <c r="I10" i="14"/>
  <c r="E2" i="14"/>
  <c r="H8" i="14"/>
  <c r="E10" i="14"/>
  <c r="I8" i="14"/>
  <c r="J7" i="14"/>
  <c r="H9" i="14"/>
  <c r="C8" i="14"/>
  <c r="C9" i="14"/>
  <c r="C3" i="14"/>
  <c r="F9" i="14"/>
  <c r="J10" i="14"/>
  <c r="C7" i="14"/>
  <c r="I3" i="14"/>
  <c r="D8" i="14"/>
  <c r="E9" i="14"/>
  <c r="H3" i="14"/>
  <c r="I5" i="14"/>
  <c r="J8" i="14"/>
  <c r="G3" i="14"/>
  <c r="G8" i="14"/>
  <c r="D7" i="14"/>
  <c r="J6" i="14"/>
  <c r="C6" i="14"/>
  <c r="G9" i="14"/>
  <c r="I4" i="14"/>
  <c r="E4" i="14"/>
  <c r="I6" i="14"/>
  <c r="D6" i="14"/>
  <c r="D2" i="14"/>
  <c r="D12" i="2" l="1"/>
  <c r="D7" i="2"/>
  <c r="E16" i="14"/>
  <c r="J16" i="14"/>
  <c r="I15" i="14"/>
  <c r="G13" i="14"/>
  <c r="H13" i="14"/>
  <c r="F17" i="14"/>
  <c r="G17" i="14"/>
  <c r="E15" i="14"/>
  <c r="D17" i="14"/>
  <c r="E17" i="14"/>
  <c r="F16" i="14"/>
  <c r="J15" i="14"/>
  <c r="F15" i="14"/>
  <c r="H17" i="14"/>
  <c r="G16" i="14"/>
  <c r="J17" i="14"/>
  <c r="H15" i="14"/>
  <c r="I16" i="14"/>
  <c r="G15" i="14"/>
  <c r="D15" i="14"/>
  <c r="I17" i="14"/>
  <c r="H16" i="14"/>
  <c r="D16" i="14"/>
  <c r="J13" i="14"/>
  <c r="F14" i="14"/>
  <c r="G12" i="14"/>
  <c r="C15" i="14"/>
  <c r="I14" i="14"/>
  <c r="H12" i="14"/>
  <c r="F12" i="14"/>
  <c r="E13" i="14"/>
  <c r="D12" i="14"/>
  <c r="F13" i="14"/>
  <c r="C12" i="14"/>
  <c r="I13" i="14"/>
  <c r="C13" i="14"/>
  <c r="E14" i="14"/>
  <c r="C17" i="14"/>
  <c r="C14" i="14"/>
  <c r="E12" i="14"/>
  <c r="J14" i="14"/>
  <c r="D14" i="14"/>
  <c r="D13" i="14"/>
  <c r="G14" i="14"/>
  <c r="C16" i="14"/>
  <c r="H14" i="14"/>
  <c r="J12" i="14"/>
  <c r="I12" i="14"/>
  <c r="D13" i="2"/>
  <c r="D18" i="2"/>
  <c r="D20" i="2"/>
  <c r="D8" i="2"/>
  <c r="E6" i="2"/>
  <c r="E15" i="2" s="1"/>
  <c r="D22" i="2"/>
  <c r="D19" i="2"/>
  <c r="D17" i="2"/>
  <c r="D16" i="2"/>
  <c r="D9" i="2"/>
  <c r="D25" i="2" l="1"/>
  <c r="D10" i="2" s="1"/>
  <c r="D21" i="2" s="1"/>
  <c r="D26" i="2"/>
  <c r="E18" i="2"/>
  <c r="E14" i="2"/>
  <c r="F6" i="2"/>
  <c r="F15" i="2" s="1"/>
  <c r="E22" i="2"/>
  <c r="E16" i="2"/>
  <c r="E13" i="2"/>
  <c r="E9" i="2"/>
  <c r="E17" i="2"/>
  <c r="E8" i="2"/>
  <c r="E20" i="2"/>
  <c r="E12" i="2"/>
  <c r="E7" i="2"/>
  <c r="E10" i="2" l="1"/>
  <c r="E21" i="2" s="1"/>
  <c r="E26" i="2"/>
  <c r="E25" i="2"/>
  <c r="D27" i="2"/>
  <c r="F18" i="2"/>
  <c r="F14" i="2"/>
  <c r="G6" i="2"/>
  <c r="G15" i="2" s="1"/>
  <c r="F22" i="2"/>
  <c r="F13" i="2"/>
  <c r="F16" i="2"/>
  <c r="F12" i="2"/>
  <c r="F19" i="2"/>
  <c r="F17" i="2"/>
  <c r="F9" i="2"/>
  <c r="F8" i="2"/>
  <c r="F20" i="2"/>
  <c r="F7" i="2"/>
  <c r="F10" i="2" l="1"/>
  <c r="F27" i="2" s="1"/>
  <c r="F26" i="2"/>
  <c r="F25" i="2"/>
  <c r="E27" i="2"/>
  <c r="G18" i="2"/>
  <c r="G14" i="2"/>
  <c r="H6" i="2"/>
  <c r="H15" i="2" s="1"/>
  <c r="G22" i="2"/>
  <c r="G19" i="2"/>
  <c r="G16" i="2"/>
  <c r="G7" i="2"/>
  <c r="G9" i="2"/>
  <c r="G17" i="2"/>
  <c r="G13" i="2"/>
  <c r="G12" i="2"/>
  <c r="G8" i="2"/>
  <c r="G20" i="2"/>
  <c r="G10" i="2" l="1"/>
  <c r="G21" i="2" s="1"/>
  <c r="G25" i="2"/>
  <c r="G26" i="2"/>
  <c r="H18" i="2"/>
  <c r="H14" i="2"/>
  <c r="F21" i="2"/>
  <c r="I6" i="2"/>
  <c r="I15" i="2" s="1"/>
  <c r="H22" i="2"/>
  <c r="H16" i="2"/>
  <c r="H12" i="2"/>
  <c r="H19" i="2"/>
  <c r="H9" i="2"/>
  <c r="H17" i="2"/>
  <c r="H13" i="2"/>
  <c r="H8" i="2"/>
  <c r="H7" i="2"/>
  <c r="H20" i="2"/>
  <c r="H10" i="2" l="1"/>
  <c r="H21" i="2" s="1"/>
  <c r="H26" i="2"/>
  <c r="H25" i="2"/>
  <c r="G27" i="2"/>
  <c r="I18" i="2"/>
  <c r="J6" i="2"/>
  <c r="J15" i="2" s="1"/>
  <c r="I22" i="2"/>
  <c r="I19" i="2"/>
  <c r="I17" i="2"/>
  <c r="I9" i="2"/>
  <c r="I12" i="2"/>
  <c r="I13" i="2"/>
  <c r="I16" i="2"/>
  <c r="I7" i="2"/>
  <c r="I20" i="2"/>
  <c r="I8" i="2"/>
  <c r="I26" i="2" l="1"/>
  <c r="I25" i="2"/>
  <c r="H27" i="2"/>
  <c r="J18" i="2"/>
  <c r="J14" i="2"/>
  <c r="I10" i="2"/>
  <c r="I21" i="2" s="1"/>
  <c r="K6" i="2"/>
  <c r="K15" i="2" s="1"/>
  <c r="J22" i="2"/>
  <c r="J17" i="2"/>
  <c r="J9" i="2"/>
  <c r="J16" i="2"/>
  <c r="J12" i="2"/>
  <c r="J8" i="2"/>
  <c r="J19" i="2"/>
  <c r="J20" i="2"/>
  <c r="J13" i="2"/>
  <c r="J7" i="2"/>
  <c r="J26" i="2" l="1"/>
  <c r="J25" i="2"/>
  <c r="I27" i="2"/>
  <c r="K18" i="2"/>
  <c r="K14" i="2"/>
  <c r="J10" i="2"/>
  <c r="J21" i="2" s="1"/>
  <c r="L6" i="2"/>
  <c r="L15" i="2" s="1"/>
  <c r="K20" i="2"/>
  <c r="K16" i="2"/>
  <c r="K9" i="2"/>
  <c r="K17" i="2"/>
  <c r="K19" i="2"/>
  <c r="K8" i="2"/>
  <c r="K7" i="2"/>
  <c r="K12" i="2"/>
  <c r="K13" i="2"/>
  <c r="K10" i="2" l="1"/>
  <c r="K27" i="2" s="1"/>
  <c r="K26" i="2"/>
  <c r="K25" i="2"/>
  <c r="J27" i="2"/>
  <c r="L18" i="2"/>
  <c r="L14" i="2"/>
  <c r="M6" i="2"/>
  <c r="M15" i="2" s="1"/>
  <c r="L19" i="2"/>
  <c r="L17" i="2"/>
  <c r="L13" i="2"/>
  <c r="L9" i="2"/>
  <c r="L8" i="2"/>
  <c r="L20" i="2"/>
  <c r="L7" i="2"/>
  <c r="L16" i="2"/>
  <c r="L12" i="2"/>
  <c r="K21" i="2" l="1"/>
  <c r="L10" i="2"/>
  <c r="L21" i="2" s="1"/>
  <c r="L26" i="2"/>
  <c r="L25" i="2"/>
  <c r="M18" i="2"/>
  <c r="M14" i="2"/>
  <c r="N6" i="2"/>
  <c r="N15" i="2" s="1"/>
  <c r="M19" i="2"/>
  <c r="M13" i="2"/>
  <c r="M9" i="2"/>
  <c r="M17" i="2"/>
  <c r="M12" i="2"/>
  <c r="M8" i="2"/>
  <c r="M20" i="2"/>
  <c r="M7" i="2"/>
  <c r="M16" i="2"/>
  <c r="L27" i="2" l="1"/>
  <c r="M25" i="2"/>
  <c r="M10" i="2"/>
  <c r="M27" i="2" s="1"/>
  <c r="M26" i="2"/>
  <c r="N18" i="2"/>
  <c r="N14" i="2"/>
  <c r="N8" i="2"/>
  <c r="N17" i="2"/>
  <c r="N19" i="2"/>
  <c r="N7" i="2"/>
  <c r="N13" i="2"/>
  <c r="N16" i="2"/>
  <c r="N12" i="2"/>
  <c r="N20" i="2"/>
  <c r="N9" i="2"/>
  <c r="M21" i="2" l="1"/>
  <c r="N10" i="2"/>
  <c r="N21" i="2" s="1"/>
</calcChain>
</file>

<file path=xl/sharedStrings.xml><?xml version="1.0" encoding="utf-8"?>
<sst xmlns="http://schemas.openxmlformats.org/spreadsheetml/2006/main" count="14817" uniqueCount="2632">
  <si>
    <t>TOWNSHIP</t>
  </si>
  <si>
    <t>PASER</t>
  </si>
  <si>
    <t>Road Name</t>
  </si>
  <si>
    <t>OSPREY</t>
  </si>
  <si>
    <t>SR 9</t>
  </si>
  <si>
    <t>460 S</t>
  </si>
  <si>
    <t>BW</t>
  </si>
  <si>
    <t>RIDGEVIEW</t>
  </si>
  <si>
    <t>AC</t>
  </si>
  <si>
    <t>600N</t>
  </si>
  <si>
    <t>END</t>
  </si>
  <si>
    <t>V</t>
  </si>
  <si>
    <t>1000E/1000N</t>
  </si>
  <si>
    <t>CS</t>
  </si>
  <si>
    <t>900 N</t>
  </si>
  <si>
    <t>1000 N</t>
  </si>
  <si>
    <t>B69</t>
  </si>
  <si>
    <t>B</t>
  </si>
  <si>
    <t>1000E</t>
  </si>
  <si>
    <t>1000E/1100N</t>
  </si>
  <si>
    <t>1000N</t>
  </si>
  <si>
    <t>1100N</t>
  </si>
  <si>
    <t>B70</t>
  </si>
  <si>
    <t>1000E/400N</t>
  </si>
  <si>
    <t>350N</t>
  </si>
  <si>
    <t>400N</t>
  </si>
  <si>
    <t>J</t>
  </si>
  <si>
    <t>1000E/500N</t>
  </si>
  <si>
    <t>500N</t>
  </si>
  <si>
    <t>J85</t>
  </si>
  <si>
    <t>1000E/550N</t>
  </si>
  <si>
    <t>550N</t>
  </si>
  <si>
    <t>J86</t>
  </si>
  <si>
    <t>1000E/650N</t>
  </si>
  <si>
    <t>TWSP.2N.LINE</t>
  </si>
  <si>
    <t>650N</t>
  </si>
  <si>
    <t>B66</t>
  </si>
  <si>
    <t>1000E/900N</t>
  </si>
  <si>
    <t>900N</t>
  </si>
  <si>
    <t>SR234</t>
  </si>
  <si>
    <t>B68</t>
  </si>
  <si>
    <t>1000E/N.TWP LINE</t>
  </si>
  <si>
    <t>TWNSP.</t>
  </si>
  <si>
    <t>1000E/SR109</t>
  </si>
  <si>
    <t>SR109</t>
  </si>
  <si>
    <t>B67</t>
  </si>
  <si>
    <t>1000N/1000E</t>
  </si>
  <si>
    <t>B37</t>
  </si>
  <si>
    <t>1000N/1100E</t>
  </si>
  <si>
    <t>1100E</t>
  </si>
  <si>
    <t>B38</t>
  </si>
  <si>
    <t>1000N/1200E</t>
  </si>
  <si>
    <t>1200E</t>
  </si>
  <si>
    <t>B39</t>
  </si>
  <si>
    <t>1000N/125W</t>
  </si>
  <si>
    <t>125W</t>
  </si>
  <si>
    <t>FORTVILLE LIMITS</t>
  </si>
  <si>
    <t>V41</t>
  </si>
  <si>
    <t>1000N/400E</t>
  </si>
  <si>
    <t>400E</t>
  </si>
  <si>
    <t>BARNARD RD.</t>
  </si>
  <si>
    <t>G36</t>
  </si>
  <si>
    <t>G</t>
  </si>
  <si>
    <t>1000N/500E</t>
  </si>
  <si>
    <t>500E</t>
  </si>
  <si>
    <t>G37</t>
  </si>
  <si>
    <t>1000N/50W</t>
  </si>
  <si>
    <t>50W</t>
  </si>
  <si>
    <t>V42</t>
  </si>
  <si>
    <t>1000N/550E</t>
  </si>
  <si>
    <t>550E</t>
  </si>
  <si>
    <t>G38</t>
  </si>
  <si>
    <t>1000N/600E</t>
  </si>
  <si>
    <t>600E</t>
  </si>
  <si>
    <t>G39</t>
  </si>
  <si>
    <t>1000N/625E</t>
  </si>
  <si>
    <t>625E</t>
  </si>
  <si>
    <t>B33</t>
  </si>
  <si>
    <t>1000N/675E</t>
  </si>
  <si>
    <t>675E</t>
  </si>
  <si>
    <t>B34</t>
  </si>
  <si>
    <t>1000N/ALFORD RD</t>
  </si>
  <si>
    <t>ALFORD RD.</t>
  </si>
  <si>
    <t>MERIDIAN RD.</t>
  </si>
  <si>
    <t>G33</t>
  </si>
  <si>
    <t>1000N/BARNARD RD</t>
  </si>
  <si>
    <t>SR9</t>
  </si>
  <si>
    <t>G35</t>
  </si>
  <si>
    <t>1000N/MERIDIAN RD</t>
  </si>
  <si>
    <t>V43</t>
  </si>
  <si>
    <t>1000N/NASHVILLE RD</t>
  </si>
  <si>
    <t>NASHVILLE RD.</t>
  </si>
  <si>
    <t>B35</t>
  </si>
  <si>
    <t>1000N/SR109</t>
  </si>
  <si>
    <t>775E</t>
  </si>
  <si>
    <t>B36</t>
  </si>
  <si>
    <t>1000N/SR9</t>
  </si>
  <si>
    <t>G34</t>
  </si>
  <si>
    <t>100E/100S</t>
  </si>
  <si>
    <t>200S</t>
  </si>
  <si>
    <t>100S</t>
  </si>
  <si>
    <t>C</t>
  </si>
  <si>
    <t>100E</t>
  </si>
  <si>
    <t>100E/300S</t>
  </si>
  <si>
    <t>300S</t>
  </si>
  <si>
    <t>BW49</t>
  </si>
  <si>
    <t>100E/400S</t>
  </si>
  <si>
    <t>400S</t>
  </si>
  <si>
    <t>BW48</t>
  </si>
  <si>
    <t>100E/500S</t>
  </si>
  <si>
    <t>500S</t>
  </si>
  <si>
    <t>BW47</t>
  </si>
  <si>
    <t>100E/S.CO. LINE</t>
  </si>
  <si>
    <t>COUNTY LINE</t>
  </si>
  <si>
    <t>BW46</t>
  </si>
  <si>
    <t>100N/100W</t>
  </si>
  <si>
    <t>100W</t>
  </si>
  <si>
    <t>150W</t>
  </si>
  <si>
    <t>C12</t>
  </si>
  <si>
    <t>100N</t>
  </si>
  <si>
    <t>100N/150W</t>
  </si>
  <si>
    <t>200W</t>
  </si>
  <si>
    <t>C11</t>
  </si>
  <si>
    <t>100N/200W</t>
  </si>
  <si>
    <t>300W</t>
  </si>
  <si>
    <t>BC</t>
  </si>
  <si>
    <t>100N/300W</t>
  </si>
  <si>
    <t>350W</t>
  </si>
  <si>
    <t>100N/350W</t>
  </si>
  <si>
    <t>400W</t>
  </si>
  <si>
    <t>100N/400W</t>
  </si>
  <si>
    <t>525W</t>
  </si>
  <si>
    <t>100N/500E</t>
  </si>
  <si>
    <t>C14</t>
  </si>
  <si>
    <t>100N/525W</t>
  </si>
  <si>
    <t>600W</t>
  </si>
  <si>
    <t>100N/600E</t>
  </si>
  <si>
    <t>100N/600W</t>
  </si>
  <si>
    <t>700W</t>
  </si>
  <si>
    <t>100N/700E</t>
  </si>
  <si>
    <t>700E</t>
  </si>
  <si>
    <t>100N/700W</t>
  </si>
  <si>
    <t>BUCK CREEK RD</t>
  </si>
  <si>
    <t>100N/75W</t>
  </si>
  <si>
    <t>75W</t>
  </si>
  <si>
    <t>C13</t>
  </si>
  <si>
    <t>100N/800E</t>
  </si>
  <si>
    <t>800E</t>
  </si>
  <si>
    <t>100N/850E</t>
  </si>
  <si>
    <t>850E</t>
  </si>
  <si>
    <t>100N/BUCK CR RD</t>
  </si>
  <si>
    <t>W. CO. LINE</t>
  </si>
  <si>
    <t>100N/GRANISON RD</t>
  </si>
  <si>
    <t>GRANDISON RD.</t>
  </si>
  <si>
    <t>100S/100E</t>
  </si>
  <si>
    <t>MERIDIAN ROAD</t>
  </si>
  <si>
    <t>100S/150W</t>
  </si>
  <si>
    <t>100S/200W</t>
  </si>
  <si>
    <t>250W</t>
  </si>
  <si>
    <t>SC51</t>
  </si>
  <si>
    <t>SC</t>
  </si>
  <si>
    <t>100S/250W</t>
  </si>
  <si>
    <t>JACOBI ROAD</t>
  </si>
  <si>
    <t>SC50</t>
  </si>
  <si>
    <t>100S/400E</t>
  </si>
  <si>
    <t>MORRISTOWN PIKE</t>
  </si>
  <si>
    <t>C10</t>
  </si>
  <si>
    <t>100S/400W</t>
  </si>
  <si>
    <t>500W</t>
  </si>
  <si>
    <t>SC48</t>
  </si>
  <si>
    <t>100S/500E</t>
  </si>
  <si>
    <t>BR36</t>
  </si>
  <si>
    <t>BR</t>
  </si>
  <si>
    <t>100S/600E</t>
  </si>
  <si>
    <t>BR37</t>
  </si>
  <si>
    <t>100S/600W</t>
  </si>
  <si>
    <t>SC47</t>
  </si>
  <si>
    <t>100S/675E</t>
  </si>
  <si>
    <t>BR38</t>
  </si>
  <si>
    <t>750E</t>
  </si>
  <si>
    <t>BR39</t>
  </si>
  <si>
    <t>100S/775E</t>
  </si>
  <si>
    <t>BR40</t>
  </si>
  <si>
    <t>100S/850E</t>
  </si>
  <si>
    <t>100S/E. CO. LINE</t>
  </si>
  <si>
    <t>BR42</t>
  </si>
  <si>
    <t>100S/JACOBI RD</t>
  </si>
  <si>
    <t>JACOBI Iroad</t>
  </si>
  <si>
    <t>SC49</t>
  </si>
  <si>
    <t>100S/MERIDIAN RD</t>
  </si>
  <si>
    <t>100W/125W</t>
  </si>
  <si>
    <t>BW38</t>
  </si>
  <si>
    <t>100W/200N</t>
  </si>
  <si>
    <t>200N</t>
  </si>
  <si>
    <t>C53</t>
  </si>
  <si>
    <t>100W/300N</t>
  </si>
  <si>
    <t>SR70</t>
  </si>
  <si>
    <t>300N</t>
  </si>
  <si>
    <t>C55</t>
  </si>
  <si>
    <t>100W/400N</t>
  </si>
  <si>
    <t>100W/400S</t>
  </si>
  <si>
    <t>BW37</t>
  </si>
  <si>
    <t>100W/500S</t>
  </si>
  <si>
    <t>SR52</t>
  </si>
  <si>
    <t>BW35</t>
  </si>
  <si>
    <t>100W/I70</t>
  </si>
  <si>
    <t>I70</t>
  </si>
  <si>
    <t>C54</t>
  </si>
  <si>
    <t>100W/US52</t>
  </si>
  <si>
    <t>US52</t>
  </si>
  <si>
    <t>600S</t>
  </si>
  <si>
    <t>BW34</t>
  </si>
  <si>
    <t>1025E/700N</t>
  </si>
  <si>
    <t>700N</t>
  </si>
  <si>
    <t>1025E</t>
  </si>
  <si>
    <t>1050E/150N</t>
  </si>
  <si>
    <t>25N</t>
  </si>
  <si>
    <t>150N</t>
  </si>
  <si>
    <t>J89</t>
  </si>
  <si>
    <t>1050E/200N</t>
  </si>
  <si>
    <t>J90</t>
  </si>
  <si>
    <t>1050E/250N</t>
  </si>
  <si>
    <t>250N</t>
  </si>
  <si>
    <t>J91</t>
  </si>
  <si>
    <t>1050E/25N</t>
  </si>
  <si>
    <t>SR40</t>
  </si>
  <si>
    <t>J88</t>
  </si>
  <si>
    <t>1050E/325N</t>
  </si>
  <si>
    <t>325N</t>
  </si>
  <si>
    <t>J92</t>
  </si>
  <si>
    <t>1050E/350N</t>
  </si>
  <si>
    <t>J93</t>
  </si>
  <si>
    <t>1050E/450N</t>
  </si>
  <si>
    <t>450N</t>
  </si>
  <si>
    <t>J94</t>
  </si>
  <si>
    <t>1050E/500N</t>
  </si>
  <si>
    <t>J95</t>
  </si>
  <si>
    <t>1050E/550N</t>
  </si>
  <si>
    <t>J96</t>
  </si>
  <si>
    <t>1050E/650N</t>
  </si>
  <si>
    <t>TWP. LINE</t>
  </si>
  <si>
    <t>B71</t>
  </si>
  <si>
    <t>1050E/N. TWP LINE</t>
  </si>
  <si>
    <t>J97</t>
  </si>
  <si>
    <t>1050N/50W</t>
  </si>
  <si>
    <t>V45</t>
  </si>
  <si>
    <t>1050N</t>
  </si>
  <si>
    <t>1050N/FORT.LIM W</t>
  </si>
  <si>
    <t>SR238</t>
  </si>
  <si>
    <t>HANCOCK CO. LINE</t>
  </si>
  <si>
    <t>V44</t>
  </si>
  <si>
    <t>1100E/1000N</t>
  </si>
  <si>
    <t>1100E/1100N</t>
  </si>
  <si>
    <t>B73</t>
  </si>
  <si>
    <t>1125E/650N</t>
  </si>
  <si>
    <t>CO. LINE</t>
  </si>
  <si>
    <t>B74</t>
  </si>
  <si>
    <t>1125E</t>
  </si>
  <si>
    <t>1125E/700N</t>
  </si>
  <si>
    <t>B75</t>
  </si>
  <si>
    <t>1125E/900N</t>
  </si>
  <si>
    <t>B77</t>
  </si>
  <si>
    <t>1125E/SR234</t>
  </si>
  <si>
    <t>B76</t>
  </si>
  <si>
    <t>1175E PENN. ST/END</t>
  </si>
  <si>
    <t>RAILROAD ST.</t>
  </si>
  <si>
    <t>1175E (PENN ST)</t>
  </si>
  <si>
    <t>1200E/1000N</t>
  </si>
  <si>
    <t>B82</t>
  </si>
  <si>
    <t>1200E/1100N</t>
  </si>
  <si>
    <t>B83</t>
  </si>
  <si>
    <t>1200E/650N</t>
  </si>
  <si>
    <t>CO.LINE</t>
  </si>
  <si>
    <t>B78</t>
  </si>
  <si>
    <t>1200E/700N</t>
  </si>
  <si>
    <t>B79</t>
  </si>
  <si>
    <t>1200E/900N</t>
  </si>
  <si>
    <t>B81</t>
  </si>
  <si>
    <t>1200E/SR234</t>
  </si>
  <si>
    <t>B80</t>
  </si>
  <si>
    <t>125W/1000N</t>
  </si>
  <si>
    <t>950N</t>
  </si>
  <si>
    <t>V91</t>
  </si>
  <si>
    <t>125W/300N</t>
  </si>
  <si>
    <t>125W/300S</t>
  </si>
  <si>
    <t>BW33</t>
  </si>
  <si>
    <t>C51</t>
  </si>
  <si>
    <t>150N/1050E</t>
  </si>
  <si>
    <t>1050E</t>
  </si>
  <si>
    <t>150N/400W</t>
  </si>
  <si>
    <t>BC10</t>
  </si>
  <si>
    <t>150N/700W</t>
  </si>
  <si>
    <t>BUCK CREEK RD.</t>
  </si>
  <si>
    <t>150N/800E</t>
  </si>
  <si>
    <t>150N/E. CO. LINE</t>
  </si>
  <si>
    <t>E.CO.LINE</t>
  </si>
  <si>
    <t>150S/900E</t>
  </si>
  <si>
    <t>900E</t>
  </si>
  <si>
    <t>BR35</t>
  </si>
  <si>
    <t>150S</t>
  </si>
  <si>
    <t>150W/100N</t>
  </si>
  <si>
    <t>C50</t>
  </si>
  <si>
    <t>150W/100S</t>
  </si>
  <si>
    <t>C48</t>
  </si>
  <si>
    <t>150W/200S</t>
  </si>
  <si>
    <t>BW32</t>
  </si>
  <si>
    <t>150W/US40</t>
  </si>
  <si>
    <t>US40</t>
  </si>
  <si>
    <t>C49</t>
  </si>
  <si>
    <t>150W/US52</t>
  </si>
  <si>
    <t>BW31</t>
  </si>
  <si>
    <t>200E/500S</t>
  </si>
  <si>
    <t>BW50</t>
  </si>
  <si>
    <t>200E</t>
  </si>
  <si>
    <t>200N/100W</t>
  </si>
  <si>
    <t>C15</t>
  </si>
  <si>
    <t>200N/200W</t>
  </si>
  <si>
    <t>BC18</t>
  </si>
  <si>
    <t>200N/300W</t>
  </si>
  <si>
    <t>BC17</t>
  </si>
  <si>
    <t>200N/350W</t>
  </si>
  <si>
    <t>BC16</t>
  </si>
  <si>
    <t>200N/400E</t>
  </si>
  <si>
    <t>GR. CITY LIMITS</t>
  </si>
  <si>
    <t>C17</t>
  </si>
  <si>
    <t>200N/400W</t>
  </si>
  <si>
    <t>BC15</t>
  </si>
  <si>
    <t>200N/500E</t>
  </si>
  <si>
    <t>C18</t>
  </si>
  <si>
    <t>200N/525W</t>
  </si>
  <si>
    <t>BC14</t>
  </si>
  <si>
    <t>200N/600E</t>
  </si>
  <si>
    <t>J10</t>
  </si>
  <si>
    <t>200N/600W</t>
  </si>
  <si>
    <t>BC13</t>
  </si>
  <si>
    <t>200N/700E</t>
  </si>
  <si>
    <t>J11</t>
  </si>
  <si>
    <t>200N/700W</t>
  </si>
  <si>
    <t>BC12</t>
  </si>
  <si>
    <t>200N/BUCK CREEK RD</t>
  </si>
  <si>
    <t>800W</t>
  </si>
  <si>
    <t>BC11</t>
  </si>
  <si>
    <t>200N/E. CO. LINE</t>
  </si>
  <si>
    <t>J12</t>
  </si>
  <si>
    <t>200S/100E</t>
  </si>
  <si>
    <t>200S/150W</t>
  </si>
  <si>
    <t>200S/200W</t>
  </si>
  <si>
    <t>SC46</t>
  </si>
  <si>
    <t>200S/250W</t>
  </si>
  <si>
    <t>SC45</t>
  </si>
  <si>
    <t>200S/300W</t>
  </si>
  <si>
    <t>SC44</t>
  </si>
  <si>
    <t>200S/400E</t>
  </si>
  <si>
    <t>200S/400W</t>
  </si>
  <si>
    <t>425W</t>
  </si>
  <si>
    <t>SC42</t>
  </si>
  <si>
    <t>200S/425W</t>
  </si>
  <si>
    <t>SC41</t>
  </si>
  <si>
    <t>200S/500E</t>
  </si>
  <si>
    <t>BR28</t>
  </si>
  <si>
    <t>200S/500W</t>
  </si>
  <si>
    <t>SC40</t>
  </si>
  <si>
    <t>200S/600E</t>
  </si>
  <si>
    <t>BR29</t>
  </si>
  <si>
    <t>200S/600W</t>
  </si>
  <si>
    <t>SC39</t>
  </si>
  <si>
    <t>200S/675E</t>
  </si>
  <si>
    <t>BR30</t>
  </si>
  <si>
    <t>200S/700E</t>
  </si>
  <si>
    <t>BR31</t>
  </si>
  <si>
    <t>200S/700W</t>
  </si>
  <si>
    <t>SC38</t>
  </si>
  <si>
    <t>200S/750E</t>
  </si>
  <si>
    <t>BR32</t>
  </si>
  <si>
    <t>200S/800E</t>
  </si>
  <si>
    <t>BR33</t>
  </si>
  <si>
    <t>200S/900E</t>
  </si>
  <si>
    <t>BR34</t>
  </si>
  <si>
    <t>200S/JACOBI RD</t>
  </si>
  <si>
    <t>SC43</t>
  </si>
  <si>
    <t>200S/MERIDIAN RD</t>
  </si>
  <si>
    <t>200S/SR9</t>
  </si>
  <si>
    <t>200W/100N</t>
  </si>
  <si>
    <t>BC95</t>
  </si>
  <si>
    <t>200W/100S</t>
  </si>
  <si>
    <t>SC108</t>
  </si>
  <si>
    <t>200W/200N</t>
  </si>
  <si>
    <t>BC94</t>
  </si>
  <si>
    <t>200W/200S</t>
  </si>
  <si>
    <t>SC109</t>
  </si>
  <si>
    <t>200W/300N</t>
  </si>
  <si>
    <t>BC93</t>
  </si>
  <si>
    <t>200W/300S</t>
  </si>
  <si>
    <t>SC110</t>
  </si>
  <si>
    <t>200W/400N</t>
  </si>
  <si>
    <t>BC92</t>
  </si>
  <si>
    <t>200W/400S</t>
  </si>
  <si>
    <t>FURRY ROAD</t>
  </si>
  <si>
    <t>SC111</t>
  </si>
  <si>
    <t>200W/500N</t>
  </si>
  <si>
    <t>BC91</t>
  </si>
  <si>
    <t>200W/600N</t>
  </si>
  <si>
    <t>BC90</t>
  </si>
  <si>
    <t>200W/700N</t>
  </si>
  <si>
    <t>V80</t>
  </si>
  <si>
    <t>925N</t>
  </si>
  <si>
    <t>FORTVILLE PK.</t>
  </si>
  <si>
    <t>200W/FURRY RD</t>
  </si>
  <si>
    <t>SC112</t>
  </si>
  <si>
    <t>200W/SR234</t>
  </si>
  <si>
    <t>V81</t>
  </si>
  <si>
    <t>200W/US40</t>
  </si>
  <si>
    <t>SC107</t>
  </si>
  <si>
    <t>225N/END</t>
  </si>
  <si>
    <t>225N</t>
  </si>
  <si>
    <t>250E/625N</t>
  </si>
  <si>
    <t>625N</t>
  </si>
  <si>
    <t>G46</t>
  </si>
  <si>
    <t>250E</t>
  </si>
  <si>
    <t>250E/700N</t>
  </si>
  <si>
    <t>G47</t>
  </si>
  <si>
    <t>250E/EDEN RD</t>
  </si>
  <si>
    <t>EDEN RD.</t>
  </si>
  <si>
    <t>G49</t>
  </si>
  <si>
    <t>250E/SR234</t>
  </si>
  <si>
    <t>G48</t>
  </si>
  <si>
    <t>250N/1050E</t>
  </si>
  <si>
    <t>J18</t>
  </si>
  <si>
    <t>250N/600E</t>
  </si>
  <si>
    <t>J13</t>
  </si>
  <si>
    <t>250N/700E</t>
  </si>
  <si>
    <t>J14</t>
  </si>
  <si>
    <t>250N/800E</t>
  </si>
  <si>
    <t>J15</t>
  </si>
  <si>
    <t>250N/850E</t>
  </si>
  <si>
    <t>J16</t>
  </si>
  <si>
    <t>250N/GRANDISON RD</t>
  </si>
  <si>
    <t>J17</t>
  </si>
  <si>
    <t>250S/700E</t>
  </si>
  <si>
    <t>BR27</t>
  </si>
  <si>
    <t>250S</t>
  </si>
  <si>
    <t>250W/100S</t>
  </si>
  <si>
    <t>SC105</t>
  </si>
  <si>
    <t>250W/200S</t>
  </si>
  <si>
    <t>SC106</t>
  </si>
  <si>
    <t>250W/US40</t>
  </si>
  <si>
    <t>SC104</t>
  </si>
  <si>
    <t>25N/1050E</t>
  </si>
  <si>
    <t>25W/500N</t>
  </si>
  <si>
    <t>C58</t>
  </si>
  <si>
    <t>25W</t>
  </si>
  <si>
    <t>25W/600N</t>
  </si>
  <si>
    <t>275E/300S</t>
  </si>
  <si>
    <t>350S</t>
  </si>
  <si>
    <t>BW51</t>
  </si>
  <si>
    <t>275E</t>
  </si>
  <si>
    <t>275E/STEELE FORD</t>
  </si>
  <si>
    <t>STEELEFORD RD.</t>
  </si>
  <si>
    <t>BW52</t>
  </si>
  <si>
    <t>300E/300N</t>
  </si>
  <si>
    <t>C69</t>
  </si>
  <si>
    <t>300E</t>
  </si>
  <si>
    <t>300E/350S</t>
  </si>
  <si>
    <t>BW55</t>
  </si>
  <si>
    <t>300E/400N</t>
  </si>
  <si>
    <t>C70</t>
  </si>
  <si>
    <t>300E/400S</t>
  </si>
  <si>
    <t>BW54</t>
  </si>
  <si>
    <t>300E/500N</t>
  </si>
  <si>
    <t>C71</t>
  </si>
  <si>
    <t>300E/500S</t>
  </si>
  <si>
    <t>BW53</t>
  </si>
  <si>
    <t>300E/600N</t>
  </si>
  <si>
    <t>300E/625N</t>
  </si>
  <si>
    <t>G52</t>
  </si>
  <si>
    <t>300E/700N</t>
  </si>
  <si>
    <t>G53</t>
  </si>
  <si>
    <t>300E/I70</t>
  </si>
  <si>
    <t>C68</t>
  </si>
  <si>
    <t>300N/100W</t>
  </si>
  <si>
    <t>C20</t>
  </si>
  <si>
    <t>300N/125W</t>
  </si>
  <si>
    <t>C19</t>
  </si>
  <si>
    <t>300N/200W</t>
  </si>
  <si>
    <t>BC25</t>
  </si>
  <si>
    <t>300N/300E</t>
  </si>
  <si>
    <t>GREENFLD.CORP.</t>
  </si>
  <si>
    <t>300 E</t>
  </si>
  <si>
    <t>C24</t>
  </si>
  <si>
    <t>300N/300W</t>
  </si>
  <si>
    <t>BC24</t>
  </si>
  <si>
    <t>300N/375E</t>
  </si>
  <si>
    <t>375E</t>
  </si>
  <si>
    <t>C25</t>
  </si>
  <si>
    <t>300N/400E</t>
  </si>
  <si>
    <t>C26</t>
  </si>
  <si>
    <t>300N/400W</t>
  </si>
  <si>
    <t>BC23</t>
  </si>
  <si>
    <t>300N/450E</t>
  </si>
  <si>
    <t>450E</t>
  </si>
  <si>
    <t>C27</t>
  </si>
  <si>
    <t>300N/500W</t>
  </si>
  <si>
    <t>BC22</t>
  </si>
  <si>
    <t>300N/50E</t>
  </si>
  <si>
    <t>50E</t>
  </si>
  <si>
    <t>C22</t>
  </si>
  <si>
    <t>300N/525E</t>
  </si>
  <si>
    <t>525E</t>
  </si>
  <si>
    <t>C28</t>
  </si>
  <si>
    <t>300N/600E</t>
  </si>
  <si>
    <t>J20</t>
  </si>
  <si>
    <t>300N/600W</t>
  </si>
  <si>
    <t>BC21</t>
  </si>
  <si>
    <t>300N/700E</t>
  </si>
  <si>
    <t>J21</t>
  </si>
  <si>
    <t>300N/700W</t>
  </si>
  <si>
    <t>BC20</t>
  </si>
  <si>
    <t>300N/800E</t>
  </si>
  <si>
    <t>J22</t>
  </si>
  <si>
    <t>300N/850E</t>
  </si>
  <si>
    <t>J23</t>
  </si>
  <si>
    <t>300N/FORTVILLE PK</t>
  </si>
  <si>
    <t>C21</t>
  </si>
  <si>
    <t>300N/GRANDISON RD</t>
  </si>
  <si>
    <t>J24</t>
  </si>
  <si>
    <t>300N/SR9</t>
  </si>
  <si>
    <t>C23</t>
  </si>
  <si>
    <t>300S/100E</t>
  </si>
  <si>
    <t>BW26</t>
  </si>
  <si>
    <t>300S/125W</t>
  </si>
  <si>
    <t>BW23</t>
  </si>
  <si>
    <t>300S/150W</t>
  </si>
  <si>
    <t>BW22</t>
  </si>
  <si>
    <t>300S/200W</t>
  </si>
  <si>
    <t>SC37</t>
  </si>
  <si>
    <t>300S/250W</t>
  </si>
  <si>
    <t>SC36</t>
  </si>
  <si>
    <t>300S/275E</t>
  </si>
  <si>
    <t>BW28</t>
  </si>
  <si>
    <t>300S/300W</t>
  </si>
  <si>
    <t>SC35</t>
  </si>
  <si>
    <t>300S/400E</t>
  </si>
  <si>
    <t>BW30</t>
  </si>
  <si>
    <t>300S/400W</t>
  </si>
  <si>
    <t>SC33</t>
  </si>
  <si>
    <t>300S/425W</t>
  </si>
  <si>
    <t>450W</t>
  </si>
  <si>
    <t>SC32</t>
  </si>
  <si>
    <t>300S/450W</t>
  </si>
  <si>
    <t>SC31</t>
  </si>
  <si>
    <t>300S/500E</t>
  </si>
  <si>
    <t>BR21</t>
  </si>
  <si>
    <t>300S/500W</t>
  </si>
  <si>
    <t>SC30</t>
  </si>
  <si>
    <t>300S/50W</t>
  </si>
  <si>
    <t>BW24</t>
  </si>
  <si>
    <t>300S/600E</t>
  </si>
  <si>
    <t>BR22</t>
  </si>
  <si>
    <t>300S/600W</t>
  </si>
  <si>
    <t>SC29</t>
  </si>
  <si>
    <t>300S/700E</t>
  </si>
  <si>
    <t>BR23</t>
  </si>
  <si>
    <t>300S/700W</t>
  </si>
  <si>
    <t>SC28</t>
  </si>
  <si>
    <t>300S/800E</t>
  </si>
  <si>
    <t>BINFORD ROAD</t>
  </si>
  <si>
    <t>BR25</t>
  </si>
  <si>
    <t>300S/900E</t>
  </si>
  <si>
    <t>BR26</t>
  </si>
  <si>
    <t>300S/BINFORD RD</t>
  </si>
  <si>
    <t>BR24</t>
  </si>
  <si>
    <t>300S/JACOBI RD</t>
  </si>
  <si>
    <t>SC34</t>
  </si>
  <si>
    <t>300S/MERIDIAN RD</t>
  </si>
  <si>
    <t>BW25</t>
  </si>
  <si>
    <t>300S/MORRISTOWN PK</t>
  </si>
  <si>
    <t>BW29</t>
  </si>
  <si>
    <t>300S/SR9</t>
  </si>
  <si>
    <t>BW27</t>
  </si>
  <si>
    <t>300W/100N</t>
  </si>
  <si>
    <t>BC89</t>
  </si>
  <si>
    <t>300W/200N</t>
  </si>
  <si>
    <t>BC88</t>
  </si>
  <si>
    <t>300W/200S</t>
  </si>
  <si>
    <t>SC99</t>
  </si>
  <si>
    <t>300W/300N</t>
  </si>
  <si>
    <t>BC86</t>
  </si>
  <si>
    <t>300W/300S</t>
  </si>
  <si>
    <t>300W/400N</t>
  </si>
  <si>
    <t>BC85</t>
  </si>
  <si>
    <t>300W/500N</t>
  </si>
  <si>
    <t>BC84</t>
  </si>
  <si>
    <t>300W/600N</t>
  </si>
  <si>
    <t>BC83</t>
  </si>
  <si>
    <t>300W/700N</t>
  </si>
  <si>
    <t>V75</t>
  </si>
  <si>
    <t>300W/900N</t>
  </si>
  <si>
    <t>V77</t>
  </si>
  <si>
    <t>300W/925N</t>
  </si>
  <si>
    <t>V78</t>
  </si>
  <si>
    <t>300W/FAUT RD</t>
  </si>
  <si>
    <t>FAUT ROAD</t>
  </si>
  <si>
    <t>SC103</t>
  </si>
  <si>
    <t>300W/I70</t>
  </si>
  <si>
    <t>BC87</t>
  </si>
  <si>
    <t>300W/SR234</t>
  </si>
  <si>
    <t>V76</t>
  </si>
  <si>
    <t>300W/SR67</t>
  </si>
  <si>
    <t>SR67</t>
  </si>
  <si>
    <t>V79</t>
  </si>
  <si>
    <t>300W/US40</t>
  </si>
  <si>
    <t>300W/US52</t>
  </si>
  <si>
    <t>SC102</t>
  </si>
  <si>
    <t>325N/E. CO. LINE</t>
  </si>
  <si>
    <t>J25</t>
  </si>
  <si>
    <t>350N/1000E</t>
  </si>
  <si>
    <t>J27</t>
  </si>
  <si>
    <t>350N/1050E</t>
  </si>
  <si>
    <t>J28</t>
  </si>
  <si>
    <t>350N/600W</t>
  </si>
  <si>
    <t>BC28</t>
  </si>
  <si>
    <t>350N/700W</t>
  </si>
  <si>
    <t>BC27</t>
  </si>
  <si>
    <t>350N/GRANDISON RD</t>
  </si>
  <si>
    <t>J26</t>
  </si>
  <si>
    <t>350S/300E</t>
  </si>
  <si>
    <t>BW21</t>
  </si>
  <si>
    <t>350W/100N</t>
  </si>
  <si>
    <t>US 40</t>
  </si>
  <si>
    <t>BC82</t>
  </si>
  <si>
    <t>350W/200N</t>
  </si>
  <si>
    <t>BC81</t>
  </si>
  <si>
    <t>350W/700N</t>
  </si>
  <si>
    <t>V74</t>
  </si>
  <si>
    <t>350W/US40</t>
  </si>
  <si>
    <t>375E/400N</t>
  </si>
  <si>
    <t>C73</t>
  </si>
  <si>
    <t>375N/100W</t>
  </si>
  <si>
    <t>Fortville Pike</t>
  </si>
  <si>
    <t>C29</t>
  </si>
  <si>
    <t>375N</t>
  </si>
  <si>
    <t>400E/1000N</t>
  </si>
  <si>
    <t>400E/100S</t>
  </si>
  <si>
    <t>C74</t>
  </si>
  <si>
    <t>400E/1100N</t>
  </si>
  <si>
    <t>G63</t>
  </si>
  <si>
    <t>400E/200N</t>
  </si>
  <si>
    <t>C76</t>
  </si>
  <si>
    <t>400E/200S</t>
  </si>
  <si>
    <t>BW58</t>
  </si>
  <si>
    <t>400E/300N</t>
  </si>
  <si>
    <t>C77</t>
  </si>
  <si>
    <t>400E/400N</t>
  </si>
  <si>
    <t>C78</t>
  </si>
  <si>
    <t>400E/500N</t>
  </si>
  <si>
    <t>C79</t>
  </si>
  <si>
    <t>400E/500S</t>
  </si>
  <si>
    <t>BW57</t>
  </si>
  <si>
    <t>400E/600N</t>
  </si>
  <si>
    <t>C80</t>
  </si>
  <si>
    <t>400E/650N</t>
  </si>
  <si>
    <t>400E/700N</t>
  </si>
  <si>
    <t>G59</t>
  </si>
  <si>
    <t>400E/900N</t>
  </si>
  <si>
    <t>G61</t>
  </si>
  <si>
    <t>400E/SR234</t>
  </si>
  <si>
    <t>G60</t>
  </si>
  <si>
    <t>400E/US40</t>
  </si>
  <si>
    <t>C75</t>
  </si>
  <si>
    <t>400N/1000E</t>
  </si>
  <si>
    <t>J35</t>
  </si>
  <si>
    <t>400N/100W</t>
  </si>
  <si>
    <t>C31</t>
  </si>
  <si>
    <t>400N/200W</t>
  </si>
  <si>
    <t>BC32</t>
  </si>
  <si>
    <t>400N/300E</t>
  </si>
  <si>
    <t>C35</t>
  </si>
  <si>
    <t>400N/300W</t>
  </si>
  <si>
    <t>BC31</t>
  </si>
  <si>
    <t>400N/375E</t>
  </si>
  <si>
    <t>C36</t>
  </si>
  <si>
    <t>400N/400E</t>
  </si>
  <si>
    <t>C37</t>
  </si>
  <si>
    <t>400N/400W</t>
  </si>
  <si>
    <t>400N/450E</t>
  </si>
  <si>
    <t>C38</t>
  </si>
  <si>
    <t>400N/50E</t>
  </si>
  <si>
    <t>C32</t>
  </si>
  <si>
    <t>400N/525E</t>
  </si>
  <si>
    <t>C39</t>
  </si>
  <si>
    <t>400N/600E</t>
  </si>
  <si>
    <t>J30</t>
  </si>
  <si>
    <t>400N/600W</t>
  </si>
  <si>
    <t>BC30</t>
  </si>
  <si>
    <t>400N/700E</t>
  </si>
  <si>
    <t>J31</t>
  </si>
  <si>
    <t>400N/800E</t>
  </si>
  <si>
    <t>J32</t>
  </si>
  <si>
    <t>400N/850E</t>
  </si>
  <si>
    <t>J33</t>
  </si>
  <si>
    <t>400N/900E</t>
  </si>
  <si>
    <t>&lt;Null&gt;</t>
  </si>
  <si>
    <t>850 E</t>
  </si>
  <si>
    <t>900 E</t>
  </si>
  <si>
    <t>J34</t>
  </si>
  <si>
    <t>400N/SR9</t>
  </si>
  <si>
    <t>C34</t>
  </si>
  <si>
    <t>400S/100E</t>
  </si>
  <si>
    <t>BW16</t>
  </si>
  <si>
    <t>400S/100W</t>
  </si>
  <si>
    <t>BW13</t>
  </si>
  <si>
    <t>400S/200W</t>
  </si>
  <si>
    <t>SC27</t>
  </si>
  <si>
    <t>400S/300E</t>
  </si>
  <si>
    <t>BW18</t>
  </si>
  <si>
    <t>400S/300W</t>
  </si>
  <si>
    <t>SC26</t>
  </si>
  <si>
    <t>400S/400W</t>
  </si>
  <si>
    <t>SC25</t>
  </si>
  <si>
    <t>400S/500E</t>
  </si>
  <si>
    <t>BR15</t>
  </si>
  <si>
    <t>400S/50W</t>
  </si>
  <si>
    <t>BW14</t>
  </si>
  <si>
    <t>400S/600E</t>
  </si>
  <si>
    <t>BR16</t>
  </si>
  <si>
    <t>400S/700E</t>
  </si>
  <si>
    <t>BR17</t>
  </si>
  <si>
    <t>400S/800E</t>
  </si>
  <si>
    <t>BR18</t>
  </si>
  <si>
    <t>400S/900E</t>
  </si>
  <si>
    <t>BR20</t>
  </si>
  <si>
    <t>400S/BINFORD RD</t>
  </si>
  <si>
    <t>BR19</t>
  </si>
  <si>
    <t>400S/MERIDIAN RD</t>
  </si>
  <si>
    <t>BW15</t>
  </si>
  <si>
    <t>400S/MORRISTOWN PK</t>
  </si>
  <si>
    <t>BW19</t>
  </si>
  <si>
    <t>400S/SR9</t>
  </si>
  <si>
    <t>BW17</t>
  </si>
  <si>
    <t>400W/1000N</t>
  </si>
  <si>
    <t>V73</t>
  </si>
  <si>
    <t>400W/100N</t>
  </si>
  <si>
    <t>S.TWP.LINE</t>
  </si>
  <si>
    <t>BC80</t>
  </si>
  <si>
    <t>400W/100S</t>
  </si>
  <si>
    <t>SC92</t>
  </si>
  <si>
    <t>400W/150N</t>
  </si>
  <si>
    <t>BC79</t>
  </si>
  <si>
    <t>400W/200N</t>
  </si>
  <si>
    <t>BC78</t>
  </si>
  <si>
    <t>400W/300N</t>
  </si>
  <si>
    <t>P</t>
  </si>
  <si>
    <t>BC77</t>
  </si>
  <si>
    <t>400W/300S</t>
  </si>
  <si>
    <t>SC93</t>
  </si>
  <si>
    <t>400W/400N</t>
  </si>
  <si>
    <t>BC76</t>
  </si>
  <si>
    <t>400W/400S</t>
  </si>
  <si>
    <t>SC94</t>
  </si>
  <si>
    <t>400W/500N</t>
  </si>
  <si>
    <t>BC75</t>
  </si>
  <si>
    <t>400W/600N</t>
  </si>
  <si>
    <t>BC74</t>
  </si>
  <si>
    <t>400W/700N</t>
  </si>
  <si>
    <t>V69</t>
  </si>
  <si>
    <t>400W/900N</t>
  </si>
  <si>
    <t>V71</t>
  </si>
  <si>
    <t>400W/FAUT RD</t>
  </si>
  <si>
    <t>SC96</t>
  </si>
  <si>
    <t>400W/SR234</t>
  </si>
  <si>
    <t>V70</t>
  </si>
  <si>
    <t>400W/SR67</t>
  </si>
  <si>
    <t>V72</t>
  </si>
  <si>
    <t>400W/US40</t>
  </si>
  <si>
    <t>SC91</t>
  </si>
  <si>
    <t>400W/US52</t>
  </si>
  <si>
    <t>SC95</t>
  </si>
  <si>
    <t>425W/200S</t>
  </si>
  <si>
    <t>SC90</t>
  </si>
  <si>
    <t>450E/400N</t>
  </si>
  <si>
    <t>C81</t>
  </si>
  <si>
    <t>450N/E. CO. LINE</t>
  </si>
  <si>
    <t>J36</t>
  </si>
  <si>
    <t>450S/800E</t>
  </si>
  <si>
    <t>BR12</t>
  </si>
  <si>
    <t>450S</t>
  </si>
  <si>
    <t>450S/900E</t>
  </si>
  <si>
    <t>BR13</t>
  </si>
  <si>
    <t>450W/300S</t>
  </si>
  <si>
    <t>SC87</t>
  </si>
  <si>
    <t>450W/S. NEW PAL</t>
  </si>
  <si>
    <t>NEW PAL</t>
  </si>
  <si>
    <t>SC89</t>
  </si>
  <si>
    <t>475W/SR234</t>
  </si>
  <si>
    <t>V68</t>
  </si>
  <si>
    <t>475W</t>
  </si>
  <si>
    <t>500E/1000N</t>
  </si>
  <si>
    <t>G68</t>
  </si>
  <si>
    <t>500E/100N</t>
  </si>
  <si>
    <t>C83</t>
  </si>
  <si>
    <t>500E/100S</t>
  </si>
  <si>
    <t>BR52</t>
  </si>
  <si>
    <t>500E/1100N</t>
  </si>
  <si>
    <t>G69</t>
  </si>
  <si>
    <t>500E/200N</t>
  </si>
  <si>
    <t>C84</t>
  </si>
  <si>
    <t>500E/200S</t>
  </si>
  <si>
    <t>BR51</t>
  </si>
  <si>
    <t>500E/250N</t>
  </si>
  <si>
    <t>C85</t>
  </si>
  <si>
    <t>500E/300N</t>
  </si>
  <si>
    <t>C87</t>
  </si>
  <si>
    <t>500E/300S</t>
  </si>
  <si>
    <t>BR50</t>
  </si>
  <si>
    <t>500E/400S</t>
  </si>
  <si>
    <t>BR49</t>
  </si>
  <si>
    <t>500E/500S</t>
  </si>
  <si>
    <t>550S</t>
  </si>
  <si>
    <t>BR48</t>
  </si>
  <si>
    <t>500E/550S</t>
  </si>
  <si>
    <t>BR47</t>
  </si>
  <si>
    <t>500E/650N</t>
  </si>
  <si>
    <t>G64</t>
  </si>
  <si>
    <t>500E/700N</t>
  </si>
  <si>
    <t>G65</t>
  </si>
  <si>
    <t>500E/900N</t>
  </si>
  <si>
    <t>G67</t>
  </si>
  <si>
    <t>500E/I70</t>
  </si>
  <si>
    <t>C86</t>
  </si>
  <si>
    <t>500E/N. TWP LINE</t>
  </si>
  <si>
    <t>TWNSP. LINE</t>
  </si>
  <si>
    <t>BR53</t>
  </si>
  <si>
    <t>500E/SR234</t>
  </si>
  <si>
    <t>G66</t>
  </si>
  <si>
    <t>500E/US40</t>
  </si>
  <si>
    <t>C82</t>
  </si>
  <si>
    <t>Airport Road</t>
  </si>
  <si>
    <t>500N/1000E</t>
  </si>
  <si>
    <t>J42</t>
  </si>
  <si>
    <t>500N/1050E</t>
  </si>
  <si>
    <t>J43</t>
  </si>
  <si>
    <t>500N/200W</t>
  </si>
  <si>
    <t>V17</t>
  </si>
  <si>
    <t>500N/25W</t>
  </si>
  <si>
    <t>C41</t>
  </si>
  <si>
    <t>500N/300E</t>
  </si>
  <si>
    <t>C44</t>
  </si>
  <si>
    <t>500N/300W</t>
  </si>
  <si>
    <t>BC38</t>
  </si>
  <si>
    <t>500N/400E</t>
  </si>
  <si>
    <t>C45</t>
  </si>
  <si>
    <t>500N/400W</t>
  </si>
  <si>
    <t>BC37</t>
  </si>
  <si>
    <t>500N/500W</t>
  </si>
  <si>
    <t>BC36</t>
  </si>
  <si>
    <t>500N/50E</t>
  </si>
  <si>
    <t>C42</t>
  </si>
  <si>
    <t>500N/600E</t>
  </si>
  <si>
    <t>C46</t>
  </si>
  <si>
    <t>500N/600W</t>
  </si>
  <si>
    <t>BC35</t>
  </si>
  <si>
    <t>500N/700E</t>
  </si>
  <si>
    <t>J38</t>
  </si>
  <si>
    <t>500N/700W</t>
  </si>
  <si>
    <t>BC34</t>
  </si>
  <si>
    <t>500N/800E</t>
  </si>
  <si>
    <t>J39</t>
  </si>
  <si>
    <t>500N/850E</t>
  </si>
  <si>
    <t>J40</t>
  </si>
  <si>
    <t>500N/900E</t>
  </si>
  <si>
    <t>J41</t>
  </si>
  <si>
    <t>500N/FORTVILLE PK</t>
  </si>
  <si>
    <t>C40</t>
  </si>
  <si>
    <t>500N/SR9</t>
  </si>
  <si>
    <t>C43</t>
  </si>
  <si>
    <t>500S/100E</t>
  </si>
  <si>
    <t>500S/200E</t>
  </si>
  <si>
    <t>500S/300E</t>
  </si>
  <si>
    <t>BW10</t>
  </si>
  <si>
    <t>500S/400E</t>
  </si>
  <si>
    <t>BW11</t>
  </si>
  <si>
    <t>500S/500E</t>
  </si>
  <si>
    <t>500S/500E_A</t>
  </si>
  <si>
    <t>500S/50W</t>
  </si>
  <si>
    <t>500S/575E</t>
  </si>
  <si>
    <t>575E</t>
  </si>
  <si>
    <t>500S/600E</t>
  </si>
  <si>
    <t>BR10</t>
  </si>
  <si>
    <t>500S/900E</t>
  </si>
  <si>
    <t>BR11</t>
  </si>
  <si>
    <t>500S/MERIDIAN RD</t>
  </si>
  <si>
    <t>500S/SR9</t>
  </si>
  <si>
    <t>500N-South To</t>
  </si>
  <si>
    <t>BC97</t>
  </si>
  <si>
    <t>500W/1000N</t>
  </si>
  <si>
    <t>MCCORD RD.</t>
  </si>
  <si>
    <t>V67</t>
  </si>
  <si>
    <t>500W/100S</t>
  </si>
  <si>
    <t>SC82</t>
  </si>
  <si>
    <t>500W/200S</t>
  </si>
  <si>
    <t>SC83</t>
  </si>
  <si>
    <t>500W/300N</t>
  </si>
  <si>
    <t>BC72</t>
  </si>
  <si>
    <t>500W/300S</t>
  </si>
  <si>
    <t>SC84</t>
  </si>
  <si>
    <t>500W/600N</t>
  </si>
  <si>
    <t>BC70</t>
  </si>
  <si>
    <t>500W/700N</t>
  </si>
  <si>
    <t>V61</t>
  </si>
  <si>
    <t>500W/750N</t>
  </si>
  <si>
    <t>750N</t>
  </si>
  <si>
    <t>V62</t>
  </si>
  <si>
    <t>500W/900N</t>
  </si>
  <si>
    <t>V65</t>
  </si>
  <si>
    <t>500W/I70</t>
  </si>
  <si>
    <t>BC73</t>
  </si>
  <si>
    <t>500W/MCCORD RD</t>
  </si>
  <si>
    <t>V66</t>
  </si>
  <si>
    <t>500W/S. NEW PAL</t>
  </si>
  <si>
    <t>SC85</t>
  </si>
  <si>
    <t>500W/SR234</t>
  </si>
  <si>
    <t>V63</t>
  </si>
  <si>
    <t>500W/SR67</t>
  </si>
  <si>
    <t>V64</t>
  </si>
  <si>
    <t>500W/US40</t>
  </si>
  <si>
    <t>SC81</t>
  </si>
  <si>
    <t>50E/400N</t>
  </si>
  <si>
    <t>C64</t>
  </si>
  <si>
    <t>50E/500N</t>
  </si>
  <si>
    <t>C65</t>
  </si>
  <si>
    <t>50E/600N</t>
  </si>
  <si>
    <t>C66</t>
  </si>
  <si>
    <t>50E/700N</t>
  </si>
  <si>
    <t>G41</t>
  </si>
  <si>
    <t>50E/750N</t>
  </si>
  <si>
    <t>G42</t>
  </si>
  <si>
    <t>50E/SR234</t>
  </si>
  <si>
    <t>G43</t>
  </si>
  <si>
    <t>50S/850E</t>
  </si>
  <si>
    <t>BR43</t>
  </si>
  <si>
    <t>50S</t>
  </si>
  <si>
    <t>50S/E. CO. LINE</t>
  </si>
  <si>
    <t>BR44</t>
  </si>
  <si>
    <t>50W/1000N</t>
  </si>
  <si>
    <t>V97</t>
  </si>
  <si>
    <t>50W/1050N</t>
  </si>
  <si>
    <t>V98</t>
  </si>
  <si>
    <t>50W/1100N</t>
  </si>
  <si>
    <t>V99</t>
  </si>
  <si>
    <t>50W/300S</t>
  </si>
  <si>
    <t>BW41</t>
  </si>
  <si>
    <t>50W/400S</t>
  </si>
  <si>
    <t>BW40</t>
  </si>
  <si>
    <t>50W/500S</t>
  </si>
  <si>
    <t>BW39</t>
  </si>
  <si>
    <t>50W/700N</t>
  </si>
  <si>
    <t>V92</t>
  </si>
  <si>
    <t>50W/850N</t>
  </si>
  <si>
    <t>850N</t>
  </si>
  <si>
    <t>V94</t>
  </si>
  <si>
    <t>50W/900N</t>
  </si>
  <si>
    <t>V95</t>
  </si>
  <si>
    <t>50W/950N</t>
  </si>
  <si>
    <t>V96</t>
  </si>
  <si>
    <t>50W/SR234</t>
  </si>
  <si>
    <t>V93</t>
  </si>
  <si>
    <t>525E/400N</t>
  </si>
  <si>
    <t>J46</t>
  </si>
  <si>
    <t>525W/100N</t>
  </si>
  <si>
    <t>BC69</t>
  </si>
  <si>
    <t>525W/200N</t>
  </si>
  <si>
    <t>BC68</t>
  </si>
  <si>
    <t>550E/1000N</t>
  </si>
  <si>
    <t>G70</t>
  </si>
  <si>
    <t>550N/1050E</t>
  </si>
  <si>
    <t>J44</t>
  </si>
  <si>
    <t>550N/E. CO. LINE</t>
  </si>
  <si>
    <t>J45</t>
  </si>
  <si>
    <t>550N/END</t>
  </si>
  <si>
    <t>C47</t>
  </si>
  <si>
    <t>550S/500E</t>
  </si>
  <si>
    <t>550S/800E</t>
  </si>
  <si>
    <t>550S/900E</t>
  </si>
  <si>
    <t>550W/STINEMYER RD</t>
  </si>
  <si>
    <t>STINEMYER RD.</t>
  </si>
  <si>
    <t>SC80</t>
  </si>
  <si>
    <t>550W</t>
  </si>
  <si>
    <t>550W/US52</t>
  </si>
  <si>
    <t>SC79</t>
  </si>
  <si>
    <t>575E/500S</t>
  </si>
  <si>
    <t>BR55</t>
  </si>
  <si>
    <t>575E/550S</t>
  </si>
  <si>
    <t>BR54</t>
  </si>
  <si>
    <t>600E/1000N</t>
  </si>
  <si>
    <t>G75</t>
  </si>
  <si>
    <t>600E/100N</t>
  </si>
  <si>
    <t>J48</t>
  </si>
  <si>
    <t>600E/100S</t>
  </si>
  <si>
    <t>BR60</t>
  </si>
  <si>
    <t>600E/200N</t>
  </si>
  <si>
    <t>J49</t>
  </si>
  <si>
    <t>600E/200S</t>
  </si>
  <si>
    <t>BR59</t>
  </si>
  <si>
    <t>600E/250N</t>
  </si>
  <si>
    <t>J50</t>
  </si>
  <si>
    <t>600E/250S</t>
  </si>
  <si>
    <t>BR58</t>
  </si>
  <si>
    <t>600E/300N</t>
  </si>
  <si>
    <t>J51</t>
  </si>
  <si>
    <t>600E/300S</t>
  </si>
  <si>
    <t>BR57</t>
  </si>
  <si>
    <t>600E/400N</t>
  </si>
  <si>
    <t>J52</t>
  </si>
  <si>
    <t>600E/400S</t>
  </si>
  <si>
    <t>BR56</t>
  </si>
  <si>
    <t>600E/500N</t>
  </si>
  <si>
    <t>J53</t>
  </si>
  <si>
    <t>600E/600N</t>
  </si>
  <si>
    <t>J54</t>
  </si>
  <si>
    <t>600E/650N</t>
  </si>
  <si>
    <t>G71</t>
  </si>
  <si>
    <t>600E/700N</t>
  </si>
  <si>
    <t>G72</t>
  </si>
  <si>
    <t>600E/900N</t>
  </si>
  <si>
    <t>G74</t>
  </si>
  <si>
    <t>600E/N. TWP LINE</t>
  </si>
  <si>
    <t>BR61</t>
  </si>
  <si>
    <t>600E/SR234</t>
  </si>
  <si>
    <t>G73</t>
  </si>
  <si>
    <t>600E/US40</t>
  </si>
  <si>
    <t>J47</t>
  </si>
  <si>
    <t>600N/200W</t>
  </si>
  <si>
    <t>600N/250E</t>
  </si>
  <si>
    <t>600N/25W</t>
  </si>
  <si>
    <t>V10</t>
  </si>
  <si>
    <t>600N/300E</t>
  </si>
  <si>
    <t>600N/300W</t>
  </si>
  <si>
    <t>600N/350W</t>
  </si>
  <si>
    <t>600N/400E</t>
  </si>
  <si>
    <t>600N/400W</t>
  </si>
  <si>
    <t>600N/500E</t>
  </si>
  <si>
    <t>600N/500W</t>
  </si>
  <si>
    <t>600N/50E</t>
  </si>
  <si>
    <t>600N/50W</t>
  </si>
  <si>
    <t>600N/600E</t>
  </si>
  <si>
    <t>600N/600W</t>
  </si>
  <si>
    <t>600N/700E</t>
  </si>
  <si>
    <t>MAIN ST.</t>
  </si>
  <si>
    <t>600N/800E</t>
  </si>
  <si>
    <t>600N/850E</t>
  </si>
  <si>
    <t>600N/875E</t>
  </si>
  <si>
    <t>875E</t>
  </si>
  <si>
    <t>600N/FORTVILLE PK</t>
  </si>
  <si>
    <t>600N/MAIN ST.</t>
  </si>
  <si>
    <t>600N/SR9</t>
  </si>
  <si>
    <t>600S/100W</t>
  </si>
  <si>
    <t>600S/150W</t>
  </si>
  <si>
    <t>600S/300E</t>
  </si>
  <si>
    <t>600S/300W</t>
  </si>
  <si>
    <t>600S/400E</t>
  </si>
  <si>
    <t>600S/400W</t>
  </si>
  <si>
    <t>600S/450W</t>
  </si>
  <si>
    <t>600S/500E</t>
  </si>
  <si>
    <t>600S/500W</t>
  </si>
  <si>
    <t>600S/550W</t>
  </si>
  <si>
    <t>600S/600W</t>
  </si>
  <si>
    <t>675W</t>
  </si>
  <si>
    <t>600S/675W</t>
  </si>
  <si>
    <t>600S/800E</t>
  </si>
  <si>
    <t>600S/900E</t>
  </si>
  <si>
    <t>600W/100N</t>
  </si>
  <si>
    <t>BC66</t>
  </si>
  <si>
    <t>600W/100S</t>
  </si>
  <si>
    <t>SC74</t>
  </si>
  <si>
    <t>600W/200N</t>
  </si>
  <si>
    <t>BC65</t>
  </si>
  <si>
    <t>600W/200S</t>
  </si>
  <si>
    <t>SC75</t>
  </si>
  <si>
    <t>600W/225N</t>
  </si>
  <si>
    <t>BC64</t>
  </si>
  <si>
    <t>600W/300N</t>
  </si>
  <si>
    <t>BC63</t>
  </si>
  <si>
    <t>600W/300S</t>
  </si>
  <si>
    <t>SC76</t>
  </si>
  <si>
    <t>600W/350N</t>
  </si>
  <si>
    <t>STATION WAY</t>
  </si>
  <si>
    <t>BC62</t>
  </si>
  <si>
    <t>600W/400N</t>
  </si>
  <si>
    <t>BC61</t>
  </si>
  <si>
    <t>600W/500N</t>
  </si>
  <si>
    <t>BC60</t>
  </si>
  <si>
    <t>600W/600N</t>
  </si>
  <si>
    <t>BC59</t>
  </si>
  <si>
    <t>600W/STINEMYER RD</t>
  </si>
  <si>
    <t>SC78</t>
  </si>
  <si>
    <t>600W/US40</t>
  </si>
  <si>
    <t>SC73</t>
  </si>
  <si>
    <t>SC77</t>
  </si>
  <si>
    <t>625E/1100N</t>
  </si>
  <si>
    <t>B40</t>
  </si>
  <si>
    <t>625N/300E</t>
  </si>
  <si>
    <t>650N/1000E</t>
  </si>
  <si>
    <t>B15</t>
  </si>
  <si>
    <t>650N/1050E</t>
  </si>
  <si>
    <t>B16</t>
  </si>
  <si>
    <t>650N/1125E</t>
  </si>
  <si>
    <t>B18</t>
  </si>
  <si>
    <t>650N/1200E</t>
  </si>
  <si>
    <t>B19</t>
  </si>
  <si>
    <t>650N/400E</t>
  </si>
  <si>
    <t>650N/500E</t>
  </si>
  <si>
    <t>G10</t>
  </si>
  <si>
    <t>650N/600E</t>
  </si>
  <si>
    <t>G11</t>
  </si>
  <si>
    <t>650N/600W</t>
  </si>
  <si>
    <t>V11</t>
  </si>
  <si>
    <t>650N/700E</t>
  </si>
  <si>
    <t>650N/725E</t>
  </si>
  <si>
    <t>725E</t>
  </si>
  <si>
    <t>B10</t>
  </si>
  <si>
    <t>650N/800E</t>
  </si>
  <si>
    <t>B11</t>
  </si>
  <si>
    <t>650N/875E</t>
  </si>
  <si>
    <t>650N/900E</t>
  </si>
  <si>
    <t>B14</t>
  </si>
  <si>
    <t>650N/MAIN ST</t>
  </si>
  <si>
    <t>THOMAS RD.</t>
  </si>
  <si>
    <t>650N/SR109</t>
  </si>
  <si>
    <t>B17</t>
  </si>
  <si>
    <t>650N/THOMAS RD.</t>
  </si>
  <si>
    <t>650W/US52</t>
  </si>
  <si>
    <t>SC72</t>
  </si>
  <si>
    <t>650W</t>
  </si>
  <si>
    <t>675E/1000N</t>
  </si>
  <si>
    <t>B45</t>
  </si>
  <si>
    <t>675E/100S</t>
  </si>
  <si>
    <t>BR62</t>
  </si>
  <si>
    <t>675E/900N</t>
  </si>
  <si>
    <t>B43</t>
  </si>
  <si>
    <t>675E/950N</t>
  </si>
  <si>
    <t>B44</t>
  </si>
  <si>
    <t>675E/N. TWP LINE</t>
  </si>
  <si>
    <t>BR63</t>
  </si>
  <si>
    <t>675E/NASHVILLE RD.</t>
  </si>
  <si>
    <t>B46</t>
  </si>
  <si>
    <t>675E/S. TWP LINE</t>
  </si>
  <si>
    <t>J55</t>
  </si>
  <si>
    <t>675W/STINEMYER RD</t>
  </si>
  <si>
    <t>SC71</t>
  </si>
  <si>
    <t>700E/100N</t>
  </si>
  <si>
    <t>J56</t>
  </si>
  <si>
    <t>700E/150N</t>
  </si>
  <si>
    <t>700E/200N</t>
  </si>
  <si>
    <t>J58</t>
  </si>
  <si>
    <t>700E/200S</t>
  </si>
  <si>
    <t>BR67</t>
  </si>
  <si>
    <t>700E/250N</t>
  </si>
  <si>
    <t>700E/250S</t>
  </si>
  <si>
    <t>BR66</t>
  </si>
  <si>
    <t>700E/300S</t>
  </si>
  <si>
    <t>BR65</t>
  </si>
  <si>
    <t>700E/400N</t>
  </si>
  <si>
    <t>J60</t>
  </si>
  <si>
    <t>700E/400S</t>
  </si>
  <si>
    <t>BR64</t>
  </si>
  <si>
    <t>700E/500N</t>
  </si>
  <si>
    <t>J61</t>
  </si>
  <si>
    <t>700E/600N</t>
  </si>
  <si>
    <t>J62</t>
  </si>
  <si>
    <t>700E/650N</t>
  </si>
  <si>
    <t>B47</t>
  </si>
  <si>
    <t>700N/1125E</t>
  </si>
  <si>
    <t>E.CORP, LINE</t>
  </si>
  <si>
    <t>B22</t>
  </si>
  <si>
    <t>700N/1200E</t>
  </si>
  <si>
    <t>B23</t>
  </si>
  <si>
    <t>700N/250E</t>
  </si>
  <si>
    <t>G14</t>
  </si>
  <si>
    <t>700N/300E</t>
  </si>
  <si>
    <t>G15</t>
  </si>
  <si>
    <t>700N/300W</t>
  </si>
  <si>
    <t>V16</t>
  </si>
  <si>
    <t>700N/350W</t>
  </si>
  <si>
    <t>V15</t>
  </si>
  <si>
    <t>700N/400E</t>
  </si>
  <si>
    <t>TROY RD.</t>
  </si>
  <si>
    <t>G17</t>
  </si>
  <si>
    <t>700N/400W</t>
  </si>
  <si>
    <t>V14</t>
  </si>
  <si>
    <t>700N/475W</t>
  </si>
  <si>
    <t>V13</t>
  </si>
  <si>
    <t>700N/500E</t>
  </si>
  <si>
    <t>G18</t>
  </si>
  <si>
    <t>700N/500W</t>
  </si>
  <si>
    <t>V12</t>
  </si>
  <si>
    <t>700N/50E</t>
  </si>
  <si>
    <t>G12</t>
  </si>
  <si>
    <t>700N/50W</t>
  </si>
  <si>
    <t>V19</t>
  </si>
  <si>
    <t>700N/600E</t>
  </si>
  <si>
    <t>G19</t>
  </si>
  <si>
    <t>700N/900E</t>
  </si>
  <si>
    <t>B20</t>
  </si>
  <si>
    <t>700N/FORTVILLE PK</t>
  </si>
  <si>
    <t>V18</t>
  </si>
  <si>
    <t>700N/MERIDIAN RD</t>
  </si>
  <si>
    <t>V20</t>
  </si>
  <si>
    <t>700N/SR109</t>
  </si>
  <si>
    <t>B21</t>
  </si>
  <si>
    <t>700N/SR9</t>
  </si>
  <si>
    <t>G13</t>
  </si>
  <si>
    <t>700N/TROY RD</t>
  </si>
  <si>
    <t>G16</t>
  </si>
  <si>
    <t>700W/100N</t>
  </si>
  <si>
    <t>BC58</t>
  </si>
  <si>
    <t>700W/100S</t>
  </si>
  <si>
    <t>SC67</t>
  </si>
  <si>
    <t>700W/150N</t>
  </si>
  <si>
    <t>BC57</t>
  </si>
  <si>
    <t>700W/200N</t>
  </si>
  <si>
    <t>BC56</t>
  </si>
  <si>
    <t>700W/200S</t>
  </si>
  <si>
    <t>SC68</t>
  </si>
  <si>
    <t>700W/300N</t>
  </si>
  <si>
    <t>BC55</t>
  </si>
  <si>
    <t>700W/300S</t>
  </si>
  <si>
    <t>SC69</t>
  </si>
  <si>
    <t>700W/350N</t>
  </si>
  <si>
    <t>BC54</t>
  </si>
  <si>
    <t>700W/400N</t>
  </si>
  <si>
    <t>BC53</t>
  </si>
  <si>
    <t>700W/500N</t>
  </si>
  <si>
    <t>LANE ROAD</t>
  </si>
  <si>
    <t>BC51</t>
  </si>
  <si>
    <t>700W/600N</t>
  </si>
  <si>
    <t>BC50</t>
  </si>
  <si>
    <t>700W/LANE RD</t>
  </si>
  <si>
    <t>BC52</t>
  </si>
  <si>
    <t>700W/US40</t>
  </si>
  <si>
    <t>SC66</t>
  </si>
  <si>
    <t>700W/US52</t>
  </si>
  <si>
    <t>SC70</t>
  </si>
  <si>
    <t>725E/SR234</t>
  </si>
  <si>
    <t>B48</t>
  </si>
  <si>
    <t>750E/100S</t>
  </si>
  <si>
    <t>BR68</t>
  </si>
  <si>
    <t>750E/900N</t>
  </si>
  <si>
    <t>B49</t>
  </si>
  <si>
    <t>750E/950N</t>
  </si>
  <si>
    <t>B50</t>
  </si>
  <si>
    <t>750N/50E</t>
  </si>
  <si>
    <t>G20</t>
  </si>
  <si>
    <t>750N/SR9</t>
  </si>
  <si>
    <t>G21</t>
  </si>
  <si>
    <t>775E/1000N</t>
  </si>
  <si>
    <t>B54</t>
  </si>
  <si>
    <t>775E/1100N</t>
  </si>
  <si>
    <t>B55</t>
  </si>
  <si>
    <t>775E/50S</t>
  </si>
  <si>
    <t>BR71</t>
  </si>
  <si>
    <t>775E/700N</t>
  </si>
  <si>
    <t>B51</t>
  </si>
  <si>
    <t>775E/NASHVILLE RD.</t>
  </si>
  <si>
    <t>B53</t>
  </si>
  <si>
    <t>775E/SR234</t>
  </si>
  <si>
    <t>B52</t>
  </si>
  <si>
    <t>800E/100N</t>
  </si>
  <si>
    <t>J63</t>
  </si>
  <si>
    <t>800E/150N</t>
  </si>
  <si>
    <t>J64</t>
  </si>
  <si>
    <t>800E/200S</t>
  </si>
  <si>
    <t>BR78</t>
  </si>
  <si>
    <t>800E/250N</t>
  </si>
  <si>
    <t>J65</t>
  </si>
  <si>
    <t>800E/300N</t>
  </si>
  <si>
    <t>800E/300S</t>
  </si>
  <si>
    <t>BINFORD RD.</t>
  </si>
  <si>
    <t>BR77</t>
  </si>
  <si>
    <t>800E/400N</t>
  </si>
  <si>
    <t>J66</t>
  </si>
  <si>
    <t>800E/400S</t>
  </si>
  <si>
    <t>BR75</t>
  </si>
  <si>
    <t>800E/450S</t>
  </si>
  <si>
    <t>BR74</t>
  </si>
  <si>
    <t>800E/500N</t>
  </si>
  <si>
    <t>J67</t>
  </si>
  <si>
    <t>800E/500S</t>
  </si>
  <si>
    <t>BR73</t>
  </si>
  <si>
    <t>800E/550S</t>
  </si>
  <si>
    <t>BR72</t>
  </si>
  <si>
    <t>800E/600N</t>
  </si>
  <si>
    <t>J68</t>
  </si>
  <si>
    <t>800E/650N</t>
  </si>
  <si>
    <t>B56</t>
  </si>
  <si>
    <t>800E/BINFORD RD</t>
  </si>
  <si>
    <t>BR76</t>
  </si>
  <si>
    <t>850E/100S</t>
  </si>
  <si>
    <t>BR79</t>
  </si>
  <si>
    <t>850E/250N</t>
  </si>
  <si>
    <t>J71</t>
  </si>
  <si>
    <t>850E/300N</t>
  </si>
  <si>
    <t>J72</t>
  </si>
  <si>
    <t>850E/350N</t>
  </si>
  <si>
    <t>J73</t>
  </si>
  <si>
    <t>850E/400N</t>
  </si>
  <si>
    <t>850E/500N</t>
  </si>
  <si>
    <t>J75</t>
  </si>
  <si>
    <t>850E/50S</t>
  </si>
  <si>
    <t>BR80</t>
  </si>
  <si>
    <t>850E/600N</t>
  </si>
  <si>
    <t>J76</t>
  </si>
  <si>
    <t>850E/N. TWP LINE</t>
  </si>
  <si>
    <t>BR81</t>
  </si>
  <si>
    <t>850E/US40</t>
  </si>
  <si>
    <t>J69</t>
  </si>
  <si>
    <t>850N/50W</t>
  </si>
  <si>
    <t>V24</t>
  </si>
  <si>
    <t>860N/END</t>
  </si>
  <si>
    <t>875E/650N</t>
  </si>
  <si>
    <t>B57</t>
  </si>
  <si>
    <t>900E/150S</t>
  </si>
  <si>
    <t>BR88</t>
  </si>
  <si>
    <t>900E/200S</t>
  </si>
  <si>
    <t>BR87</t>
  </si>
  <si>
    <t>900E/300S</t>
  </si>
  <si>
    <t>BR86</t>
  </si>
  <si>
    <t>900E/400S</t>
  </si>
  <si>
    <t>BR85</t>
  </si>
  <si>
    <t>900E/450S</t>
  </si>
  <si>
    <t>BR84</t>
  </si>
  <si>
    <t>900E/500N</t>
  </si>
  <si>
    <t>J77</t>
  </si>
  <si>
    <t>900E/500S</t>
  </si>
  <si>
    <t>BR83</t>
  </si>
  <si>
    <t>900E/550S</t>
  </si>
  <si>
    <t>BR82</t>
  </si>
  <si>
    <t>900E/700N</t>
  </si>
  <si>
    <t>B58</t>
  </si>
  <si>
    <t>900E/SR109</t>
  </si>
  <si>
    <t>B60</t>
  </si>
  <si>
    <t>900E/SR234</t>
  </si>
  <si>
    <t>B59</t>
  </si>
  <si>
    <t>900N/1000E</t>
  </si>
  <si>
    <t>B28</t>
  </si>
  <si>
    <t>900N/1100E</t>
  </si>
  <si>
    <t>B29</t>
  </si>
  <si>
    <t>900N/1125E</t>
  </si>
  <si>
    <t>B30</t>
  </si>
  <si>
    <t>900N/1200E</t>
  </si>
  <si>
    <t>B31</t>
  </si>
  <si>
    <t>900N/200W</t>
  </si>
  <si>
    <t>V30</t>
  </si>
  <si>
    <t>900N/300W</t>
  </si>
  <si>
    <t>V29</t>
  </si>
  <si>
    <t>900N/400E</t>
  </si>
  <si>
    <t>G29</t>
  </si>
  <si>
    <t>900N/400W</t>
  </si>
  <si>
    <t>V28</t>
  </si>
  <si>
    <t>900N/500E</t>
  </si>
  <si>
    <t>G30</t>
  </si>
  <si>
    <t>900N/500W</t>
  </si>
  <si>
    <t>V27</t>
  </si>
  <si>
    <t>900N/50W</t>
  </si>
  <si>
    <t>V32</t>
  </si>
  <si>
    <t>900N/550E</t>
  </si>
  <si>
    <t>G31</t>
  </si>
  <si>
    <t>900N/600E</t>
  </si>
  <si>
    <t>G32</t>
  </si>
  <si>
    <t>900N/675E</t>
  </si>
  <si>
    <t>B24</t>
  </si>
  <si>
    <t>900N/750E</t>
  </si>
  <si>
    <t>B25</t>
  </si>
  <si>
    <t>900N/ALFORD RD</t>
  </si>
  <si>
    <t>OLVEY RD.</t>
  </si>
  <si>
    <t>G25</t>
  </si>
  <si>
    <t>900N/BARNARD RD</t>
  </si>
  <si>
    <t>G27</t>
  </si>
  <si>
    <t>900N/FORTVILLE PK</t>
  </si>
  <si>
    <t>FORTVILLE PIKE</t>
  </si>
  <si>
    <t>V31</t>
  </si>
  <si>
    <t>900N/MERIDIAN RD</t>
  </si>
  <si>
    <t>V33</t>
  </si>
  <si>
    <t>900N/NASHVILLE RD</t>
  </si>
  <si>
    <t>B26</t>
  </si>
  <si>
    <t>900N/OLVEY RD</t>
  </si>
  <si>
    <t>G24</t>
  </si>
  <si>
    <t>900N/SR109</t>
  </si>
  <si>
    <t>B27</t>
  </si>
  <si>
    <t>900N/SR9</t>
  </si>
  <si>
    <t>G26</t>
  </si>
  <si>
    <t>900N/TROY RD</t>
  </si>
  <si>
    <t>G28</t>
  </si>
  <si>
    <t>925E/US40</t>
  </si>
  <si>
    <t>J78</t>
  </si>
  <si>
    <t>925E</t>
  </si>
  <si>
    <t>925N/200W</t>
  </si>
  <si>
    <t>V34</t>
  </si>
  <si>
    <t>950N/125W</t>
  </si>
  <si>
    <t>V35</t>
  </si>
  <si>
    <t>950N/50W</t>
  </si>
  <si>
    <t>V36</t>
  </si>
  <si>
    <t>950N/775E</t>
  </si>
  <si>
    <t>B32</t>
  </si>
  <si>
    <t>ACCESS RD/N OF 70</t>
  </si>
  <si>
    <t>ACORN COURT (N)</t>
  </si>
  <si>
    <t>570 N</t>
  </si>
  <si>
    <t>ALEXANDRIA DRIVE</t>
  </si>
  <si>
    <t>200 W</t>
  </si>
  <si>
    <t>50 N</t>
  </si>
  <si>
    <t>ALFORD RD./1000N</t>
  </si>
  <si>
    <t>G44</t>
  </si>
  <si>
    <t>ALFORD RD./1100N</t>
  </si>
  <si>
    <t>G45</t>
  </si>
  <si>
    <t>ALFORD RD./900N</t>
  </si>
  <si>
    <t>ALLEN DRIVE</t>
  </si>
  <si>
    <t>390 W</t>
  </si>
  <si>
    <t>300 S</t>
  </si>
  <si>
    <t>ALLEY(CHAR)/1050E</t>
  </si>
  <si>
    <t>EAST ST</t>
  </si>
  <si>
    <t>ALLEY(CHAR)/CAR RD</t>
  </si>
  <si>
    <t>WEST ST</t>
  </si>
  <si>
    <t>CARTHAGE RD</t>
  </si>
  <si>
    <t>ALLEY(CHAR)/CH PKG</t>
  </si>
  <si>
    <t>CHURCH PARKING LOT</t>
  </si>
  <si>
    <t>ALLEY(CHAR)/EAST_A</t>
  </si>
  <si>
    <t>ALLEY(CHAR)/EAST_B</t>
  </si>
  <si>
    <t>ALLEY(CHAR)/EAST_C</t>
  </si>
  <si>
    <t>MAIN ST</t>
  </si>
  <si>
    <t>ALLEY(CHAR)/EAST_D</t>
  </si>
  <si>
    <t>ALLEY(CHAR)/EASTST</t>
  </si>
  <si>
    <t>ALLEY(EDEN)/EDENRD</t>
  </si>
  <si>
    <t>EDEN RD</t>
  </si>
  <si>
    <t>ALLEY(FIN)/MAIN ST</t>
  </si>
  <si>
    <t>GREENFIELD ST</t>
  </si>
  <si>
    <t>ALLEY(MAX)/EAST ST</t>
  </si>
  <si>
    <t>ALLEY(MAX)/JACKSON</t>
  </si>
  <si>
    <t>JACKSON ST</t>
  </si>
  <si>
    <t>ALLEY(MAX)/JACKtoE</t>
  </si>
  <si>
    <t>ALLEY(MAX)/JEFF ST</t>
  </si>
  <si>
    <t>WASHINGTON ST</t>
  </si>
  <si>
    <t>JEFFERSON ST</t>
  </si>
  <si>
    <t>ALLEY(MAX)/SR9toEN</t>
  </si>
  <si>
    <t>ALLEY(MOH)/NEW ST</t>
  </si>
  <si>
    <t>NEW ST</t>
  </si>
  <si>
    <t>ALLEY(PHILY)/PEARL</t>
  </si>
  <si>
    <t>PEARL ST</t>
  </si>
  <si>
    <t>ALLEY</t>
  </si>
  <si>
    <t>ALLEY(PHILY)/US40</t>
  </si>
  <si>
    <t>WALNUT ST</t>
  </si>
  <si>
    <t>ALLEY(PHILY)/US40A</t>
  </si>
  <si>
    <t>AMELIA DRIVE</t>
  </si>
  <si>
    <t>700 W</t>
  </si>
  <si>
    <t>400 S</t>
  </si>
  <si>
    <t>ANITA LANE</t>
  </si>
  <si>
    <t>ANTON WAY</t>
  </si>
  <si>
    <t>APPLE CAVE COURT</t>
  </si>
  <si>
    <t>450 W</t>
  </si>
  <si>
    <t>APPLEGATE DRIVE(S)</t>
  </si>
  <si>
    <t>500 W</t>
  </si>
  <si>
    <t>375 S</t>
  </si>
  <si>
    <t>ARROWHEAD COURT</t>
  </si>
  <si>
    <t>400 E</t>
  </si>
  <si>
    <t>600 N</t>
  </si>
  <si>
    <t>ARROWHEAD DRIVE</t>
  </si>
  <si>
    <t>ASHLEY DRIVE(S)</t>
  </si>
  <si>
    <t>250 S</t>
  </si>
  <si>
    <t>ATTLEBURG DRIVE(N)</t>
  </si>
  <si>
    <t>660 W</t>
  </si>
  <si>
    <t>BALFER DRIVE EAST</t>
  </si>
  <si>
    <t>100 W</t>
  </si>
  <si>
    <t>BALFER DRIVE WEST</t>
  </si>
  <si>
    <t>BANTON CIRCLE</t>
  </si>
  <si>
    <t>740 W</t>
  </si>
  <si>
    <t>200 S</t>
  </si>
  <si>
    <t>BARNARD RD./1000N</t>
  </si>
  <si>
    <t>G50</t>
  </si>
  <si>
    <t>BARNARD RD./1100N</t>
  </si>
  <si>
    <t>G51</t>
  </si>
  <si>
    <t>BARNWOOD DRIVE(W)</t>
  </si>
  <si>
    <t>BAYWOOD DR (W)</t>
  </si>
  <si>
    <t>570 W</t>
  </si>
  <si>
    <t>STINEMEYER ROAD</t>
  </si>
  <si>
    <t>BEECH TREE (N)</t>
  </si>
  <si>
    <t>BEECHWOOD LANE</t>
  </si>
  <si>
    <t>550 W</t>
  </si>
  <si>
    <t>575 S</t>
  </si>
  <si>
    <t>BENJAMIN PLACE (N)</t>
  </si>
  <si>
    <t>680 W</t>
  </si>
  <si>
    <t>BERLANDER ROAD</t>
  </si>
  <si>
    <t>BINFORD ROAD/300S</t>
  </si>
  <si>
    <t>BR69</t>
  </si>
  <si>
    <t>BINFORD ROAD/800E</t>
  </si>
  <si>
    <t>BR70</t>
  </si>
  <si>
    <t>BIRCH COURT</t>
  </si>
  <si>
    <t>BIRDSONG COURT</t>
  </si>
  <si>
    <t>150 S</t>
  </si>
  <si>
    <t>BIRDSONG DRIVE</t>
  </si>
  <si>
    <t>BITTNER LANE</t>
  </si>
  <si>
    <t>560 S</t>
  </si>
  <si>
    <t>BLACKBERRY CT(S)</t>
  </si>
  <si>
    <t>BLUE BELL DRIVE</t>
  </si>
  <si>
    <t>560 W</t>
  </si>
  <si>
    <t>100 S</t>
  </si>
  <si>
    <t>BLUE SPRUCE CT (N)</t>
  </si>
  <si>
    <t>275 W</t>
  </si>
  <si>
    <t>100 N</t>
  </si>
  <si>
    <t>BLUEBELL DRIVE</t>
  </si>
  <si>
    <t>525 S</t>
  </si>
  <si>
    <t>BOMAR BOULEVARD</t>
  </si>
  <si>
    <t>BOMAR CIRCLE</t>
  </si>
  <si>
    <t>BOMAR LANE</t>
  </si>
  <si>
    <t>BOULDER CREEK COURT(W)</t>
  </si>
  <si>
    <t>600 W</t>
  </si>
  <si>
    <t>BOULDER CREEK DRIVE(W)</t>
  </si>
  <si>
    <t>BOULDER CREEK LANE(S)</t>
  </si>
  <si>
    <t>BRANDYWINE COURT</t>
  </si>
  <si>
    <t>BRANDYWINE LANE(E)</t>
  </si>
  <si>
    <t>BRANDYWINE LANE€</t>
  </si>
  <si>
    <t>BRANDYWINE TRAIL(E)</t>
  </si>
  <si>
    <t>BRANDYWINE TRAIL€</t>
  </si>
  <si>
    <t>BRANDYWINE TRAIL(S)</t>
  </si>
  <si>
    <t>BRIAR PARK VIEW(W)</t>
  </si>
  <si>
    <t>225 S</t>
  </si>
  <si>
    <t>BRIARWOOD BLVD(W)</t>
  </si>
  <si>
    <t>BRIER COURT</t>
  </si>
  <si>
    <t>BRIER CREEK DRIVE</t>
  </si>
  <si>
    <t>BRISTOL WAY</t>
  </si>
  <si>
    <t>800 W</t>
  </si>
  <si>
    <t>BROKEN ARROW COURT(W)</t>
  </si>
  <si>
    <t>125 S</t>
  </si>
  <si>
    <t>BROKEN ARROW DRIVE(S)</t>
  </si>
  <si>
    <t>BROKEN ARROW DRIVE(W)</t>
  </si>
  <si>
    <t>BROOKLAWN DRIVE</t>
  </si>
  <si>
    <t>US 52</t>
  </si>
  <si>
    <t>BRUNE COURT</t>
  </si>
  <si>
    <t>60 S</t>
  </si>
  <si>
    <t>BUCK CREEK COURT</t>
  </si>
  <si>
    <t>BUCK CREEK RD./I70</t>
  </si>
  <si>
    <t>BC48</t>
  </si>
  <si>
    <t>BUCK CREEK RD/100N</t>
  </si>
  <si>
    <t>BC49</t>
  </si>
  <si>
    <t>BUCK CREEK RD/200N</t>
  </si>
  <si>
    <t>BC47</t>
  </si>
  <si>
    <t>BUCK CREEK RD/300N</t>
  </si>
  <si>
    <t>BC46</t>
  </si>
  <si>
    <t>BUCKEYE DR (W)</t>
  </si>
  <si>
    <t>BUCKEYE LANE (N)</t>
  </si>
  <si>
    <t>BUCKSKIN COURT</t>
  </si>
  <si>
    <t>625 W</t>
  </si>
  <si>
    <t>BUR OAK DRIVE</t>
  </si>
  <si>
    <t>BURLINGTON DRIVE(W)</t>
  </si>
  <si>
    <t>BUTTERCUP DRIVE</t>
  </si>
  <si>
    <t>CAMERON LANE</t>
  </si>
  <si>
    <t>350 N</t>
  </si>
  <si>
    <t>CARIBOU CIRCLE</t>
  </si>
  <si>
    <t>350 S</t>
  </si>
  <si>
    <t>CARRIAGE DRIVE</t>
  </si>
  <si>
    <t>CARRIE DRIVE</t>
  </si>
  <si>
    <t>CARTHAGE RD/US40</t>
  </si>
  <si>
    <t>CASEY LANE(E)</t>
  </si>
  <si>
    <t>CATALINA DRIVE EAST</t>
  </si>
  <si>
    <t>480 W</t>
  </si>
  <si>
    <t>CATALINA DRIVE SOUTH</t>
  </si>
  <si>
    <t>CATALINA DRIVE WEST</t>
  </si>
  <si>
    <t>CENTER (FIN)/100W</t>
  </si>
  <si>
    <t>CENTER ST(MAX)JEFF</t>
  </si>
  <si>
    <t>SOUTH ST</t>
  </si>
  <si>
    <t>CENTER ST(PHIL)/VI</t>
  </si>
  <si>
    <t>VINE ST</t>
  </si>
  <si>
    <t>CENTRAL DRIVE</t>
  </si>
  <si>
    <t>CHARLESTON WAY(W)</t>
  </si>
  <si>
    <t>CHERRY TREE (N)</t>
  </si>
  <si>
    <t>CHESTNUT ST(MOH)/E</t>
  </si>
  <si>
    <t>CHRISTIAN DRIVE</t>
  </si>
  <si>
    <t>CLUBHOUSE DRIVE</t>
  </si>
  <si>
    <t>COLONIAL DRIVE</t>
  </si>
  <si>
    <t>650 W</t>
  </si>
  <si>
    <t>400 N</t>
  </si>
  <si>
    <t>CORNERSTONE DRIVE(W)</t>
  </si>
  <si>
    <t>COTTONWOOD DR</t>
  </si>
  <si>
    <t>175 E</t>
  </si>
  <si>
    <t>475 N</t>
  </si>
  <si>
    <t>COUNTRY LANE DRIVE</t>
  </si>
  <si>
    <t>380 W</t>
  </si>
  <si>
    <t>COUNTRY MILL DRIVE</t>
  </si>
  <si>
    <t>470 N</t>
  </si>
  <si>
    <t>COUNTRY TRAIL(E)</t>
  </si>
  <si>
    <t>COUNTRY WAY</t>
  </si>
  <si>
    <t>COUNTRYSIDE COURT</t>
  </si>
  <si>
    <t>COUNTRYSIDE DRIVE</t>
  </si>
  <si>
    <t>CRANBERRY DRIVE</t>
  </si>
  <si>
    <t>CREEK RIDGE DRIVE(W)</t>
  </si>
  <si>
    <t>500 S</t>
  </si>
  <si>
    <t>CREEKSIDE COURT</t>
  </si>
  <si>
    <t>CREEKSIDE DR (N)</t>
  </si>
  <si>
    <t>CREEKSIDE DR (W)</t>
  </si>
  <si>
    <t>CREEKSIDE DRIVE</t>
  </si>
  <si>
    <t>CROSS TRAIL (W)</t>
  </si>
  <si>
    <t>CUB BOULEVARD</t>
  </si>
  <si>
    <t>140 S</t>
  </si>
  <si>
    <t>DAISY LANE</t>
  </si>
  <si>
    <t>DECKSHIRE LANE</t>
  </si>
  <si>
    <t>1200 E</t>
  </si>
  <si>
    <t>310 N</t>
  </si>
  <si>
    <t>DEER LANE (N)</t>
  </si>
  <si>
    <t>DEER RUN DRIVE</t>
  </si>
  <si>
    <t>DEERFIELD DRIVE</t>
  </si>
  <si>
    <t>300 N</t>
  </si>
  <si>
    <t>775 W</t>
  </si>
  <si>
    <t>DELEGATE WAY (N)</t>
  </si>
  <si>
    <t>DOE CT (N)</t>
  </si>
  <si>
    <t>DOGWOOD WAY (N)</t>
  </si>
  <si>
    <t>DOVER PLACE(W)</t>
  </si>
  <si>
    <t>EAST DRIVE</t>
  </si>
  <si>
    <t>575 W</t>
  </si>
  <si>
    <t>EAST ST(CHAR)/25N</t>
  </si>
  <si>
    <t>EAST ST(CHAR)/US40</t>
  </si>
  <si>
    <t>EAST ST(MAX)/END</t>
  </si>
  <si>
    <t>EASY STREET(W)</t>
  </si>
  <si>
    <t>440 W</t>
  </si>
  <si>
    <t>EDEN RD./250E</t>
  </si>
  <si>
    <t>G22</t>
  </si>
  <si>
    <t>EDEN RD./TROY RD</t>
  </si>
  <si>
    <t>G23</t>
  </si>
  <si>
    <t>ELAND DRIVE</t>
  </si>
  <si>
    <t>ELISE COURT</t>
  </si>
  <si>
    <t>ESSEX CIRCLE</t>
  </si>
  <si>
    <t>FAIRWAY VILLAGE BOULEVARD(S)</t>
  </si>
  <si>
    <t>FAIRWAY VILLAGE COURT(S)</t>
  </si>
  <si>
    <t>FAIRWAY VILLAGE DRIVE(E)</t>
  </si>
  <si>
    <t>FAIRWAY VILLAGE DRIVE€</t>
  </si>
  <si>
    <t>FALLOW TRAIL</t>
  </si>
  <si>
    <t>FARM STONE CIRCLE(S)</t>
  </si>
  <si>
    <t>FAUT ROAD/300W</t>
  </si>
  <si>
    <t>SC15</t>
  </si>
  <si>
    <t>FIELDING ROAD</t>
  </si>
  <si>
    <t>FOREST COURT</t>
  </si>
  <si>
    <t>FOREST LANE</t>
  </si>
  <si>
    <t>FORTVILLE PK./200N</t>
  </si>
  <si>
    <t>FORTVILLE PK./25W</t>
  </si>
  <si>
    <t>C89</t>
  </si>
  <si>
    <t>FORTVILLE PK./300N</t>
  </si>
  <si>
    <t>FORTVILLE PK./375N</t>
  </si>
  <si>
    <t>C88</t>
  </si>
  <si>
    <t>FORTVILLE PK./500A</t>
  </si>
  <si>
    <t>C91</t>
  </si>
  <si>
    <t>FORTVILLE PK./500N</t>
  </si>
  <si>
    <t>C90</t>
  </si>
  <si>
    <t>FORTVILLE PK./600N</t>
  </si>
  <si>
    <t>C92</t>
  </si>
  <si>
    <t>FORTVILLE PK./700N</t>
  </si>
  <si>
    <t>V85</t>
  </si>
  <si>
    <t>FORTVILLE PK/850N</t>
  </si>
  <si>
    <t>V87</t>
  </si>
  <si>
    <t>FORTVILLE PK/900N</t>
  </si>
  <si>
    <t>V88</t>
  </si>
  <si>
    <t>FORTVILLE PK/950N</t>
  </si>
  <si>
    <t>V89</t>
  </si>
  <si>
    <t>FORTVILLE PK/SR234</t>
  </si>
  <si>
    <t>V86</t>
  </si>
  <si>
    <t>FOX COVE BOULEVARD</t>
  </si>
  <si>
    <t>FOX DEN BOULEVARD</t>
  </si>
  <si>
    <t>FOX PAW DRIVE</t>
  </si>
  <si>
    <t>FOX RUN DRIVE</t>
  </si>
  <si>
    <t>FOX TAIL PASS</t>
  </si>
  <si>
    <t>FOX TRAIL DRIVE</t>
  </si>
  <si>
    <t>FOX VIEW TRAIL</t>
  </si>
  <si>
    <t>FROG POND COURT</t>
  </si>
  <si>
    <t>150 W</t>
  </si>
  <si>
    <t>FURRY ROAD/100W</t>
  </si>
  <si>
    <t>BW12</t>
  </si>
  <si>
    <t>GLENDALE LANE</t>
  </si>
  <si>
    <t>GRANDISON RD./25N</t>
  </si>
  <si>
    <t>J79</t>
  </si>
  <si>
    <t>GRANDISON RD./300N</t>
  </si>
  <si>
    <t>J83</t>
  </si>
  <si>
    <t>GRANDISON RD/100N</t>
  </si>
  <si>
    <t>J80</t>
  </si>
  <si>
    <t>GRANDISON RD/150N</t>
  </si>
  <si>
    <t>J81</t>
  </si>
  <si>
    <t>GRANDISON RD/250N</t>
  </si>
  <si>
    <t>J82</t>
  </si>
  <si>
    <t>GRANITE COURT(W)</t>
  </si>
  <si>
    <t>GRASSY CT (S)</t>
  </si>
  <si>
    <t>GREENFIELD (FIN)/1</t>
  </si>
  <si>
    <t>GREYHAWK LANE</t>
  </si>
  <si>
    <t>GREYHAWK WAY</t>
  </si>
  <si>
    <t>HACKBERRY TRL (W)</t>
  </si>
  <si>
    <t>HARMONY TRAIL(W)</t>
  </si>
  <si>
    <t>HARVEST WAY(W)</t>
  </si>
  <si>
    <t>430 W</t>
  </si>
  <si>
    <t>HAVENS DRIVE(S)</t>
  </si>
  <si>
    <t>HEARTH STONE COURT</t>
  </si>
  <si>
    <t>HERITAGE COURT</t>
  </si>
  <si>
    <t>HERITAGE DRIVE</t>
  </si>
  <si>
    <t>HERITAGE DRIVE EAST</t>
  </si>
  <si>
    <t>340 N</t>
  </si>
  <si>
    <t>HERITAGE DRIVE NORTH</t>
  </si>
  <si>
    <t>HERITAGE DRIVE SOUTH</t>
  </si>
  <si>
    <t>HERITAGE DRIVE WEST</t>
  </si>
  <si>
    <t>HERON COURT</t>
  </si>
  <si>
    <t>120 S</t>
  </si>
  <si>
    <t>HERON DRIVE EAST</t>
  </si>
  <si>
    <t>HERON DRIVE SOUTH</t>
  </si>
  <si>
    <t>HERON DRIVE WEST</t>
  </si>
  <si>
    <t>HICKORY BOULEVARD</t>
  </si>
  <si>
    <t>200 N</t>
  </si>
  <si>
    <t>250 E</t>
  </si>
  <si>
    <t>HICKORY DRIVE</t>
  </si>
  <si>
    <t>HICKORY LANE</t>
  </si>
  <si>
    <t>HIDDEN LAKE CT (W)</t>
  </si>
  <si>
    <t>350 W</t>
  </si>
  <si>
    <t>30 N</t>
  </si>
  <si>
    <t>HILL DRIVE</t>
  </si>
  <si>
    <t>HILLVIEW DRIVE(S)</t>
  </si>
  <si>
    <t>HOLLYHOCK COURT</t>
  </si>
  <si>
    <t>HOLMES COURT</t>
  </si>
  <si>
    <t>HOMESTEAD COURT</t>
  </si>
  <si>
    <t>HOMESTEAD DRIVE</t>
  </si>
  <si>
    <t>HONEYSUCKLE COURT</t>
  </si>
  <si>
    <t>HUNTERS COURT(N)</t>
  </si>
  <si>
    <t>IVY COURT</t>
  </si>
  <si>
    <t>IVY LANE</t>
  </si>
  <si>
    <t>JACKSON (MAX)/COTT</t>
  </si>
  <si>
    <t>COTTONWOOD</t>
  </si>
  <si>
    <t>JACKSON STREET</t>
  </si>
  <si>
    <t>JACOBI RD./100S</t>
  </si>
  <si>
    <t>SC97</t>
  </si>
  <si>
    <t>JACOBI RD./200S</t>
  </si>
  <si>
    <t>SC98</t>
  </si>
  <si>
    <t>JAMESTOWN DR(N)</t>
  </si>
  <si>
    <t>JAMESTOWN DRIVE (W)</t>
  </si>
  <si>
    <t>JAMESTOWN DRIVE (W</t>
  </si>
  <si>
    <t>JEANNE COURT</t>
  </si>
  <si>
    <t>JEFFERSON (MAX)/EA</t>
  </si>
  <si>
    <t>JEFFERSON CT (W)</t>
  </si>
  <si>
    <t>JEFFERSON CT(N)</t>
  </si>
  <si>
    <t>JEFFERSON DRIVE</t>
  </si>
  <si>
    <t>JENNIFER COURT</t>
  </si>
  <si>
    <t>JENNIFER DRIVE</t>
  </si>
  <si>
    <t>JENNIFER LANE</t>
  </si>
  <si>
    <t>KATHLEEN COURT</t>
  </si>
  <si>
    <t>500 N</t>
  </si>
  <si>
    <t>KELLY DRIVE(N)</t>
  </si>
  <si>
    <t>KEN LANE</t>
  </si>
  <si>
    <t>4100 W</t>
  </si>
  <si>
    <t>3200 S</t>
  </si>
  <si>
    <t>KINGBIRD COURT</t>
  </si>
  <si>
    <t>950 N</t>
  </si>
  <si>
    <t>KINGBIRD DRIVE</t>
  </si>
  <si>
    <t>KINGSTON DRIVE(W)</t>
  </si>
  <si>
    <t>LAKESIDE COURT</t>
  </si>
  <si>
    <t>LAKEWOOD DRIVE</t>
  </si>
  <si>
    <t>LANA COURT EAST</t>
  </si>
  <si>
    <t>LANA COURT WEST</t>
  </si>
  <si>
    <t>LANE RD./700W</t>
  </si>
  <si>
    <t>LEE MAR DRIVE</t>
  </si>
  <si>
    <t>325 S</t>
  </si>
  <si>
    <t>LEONARD ROAD</t>
  </si>
  <si>
    <t>LILAC LANE</t>
  </si>
  <si>
    <t>525 W</t>
  </si>
  <si>
    <t>LILLIAN COURT</t>
  </si>
  <si>
    <t>LILY COURT</t>
  </si>
  <si>
    <t>LITTLETON DRIVE</t>
  </si>
  <si>
    <t>LOGAN DR (S)</t>
  </si>
  <si>
    <t>MAIELLEN DRIVE</t>
  </si>
  <si>
    <t>MAIN CROSS(PHILY)</t>
  </si>
  <si>
    <t>WALNUT/VINE</t>
  </si>
  <si>
    <t>MAIN ST(CHAR)/25N</t>
  </si>
  <si>
    <t>MAIN ST(FINLY)/GR</t>
  </si>
  <si>
    <t>MAIN ST.(WILL BR)</t>
  </si>
  <si>
    <t>B41</t>
  </si>
  <si>
    <t>MCCORD RD./500W</t>
  </si>
  <si>
    <t>V60</t>
  </si>
  <si>
    <t>MEADOW LAKE DRIVE</t>
  </si>
  <si>
    <t>MEADOW SONG CT S</t>
  </si>
  <si>
    <t>MEADOWS CIRCLE</t>
  </si>
  <si>
    <t>MEADOWS LANE</t>
  </si>
  <si>
    <t>MEADOWVIEW DR</t>
  </si>
  <si>
    <t>MELODY LANE</t>
  </si>
  <si>
    <t>MEMORY LANE</t>
  </si>
  <si>
    <t>20 S</t>
  </si>
  <si>
    <t>MERIDIAN RD./1000A</t>
  </si>
  <si>
    <t>V103</t>
  </si>
  <si>
    <t>MERIDIAN RD./100N</t>
  </si>
  <si>
    <t>C62</t>
  </si>
  <si>
    <t>MERIDIAN RD./100S</t>
  </si>
  <si>
    <t>C60</t>
  </si>
  <si>
    <t>MERIDIAN RD./1100N</t>
  </si>
  <si>
    <t>V104</t>
  </si>
  <si>
    <t>MERIDIAN RD./200S</t>
  </si>
  <si>
    <t>BW45</t>
  </si>
  <si>
    <t>MERIDIAN RD./300S</t>
  </si>
  <si>
    <t>BW44</t>
  </si>
  <si>
    <t>MERIDIAN RD./400S</t>
  </si>
  <si>
    <t>BW43</t>
  </si>
  <si>
    <t>MERIDIAN RD./500S</t>
  </si>
  <si>
    <t>BW42</t>
  </si>
  <si>
    <t>MERIDIAN RD./900N</t>
  </si>
  <si>
    <t>V101</t>
  </si>
  <si>
    <t>MERIDIAN RD./SR234</t>
  </si>
  <si>
    <t>V100</t>
  </si>
  <si>
    <t>MICHAEL'S CT</t>
  </si>
  <si>
    <t>MIDDLE DRIVE</t>
  </si>
  <si>
    <t>470 W</t>
  </si>
  <si>
    <t>600 S</t>
  </si>
  <si>
    <t>MILL BOULEVARD</t>
  </si>
  <si>
    <t>MILL COURT</t>
  </si>
  <si>
    <t>MILL STREAM DRIVE</t>
  </si>
  <si>
    <t>MOELLER CIR (S)</t>
  </si>
  <si>
    <t>MOELLER CIR(N)</t>
  </si>
  <si>
    <t>MOHAWK LN(MOH)/NEW</t>
  </si>
  <si>
    <t>MOHR ROAD(E)</t>
  </si>
  <si>
    <t>MOHR ROAD(N)</t>
  </si>
  <si>
    <t>MORGAN COURT(W)</t>
  </si>
  <si>
    <t>610 W</t>
  </si>
  <si>
    <t>MORGAN CT (E)</t>
  </si>
  <si>
    <t>MORNING GLORY CIRCLE</t>
  </si>
  <si>
    <t>MORNING WALK DRIVE</t>
  </si>
  <si>
    <t>MORRISTOWN PK./STE</t>
  </si>
  <si>
    <t>MORRISTOWN PK.</t>
  </si>
  <si>
    <t>MORRISTOWN PK/100S</t>
  </si>
  <si>
    <t>C95</t>
  </si>
  <si>
    <t>MORRISTOWN PK/200S</t>
  </si>
  <si>
    <t>BW60</t>
  </si>
  <si>
    <t>MORRISTOWN PK/300S</t>
  </si>
  <si>
    <t>BW59</t>
  </si>
  <si>
    <t>MORRISTOWN PK/400S</t>
  </si>
  <si>
    <t>BR45</t>
  </si>
  <si>
    <t>MORRISTOWN PK/US40</t>
  </si>
  <si>
    <t>C96</t>
  </si>
  <si>
    <t>MT VERNON COURT</t>
  </si>
  <si>
    <t>SR 234</t>
  </si>
  <si>
    <t>140 W</t>
  </si>
  <si>
    <t>MT VERNON WAY</t>
  </si>
  <si>
    <t>MUD CREEK CT (S)</t>
  </si>
  <si>
    <t>NASHVILLE RD./775E</t>
  </si>
  <si>
    <t>B62</t>
  </si>
  <si>
    <t>NASHVILLE RD./900N</t>
  </si>
  <si>
    <t>B61</t>
  </si>
  <si>
    <t>NASHVILLE RD/1000N</t>
  </si>
  <si>
    <t>B63</t>
  </si>
  <si>
    <t>NASHVILLE RD/1100N</t>
  </si>
  <si>
    <t>B65</t>
  </si>
  <si>
    <t>NASHVILLE RD/675E</t>
  </si>
  <si>
    <t>B64</t>
  </si>
  <si>
    <t>NEW ST(MOH)/MOH LN</t>
  </si>
  <si>
    <t>MOHAWK LANE</t>
  </si>
  <si>
    <t>NEW ST.</t>
  </si>
  <si>
    <t>NORTH COURT</t>
  </si>
  <si>
    <t>NORTH ST(CHAR)/END</t>
  </si>
  <si>
    <t>NORTH ST.</t>
  </si>
  <si>
    <t>NORTH/EAST ST</t>
  </si>
  <si>
    <t>MT COMFORT</t>
  </si>
  <si>
    <t>OAK DRIVE</t>
  </si>
  <si>
    <t>OAK STREET</t>
  </si>
  <si>
    <t>OAKWOOD COURT</t>
  </si>
  <si>
    <t>750 W</t>
  </si>
  <si>
    <t>OAKWOOD DRIVE</t>
  </si>
  <si>
    <t>ODEN ROAD</t>
  </si>
  <si>
    <t>OLD 1200E/NEW1200E</t>
  </si>
  <si>
    <t>NEW 1200E</t>
  </si>
  <si>
    <t>OLD 1200E</t>
  </si>
  <si>
    <t>OLD COLONY DR WEST</t>
  </si>
  <si>
    <t>OLD COLONEY DR WEST</t>
  </si>
  <si>
    <t>OLVEY RD./900N</t>
  </si>
  <si>
    <t>G40</t>
  </si>
  <si>
    <t>ORCHARD DRIVE</t>
  </si>
  <si>
    <t>OSMAN LANE</t>
  </si>
  <si>
    <t>PARKER LANE (S)</t>
  </si>
  <si>
    <t>PARKSIDE DRIVE(CO)(S)</t>
  </si>
  <si>
    <t>PARKWAY AVE(S)</t>
  </si>
  <si>
    <t>PEACE STREET</t>
  </si>
  <si>
    <t>PEARL ST(PHILY)</t>
  </si>
  <si>
    <t>PEPPEREEL WAY(N)</t>
  </si>
  <si>
    <t>PHILADELPHIA DR(W)</t>
  </si>
  <si>
    <t>PINE BLUFF DRIVE(W)</t>
  </si>
  <si>
    <t>PINE COURT</t>
  </si>
  <si>
    <t>PINE ST(CHAR)/1050</t>
  </si>
  <si>
    <t>PLANTATION ROW (W)</t>
  </si>
  <si>
    <t>180 N</t>
  </si>
  <si>
    <t>PLEASANT DRIVE</t>
  </si>
  <si>
    <t>PLYMOUTH CT (N)</t>
  </si>
  <si>
    <t>PORTALAN DRIVE</t>
  </si>
  <si>
    <t>PORTIA DRIVE</t>
  </si>
  <si>
    <t>POSTMASTER LANE</t>
  </si>
  <si>
    <t>PRAIRIE COURT</t>
  </si>
  <si>
    <t>QUAIL COURT</t>
  </si>
  <si>
    <t>QUAIL RUN DRIVE</t>
  </si>
  <si>
    <t>QUINCY DRIVE(N)</t>
  </si>
  <si>
    <t>RAESNER NORTH DR</t>
  </si>
  <si>
    <t>RAESNER SOUTH DR</t>
  </si>
  <si>
    <t>RALEIGH DRIVE(W)</t>
  </si>
  <si>
    <t>RAVEN FIELD BLVD(W)</t>
  </si>
  <si>
    <t>RAVEN FIELD CRT(N)</t>
  </si>
  <si>
    <t>RAYLEE GARDEN DR(S)</t>
  </si>
  <si>
    <t>RED FOX TRAIL (N)</t>
  </si>
  <si>
    <t>RED OAK DRIVE</t>
  </si>
  <si>
    <t>REDBUD CIRCLE</t>
  </si>
  <si>
    <t>REMBRANT COURT</t>
  </si>
  <si>
    <t>REX RIDGE ROAD</t>
  </si>
  <si>
    <t>RICHMAN BLVD</t>
  </si>
  <si>
    <t>240 S</t>
  </si>
  <si>
    <t>RICHMAN COURT</t>
  </si>
  <si>
    <t>RICHMAN DRIVE(S)</t>
  </si>
  <si>
    <t>RICHMAN LANE(W)</t>
  </si>
  <si>
    <t>RICHMAN WAY(S)</t>
  </si>
  <si>
    <t>RICKS DRIVE EAST</t>
  </si>
  <si>
    <t>875 N</t>
  </si>
  <si>
    <t>RICKS DRIVE SOUTH</t>
  </si>
  <si>
    <t>RICKS DRIVE WEST</t>
  </si>
  <si>
    <t>RIDGE DRIVE</t>
  </si>
  <si>
    <t>150 N</t>
  </si>
  <si>
    <t>ROCKINGHAM LANE(N)</t>
  </si>
  <si>
    <t>ROCKWAY DRIVE(W)</t>
  </si>
  <si>
    <t>ROCKWOOD LN (W)</t>
  </si>
  <si>
    <t>425 S</t>
  </si>
  <si>
    <t>ROSEWIND DR (S)</t>
  </si>
  <si>
    <t>SACREMENTO DRIVE</t>
  </si>
  <si>
    <t>SAW MILL COURT</t>
  </si>
  <si>
    <t>SCHOOL ST(MAX)/END</t>
  </si>
  <si>
    <t>SECOND (CHAR)/CART</t>
  </si>
  <si>
    <t>SECOND ST.</t>
  </si>
  <si>
    <t>SECOND ST(CHAR)/EA</t>
  </si>
  <si>
    <t>SECOND ST(WIL BRA)</t>
  </si>
  <si>
    <t>THOMAS ST</t>
  </si>
  <si>
    <t>SHADELAND DRIVE</t>
  </si>
  <si>
    <t>150 E</t>
  </si>
  <si>
    <t>SHADOW CREEK WAY WEST</t>
  </si>
  <si>
    <t>BUCK CREEK ROAD</t>
  </si>
  <si>
    <t>260 N</t>
  </si>
  <si>
    <t>SHADY CREEK DRIVE</t>
  </si>
  <si>
    <t>SHARON DRIVE</t>
  </si>
  <si>
    <t>300 W</t>
  </si>
  <si>
    <t>25 N</t>
  </si>
  <si>
    <t>SHEL-LYN COURT</t>
  </si>
  <si>
    <t>60 W</t>
  </si>
  <si>
    <t>SHEL-LYN DRIVE</t>
  </si>
  <si>
    <t>SOUTH COURT</t>
  </si>
  <si>
    <t>SOUTH DRIVE</t>
  </si>
  <si>
    <t>SOUTH ST(CHAR)/EAS</t>
  </si>
  <si>
    <t>SOUTH ST.</t>
  </si>
  <si>
    <t>SOUTH ST(MAX)/CENT</t>
  </si>
  <si>
    <t>CENTER ST</t>
  </si>
  <si>
    <t>SOUTH ST/END</t>
  </si>
  <si>
    <t>MORRISTOWN PK</t>
  </si>
  <si>
    <t>SOUTHWAY DR (S)</t>
  </si>
  <si>
    <t>SPARKS RD./300N</t>
  </si>
  <si>
    <t>SPARKS RD.</t>
  </si>
  <si>
    <t>STANSBURY BLVD(W)</t>
  </si>
  <si>
    <t>STATION WAY/350N</t>
  </si>
  <si>
    <t>BC26</t>
  </si>
  <si>
    <t>STAYLEY AVE</t>
  </si>
  <si>
    <t>650 N</t>
  </si>
  <si>
    <t>STEELEFORD RD/END</t>
  </si>
  <si>
    <t>STEELFORD</t>
  </si>
  <si>
    <t>STEELEFORD RD/MORR</t>
  </si>
  <si>
    <t>TWP LINE</t>
  </si>
  <si>
    <t>C97</t>
  </si>
  <si>
    <t>STINEMEYER CT (W)</t>
  </si>
  <si>
    <t>STINEMYER RD/550W</t>
  </si>
  <si>
    <t>SC14</t>
  </si>
  <si>
    <t>STINEMEYER RD</t>
  </si>
  <si>
    <t>STINEMYER RD/600W</t>
  </si>
  <si>
    <t>SC13</t>
  </si>
  <si>
    <t>STINEMYER RD/650W</t>
  </si>
  <si>
    <t>SC12</t>
  </si>
  <si>
    <t>STINEMYER RD/675W</t>
  </si>
  <si>
    <t>SC11</t>
  </si>
  <si>
    <t>STONE WAY(S)</t>
  </si>
  <si>
    <t>STONE WAY(W)</t>
  </si>
  <si>
    <t>STONEHAVEN LANE(W)</t>
  </si>
  <si>
    <t>STONEHAVEN LANE</t>
  </si>
  <si>
    <t>375 N</t>
  </si>
  <si>
    <t>STONY RIDGE COURT</t>
  </si>
  <si>
    <t>STRAHL DRIVE(N)</t>
  </si>
  <si>
    <t>SUGAR BEND RUN (N)</t>
  </si>
  <si>
    <t>SUGAR CREEK TRAIL</t>
  </si>
  <si>
    <t>SUGAR HILLS CT</t>
  </si>
  <si>
    <t>550 N</t>
  </si>
  <si>
    <t>SUGAR HILLS DR</t>
  </si>
  <si>
    <t>SUMMERFIELD DR(N)</t>
  </si>
  <si>
    <t>SUMMERHAVEN COURT</t>
  </si>
  <si>
    <t>SUN CLOUD DR (W)</t>
  </si>
  <si>
    <t>SUN RISE CT</t>
  </si>
  <si>
    <t>SUN RISE DR</t>
  </si>
  <si>
    <t>SUNSET COURT</t>
  </si>
  <si>
    <t>SUNSET DRIVE NORTH</t>
  </si>
  <si>
    <t>SUNSET DRIVE SOUTH</t>
  </si>
  <si>
    <t>SUNSHINE DRIVE</t>
  </si>
  <si>
    <t>SURREY CT WEST</t>
  </si>
  <si>
    <t>SURREY LANE SOUTH</t>
  </si>
  <si>
    <t>SWEET CREEK DRIVE</t>
  </si>
  <si>
    <t>450 S</t>
  </si>
  <si>
    <t>SYCAMORE CT</t>
  </si>
  <si>
    <t>SYCAMORE DRIVE</t>
  </si>
  <si>
    <t>SYCAMORE HILLS DR</t>
  </si>
  <si>
    <t>420 W</t>
  </si>
  <si>
    <t>THEODORE LANE</t>
  </si>
  <si>
    <t>THIRD ST(WILL BRA)</t>
  </si>
  <si>
    <t>THOMAS COURT</t>
  </si>
  <si>
    <t>THOMAS RD./SR234</t>
  </si>
  <si>
    <t>B42</t>
  </si>
  <si>
    <t>THOMAS ST(WILL BR)</t>
  </si>
  <si>
    <t>SECOND ST</t>
  </si>
  <si>
    <t>THIRD ST</t>
  </si>
  <si>
    <t>THOMAS ST.</t>
  </si>
  <si>
    <t>TIMBER DRIVE</t>
  </si>
  <si>
    <t>TOMKE DRIVE</t>
  </si>
  <si>
    <t>TROY RD./900N</t>
  </si>
  <si>
    <t>G57</t>
  </si>
  <si>
    <t>TROY RD./EDEN RD</t>
  </si>
  <si>
    <t>G56</t>
  </si>
  <si>
    <t>TROY RD./SR234</t>
  </si>
  <si>
    <t>G55</t>
  </si>
  <si>
    <t>TULIP TREE DRIVE</t>
  </si>
  <si>
    <t>TUMBLEWEED COURT(W)</t>
  </si>
  <si>
    <t>TUMBLEWEED DRIVE(S)</t>
  </si>
  <si>
    <t>TWIN OAK BLVD (E)</t>
  </si>
  <si>
    <t>VALLEY COURT</t>
  </si>
  <si>
    <t>VALLEY LANE</t>
  </si>
  <si>
    <t>VERA DRIVE</t>
  </si>
  <si>
    <t>VERNON LANE</t>
  </si>
  <si>
    <t>VILLAGE DRIVE</t>
  </si>
  <si>
    <t>VILLAGE ROW</t>
  </si>
  <si>
    <t>VILLAGE WAY WEST</t>
  </si>
  <si>
    <t>WALNUT CT</t>
  </si>
  <si>
    <t>WALNUT DR(S)</t>
  </si>
  <si>
    <t>WALNUT DRIVE</t>
  </si>
  <si>
    <t>WALNUT/VINE(PHILY)</t>
  </si>
  <si>
    <t>WASHINGTON (MAX)/E</t>
  </si>
  <si>
    <t>WASHINGTON</t>
  </si>
  <si>
    <t>WATER WHEEL DRIVE</t>
  </si>
  <si>
    <t>WATERWAY DRIVE</t>
  </si>
  <si>
    <t>WAYNE DRIVE</t>
  </si>
  <si>
    <t>WELKER DRIVE</t>
  </si>
  <si>
    <t>WEST COURT</t>
  </si>
  <si>
    <t>WEST ST(CHAR)/CART</t>
  </si>
  <si>
    <t>WEST ST(FINLY)</t>
  </si>
  <si>
    <t>WESTERN CT (W)</t>
  </si>
  <si>
    <t>WHITE OAK DRIVE</t>
  </si>
  <si>
    <t>WILDFLOWER LN</t>
  </si>
  <si>
    <t>WILDWOOD DRIVE</t>
  </si>
  <si>
    <t>WILLIAMSWOOD DRIVE</t>
  </si>
  <si>
    <t>WILLOW GROVE DR (S)</t>
  </si>
  <si>
    <t>WILLOW GROVE DR (W)</t>
  </si>
  <si>
    <t>WINDHAVEN COURT</t>
  </si>
  <si>
    <t>WINDMILL WAY(W)</t>
  </si>
  <si>
    <t>WINDSONG COURT</t>
  </si>
  <si>
    <t>WOLLENWEBER ROAD</t>
  </si>
  <si>
    <t>WOODCREST DRIVE</t>
  </si>
  <si>
    <t>WOODFIELD DRIVE</t>
  </si>
  <si>
    <t>WOODGROVE WAY(S)</t>
  </si>
  <si>
    <t>ADT SCORE</t>
  </si>
  <si>
    <t>TownShip</t>
  </si>
  <si>
    <t>brandywine</t>
  </si>
  <si>
    <t>vernon</t>
  </si>
  <si>
    <t>jasper</t>
  </si>
  <si>
    <t>Green</t>
  </si>
  <si>
    <t>blue river</t>
  </si>
  <si>
    <t>Center</t>
  </si>
  <si>
    <t>Brown</t>
  </si>
  <si>
    <t>Sugar creek</t>
  </si>
  <si>
    <t>Buck Creek</t>
  </si>
  <si>
    <t>AADT Score</t>
  </si>
  <si>
    <t>SCORE</t>
  </si>
  <si>
    <t>FIX</t>
  </si>
  <si>
    <t>YEAR</t>
  </si>
  <si>
    <t>COST</t>
  </si>
  <si>
    <t>FIX AC</t>
  </si>
  <si>
    <t>FIX CS</t>
  </si>
  <si>
    <t>FIX GR</t>
  </si>
  <si>
    <t>SP/CS</t>
  </si>
  <si>
    <t>DS</t>
  </si>
  <si>
    <t>Crack</t>
  </si>
  <si>
    <t>CRACK</t>
  </si>
  <si>
    <t>GG</t>
  </si>
  <si>
    <t>SGG</t>
  </si>
  <si>
    <t>R/CS</t>
  </si>
  <si>
    <t>R/AC</t>
  </si>
  <si>
    <t>reconst asphault road</t>
  </si>
  <si>
    <t>Pave</t>
  </si>
  <si>
    <t>Strip Pave/Chip Seal</t>
  </si>
  <si>
    <t>Double Seal</t>
  </si>
  <si>
    <t>Chip Seal</t>
  </si>
  <si>
    <t>Crack Seal</t>
  </si>
  <si>
    <t>F</t>
  </si>
  <si>
    <t>Fog Seal</t>
  </si>
  <si>
    <t>Gravel</t>
  </si>
  <si>
    <t>Grade and Gravel</t>
  </si>
  <si>
    <t>Subgrade Grade and Gravel</t>
  </si>
  <si>
    <t>Regrade/Rock/Chip Seal</t>
  </si>
  <si>
    <t>ROAD</t>
  </si>
  <si>
    <t>SURFACE</t>
  </si>
  <si>
    <t>FROM</t>
  </si>
  <si>
    <t>TO</t>
  </si>
  <si>
    <t>TOWN SCORE</t>
  </si>
  <si>
    <t>AADT</t>
  </si>
  <si>
    <t>NC</t>
  </si>
  <si>
    <t>going to need to mill</t>
  </si>
  <si>
    <t>load to 2015 if appropration available</t>
  </si>
  <si>
    <t>Length</t>
  </si>
  <si>
    <t/>
  </si>
  <si>
    <t>APPLE ST/200N</t>
  </si>
  <si>
    <t>STINEMYER RD/700W</t>
  </si>
  <si>
    <t>C57</t>
  </si>
  <si>
    <t xml:space="preserve"> </t>
  </si>
  <si>
    <t>SC100</t>
  </si>
  <si>
    <t>BC33</t>
  </si>
  <si>
    <t>C93</t>
  </si>
  <si>
    <t>Width</t>
  </si>
  <si>
    <t>HMA</t>
  </si>
  <si>
    <t>AE-90</t>
  </si>
  <si>
    <t>AE-F</t>
  </si>
  <si>
    <t>BC08</t>
  </si>
  <si>
    <t>BC07</t>
  </si>
  <si>
    <t>BC06</t>
  </si>
  <si>
    <t>BC05</t>
  </si>
  <si>
    <t>J02</t>
  </si>
  <si>
    <t>BC04</t>
  </si>
  <si>
    <t>J03</t>
  </si>
  <si>
    <t>J04</t>
  </si>
  <si>
    <t>BC03</t>
  </si>
  <si>
    <t>BC02</t>
  </si>
  <si>
    <t>J05</t>
  </si>
  <si>
    <t>J06</t>
  </si>
  <si>
    <t>BC01</t>
  </si>
  <si>
    <t>C09</t>
  </si>
  <si>
    <t>C07</t>
  </si>
  <si>
    <t>C08</t>
  </si>
  <si>
    <t>J09</t>
  </si>
  <si>
    <t>J08</t>
  </si>
  <si>
    <t>J07</t>
  </si>
  <si>
    <t>BC09</t>
  </si>
  <si>
    <t>C05</t>
  </si>
  <si>
    <t>C03</t>
  </si>
  <si>
    <t>C01</t>
  </si>
  <si>
    <t>C04</t>
  </si>
  <si>
    <t>C06</t>
  </si>
  <si>
    <t>J01</t>
  </si>
  <si>
    <t>BW08</t>
  </si>
  <si>
    <t>BW05</t>
  </si>
  <si>
    <t>BR07</t>
  </si>
  <si>
    <t>BR09</t>
  </si>
  <si>
    <t>BW06</t>
  </si>
  <si>
    <t>BW07</t>
  </si>
  <si>
    <t>BR08</t>
  </si>
  <si>
    <t>BW09</t>
  </si>
  <si>
    <t>BR04</t>
  </si>
  <si>
    <t>BR05</t>
  </si>
  <si>
    <t>BR06</t>
  </si>
  <si>
    <t>V07</t>
  </si>
  <si>
    <t>G03</t>
  </si>
  <si>
    <t>G04</t>
  </si>
  <si>
    <t>V06</t>
  </si>
  <si>
    <t>V05</t>
  </si>
  <si>
    <t>G05</t>
  </si>
  <si>
    <t>V04</t>
  </si>
  <si>
    <t>G06</t>
  </si>
  <si>
    <t>V03</t>
  </si>
  <si>
    <t>G01</t>
  </si>
  <si>
    <t>V09</t>
  </si>
  <si>
    <t>G07</t>
  </si>
  <si>
    <t>B01</t>
  </si>
  <si>
    <t>V02</t>
  </si>
  <si>
    <t>B03</t>
  </si>
  <si>
    <t>B04</t>
  </si>
  <si>
    <t>B05</t>
  </si>
  <si>
    <t>V08</t>
  </si>
  <si>
    <t>B02</t>
  </si>
  <si>
    <t>G02</t>
  </si>
  <si>
    <t>BW02</t>
  </si>
  <si>
    <t>BW03</t>
  </si>
  <si>
    <t>BW04</t>
  </si>
  <si>
    <t>SC09</t>
  </si>
  <si>
    <t>BR01</t>
  </si>
  <si>
    <t>SC08</t>
  </si>
  <si>
    <t>SC07</t>
  </si>
  <si>
    <t>SC06</t>
  </si>
  <si>
    <t>SC05</t>
  </si>
  <si>
    <t>SC04</t>
  </si>
  <si>
    <t>SC03</t>
  </si>
  <si>
    <t>BR02</t>
  </si>
  <si>
    <t>SC01</t>
  </si>
  <si>
    <t>BR03</t>
  </si>
  <si>
    <t>G08</t>
  </si>
  <si>
    <t>G09</t>
  </si>
  <si>
    <t>B07</t>
  </si>
  <si>
    <t>B09</t>
  </si>
  <si>
    <t>B08</t>
  </si>
  <si>
    <t>contact new palestine</t>
  </si>
  <si>
    <t>Gravel past north most house (BOMAG)</t>
  </si>
  <si>
    <t>BOMAG</t>
  </si>
  <si>
    <t>Add wedge</t>
  </si>
  <si>
    <t>material paid by wilkenson $25k agreement)</t>
  </si>
  <si>
    <t>MILES</t>
  </si>
  <si>
    <t>PAVING</t>
  </si>
  <si>
    <t>SEALCOAT</t>
  </si>
  <si>
    <t>MAINT ONLY</t>
  </si>
  <si>
    <t>Denton Trc to 200s only 4,139'</t>
  </si>
  <si>
    <t>PASER 2014</t>
  </si>
  <si>
    <t>PASER 2015</t>
  </si>
  <si>
    <t>SPOT CS</t>
  </si>
  <si>
    <t>NOTE</t>
  </si>
  <si>
    <t>COLTON COURT</t>
  </si>
  <si>
    <t>COLTON RD</t>
  </si>
  <si>
    <t>KAITLIN COURT</t>
  </si>
  <si>
    <t>KAITLIN RD</t>
  </si>
  <si>
    <t>MEDFORD COURT</t>
  </si>
  <si>
    <t>OSPREY DR</t>
  </si>
  <si>
    <t>PHILADELPHIA DRIVE</t>
  </si>
  <si>
    <t>RICHMAN CIRCLE</t>
  </si>
  <si>
    <t>SUMMERHAVEN DRIVE</t>
  </si>
  <si>
    <t>WATERS EDGE BLVD</t>
  </si>
  <si>
    <t>WHISPERING WAY</t>
  </si>
  <si>
    <t>STANSBURY BLVD</t>
  </si>
  <si>
    <t>Alfords</t>
  </si>
  <si>
    <t>Arrowhead</t>
  </si>
  <si>
    <t>Beechwood</t>
  </si>
  <si>
    <t>Bittner Woods</t>
  </si>
  <si>
    <t>BoMar Manor</t>
  </si>
  <si>
    <t>Boulder Creek</t>
  </si>
  <si>
    <t>Briarwood Trace</t>
  </si>
  <si>
    <t>Brier Creek</t>
  </si>
  <si>
    <t>Bristol Ridge</t>
  </si>
  <si>
    <t>Brookville Heights</t>
  </si>
  <si>
    <t>Buck Creek Meadows</t>
  </si>
  <si>
    <t>Charlamore Woods</t>
  </si>
  <si>
    <t>Colonial Heights</t>
  </si>
  <si>
    <t>Cornerstone Village</t>
  </si>
  <si>
    <t>Country Mill</t>
  </si>
  <si>
    <t>Countryside</t>
  </si>
  <si>
    <t>Cranberry Lake Estates</t>
  </si>
  <si>
    <t>Creek Ridge Place</t>
  </si>
  <si>
    <t>Deckshire</t>
  </si>
  <si>
    <t>Deer Run</t>
  </si>
  <si>
    <t>Denton Trace</t>
  </si>
  <si>
    <t>Doe Creek Estates</t>
  </si>
  <si>
    <t>Doe Creek Manor</t>
  </si>
  <si>
    <t>East Gate</t>
  </si>
  <si>
    <t>Easton At Stansbury</t>
  </si>
  <si>
    <t>Easton at Stansbury</t>
  </si>
  <si>
    <t>Fairway Village</t>
  </si>
  <si>
    <t>Fox Cove</t>
  </si>
  <si>
    <t>Gem Meadows</t>
  </si>
  <si>
    <t>Glad Acres</t>
  </si>
  <si>
    <t>Greyhawk Woods</t>
  </si>
  <si>
    <t>Hamilton Heights</t>
  </si>
  <si>
    <t>Heritage Estates</t>
  </si>
  <si>
    <t>Hickory Hill</t>
  </si>
  <si>
    <t>Hickory Woods</t>
  </si>
  <si>
    <t>High Acres</t>
  </si>
  <si>
    <t>Hilton Business Park</t>
  </si>
  <si>
    <t>Hunters Chase</t>
  </si>
  <si>
    <t>Huntington Heights</t>
  </si>
  <si>
    <t>Ivy Dale</t>
  </si>
  <si>
    <t>Lantern Woods</t>
  </si>
  <si>
    <t>Little Brandywine</t>
  </si>
  <si>
    <t>Lynnwood</t>
  </si>
  <si>
    <t>Meadow Lake Estates</t>
  </si>
  <si>
    <t>Meadow Lake Village</t>
  </si>
  <si>
    <t>Meridian Acres</t>
  </si>
  <si>
    <t>Mohr Estates</t>
  </si>
  <si>
    <t>Morning Walk</t>
  </si>
  <si>
    <t>Mt. Comfort Commercial Park</t>
  </si>
  <si>
    <t>Mt. Vernon Pointe</t>
  </si>
  <si>
    <t>New Palestine Village</t>
  </si>
  <si>
    <t>North Brandywine Heights</t>
  </si>
  <si>
    <t>Oakwood</t>
  </si>
  <si>
    <t>Philly Estates</t>
  </si>
  <si>
    <t>Pleasant Acres</t>
  </si>
  <si>
    <t>Portalan Pleasant Plains</t>
  </si>
  <si>
    <t>Raesner-Johnson</t>
  </si>
  <si>
    <t>Raven Field</t>
  </si>
  <si>
    <t>Richman Platz</t>
  </si>
  <si>
    <t>Ridgeview Est.</t>
  </si>
  <si>
    <t>Ridgewood</t>
  </si>
  <si>
    <t>Rockwood</t>
  </si>
  <si>
    <t>Schildmeier Village</t>
  </si>
  <si>
    <t>Schildmeier Woods</t>
  </si>
  <si>
    <t>Shadow Creek</t>
  </si>
  <si>
    <t>Shady Creek</t>
  </si>
  <si>
    <t>Shel-Lyn Estates</t>
  </si>
  <si>
    <t>Southern Knoll</t>
  </si>
  <si>
    <t>Spring Meadows</t>
  </si>
  <si>
    <t>Stansbury</t>
  </si>
  <si>
    <t>Sugar Creek Estates</t>
  </si>
  <si>
    <t>Sugar Creek Heights</t>
  </si>
  <si>
    <t>Sugar Creek Valley Estates</t>
  </si>
  <si>
    <t>Sugar Creek View</t>
  </si>
  <si>
    <t>Sugar Hills</t>
  </si>
  <si>
    <t>Summerfield</t>
  </si>
  <si>
    <t>Summerhaven</t>
  </si>
  <si>
    <t>Sun Ridge Estates</t>
  </si>
  <si>
    <t>Sunset Manor</t>
  </si>
  <si>
    <t>Sweet Creek Woods</t>
  </si>
  <si>
    <t>Sycamore Hills</t>
  </si>
  <si>
    <t>Timberbrook Estates</t>
  </si>
  <si>
    <t>Time Capsule Park</t>
  </si>
  <si>
    <t>Twin Oaks</t>
  </si>
  <si>
    <t>Valley Green</t>
  </si>
  <si>
    <t>Valley View Plantation</t>
  </si>
  <si>
    <t>Vernon Woods</t>
  </si>
  <si>
    <t>Village Green</t>
  </si>
  <si>
    <t>Walnut Ridge</t>
  </si>
  <si>
    <t>Wildwood Estates</t>
  </si>
  <si>
    <t>Wildwood North</t>
  </si>
  <si>
    <t>Willow Grove</t>
  </si>
  <si>
    <t>Windhaven</t>
  </si>
  <si>
    <t>Wood Dale</t>
  </si>
  <si>
    <t>Woodbury Manor</t>
  </si>
  <si>
    <t>Woodcrest</t>
  </si>
  <si>
    <t>NHP</t>
  </si>
  <si>
    <t>Neighborhood Patch and Seal</t>
  </si>
  <si>
    <t>Neighborhood Patch</t>
  </si>
  <si>
    <t>GREY FEATHER TRAIL</t>
  </si>
  <si>
    <t>HIGH ACRES WEST DR</t>
  </si>
  <si>
    <t>HIGH ACRES WEST COURT</t>
  </si>
  <si>
    <t>HIGH ACRES SOUTH COURT</t>
  </si>
  <si>
    <t>HIGH ACRES EAST DR</t>
  </si>
  <si>
    <t>HIGH ACRES NORTH COURT</t>
  </si>
  <si>
    <t>PARKSIDE DRIVE</t>
  </si>
  <si>
    <t>MOHR ESTATES SOUTH DRIVE</t>
  </si>
  <si>
    <t>MOHR ESTATES MIDDLE DRIVE</t>
  </si>
  <si>
    <t>ARBOR LANE</t>
  </si>
  <si>
    <t>BRIER CREEK COURT</t>
  </si>
  <si>
    <t>PARKVIEW DR</t>
  </si>
  <si>
    <t>HICKORY WOODS LANE</t>
  </si>
  <si>
    <t>HICKORY DRIVE (W)</t>
  </si>
  <si>
    <t>RAVENFIELD CRT(N)</t>
  </si>
  <si>
    <t>Apple's Maxwell</t>
  </si>
  <si>
    <t>Stinemyer Crossing</t>
  </si>
  <si>
    <t>BURR OAK DRIVE</t>
  </si>
  <si>
    <t>LAKEWOOD COURT</t>
  </si>
  <si>
    <t>CREEK RIDGE DRIVE</t>
  </si>
  <si>
    <t>AMANDA COURT</t>
  </si>
  <si>
    <t>MAIELLEN COURT</t>
  </si>
  <si>
    <t>EASY ST.</t>
  </si>
  <si>
    <t>ACCESS DRIVE</t>
  </si>
  <si>
    <t>COTTONWOOD DRIVE</t>
  </si>
  <si>
    <t>CREEKVIEW DRIVE</t>
  </si>
  <si>
    <t>BEECH TREE DR</t>
  </si>
  <si>
    <t>PARKWAY COURT</t>
  </si>
  <si>
    <t>1025 E</t>
  </si>
  <si>
    <t>Price Park</t>
  </si>
  <si>
    <t>Heron Creek</t>
  </si>
  <si>
    <t>WHITESIDE CT</t>
  </si>
  <si>
    <t>CREEKWATER PASS</t>
  </si>
  <si>
    <t>WATERS EDGE CT</t>
  </si>
  <si>
    <t>SUBDIVISION</t>
  </si>
  <si>
    <t>VILLAGE DRIVE (S)</t>
  </si>
  <si>
    <t>BC82a</t>
  </si>
  <si>
    <t>J65.5</t>
  </si>
  <si>
    <t>BC30.5</t>
  </si>
  <si>
    <t>CO LINE.</t>
  </si>
  <si>
    <t>J86-1</t>
  </si>
  <si>
    <t>C67</t>
  </si>
  <si>
    <t>C72</t>
  </si>
  <si>
    <t>J71-1</t>
  </si>
  <si>
    <t>C56</t>
  </si>
  <si>
    <t>East</t>
  </si>
  <si>
    <t>Middle</t>
  </si>
  <si>
    <t>West</t>
  </si>
  <si>
    <t>North</t>
  </si>
  <si>
    <t>South</t>
  </si>
  <si>
    <t>3S</t>
  </si>
  <si>
    <t>Widening or turn lane for concrete company</t>
  </si>
  <si>
    <t>Grand Total</t>
  </si>
  <si>
    <t>Sum of COST</t>
  </si>
  <si>
    <t>pave between 5 and 6</t>
  </si>
  <si>
    <t>Use Bomag Tim Cain 4983716</t>
  </si>
  <si>
    <t>MICRO</t>
  </si>
  <si>
    <t>MicroSurface</t>
  </si>
  <si>
    <t>DS as far north as you can</t>
  </si>
  <si>
    <t>Micro</t>
  </si>
  <si>
    <t>Blue River</t>
  </si>
  <si>
    <t>Send Greenfield bill for there parts</t>
  </si>
  <si>
    <t>BOMAG just the bad spots</t>
  </si>
  <si>
    <t>BOMAG FDR</t>
  </si>
  <si>
    <t>Not Areas we already did.</t>
  </si>
  <si>
    <t>CALENDER</t>
  </si>
  <si>
    <t>RS2</t>
  </si>
  <si>
    <t>No. 53</t>
  </si>
  <si>
    <t>ManHour</t>
  </si>
  <si>
    <t>No. 11</t>
  </si>
  <si>
    <t>No.9</t>
  </si>
  <si>
    <t>SEGMENT</t>
  </si>
  <si>
    <t>SEG NAME</t>
  </si>
  <si>
    <t>NOTE2</t>
  </si>
  <si>
    <t>Material Cost</t>
  </si>
  <si>
    <t>RS-2</t>
  </si>
  <si>
    <t>No. 9</t>
  </si>
  <si>
    <t>Manhour</t>
  </si>
  <si>
    <t>Cold Patch</t>
  </si>
  <si>
    <t>RSL Add</t>
  </si>
  <si>
    <t>RSL remain</t>
  </si>
  <si>
    <t>HISTORIC</t>
  </si>
  <si>
    <t>RSL</t>
  </si>
  <si>
    <t>RSLloss</t>
  </si>
  <si>
    <t>RSL loss Till Repair</t>
  </si>
  <si>
    <t>Sum of RSL Add</t>
  </si>
  <si>
    <t>Count of RSL Loss</t>
  </si>
  <si>
    <t>Row Labels</t>
  </si>
  <si>
    <t>(blank)</t>
  </si>
  <si>
    <t>PASER 2016</t>
  </si>
  <si>
    <t>PAINT YEAR</t>
  </si>
  <si>
    <t>AARON Court</t>
  </si>
  <si>
    <t>Sum of Length ft</t>
  </si>
  <si>
    <t>Miles</t>
  </si>
  <si>
    <t>TOTAL</t>
  </si>
  <si>
    <t>NEIGHBORHOOD</t>
  </si>
  <si>
    <t>ROADS</t>
  </si>
  <si>
    <t>1000E/350N</t>
  </si>
  <si>
    <t>Fix Crown</t>
  </si>
  <si>
    <t>CITY LIMITS</t>
  </si>
  <si>
    <t>CPR</t>
  </si>
  <si>
    <t>300s</t>
  </si>
  <si>
    <t>strip paved  9 surface</t>
  </si>
  <si>
    <t>needs crack sealed</t>
  </si>
  <si>
    <t>led 1st</t>
  </si>
  <si>
    <t>Medow Song Ct N.</t>
  </si>
  <si>
    <t>C15.5</t>
  </si>
  <si>
    <t>200N/MERIDIAN</t>
  </si>
  <si>
    <t>600W/US52</t>
  </si>
  <si>
    <t>Apple cave   court</t>
  </si>
  <si>
    <t>MICROSEAL</t>
  </si>
  <si>
    <t>PASER 2017</t>
  </si>
  <si>
    <t>850E/100N</t>
  </si>
  <si>
    <t>Sum of Length</t>
  </si>
  <si>
    <t>Column Labels</t>
  </si>
  <si>
    <t>Willow Branch</t>
  </si>
  <si>
    <t>Centennial Village</t>
  </si>
  <si>
    <t>EASTERN VILLAGE</t>
  </si>
  <si>
    <t>Eastern Village</t>
  </si>
  <si>
    <t>50N</t>
  </si>
  <si>
    <t>1/2 mi</t>
  </si>
  <si>
    <t xml:space="preserve">PLANNED </t>
  </si>
  <si>
    <t>COMPLETE</t>
  </si>
  <si>
    <t>REMAIN</t>
  </si>
  <si>
    <t>% remain</t>
  </si>
  <si>
    <t>100S/750E</t>
  </si>
  <si>
    <t>WILMONT</t>
  </si>
  <si>
    <t>Wilmont</t>
  </si>
  <si>
    <t>S800W</t>
  </si>
  <si>
    <t>W HARRISBURG CT</t>
  </si>
  <si>
    <t>S CENTENNIAL AVE</t>
  </si>
  <si>
    <t>S PHILADELPHIA PASS</t>
  </si>
  <si>
    <t>W CONGRESS CV</t>
  </si>
  <si>
    <t>Jackson</t>
  </si>
  <si>
    <t>Vernon</t>
  </si>
  <si>
    <t>Brandywine</t>
  </si>
  <si>
    <t>JACKSON</t>
  </si>
  <si>
    <t>COUNTRY LANE</t>
  </si>
  <si>
    <t>Bittersweet Acres</t>
  </si>
  <si>
    <t>STONER</t>
  </si>
  <si>
    <t>COMMERCIAL</t>
  </si>
  <si>
    <t>THISTLE BURR</t>
  </si>
  <si>
    <t>Old Shagbark Woods</t>
  </si>
  <si>
    <t>LAST FIX</t>
  </si>
  <si>
    <t>LAST FIX YEAR</t>
  </si>
  <si>
    <t>CHIP</t>
  </si>
  <si>
    <t>$</t>
  </si>
  <si>
    <t>AVG</t>
  </si>
  <si>
    <t>crack</t>
  </si>
  <si>
    <t>From about 550E to 500E</t>
  </si>
  <si>
    <t>Full Depth HMA Pave</t>
  </si>
  <si>
    <t>Neighborhood HMA with CnG</t>
  </si>
  <si>
    <t>Seal Coated</t>
  </si>
  <si>
    <t>Concrete Pavement</t>
  </si>
  <si>
    <t>HMA Pavement</t>
  </si>
  <si>
    <t>HMA Pavement (added to below)</t>
  </si>
  <si>
    <t>TYPE</t>
  </si>
  <si>
    <t>PASER 2018</t>
  </si>
  <si>
    <t>2018 CRACK</t>
  </si>
  <si>
    <t>Call 714 7586 Scott Holly</t>
  </si>
  <si>
    <t>NO EDGING</t>
  </si>
  <si>
    <t>(All)</t>
  </si>
  <si>
    <t>BOULDER CREEK LANE</t>
  </si>
  <si>
    <t>Check Drainage in front of church,  Can we lower.  Watch out for cemetary water.  Watch HUC14 watershed.</t>
  </si>
  <si>
    <t>Greenfield's (Annexed)</t>
  </si>
  <si>
    <t>Maple Grove</t>
  </si>
  <si>
    <t>50 W</t>
  </si>
  <si>
    <t>ROBERTS CT. (W)</t>
  </si>
  <si>
    <t>John Smith Donation to Pave upgrade</t>
  </si>
  <si>
    <t>CENTENNIAL AVE (S)</t>
  </si>
  <si>
    <t>PHILADELPHIA PASS (S)</t>
  </si>
  <si>
    <t>CONGRESS CV (W)</t>
  </si>
  <si>
    <t>HARRISBURG CT (W)</t>
  </si>
  <si>
    <t>Cost Compete</t>
  </si>
  <si>
    <t>MicroSeal</t>
  </si>
  <si>
    <t>Physical % left</t>
  </si>
  <si>
    <t>% Season left</t>
  </si>
  <si>
    <t>Just south of 3 north</t>
  </si>
  <si>
    <t>Maybe a scrub seal candidate</t>
  </si>
  <si>
    <t>RSL2014</t>
  </si>
  <si>
    <t>RSL2015</t>
  </si>
  <si>
    <t>RSL2016</t>
  </si>
  <si>
    <t>RSL 2018</t>
  </si>
  <si>
    <t>RSL2017</t>
  </si>
  <si>
    <t>SECTION</t>
  </si>
  <si>
    <t>300W/400S</t>
  </si>
  <si>
    <t>MERIDIAN RD./400N</t>
  </si>
  <si>
    <t>125W/200N</t>
  </si>
  <si>
    <t>BUCK CREEK RD./150N</t>
  </si>
  <si>
    <t>500W/DEAD END</t>
  </si>
  <si>
    <t>DEAD END</t>
  </si>
  <si>
    <t>LAST PAINT YEAR</t>
  </si>
  <si>
    <t>E. E ST.</t>
  </si>
  <si>
    <t>STONE</t>
  </si>
  <si>
    <t>Unimproved</t>
  </si>
  <si>
    <t>HANCOCK</t>
  </si>
  <si>
    <t>GOOD</t>
  </si>
  <si>
    <t>FAIR</t>
  </si>
  <si>
    <t>POOR</t>
  </si>
  <si>
    <t>Few Potholes can drive normal speed</t>
  </si>
  <si>
    <t>Can't drive normal speed without risk of damage/injury</t>
  </si>
  <si>
    <t>I think we may have some PASER inflation.  May need to recalibrate how we rate.  I think we're doing fine but this is too far ahead.</t>
  </si>
  <si>
    <t>700 N</t>
  </si>
  <si>
    <t>WILKINSON TWN</t>
  </si>
  <si>
    <t>NOTES</t>
  </si>
  <si>
    <t>100% 300lb SY</t>
  </si>
  <si>
    <t>10% Pave 200lb SY if needed</t>
  </si>
  <si>
    <t>20% Pave 200lf SY if needed</t>
  </si>
  <si>
    <t>50% Pave 300lb SY</t>
  </si>
  <si>
    <t>all CS and Pave</t>
  </si>
  <si>
    <t>gravel roads only</t>
  </si>
  <si>
    <t>DAVE</t>
  </si>
  <si>
    <t>injection patch well</t>
  </si>
  <si>
    <t>PASER 2019</t>
  </si>
  <si>
    <t>3442 N 525E will receive excess material 3176943113 Scott Johnson call to have look.</t>
  </si>
  <si>
    <t>call sam weist 765-745-0606 someone pumping onto road, town doesn't have money yet.</t>
  </si>
  <si>
    <t>All holes patched cracks sealed.  Few Cracks open no holes</t>
  </si>
  <si>
    <t>Last fatal accident</t>
  </si>
  <si>
    <t>fiscal</t>
  </si>
  <si>
    <t>days from scedual</t>
  </si>
  <si>
    <t>A285</t>
  </si>
  <si>
    <t>BUT UP SIGN OR CALL Jay Mills (317) 590-4397 before working out here.</t>
  </si>
  <si>
    <t>NO FIX WHILE GUN RANGE IN PLACE</t>
  </si>
  <si>
    <t>SP Over Bleeding Roads</t>
  </si>
  <si>
    <t>Strip paved from 4 way Stop south for 325'</t>
  </si>
  <si>
    <t>POOL PLAN</t>
  </si>
  <si>
    <t>SEGMENTS</t>
  </si>
  <si>
    <t>CITIES</t>
  </si>
  <si>
    <t>COUNTIES</t>
  </si>
  <si>
    <t>Year</t>
  </si>
  <si>
    <t>Rating</t>
  </si>
  <si>
    <t>Treatment Used</t>
  </si>
  <si>
    <t>Estimated Cost per Mile</t>
  </si>
  <si>
    <t>Estimated Miles</t>
  </si>
  <si>
    <t>Estimated Cost</t>
  </si>
  <si>
    <t>Order</t>
  </si>
  <si>
    <t>Treatment Options</t>
  </si>
  <si>
    <t>Asphalt Full Depth Repairs</t>
  </si>
  <si>
    <t>Cape Seal</t>
  </si>
  <si>
    <t>Chip Seal - Double</t>
  </si>
  <si>
    <t>Chip Seal - Double and Fog</t>
  </si>
  <si>
    <t>Chip Seal - Triple</t>
  </si>
  <si>
    <t>Chip Seal and Fog</t>
  </si>
  <si>
    <t>Chip Seal and Microsurfacing</t>
  </si>
  <si>
    <t>Chip Seal and Patch and Berming</t>
  </si>
  <si>
    <t>Cold Mix Asphalt</t>
  </si>
  <si>
    <t>Concrete - Full Depth Repairs</t>
  </si>
  <si>
    <t>Concrete - Joint/Crack Sealing</t>
  </si>
  <si>
    <t>Concrete - Partial Depth Repairs</t>
  </si>
  <si>
    <t>Concrete - Slab Replacement</t>
  </si>
  <si>
    <t>Crack Seal and Chip Seal</t>
  </si>
  <si>
    <t>Crack Seal and Microsurface</t>
  </si>
  <si>
    <t>Crack Seal and Patching</t>
  </si>
  <si>
    <t>Crack Seal and Rejuventor</t>
  </si>
  <si>
    <t>Dust Control</t>
  </si>
  <si>
    <t>Full Depth Reclamation with Asphalt</t>
  </si>
  <si>
    <t>Full Depth Reclamation with Chip Seal</t>
  </si>
  <si>
    <t>Liquid Road</t>
  </si>
  <si>
    <t>Microsurface</t>
  </si>
  <si>
    <t>Microsurface and Patching</t>
  </si>
  <si>
    <t>Microsurface double</t>
  </si>
  <si>
    <t>Microsurface double and patch</t>
  </si>
  <si>
    <t>Mill and Chip Seal</t>
  </si>
  <si>
    <t>Mill and Double Chip Seal</t>
  </si>
  <si>
    <t>Mill and Overaly - 2"</t>
  </si>
  <si>
    <t>Mill and Overlay - 1"</t>
  </si>
  <si>
    <t>Mill and Overlay - 1.5"</t>
  </si>
  <si>
    <t>Mill and Overlay - 2.5"</t>
  </si>
  <si>
    <t>Mill and Overlay - 3"</t>
  </si>
  <si>
    <t>Mill and Overlay - 4"</t>
  </si>
  <si>
    <t>Mill and Triple Chip Seal</t>
  </si>
  <si>
    <t>New Road Construction</t>
  </si>
  <si>
    <t>Overlay  &lt; 1.5"</t>
  </si>
  <si>
    <t>Overlay - 1.5"</t>
  </si>
  <si>
    <t>Overlay - 2"</t>
  </si>
  <si>
    <t>Overlay - 2.5"</t>
  </si>
  <si>
    <t>Overlay - 3"</t>
  </si>
  <si>
    <t>Overlay - 4"</t>
  </si>
  <si>
    <t>Patching/Pot Hole Filling</t>
  </si>
  <si>
    <t>Pug Mix Asphalt</t>
  </si>
  <si>
    <t>Reconstruction - Asphalt</t>
  </si>
  <si>
    <t>Reconstruction - Concrete</t>
  </si>
  <si>
    <t>Rejuvenator</t>
  </si>
  <si>
    <t>Roller Compacted Concrete</t>
  </si>
  <si>
    <t>Slurry Seal</t>
  </si>
  <si>
    <t>Thin Concrete Overlay</t>
  </si>
  <si>
    <t>IRWIN DRIVE (W)</t>
  </si>
  <si>
    <t>N BUCK CREEK RD</t>
  </si>
  <si>
    <t>changed to paving  may have money from grant to move to 2020</t>
  </si>
  <si>
    <t>PASER 2020</t>
  </si>
  <si>
    <t xml:space="preserve">double seal going east from 50 E past houses then GG to SR9 </t>
  </si>
  <si>
    <t>McCordsville</t>
  </si>
  <si>
    <t>from previos finish</t>
  </si>
  <si>
    <t xml:space="preserve">COTTONWOOD </t>
  </si>
  <si>
    <t>PASER 2021</t>
  </si>
  <si>
    <t>(Multiple Items)</t>
  </si>
  <si>
    <t>HAS PAINT Y/N</t>
  </si>
  <si>
    <t>Y</t>
  </si>
  <si>
    <t>PASER 2022</t>
  </si>
  <si>
    <t>city</t>
  </si>
  <si>
    <t>ton/mi</t>
  </si>
  <si>
    <t>gal/mi</t>
  </si>
  <si>
    <t>Pavement Interlayer topped with 1.5" HMA</t>
  </si>
  <si>
    <t>%complete</t>
  </si>
  <si>
    <t>N</t>
  </si>
  <si>
    <t>PASER 2023</t>
  </si>
  <si>
    <t>700N/200W</t>
  </si>
  <si>
    <t>AIRPORT BLV</t>
  </si>
  <si>
    <t>CCMG 2023-2</t>
  </si>
  <si>
    <t xml:space="preserve"> CCMG 2023-2</t>
  </si>
  <si>
    <t>CAPE</t>
  </si>
  <si>
    <t>contractor completed</t>
  </si>
  <si>
    <t>Mirosurface Double</t>
  </si>
  <si>
    <t>Microsurface Double</t>
  </si>
  <si>
    <t>Cape Sealed in 2024</t>
  </si>
  <si>
    <t>PAID</t>
  </si>
  <si>
    <t>reconst asphalt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</si>
</sst>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"/>
    <numFmt numFmtId="166" formatCode="0.0"/>
    <numFmt numFmtId="167" formatCode="#\ \F\T"/>
    <numFmt numFmtId="168" formatCode="0.00000"/>
    <numFmt numFmtId="169" formatCode="_(* #,##0_);_(* \(#,##0\);_(* &quot;-&quot;??_);_(@_)"/>
    <numFmt numFmtId="170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4"/>
      <color indexed="8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</cellStyleXfs>
  <cellXfs count="233">
    <xf numFmtId="0" fontId="0" fillId="0" borderId="0" xfId="0"/>
    <xf numFmtId="44" fontId="0" fillId="0" borderId="0" xfId="1" applyFont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8" xfId="0" applyBorder="1"/>
    <xf numFmtId="0" fontId="0" fillId="0" borderId="0" xfId="0" applyAlignment="1">
      <alignment horizontal="left"/>
    </xf>
    <xf numFmtId="1" fontId="0" fillId="0" borderId="0" xfId="0" applyNumberFormat="1"/>
    <xf numFmtId="164" fontId="0" fillId="0" borderId="0" xfId="1" applyNumberFormat="1" applyFont="1"/>
    <xf numFmtId="164" fontId="0" fillId="0" borderId="3" xfId="1" applyNumberFormat="1" applyFont="1" applyBorder="1"/>
    <xf numFmtId="164" fontId="0" fillId="0" borderId="1" xfId="1" applyNumberFormat="1" applyFont="1" applyBorder="1"/>
    <xf numFmtId="164" fontId="0" fillId="0" borderId="8" xfId="1" applyNumberFormat="1" applyFont="1" applyBorder="1"/>
    <xf numFmtId="1" fontId="0" fillId="0" borderId="1" xfId="0" applyNumberFormat="1" applyBorder="1" applyAlignment="1">
      <alignment horizontal="right"/>
    </xf>
    <xf numFmtId="44" fontId="0" fillId="3" borderId="5" xfId="1" applyNumberFormat="1" applyFont="1" applyFill="1" applyBorder="1"/>
    <xf numFmtId="0" fontId="0" fillId="4" borderId="1" xfId="0" applyFill="1" applyBorder="1" applyAlignment="1">
      <alignment horizontal="left"/>
    </xf>
    <xf numFmtId="0" fontId="3" fillId="4" borderId="1" xfId="0" applyFont="1" applyFill="1" applyBorder="1"/>
    <xf numFmtId="0" fontId="3" fillId="0" borderId="1" xfId="0" applyFont="1" applyFill="1" applyBorder="1"/>
    <xf numFmtId="0" fontId="3" fillId="2" borderId="1" xfId="0" applyFont="1" applyFill="1" applyBorder="1"/>
    <xf numFmtId="42" fontId="0" fillId="0" borderId="2" xfId="1" applyNumberFormat="1" applyFont="1" applyBorder="1"/>
    <xf numFmtId="42" fontId="0" fillId="0" borderId="5" xfId="1" applyNumberFormat="1" applyFont="1" applyBorder="1"/>
    <xf numFmtId="42" fontId="0" fillId="3" borderId="5" xfId="1" applyNumberFormat="1" applyFont="1" applyFill="1" applyBorder="1"/>
    <xf numFmtId="42" fontId="0" fillId="0" borderId="7" xfId="1" applyNumberFormat="1" applyFont="1" applyBorder="1"/>
    <xf numFmtId="44" fontId="0" fillId="0" borderId="0" xfId="0" applyNumberFormat="1"/>
    <xf numFmtId="0" fontId="0" fillId="0" borderId="0" xfId="0" pivotButton="1"/>
    <xf numFmtId="165" fontId="0" fillId="0" borderId="0" xfId="0" applyNumberFormat="1"/>
    <xf numFmtId="0" fontId="0" fillId="0" borderId="1" xfId="0" applyFill="1" applyBorder="1"/>
    <xf numFmtId="44" fontId="0" fillId="0" borderId="1" xfId="1" applyFont="1" applyBorder="1"/>
    <xf numFmtId="0" fontId="0" fillId="3" borderId="1" xfId="0" applyFill="1" applyBorder="1"/>
    <xf numFmtId="0" fontId="2" fillId="0" borderId="1" xfId="0" applyFont="1" applyFill="1" applyBorder="1" applyAlignment="1" applyProtection="1">
      <alignment horizontal="right" vertical="center" wrapText="1"/>
    </xf>
    <xf numFmtId="0" fontId="0" fillId="6" borderId="1" xfId="0" applyFill="1" applyBorder="1"/>
    <xf numFmtId="0" fontId="0" fillId="0" borderId="1" xfId="0" applyBorder="1" applyAlignment="1">
      <alignment horizontal="left"/>
    </xf>
    <xf numFmtId="0" fontId="0" fillId="6" borderId="1" xfId="0" applyFill="1" applyBorder="1" applyAlignment="1">
      <alignment horizontal="left"/>
    </xf>
    <xf numFmtId="43" fontId="0" fillId="0" borderId="1" xfId="2" applyFont="1" applyBorder="1"/>
    <xf numFmtId="0" fontId="4" fillId="6" borderId="1" xfId="3" applyFont="1" applyFill="1" applyBorder="1" applyAlignment="1">
      <alignment wrapText="1"/>
    </xf>
    <xf numFmtId="1" fontId="0" fillId="0" borderId="1" xfId="0" applyNumberFormat="1" applyBorder="1"/>
    <xf numFmtId="0" fontId="0" fillId="0" borderId="1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5" borderId="1" xfId="0" applyFill="1" applyBorder="1" applyAlignment="1">
      <alignment horizontal="left"/>
    </xf>
    <xf numFmtId="43" fontId="0" fillId="6" borderId="1" xfId="2" applyFont="1" applyFill="1" applyBorder="1"/>
    <xf numFmtId="0" fontId="0" fillId="3" borderId="1" xfId="0" applyFill="1" applyBorder="1" applyAlignment="1">
      <alignment horizontal="left"/>
    </xf>
    <xf numFmtId="0" fontId="4" fillId="3" borderId="1" xfId="3" applyFont="1" applyFill="1" applyBorder="1" applyAlignment="1">
      <alignment wrapText="1"/>
    </xf>
    <xf numFmtId="1" fontId="0" fillId="0" borderId="1" xfId="0" applyNumberFormat="1" applyFill="1" applyBorder="1" applyAlignment="1">
      <alignment horizontal="center"/>
    </xf>
    <xf numFmtId="43" fontId="0" fillId="0" borderId="1" xfId="2" applyFont="1" applyFill="1" applyBorder="1"/>
    <xf numFmtId="1" fontId="0" fillId="0" borderId="1" xfId="0" applyNumberFormat="1" applyFill="1" applyBorder="1"/>
    <xf numFmtId="0" fontId="4" fillId="0" borderId="1" xfId="3" applyFont="1" applyFill="1" applyBorder="1" applyAlignment="1">
      <alignment wrapText="1"/>
    </xf>
    <xf numFmtId="43" fontId="0" fillId="3" borderId="1" xfId="2" applyFont="1" applyFill="1" applyBorder="1"/>
    <xf numFmtId="44" fontId="0" fillId="0" borderId="1" xfId="1" applyFont="1" applyFill="1" applyBorder="1"/>
    <xf numFmtId="166" fontId="0" fillId="0" borderId="1" xfId="0" applyNumberFormat="1" applyFill="1" applyBorder="1"/>
    <xf numFmtId="0" fontId="0" fillId="0" borderId="1" xfId="0" applyNumberFormat="1" applyBorder="1"/>
    <xf numFmtId="0" fontId="0" fillId="0" borderId="0" xfId="0" applyNumberFormat="1"/>
    <xf numFmtId="0" fontId="0" fillId="0" borderId="10" xfId="0" applyBorder="1"/>
    <xf numFmtId="0" fontId="0" fillId="0" borderId="11" xfId="0" applyBorder="1"/>
    <xf numFmtId="0" fontId="0" fillId="0" borderId="12" xfId="0" applyBorder="1"/>
    <xf numFmtId="44" fontId="0" fillId="0" borderId="13" xfId="1" applyFont="1" applyBorder="1"/>
    <xf numFmtId="0" fontId="0" fillId="0" borderId="14" xfId="0" applyBorder="1"/>
    <xf numFmtId="44" fontId="0" fillId="0" borderId="15" xfId="1" applyFont="1" applyBorder="1"/>
    <xf numFmtId="0" fontId="0" fillId="0" borderId="2" xfId="0" applyBorder="1"/>
    <xf numFmtId="0" fontId="0" fillId="0" borderId="5" xfId="0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7" xfId="0" applyBorder="1"/>
    <xf numFmtId="44" fontId="0" fillId="0" borderId="16" xfId="1" applyFont="1" applyBorder="1"/>
    <xf numFmtId="0" fontId="0" fillId="0" borderId="16" xfId="0" applyBorder="1"/>
    <xf numFmtId="0" fontId="0" fillId="0" borderId="17" xfId="0" applyBorder="1"/>
    <xf numFmtId="0" fontId="0" fillId="0" borderId="13" xfId="0" applyBorder="1"/>
    <xf numFmtId="0" fontId="0" fillId="0" borderId="15" xfId="0" applyBorder="1"/>
    <xf numFmtId="0" fontId="0" fillId="0" borderId="1" xfId="0" applyNumberFormat="1" applyFill="1" applyBorder="1"/>
    <xf numFmtId="0" fontId="0" fillId="0" borderId="1" xfId="1" applyNumberFormat="1" applyFont="1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" fontId="0" fillId="0" borderId="0" xfId="0" applyNumberFormat="1"/>
    <xf numFmtId="2" fontId="0" fillId="0" borderId="1" xfId="0" applyNumberFormat="1" applyFill="1" applyBorder="1"/>
    <xf numFmtId="2" fontId="0" fillId="0" borderId="1" xfId="0" applyNumberForma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43" fontId="0" fillId="0" borderId="0" xfId="2" applyFont="1"/>
    <xf numFmtId="167" fontId="0" fillId="0" borderId="0" xfId="0" applyNumberFormat="1"/>
    <xf numFmtId="0" fontId="6" fillId="6" borderId="1" xfId="3" applyFont="1" applyFill="1" applyBorder="1" applyAlignment="1">
      <alignment wrapText="1"/>
    </xf>
    <xf numFmtId="0" fontId="7" fillId="0" borderId="1" xfId="0" applyFont="1" applyFill="1" applyBorder="1"/>
    <xf numFmtId="0" fontId="8" fillId="0" borderId="1" xfId="0" applyFont="1" applyFill="1" applyBorder="1" applyAlignment="1" applyProtection="1">
      <alignment horizontal="right" vertical="center" wrapText="1"/>
    </xf>
    <xf numFmtId="1" fontId="7" fillId="0" borderId="1" xfId="0" applyNumberFormat="1" applyFont="1" applyFill="1" applyBorder="1" applyAlignment="1">
      <alignment horizontal="center"/>
    </xf>
    <xf numFmtId="44" fontId="7" fillId="0" borderId="1" xfId="1" applyFont="1" applyFill="1" applyBorder="1"/>
    <xf numFmtId="0" fontId="1" fillId="0" borderId="1" xfId="0" applyFont="1" applyFill="1" applyBorder="1"/>
    <xf numFmtId="1" fontId="1" fillId="0" borderId="1" xfId="0" applyNumberFormat="1" applyFont="1" applyFill="1" applyBorder="1" applyAlignment="1">
      <alignment horizontal="center"/>
    </xf>
    <xf numFmtId="44" fontId="1" fillId="0" borderId="1" xfId="1" applyFont="1" applyFill="1" applyBorder="1"/>
    <xf numFmtId="0" fontId="0" fillId="0" borderId="1" xfId="0" applyFont="1" applyFill="1" applyBorder="1"/>
    <xf numFmtId="0" fontId="0" fillId="0" borderId="1" xfId="0" applyFont="1" applyFill="1" applyBorder="1" applyAlignment="1">
      <alignment horizontal="left"/>
    </xf>
    <xf numFmtId="44" fontId="0" fillId="0" borderId="1" xfId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4" fontId="0" fillId="0" borderId="0" xfId="0" applyNumberFormat="1" applyFill="1" applyBorder="1"/>
    <xf numFmtId="2" fontId="0" fillId="0" borderId="0" xfId="0" applyNumberFormat="1" applyFill="1" applyBorder="1"/>
    <xf numFmtId="2" fontId="0" fillId="0" borderId="0" xfId="4" applyNumberFormat="1" applyFont="1" applyFill="1" applyBorder="1"/>
    <xf numFmtId="166" fontId="0" fillId="0" borderId="0" xfId="0" applyNumberFormat="1" applyFill="1" applyBorder="1"/>
    <xf numFmtId="9" fontId="0" fillId="0" borderId="0" xfId="4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44" fontId="0" fillId="0" borderId="0" xfId="1" applyFont="1" applyFill="1" applyBorder="1"/>
    <xf numFmtId="0" fontId="0" fillId="0" borderId="0" xfId="0" applyFill="1" applyBorder="1" applyAlignment="1">
      <alignment horizontal="center" vertical="center" wrapText="1"/>
    </xf>
    <xf numFmtId="166" fontId="0" fillId="0" borderId="0" xfId="4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Border="1"/>
    <xf numFmtId="44" fontId="0" fillId="0" borderId="0" xfId="0" applyNumberFormat="1" applyFill="1" applyBorder="1"/>
    <xf numFmtId="0" fontId="0" fillId="0" borderId="0" xfId="1" applyNumberFormat="1" applyFont="1" applyFill="1" applyBorder="1"/>
    <xf numFmtId="44" fontId="0" fillId="0" borderId="1" xfId="0" applyNumberFormat="1" applyFill="1" applyBorder="1" applyAlignment="1">
      <alignment horizontal="center"/>
    </xf>
    <xf numFmtId="0" fontId="9" fillId="0" borderId="1" xfId="0" applyFont="1" applyFill="1" applyBorder="1"/>
    <xf numFmtId="44" fontId="9" fillId="0" borderId="1" xfId="1" applyFont="1" applyFill="1" applyBorder="1"/>
    <xf numFmtId="0" fontId="10" fillId="6" borderId="1" xfId="3" applyFont="1" applyFill="1" applyBorder="1" applyAlignment="1">
      <alignment wrapText="1"/>
    </xf>
    <xf numFmtId="0" fontId="11" fillId="0" borderId="1" xfId="0" applyFont="1" applyFill="1" applyBorder="1" applyAlignment="1" applyProtection="1">
      <alignment horizontal="right" vertical="center" wrapText="1"/>
    </xf>
    <xf numFmtId="1" fontId="9" fillId="0" borderId="1" xfId="0" applyNumberFormat="1" applyFont="1" applyFill="1" applyBorder="1" applyAlignment="1">
      <alignment horizontal="center"/>
    </xf>
    <xf numFmtId="1" fontId="9" fillId="0" borderId="1" xfId="0" applyNumberFormat="1" applyFont="1" applyFill="1" applyBorder="1"/>
    <xf numFmtId="0" fontId="9" fillId="0" borderId="1" xfId="0" applyFont="1" applyBorder="1"/>
    <xf numFmtId="44" fontId="9" fillId="0" borderId="1" xfId="1" applyFont="1" applyFill="1" applyBorder="1" applyAlignment="1">
      <alignment horizontal="center"/>
    </xf>
    <xf numFmtId="0" fontId="9" fillId="6" borderId="1" xfId="0" applyFont="1" applyFill="1" applyBorder="1"/>
    <xf numFmtId="0" fontId="9" fillId="3" borderId="1" xfId="0" applyFont="1" applyFill="1" applyBorder="1"/>
    <xf numFmtId="0" fontId="9" fillId="0" borderId="1" xfId="0" applyFont="1" applyFill="1" applyBorder="1" applyAlignment="1">
      <alignment horizontal="left"/>
    </xf>
    <xf numFmtId="9" fontId="0" fillId="0" borderId="0" xfId="4" applyFont="1" applyFill="1" applyBorder="1"/>
    <xf numFmtId="8" fontId="9" fillId="0" borderId="1" xfId="0" applyNumberFormat="1" applyFont="1" applyFill="1" applyBorder="1"/>
    <xf numFmtId="0" fontId="1" fillId="0" borderId="1" xfId="0" applyFont="1" applyFill="1" applyBorder="1" applyAlignment="1">
      <alignment horizontal="left"/>
    </xf>
    <xf numFmtId="0" fontId="10" fillId="0" borderId="1" xfId="3" applyFont="1" applyFill="1" applyBorder="1" applyAlignment="1">
      <alignment wrapText="1"/>
    </xf>
    <xf numFmtId="3" fontId="11" fillId="0" borderId="1" xfId="0" applyNumberFormat="1" applyFont="1" applyFill="1" applyBorder="1" applyAlignment="1" applyProtection="1">
      <alignment horizontal="right" vertical="center" wrapText="1"/>
    </xf>
    <xf numFmtId="9" fontId="0" fillId="0" borderId="0" xfId="4" applyFont="1"/>
    <xf numFmtId="44" fontId="0" fillId="3" borderId="1" xfId="1" applyFont="1" applyFill="1" applyBorder="1"/>
    <xf numFmtId="0" fontId="0" fillId="3" borderId="1" xfId="0" applyFont="1" applyFill="1" applyBorder="1"/>
    <xf numFmtId="2" fontId="0" fillId="0" borderId="1" xfId="0" applyNumberFormat="1" applyBorder="1"/>
    <xf numFmtId="0" fontId="0" fillId="0" borderId="8" xfId="0" applyNumberFormat="1" applyBorder="1"/>
    <xf numFmtId="44" fontId="0" fillId="0" borderId="8" xfId="1" applyFont="1" applyBorder="1"/>
    <xf numFmtId="0" fontId="0" fillId="0" borderId="18" xfId="0" applyBorder="1" applyAlignment="1">
      <alignment horizontal="left"/>
    </xf>
    <xf numFmtId="0" fontId="0" fillId="0" borderId="19" xfId="0" applyNumberFormat="1" applyBorder="1"/>
    <xf numFmtId="0" fontId="0" fillId="0" borderId="19" xfId="0" applyBorder="1"/>
    <xf numFmtId="44" fontId="0" fillId="0" borderId="20" xfId="0" applyNumberFormat="1" applyBorder="1"/>
    <xf numFmtId="0" fontId="0" fillId="0" borderId="2" xfId="0" pivotButton="1" applyBorder="1"/>
    <xf numFmtId="0" fontId="0" fillId="0" borderId="5" xfId="0" applyBorder="1" applyAlignment="1">
      <alignment horizontal="left"/>
    </xf>
    <xf numFmtId="44" fontId="0" fillId="0" borderId="6" xfId="1" applyFont="1" applyBorder="1"/>
    <xf numFmtId="0" fontId="0" fillId="0" borderId="21" xfId="0" applyBorder="1" applyAlignment="1">
      <alignment horizontal="left"/>
    </xf>
    <xf numFmtId="44" fontId="0" fillId="0" borderId="9" xfId="1" applyFont="1" applyBorder="1"/>
    <xf numFmtId="2" fontId="0" fillId="0" borderId="8" xfId="0" applyNumberFormat="1" applyBorder="1"/>
    <xf numFmtId="2" fontId="0" fillId="0" borderId="19" xfId="0" applyNumberFormat="1" applyBorder="1"/>
    <xf numFmtId="168" fontId="0" fillId="0" borderId="1" xfId="0" applyNumberFormat="1" applyFill="1" applyBorder="1" applyAlignment="1">
      <alignment horizontal="center" textRotation="180"/>
    </xf>
    <xf numFmtId="9" fontId="0" fillId="0" borderId="1" xfId="4" applyFont="1" applyFill="1" applyBorder="1" applyAlignment="1">
      <alignment horizontal="center"/>
    </xf>
    <xf numFmtId="9" fontId="12" fillId="0" borderId="0" xfId="4" applyFont="1" applyFill="1" applyBorder="1"/>
    <xf numFmtId="15" fontId="0" fillId="0" borderId="0" xfId="1" applyNumberFormat="1" applyFont="1" applyFill="1" applyBorder="1"/>
    <xf numFmtId="14" fontId="0" fillId="0" borderId="0" xfId="1" applyNumberFormat="1" applyFont="1" applyFill="1" applyBorder="1"/>
    <xf numFmtId="0" fontId="12" fillId="0" borderId="0" xfId="0" applyFont="1" applyFill="1" applyBorder="1"/>
    <xf numFmtId="0" fontId="0" fillId="0" borderId="0" xfId="1" applyNumberFormat="1" applyFont="1"/>
    <xf numFmtId="0" fontId="2" fillId="3" borderId="1" xfId="0" applyFont="1" applyFill="1" applyBorder="1" applyAlignment="1" applyProtection="1">
      <alignment horizontal="right" vertical="center" wrapText="1"/>
    </xf>
    <xf numFmtId="0" fontId="2" fillId="6" borderId="1" xfId="0" applyFont="1" applyFill="1" applyBorder="1" applyAlignment="1" applyProtection="1">
      <alignment horizontal="right" vertical="center" wrapText="1"/>
    </xf>
    <xf numFmtId="0" fontId="2" fillId="8" borderId="1" xfId="0" applyFont="1" applyFill="1" applyBorder="1" applyAlignment="1" applyProtection="1">
      <alignment horizontal="right" vertical="center" wrapText="1"/>
    </xf>
    <xf numFmtId="0" fontId="2" fillId="2" borderId="1" xfId="0" applyFont="1" applyFill="1" applyBorder="1" applyAlignment="1" applyProtection="1">
      <alignment horizontal="right" vertical="center" wrapText="1"/>
    </xf>
    <xf numFmtId="0" fontId="11" fillId="9" borderId="1" xfId="0" applyFont="1" applyFill="1" applyBorder="1" applyAlignment="1" applyProtection="1">
      <alignment horizontal="right" vertical="center" wrapText="1"/>
    </xf>
    <xf numFmtId="0" fontId="2" fillId="9" borderId="1" xfId="0" applyFont="1" applyFill="1" applyBorder="1" applyAlignment="1" applyProtection="1">
      <alignment horizontal="right" vertical="center" wrapText="1"/>
    </xf>
    <xf numFmtId="169" fontId="0" fillId="0" borderId="1" xfId="2" applyNumberFormat="1" applyFont="1" applyFill="1" applyBorder="1"/>
    <xf numFmtId="0" fontId="0" fillId="0" borderId="8" xfId="0" applyFill="1" applyBorder="1" applyAlignment="1">
      <alignment horizontal="left"/>
    </xf>
    <xf numFmtId="0" fontId="4" fillId="0" borderId="8" xfId="3" applyFont="1" applyFill="1" applyBorder="1" applyAlignment="1">
      <alignment wrapText="1"/>
    </xf>
    <xf numFmtId="0" fontId="0" fillId="0" borderId="8" xfId="0" applyFill="1" applyBorder="1"/>
    <xf numFmtId="0" fontId="2" fillId="0" borderId="8" xfId="0" applyFont="1" applyFill="1" applyBorder="1" applyAlignment="1" applyProtection="1">
      <alignment horizontal="right" vertical="center" wrapText="1"/>
    </xf>
    <xf numFmtId="1" fontId="0" fillId="0" borderId="8" xfId="0" applyNumberFormat="1" applyFill="1" applyBorder="1" applyAlignment="1">
      <alignment horizontal="center"/>
    </xf>
    <xf numFmtId="1" fontId="9" fillId="0" borderId="8" xfId="0" applyNumberFormat="1" applyFont="1" applyFill="1" applyBorder="1"/>
    <xf numFmtId="44" fontId="0" fillId="0" borderId="8" xfId="1" applyFont="1" applyFill="1" applyBorder="1"/>
    <xf numFmtId="9" fontId="0" fillId="0" borderId="8" xfId="4" applyFont="1" applyFill="1" applyBorder="1" applyAlignment="1">
      <alignment horizontal="center"/>
    </xf>
    <xf numFmtId="44" fontId="0" fillId="0" borderId="8" xfId="1" applyFont="1" applyFill="1" applyBorder="1" applyAlignment="1">
      <alignment horizontal="center"/>
    </xf>
    <xf numFmtId="43" fontId="0" fillId="0" borderId="8" xfId="2" applyFont="1" applyFill="1" applyBorder="1"/>
    <xf numFmtId="166" fontId="0" fillId="0" borderId="8" xfId="0" applyNumberFormat="1" applyFill="1" applyBorder="1"/>
    <xf numFmtId="1" fontId="0" fillId="0" borderId="8" xfId="0" applyNumberFormat="1" applyFill="1" applyBorder="1"/>
    <xf numFmtId="1" fontId="9" fillId="0" borderId="0" xfId="0" applyNumberFormat="1" applyFont="1" applyFill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/>
    <xf numFmtId="44" fontId="9" fillId="0" borderId="0" xfId="1" applyFont="1" applyFill="1" applyBorder="1"/>
    <xf numFmtId="9" fontId="9" fillId="0" borderId="0" xfId="4" applyFont="1" applyFill="1" applyBorder="1" applyAlignment="1">
      <alignment horizontal="center"/>
    </xf>
    <xf numFmtId="44" fontId="9" fillId="0" borderId="0" xfId="1" applyFont="1" applyFill="1" applyBorder="1" applyAlignment="1">
      <alignment horizontal="center"/>
    </xf>
    <xf numFmtId="0" fontId="0" fillId="0" borderId="0" xfId="0" applyNumberFormat="1" applyFill="1" applyBorder="1"/>
    <xf numFmtId="0" fontId="0" fillId="0" borderId="0" xfId="0" applyNumberFormat="1" applyBorder="1"/>
    <xf numFmtId="43" fontId="0" fillId="0" borderId="0" xfId="2" applyFont="1" applyBorder="1"/>
    <xf numFmtId="0" fontId="9" fillId="0" borderId="0" xfId="0" applyFont="1" applyBorder="1"/>
    <xf numFmtId="0" fontId="9" fillId="0" borderId="1" xfId="0" applyFont="1" applyFill="1" applyBorder="1" applyAlignment="1">
      <alignment horizontal="center"/>
    </xf>
    <xf numFmtId="0" fontId="0" fillId="0" borderId="1" xfId="1" applyNumberFormat="1" applyFont="1" applyFill="1" applyBorder="1" applyAlignment="1">
      <alignment horizontal="center"/>
    </xf>
    <xf numFmtId="0" fontId="4" fillId="7" borderId="1" xfId="3" applyFont="1" applyFill="1" applyBorder="1" applyAlignment="1">
      <alignment wrapText="1"/>
    </xf>
    <xf numFmtId="9" fontId="0" fillId="0" borderId="1" xfId="4" applyFont="1" applyBorder="1"/>
    <xf numFmtId="9" fontId="0" fillId="0" borderId="1" xfId="0" applyNumberFormat="1" applyBorder="1"/>
    <xf numFmtId="170" fontId="0" fillId="0" borderId="1" xfId="4" applyNumberFormat="1" applyFont="1" applyBorder="1"/>
    <xf numFmtId="2" fontId="0" fillId="0" borderId="2" xfId="0" applyNumberFormat="1" applyBorder="1"/>
    <xf numFmtId="9" fontId="0" fillId="0" borderId="3" xfId="4" applyFont="1" applyBorder="1"/>
    <xf numFmtId="9" fontId="0" fillId="0" borderId="3" xfId="0" applyNumberFormat="1" applyBorder="1"/>
    <xf numFmtId="9" fontId="0" fillId="0" borderId="4" xfId="0" applyNumberFormat="1" applyBorder="1"/>
    <xf numFmtId="2" fontId="0" fillId="0" borderId="5" xfId="0" applyNumberFormat="1" applyBorder="1"/>
    <xf numFmtId="9" fontId="0" fillId="0" borderId="6" xfId="4" applyFont="1" applyBorder="1"/>
    <xf numFmtId="9" fontId="0" fillId="0" borderId="6" xfId="0" applyNumberFormat="1" applyBorder="1"/>
    <xf numFmtId="9" fontId="0" fillId="0" borderId="16" xfId="4" applyFont="1" applyBorder="1"/>
    <xf numFmtId="9" fontId="0" fillId="0" borderId="16" xfId="0" applyNumberFormat="1" applyBorder="1"/>
    <xf numFmtId="9" fontId="0" fillId="0" borderId="17" xfId="0" applyNumberFormat="1" applyBorder="1"/>
    <xf numFmtId="164" fontId="0" fillId="3" borderId="1" xfId="1" applyNumberFormat="1" applyFont="1" applyFill="1" applyBorder="1"/>
    <xf numFmtId="0" fontId="0" fillId="2" borderId="1" xfId="0" applyFill="1" applyBorder="1"/>
    <xf numFmtId="44" fontId="0" fillId="2" borderId="1" xfId="1" applyFont="1" applyFill="1" applyBorder="1"/>
    <xf numFmtId="44" fontId="9" fillId="2" borderId="1" xfId="1" applyFont="1" applyFill="1" applyBorder="1" applyAlignment="1">
      <alignment horizontal="center"/>
    </xf>
    <xf numFmtId="0" fontId="4" fillId="2" borderId="1" xfId="3" applyFont="1" applyFill="1" applyBorder="1" applyAlignment="1">
      <alignment wrapText="1"/>
    </xf>
    <xf numFmtId="9" fontId="9" fillId="0" borderId="1" xfId="4" applyFont="1" applyFill="1" applyBorder="1" applyAlignment="1">
      <alignment horizontal="center"/>
    </xf>
    <xf numFmtId="15" fontId="0" fillId="0" borderId="0" xfId="0" applyNumberFormat="1"/>
    <xf numFmtId="44" fontId="0" fillId="0" borderId="0" xfId="0" applyNumberFormat="1" applyAlignment="1">
      <alignment horizontal="center"/>
    </xf>
    <xf numFmtId="15" fontId="0" fillId="0" borderId="0" xfId="0" applyNumberFormat="1" applyFill="1" applyBorder="1"/>
    <xf numFmtId="0" fontId="0" fillId="0" borderId="1" xfId="0" applyNumberForma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43" fontId="0" fillId="0" borderId="1" xfId="2" applyFont="1" applyFill="1" applyBorder="1" applyAlignment="1">
      <alignment horizontal="center"/>
    </xf>
    <xf numFmtId="43" fontId="0" fillId="0" borderId="8" xfId="2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2" fillId="10" borderId="22" xfId="0" applyFont="1" applyFill="1" applyBorder="1" applyAlignment="1">
      <alignment horizontal="center" vertical="center"/>
    </xf>
    <xf numFmtId="0" fontId="12" fillId="10" borderId="23" xfId="0" applyFont="1" applyFill="1" applyBorder="1" applyAlignment="1">
      <alignment horizontal="center" vertical="center" wrapText="1"/>
    </xf>
    <xf numFmtId="0" fontId="0" fillId="0" borderId="22" xfId="0" applyNumberFormat="1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4" fontId="0" fillId="0" borderId="15" xfId="0" applyNumberForma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Fill="1" applyAlignment="1">
      <alignment horizontal="center"/>
    </xf>
    <xf numFmtId="0" fontId="12" fillId="10" borderId="22" xfId="0" applyNumberFormat="1" applyFont="1" applyFill="1" applyBorder="1" applyAlignment="1">
      <alignment horizontal="center" vertical="center" wrapText="1"/>
    </xf>
    <xf numFmtId="0" fontId="0" fillId="0" borderId="24" xfId="0" applyNumberFormat="1" applyBorder="1" applyAlignment="1">
      <alignment horizontal="center" vertical="center" wrapText="1"/>
    </xf>
    <xf numFmtId="166" fontId="0" fillId="0" borderId="24" xfId="0" applyNumberFormat="1" applyBorder="1" applyAlignment="1">
      <alignment horizontal="center" vertical="center" wrapText="1"/>
    </xf>
    <xf numFmtId="44" fontId="0" fillId="0" borderId="15" xfId="1" applyFont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 wrapText="1"/>
    </xf>
    <xf numFmtId="166" fontId="0" fillId="0" borderId="1" xfId="0" applyNumberFormat="1" applyBorder="1"/>
    <xf numFmtId="44" fontId="1" fillId="3" borderId="1" xfId="1" applyFont="1" applyFill="1" applyBorder="1"/>
    <xf numFmtId="0" fontId="14" fillId="3" borderId="1" xfId="0" applyFont="1" applyFill="1" applyBorder="1" applyAlignment="1">
      <alignment horizontal="left"/>
    </xf>
    <xf numFmtId="0" fontId="15" fillId="3" borderId="1" xfId="0" applyFont="1" applyFill="1" applyBorder="1" applyAlignment="1">
      <alignment horizontal="left"/>
    </xf>
    <xf numFmtId="0" fontId="16" fillId="3" borderId="1" xfId="3" applyFont="1" applyFill="1" applyBorder="1" applyAlignment="1">
      <alignment wrapText="1"/>
    </xf>
    <xf numFmtId="0" fontId="14" fillId="3" borderId="1" xfId="0" applyFont="1" applyFill="1" applyBorder="1"/>
    <xf numFmtId="0" fontId="17" fillId="3" borderId="1" xfId="3" applyFont="1" applyFill="1" applyBorder="1" applyAlignment="1">
      <alignment wrapText="1"/>
    </xf>
    <xf numFmtId="0" fontId="15" fillId="3" borderId="1" xfId="0" applyFont="1" applyFill="1" applyBorder="1"/>
    <xf numFmtId="0" fontId="0" fillId="0" borderId="1" xfId="0" applyNumberFormat="1" applyFill="1" applyBorder="1" applyAlignment="1">
      <alignment horizontal="center"/>
    </xf>
    <xf numFmtId="44" fontId="9" fillId="3" borderId="1" xfId="1" applyFont="1" applyFill="1" applyBorder="1"/>
    <xf numFmtId="44" fontId="0" fillId="0" borderId="3" xfId="1" applyFont="1" applyBorder="1"/>
    <xf numFmtId="44" fontId="0" fillId="0" borderId="4" xfId="1" applyFont="1" applyBorder="1"/>
    <xf numFmtId="44" fontId="0" fillId="0" borderId="1" xfId="1" applyFont="1" applyBorder="1" applyAlignment="1">
      <alignment horizontal="right"/>
    </xf>
  </cellXfs>
  <cellStyles count="5">
    <cellStyle name="Comma" xfId="2" builtinId="3"/>
    <cellStyle name="Currency" xfId="1" builtinId="4"/>
    <cellStyle name="Normal" xfId="0" builtinId="0"/>
    <cellStyle name="Normal_Road Evaluations" xfId="3" xr:uid="{00000000-0005-0000-0000-000003000000}"/>
    <cellStyle name="Percent" xfId="4" builtinId="5"/>
  </cellStyles>
  <dxfs count="31"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cockgeo1\highway\Users\jhollis\Desktop\Road%20Maint%20Plan%20with%20Track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8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COCKGEO1\highway\0-INDOT\Community%20Crossroads%20Grant\5%20Year%20%20Road%20%20Treatment%20Summary%20Hancock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 Evaluations"/>
      <sheetName val="Work for the Year"/>
      <sheetName val="Material By Road"/>
      <sheetName val="Material Per Year"/>
      <sheetName val="BUDJET Year"/>
      <sheetName val="Sheet2"/>
      <sheetName val="Sheet1"/>
      <sheetName val="Cost and Score"/>
      <sheetName val="Money per area"/>
      <sheetName val="RSL"/>
      <sheetName val="Goal Track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BW</v>
          </cell>
          <cell r="C2">
            <v>0</v>
          </cell>
          <cell r="F2">
            <v>0</v>
          </cell>
          <cell r="G2">
            <v>0</v>
          </cell>
        </row>
        <row r="3">
          <cell r="B3" t="str">
            <v>B</v>
          </cell>
          <cell r="C3">
            <v>0</v>
          </cell>
          <cell r="F3">
            <v>500</v>
          </cell>
          <cell r="G3">
            <v>0.5</v>
          </cell>
        </row>
        <row r="4">
          <cell r="B4" t="str">
            <v>BC</v>
          </cell>
          <cell r="C4">
            <v>0</v>
          </cell>
          <cell r="F4">
            <v>1500</v>
          </cell>
          <cell r="G4">
            <v>1</v>
          </cell>
        </row>
        <row r="5">
          <cell r="B5" t="str">
            <v>BR</v>
          </cell>
          <cell r="C5">
            <v>0</v>
          </cell>
          <cell r="F5">
            <v>2500</v>
          </cell>
          <cell r="G5">
            <v>1.5</v>
          </cell>
        </row>
        <row r="6">
          <cell r="B6" t="str">
            <v>C</v>
          </cell>
          <cell r="C6" t="e">
            <v>#NAME?</v>
          </cell>
        </row>
        <row r="7">
          <cell r="B7" t="str">
            <v>G</v>
          </cell>
          <cell r="C7">
            <v>0</v>
          </cell>
        </row>
        <row r="8">
          <cell r="B8" t="str">
            <v>J</v>
          </cell>
          <cell r="C8">
            <v>0</v>
          </cell>
        </row>
        <row r="9">
          <cell r="B9" t="str">
            <v>SC</v>
          </cell>
          <cell r="C9">
            <v>0</v>
          </cell>
        </row>
        <row r="10">
          <cell r="B10" t="str">
            <v>V</v>
          </cell>
          <cell r="C10">
            <v>0</v>
          </cell>
        </row>
        <row r="27">
          <cell r="B27" t="str">
            <v>COST</v>
          </cell>
          <cell r="C27" t="str">
            <v>HISTORIC</v>
          </cell>
          <cell r="G27" t="str">
            <v>CALENDER</v>
          </cell>
          <cell r="H27" t="str">
            <v>ManHour</v>
          </cell>
          <cell r="I27" t="str">
            <v>AE-90</v>
          </cell>
          <cell r="J27" t="str">
            <v>RS2</v>
          </cell>
          <cell r="K27" t="str">
            <v>AE-F</v>
          </cell>
          <cell r="L27" t="str">
            <v>No. 53</v>
          </cell>
          <cell r="M27" t="str">
            <v>HMA</v>
          </cell>
          <cell r="N27" t="str">
            <v>No. 11</v>
          </cell>
          <cell r="O27" t="str">
            <v>No.9</v>
          </cell>
        </row>
        <row r="28">
          <cell r="B28" t="str">
            <v>P</v>
          </cell>
          <cell r="C28">
            <v>70000</v>
          </cell>
          <cell r="D28" t="str">
            <v>Pave</v>
          </cell>
          <cell r="F28">
            <v>12</v>
          </cell>
          <cell r="G28">
            <v>2.25</v>
          </cell>
          <cell r="H28">
            <v>210</v>
          </cell>
          <cell r="I28">
            <v>350</v>
          </cell>
          <cell r="L28">
            <v>200</v>
          </cell>
          <cell r="M28">
            <v>1800</v>
          </cell>
        </row>
        <row r="29">
          <cell r="B29" t="str">
            <v>CS</v>
          </cell>
          <cell r="C29">
            <v>15000</v>
          </cell>
          <cell r="D29" t="str">
            <v>Chip Seal</v>
          </cell>
          <cell r="F29">
            <v>6</v>
          </cell>
          <cell r="G29">
            <v>0.2</v>
          </cell>
          <cell r="H29">
            <v>22</v>
          </cell>
          <cell r="J29">
            <v>3500</v>
          </cell>
          <cell r="K29">
            <v>1000</v>
          </cell>
          <cell r="N29">
            <v>120</v>
          </cell>
        </row>
        <row r="30">
          <cell r="B30" t="str">
            <v>CRACK</v>
          </cell>
          <cell r="C30">
            <v>5900</v>
          </cell>
          <cell r="D30" t="str">
            <v>Crack Seal</v>
          </cell>
          <cell r="F30">
            <v>3</v>
          </cell>
          <cell r="G30">
            <v>1</v>
          </cell>
          <cell r="H30">
            <v>0</v>
          </cell>
        </row>
        <row r="31">
          <cell r="B31" t="str">
            <v>DS</v>
          </cell>
          <cell r="C31">
            <v>25000</v>
          </cell>
          <cell r="D31" t="str">
            <v>Double Seal</v>
          </cell>
          <cell r="F31">
            <v>6</v>
          </cell>
          <cell r="G31">
            <v>0.5</v>
          </cell>
          <cell r="H31">
            <v>50</v>
          </cell>
          <cell r="J31">
            <v>8000</v>
          </cell>
          <cell r="K31">
            <v>1000</v>
          </cell>
          <cell r="N31">
            <v>180</v>
          </cell>
          <cell r="O31">
            <v>240</v>
          </cell>
        </row>
        <row r="32">
          <cell r="B32" t="str">
            <v>F</v>
          </cell>
          <cell r="C32">
            <v>2000</v>
          </cell>
          <cell r="D32" t="str">
            <v>Fog Seal</v>
          </cell>
          <cell r="F32">
            <v>2</v>
          </cell>
          <cell r="G32">
            <v>0.1</v>
          </cell>
          <cell r="H32">
            <v>0.2</v>
          </cell>
          <cell r="K32">
            <v>1000</v>
          </cell>
        </row>
        <row r="33">
          <cell r="B33" t="str">
            <v>GG</v>
          </cell>
          <cell r="C33">
            <v>14000</v>
          </cell>
          <cell r="D33" t="str">
            <v>Grade and Gravel</v>
          </cell>
          <cell r="F33">
            <v>1</v>
          </cell>
          <cell r="G33">
            <v>1</v>
          </cell>
          <cell r="H33">
            <v>90</v>
          </cell>
          <cell r="L33">
            <v>500</v>
          </cell>
        </row>
        <row r="34">
          <cell r="B34" t="str">
            <v>MICRO</v>
          </cell>
          <cell r="C34">
            <v>45000</v>
          </cell>
          <cell r="D34" t="str">
            <v>MicroSurface</v>
          </cell>
          <cell r="F34">
            <v>10</v>
          </cell>
          <cell r="G34">
            <v>0.5</v>
          </cell>
          <cell r="H34">
            <v>0</v>
          </cell>
        </row>
        <row r="35">
          <cell r="B35" t="str">
            <v>NHP</v>
          </cell>
          <cell r="C35">
            <v>16500</v>
          </cell>
          <cell r="D35" t="str">
            <v>Neighborhood Patch and Seal</v>
          </cell>
          <cell r="F35">
            <v>6</v>
          </cell>
          <cell r="G35">
            <v>0.5</v>
          </cell>
          <cell r="H35">
            <v>50</v>
          </cell>
        </row>
        <row r="36">
          <cell r="B36" t="str">
            <v>R/AC</v>
          </cell>
          <cell r="C36">
            <v>300000</v>
          </cell>
          <cell r="D36" t="str">
            <v>reconst asphault road</v>
          </cell>
          <cell r="F36">
            <v>15</v>
          </cell>
          <cell r="G36">
            <v>30</v>
          </cell>
          <cell r="H36">
            <v>2000</v>
          </cell>
        </row>
        <row r="37">
          <cell r="B37" t="str">
            <v>R/CS</v>
          </cell>
          <cell r="C37">
            <v>30000</v>
          </cell>
          <cell r="D37" t="str">
            <v>Regrade/Rock/Chip Seal</v>
          </cell>
          <cell r="F37">
            <v>10</v>
          </cell>
          <cell r="G37">
            <v>1.5</v>
          </cell>
          <cell r="H37">
            <v>300</v>
          </cell>
          <cell r="J37">
            <v>3500</v>
          </cell>
          <cell r="K37">
            <v>1000</v>
          </cell>
        </row>
        <row r="38">
          <cell r="B38" t="str">
            <v>SP/CS</v>
          </cell>
          <cell r="C38">
            <v>40000</v>
          </cell>
          <cell r="D38" t="str">
            <v>Strip Pave/Chip Seal</v>
          </cell>
          <cell r="F38">
            <v>8</v>
          </cell>
          <cell r="G38">
            <v>0.6</v>
          </cell>
          <cell r="H38">
            <v>125</v>
          </cell>
          <cell r="I38">
            <v>200</v>
          </cell>
          <cell r="J38">
            <v>2000</v>
          </cell>
          <cell r="K38">
            <v>500</v>
          </cell>
          <cell r="L38">
            <v>100</v>
          </cell>
          <cell r="M38">
            <v>900</v>
          </cell>
          <cell r="N38">
            <v>80</v>
          </cell>
        </row>
        <row r="39">
          <cell r="B39" t="str">
            <v>SGG</v>
          </cell>
          <cell r="C39">
            <v>15000</v>
          </cell>
          <cell r="D39" t="str">
            <v>Subgrade Grade and Gravel</v>
          </cell>
          <cell r="F39">
            <v>3</v>
          </cell>
          <cell r="G39">
            <v>1.5</v>
          </cell>
          <cell r="H39">
            <v>150</v>
          </cell>
          <cell r="L39">
            <v>500</v>
          </cell>
        </row>
        <row r="43">
          <cell r="B43" t="str">
            <v>Material Cost</v>
          </cell>
          <cell r="E43" t="str">
            <v>SCORE</v>
          </cell>
          <cell r="F43" t="str">
            <v>RSL</v>
          </cell>
          <cell r="G43" t="str">
            <v>RSLloss</v>
          </cell>
        </row>
        <row r="44">
          <cell r="E44">
            <v>10</v>
          </cell>
          <cell r="F44">
            <v>16</v>
          </cell>
          <cell r="G44">
            <v>1</v>
          </cell>
        </row>
        <row r="45">
          <cell r="E45">
            <v>9</v>
          </cell>
          <cell r="F45">
            <v>14</v>
          </cell>
          <cell r="G45">
            <v>1</v>
          </cell>
        </row>
        <row r="46">
          <cell r="E46">
            <v>8</v>
          </cell>
          <cell r="F46">
            <v>12</v>
          </cell>
          <cell r="G46">
            <v>1.5</v>
          </cell>
        </row>
        <row r="47">
          <cell r="E47">
            <v>7</v>
          </cell>
          <cell r="F47">
            <v>10</v>
          </cell>
          <cell r="G47">
            <v>1.5</v>
          </cell>
        </row>
        <row r="48">
          <cell r="E48">
            <v>6</v>
          </cell>
          <cell r="F48">
            <v>8</v>
          </cell>
          <cell r="G48">
            <v>2</v>
          </cell>
        </row>
        <row r="49">
          <cell r="E49">
            <v>5</v>
          </cell>
          <cell r="F49">
            <v>6</v>
          </cell>
          <cell r="G49">
            <v>2</v>
          </cell>
        </row>
        <row r="50">
          <cell r="E50">
            <v>4</v>
          </cell>
          <cell r="F50">
            <v>3</v>
          </cell>
          <cell r="G50">
            <v>2.5</v>
          </cell>
        </row>
        <row r="51">
          <cell r="E51">
            <v>3</v>
          </cell>
          <cell r="F51">
            <v>1</v>
          </cell>
          <cell r="G51">
            <v>3</v>
          </cell>
        </row>
        <row r="52">
          <cell r="E52">
            <v>2</v>
          </cell>
          <cell r="F52">
            <v>0</v>
          </cell>
          <cell r="G52">
            <v>5</v>
          </cell>
        </row>
        <row r="53">
          <cell r="E53">
            <v>1</v>
          </cell>
          <cell r="F53">
            <v>0</v>
          </cell>
          <cell r="G53">
            <v>5</v>
          </cell>
        </row>
      </sheetData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8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oad Treatment Summary"/>
      <sheetName val="Treatment Options"/>
      <sheetName val="Example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ry Pool" refreshedDate="42443.35737928241" createdVersion="5" refreshedVersion="5" minRefreshableVersion="3" recordCount="1151" xr:uid="{00000000-000A-0000-FFFF-FFFF00000000}">
  <cacheSource type="worksheet">
    <worksheetSource ref="A1:AX1165" sheet="Road Evaluations"/>
  </cacheSource>
  <cacheFields count="24">
    <cacheField name="SEGMENT" numFmtId="0">
      <sharedItems containsBlank="1"/>
    </cacheField>
    <cacheField name="SEG NAME" numFmtId="0">
      <sharedItems containsBlank="1"/>
    </cacheField>
    <cacheField name="ROAD" numFmtId="0">
      <sharedItems/>
    </cacheField>
    <cacheField name="SUBDIVISION" numFmtId="0">
      <sharedItems containsBlank="1"/>
    </cacheField>
    <cacheField name="FROM" numFmtId="0">
      <sharedItems containsBlank="1"/>
    </cacheField>
    <cacheField name="TO" numFmtId="0">
      <sharedItems containsBlank="1"/>
    </cacheField>
    <cacheField name="Length" numFmtId="0">
      <sharedItems containsSemiMixedTypes="0" containsString="0" containsNumber="1" minValue="83.24" maxValue="12187"/>
    </cacheField>
    <cacheField name="Width" numFmtId="0">
      <sharedItems containsString="0" containsBlank="1" containsNumber="1" containsInteger="1" minValue="18" maxValue="26"/>
    </cacheField>
    <cacheField name="SURFACE" numFmtId="0">
      <sharedItems/>
    </cacheField>
    <cacheField name="TOWNSHIP" numFmtId="0">
      <sharedItems containsBlank="1"/>
    </cacheField>
    <cacheField name="TOWN SCORE" numFmtId="0">
      <sharedItems containsSemiMixedTypes="0" containsString="0" containsNumber="1" containsInteger="1" minValue="0" maxValue="0"/>
    </cacheField>
    <cacheField name="PASER 2014" numFmtId="1">
      <sharedItems containsString="0" containsBlank="1" containsNumber="1" containsInteger="1" minValue="2" maxValue="10"/>
    </cacheField>
    <cacheField name="PASER 2015" numFmtId="1">
      <sharedItems containsString="0" containsBlank="1" containsNumber="1" containsInteger="1" minValue="2" maxValue="10"/>
    </cacheField>
    <cacheField name="AADT" numFmtId="0">
      <sharedItems containsString="0" containsBlank="1" containsNumber="1" containsInteger="1" minValue="15" maxValue="10911"/>
    </cacheField>
    <cacheField name="AADT Score" numFmtId="0">
      <sharedItems containsSemiMixedTypes="0" containsString="0" containsNumber="1" minValue="0" maxValue="1.5"/>
    </cacheField>
    <cacheField name="Road Name" numFmtId="0">
      <sharedItems containsBlank="1"/>
    </cacheField>
    <cacheField name="SCORE" numFmtId="0">
      <sharedItems containsString="0" containsBlank="1" containsNumber="1" minValue="0" maxValue="8"/>
    </cacheField>
    <cacheField name="FIX" numFmtId="0">
      <sharedItems/>
    </cacheField>
    <cacheField name="COST" numFmtId="44">
      <sharedItems containsSemiMixedTypes="0" containsString="0" containsNumber="1" minValue="93.014393939393926" maxValue="80681.818181818177"/>
    </cacheField>
    <cacheField name="YEAR" numFmtId="0">
      <sharedItems containsBlank="1" containsMixedTypes="1" containsNumber="1" containsInteger="1" minValue="2016" maxValue="2022" count="9">
        <n v="2016"/>
        <n v="2020"/>
        <n v="2021"/>
        <n v="2022"/>
        <n v="2017"/>
        <n v="2018"/>
        <n v="2019"/>
        <m/>
        <s v=" "/>
      </sharedItems>
    </cacheField>
    <cacheField name="RSL remain" numFmtId="0">
      <sharedItems containsMixedTypes="1" containsNumber="1" containsInteger="1" minValue="0" maxValue="16"/>
    </cacheField>
    <cacheField name="RSL Add" numFmtId="0">
      <sharedItems containsSemiMixedTypes="0" containsString="0" containsNumber="1" containsInteger="1" minValue="1" maxValue="15"/>
    </cacheField>
    <cacheField name="RSL Loss" numFmtId="0">
      <sharedItems containsMixedTypes="1" containsNumber="1" minValue="0.5" maxValue="3"/>
    </cacheField>
    <cacheField name="RSL loss Till Repair" numFmtId="0">
      <sharedItems containsMixedTypes="1" containsNumber="1" minValue="-3024" maxValue="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ry Pool" refreshedDate="42473.472267708334" createdVersion="5" refreshedVersion="5" minRefreshableVersion="3" recordCount="1151" xr:uid="{00000000-000A-0000-FFFF-FFFF01000000}">
  <cacheSource type="worksheet">
    <worksheetSource ref="C1:K1165" sheet="Road Evaluations"/>
  </cacheSource>
  <cacheFields count="9">
    <cacheField name="ROAD" numFmtId="0">
      <sharedItems/>
    </cacheField>
    <cacheField name="SUBDIVISION" numFmtId="0">
      <sharedItems containsBlank="1" count="100">
        <m/>
        <s v="Buck Creek Meadows"/>
        <s v="Apple's Maxwell"/>
        <s v="Twin Oaks"/>
        <s v="Wildwood Estates"/>
        <s v="Sugar Creek View"/>
        <s v="Schildmeier Woods"/>
        <s v="Cornerstone Village"/>
        <s v="Countryside"/>
        <s v="Hilton Business Park"/>
        <s v="Arrowhead"/>
        <s v="BoMar Manor"/>
        <s v="Easton At Stansbury"/>
        <s v="East Gate"/>
        <s v="Fox Cove"/>
        <s v="Stinemyer Crossing"/>
        <s v="Beechwood"/>
        <s v="Stansbury"/>
        <s v="New Palestine Village"/>
        <s v="Colonial Heights"/>
        <s v="Ridgewood"/>
        <s v="Bittner Woods"/>
        <s v="Wood Dale"/>
        <s v="Sugar Creek Valley Estates"/>
        <s v="Gem Meadows"/>
        <s v="Boulder Creek"/>
        <s v="Briarwood Trace"/>
        <s v="Brier Creek"/>
        <s v="Bristol Ridge"/>
        <s v="Denton Trace"/>
        <s v="Brookville Heights"/>
        <s v="Meadow Lake Estates"/>
        <s v="Doe Creek Estates"/>
        <s v="Cranberry Lake Estates"/>
        <s v="Deer Run"/>
        <s v="Southern Knoll"/>
        <s v="Charlamore Woods"/>
        <s v="Village Green"/>
        <s v="Mt. Comfort Commercial Park"/>
        <s v="Creek Ridge Place"/>
        <s v="Shady Creek"/>
        <s v="Country Mill"/>
        <s v="Heron Creek"/>
        <s v="Willow Grove"/>
        <s v="Deckshire"/>
        <s v="Hunters Chase"/>
        <s v="Meadow Lake Village"/>
        <s v="Windhaven"/>
        <s v="Fairway Village"/>
        <s v="Morning Walk"/>
        <s v="Huntington Heights"/>
        <s v="Greyhawk Woods"/>
        <s v="Heritage Estates"/>
        <s v="Spring Meadows"/>
        <s v="Hickory Hill"/>
        <s v="Meridian Acres"/>
        <s v="Hickory Woods"/>
        <s v="Summerfield"/>
        <s v="High Acres"/>
        <s v="Ivy Dale"/>
        <s v="Pleasant Acres"/>
        <s v="Sycamore Hills"/>
        <s v="Vernon Woods"/>
        <s v="Glad Acres"/>
        <s v="Time Capsule Park"/>
        <s v="Shel-Lyn Estates"/>
        <s v="Mohr Estates"/>
        <s v="Mt. Vernon Pointe"/>
        <s v="Hamilton Heights"/>
        <s v="Lantern Woods"/>
        <s v="Oakwood"/>
        <s v="North Brandywine Heights"/>
        <s v="Schildmeier Village"/>
        <s v="Alfords"/>
        <s v="Wildwood North"/>
        <s v="Valley View Plantation"/>
        <s v="Portalan Pleasant Plains"/>
        <s v="Raesner-Johnson"/>
        <s v="Raven Field"/>
        <s v="Richman Platz"/>
        <s v="Woodbury Manor"/>
        <s v="Walnut Ridge"/>
        <s v="Rockwood"/>
        <s v="Lynnwood"/>
        <s v="Shadow Creek"/>
        <s v="Sugar Creek Estates"/>
        <s v="Price Park"/>
        <s v="Valley Green"/>
        <s v="Sugar Hills"/>
        <s v="Summerhaven"/>
        <s v="Sun Ridge Estates"/>
        <s v="Sunset Manor"/>
        <s v="Philly Estates"/>
        <s v="Sweet Creek Woods"/>
        <s v="Timberbrook Estates"/>
        <s v="Little Brandywine"/>
        <s v="Doe Creek Manor"/>
        <s v="Ridgeview Est."/>
        <s v="Sugar Creek Heights"/>
        <s v="Woodcrest"/>
      </sharedItems>
    </cacheField>
    <cacheField name="FROM" numFmtId="0">
      <sharedItems containsBlank="1"/>
    </cacheField>
    <cacheField name="TO" numFmtId="0">
      <sharedItems containsBlank="1"/>
    </cacheField>
    <cacheField name="Length" numFmtId="0">
      <sharedItems containsSemiMixedTypes="0" containsString="0" containsNumber="1" minValue="83.24" maxValue="12187"/>
    </cacheField>
    <cacheField name="Width" numFmtId="0">
      <sharedItems containsString="0" containsBlank="1" containsNumber="1" containsInteger="1" minValue="18" maxValue="40"/>
    </cacheField>
    <cacheField name="SURFACE" numFmtId="0">
      <sharedItems count="7">
        <s v="CS"/>
        <s v="AC"/>
        <s v="G"/>
        <s v="P"/>
        <s v="&lt;Null&gt;"/>
        <s v="NC"/>
        <s v="C"/>
      </sharedItems>
    </cacheField>
    <cacheField name="TOWNSHIP" numFmtId="0">
      <sharedItems containsBlank="1" count="10">
        <s v="B"/>
        <s v="J"/>
        <s v="V"/>
        <s v="G"/>
        <s v="C"/>
        <s v="BW"/>
        <s v="BC"/>
        <s v="SC"/>
        <s v="BR"/>
        <m/>
      </sharedItems>
    </cacheField>
    <cacheField name="TOWN SCORE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ary Pool" refreshedDate="45544.320908217589" createdVersion="5" refreshedVersion="8" minRefreshableVersion="3" recordCount="1178" xr:uid="{00000000-000A-0000-FFFF-FFFF02000000}">
  <cacheSource type="worksheet">
    <worksheetSource ref="B1:AG1179" sheet="Road Evaluations"/>
  </cacheSource>
  <cacheFields count="32">
    <cacheField name="SEG NAME" numFmtId="0">
      <sharedItems containsBlank="1" count="1179">
        <s v="1000E/1000N"/>
        <s v="600W/600N"/>
        <s v="1000E/400N"/>
        <s v="1000E/500N"/>
        <s v="1000E/550N"/>
        <s v="1000E/650N"/>
        <s v="1000E/900N"/>
        <s v="1000E/N.TWP LINE"/>
        <s v="1000E/SR109"/>
        <s v="1000N/1000E"/>
        <s v="1000N/1100E"/>
        <s v="400W/500N"/>
        <s v="1000N/125W"/>
        <s v="450W/300S"/>
        <s v="400S/400W"/>
        <s v="1000N/50W"/>
        <s v="1000N/550E"/>
        <s v="1000N/600E"/>
        <s v="600N/MAIN ST."/>
        <s v="RAESNER SOUTH DR"/>
        <s v="1000N/ALFORD RD"/>
        <s v="1000N/BARNARD RD"/>
        <s v="1000N/MERIDIAN RD"/>
        <s v="1000N/NASHVILLE RD"/>
        <s v="1000N/SR109"/>
        <s v="1000N/SR9"/>
        <s v="900N/675E"/>
        <s v="RAESNER NORTH DR"/>
        <s v="300W/US40"/>
        <s v="100E/500S"/>
        <s v="350W/US40"/>
        <s v="100N/100W"/>
        <s v="100N/150W"/>
        <s v="100N/200W"/>
        <s v="100N/300W"/>
        <s v="100N/350W"/>
        <s v="100N/400W"/>
        <s v="100N/500E"/>
        <s v="COTTONWOOD "/>
        <s v="100N/600E"/>
        <s v="100N/600W"/>
        <s v="1050N/FORT.LIM W"/>
        <s v="700W/300N"/>
        <s v="100N/75W"/>
        <s v="100N/800E"/>
        <s v="100N/850E"/>
        <s v="100N/BUCK CR RD"/>
        <s v="100N/GRANISON RD"/>
        <s v="100S/100E"/>
        <s v="100S/150W"/>
        <s v="100S/200W"/>
        <s v="100S/250W"/>
        <s v="300N/SR9"/>
        <s v="100S/400W"/>
        <s v="100N/700W"/>
        <s v="100S/600E"/>
        <s v="100S/600W"/>
        <s v="MERIDIAN RD./100N"/>
        <s v="100S/750E"/>
        <s v="100S/775E"/>
        <s v="100S/850E"/>
        <s v="100S/E. CO. LINE"/>
        <s v="100S/JACOBI RD"/>
        <s v="100S/MERIDIAN RD"/>
        <s v="100W/125W"/>
        <s v="100W/200N"/>
        <s v="200N/700W"/>
        <s v="100W/400N"/>
        <s v="200S/700W"/>
        <s v="100W/500S"/>
        <s v="100W/I70"/>
        <s v="100W/US52"/>
        <s v="300S/400W"/>
        <s v="1050E/150N"/>
        <s v="1050E/200N"/>
        <s v="1050E/250N"/>
        <s v="1050E/25N"/>
        <s v="1050E/325N"/>
        <s v="1050E/350N"/>
        <s v="1050E/450N"/>
        <s v="1050E/500N"/>
        <s v="1050E/550N"/>
        <s v="1050E/650N"/>
        <s v="1050E/N. TWP LINE"/>
        <s v="1050N/50W"/>
        <s v="300S/425W"/>
        <s v="1100E/1000N"/>
        <s v="1100E/1100N"/>
        <s v="1125E/650N"/>
        <s v="100E/100S"/>
        <s v="100E/300S"/>
        <s v="300N/450E"/>
        <s v="1175E PENN. ST/END"/>
        <s v="1200E/1000N"/>
        <s v="100E/400S"/>
        <s v="100S/400E"/>
        <s v="700W/US52"/>
        <s v="250N/800E"/>
        <s v="1200E/SR234"/>
        <s v="125W/1000N"/>
        <s v="250N/850E"/>
        <s v="250N/700E"/>
        <s v="125W/300S"/>
        <s v="150N/1050E"/>
        <s v="150N/400W"/>
        <s v="150N/700W"/>
        <s v="150N/800E"/>
        <s v="150N/E. CO. LINE"/>
        <s v="150S/900E"/>
        <s v="150W/100N"/>
        <s v="150W/100S"/>
        <s v="150W/200S"/>
        <s v="150W/US40"/>
        <s v="150W/US52"/>
        <s v="300S/275E"/>
        <s v="200N/100W"/>
        <s v="200N/200W"/>
        <s v="200N/300W"/>
        <s v="200N/350W"/>
        <s v="200N/400E"/>
        <s v="200N/400W"/>
        <s v="200N/500E"/>
        <s v="200N/525W"/>
        <s v="200N/600E"/>
        <s v="200N/600W"/>
        <s v="200N/700E"/>
        <s v="400E/200N"/>
        <s v="200N/BUCK CREEK RD"/>
        <s v="200N/E. CO. LINE"/>
        <s v="200N/MERIDIAN"/>
        <s v="200S/100E"/>
        <s v="200S/150W"/>
        <s v="200S/200W"/>
        <s v="200S/250W"/>
        <s v="200S/300W"/>
        <s v="200S/400E"/>
        <s v="200S/400W"/>
        <s v="200S/425W"/>
        <s v="600E/300S"/>
        <s v="200S/500W"/>
        <s v="200S/600E"/>
        <s v="200S/600W"/>
        <s v="200S/675E"/>
        <s v="200S/700E"/>
        <s v="600S/100W"/>
        <s v="200S/750E"/>
        <s v="200S/800E"/>
        <s v="200S/900E"/>
        <s v="500W/MCCORD RD"/>
        <s v="200S/MERIDIAN RD"/>
        <s v="200S/SR9"/>
        <s v="200W/100N"/>
        <s v="200W/100S"/>
        <s v="200W/200N"/>
        <s v="200W/200S"/>
        <s v="200W/300N"/>
        <s v="200W/300S"/>
        <s v="200W/400N"/>
        <s v="200W/400S"/>
        <s v="200W/500N"/>
        <s v="200W/600N"/>
        <s v="200W/700N"/>
        <s v="200W/FURRY RD"/>
        <s v="200W/SR234"/>
        <s v="200W/US40"/>
        <s v="225N/END"/>
        <s v="250E/625N"/>
        <s v="250E/700N"/>
        <s v="250E/EDEN RD"/>
        <s v="250E/SR234"/>
        <s v="250N/1050E"/>
        <s v="250N/600E"/>
        <s v="250W/US40"/>
        <s v="200S/JACOBI RD"/>
        <s v="MERIDIAN RD./300S"/>
        <s v="250N/GRANDISON RD"/>
        <s v="250S/700E"/>
        <s v="250W/100S"/>
        <s v="STINEMYER RD/700W"/>
        <s v="500W/900N"/>
        <s v="25N/1050E"/>
        <s v="500S/500E_A"/>
        <s v="400S/MERIDIAN RD"/>
        <s v="275E/300S"/>
        <s v="275E/STEELE FORD"/>
        <s v="300E/300N"/>
        <s v="300E/350S"/>
        <s v="350N/700W"/>
        <s v="300E/400S"/>
        <s v="300E/500N"/>
        <s v="300E/500S"/>
        <s v="STINEMYER RD/650W"/>
        <s v="300E/625N"/>
        <s v="300E/700N"/>
        <s v="300E/I70"/>
        <s v="300N/100W"/>
        <s v="300N/125W"/>
        <s v="300N/200W"/>
        <s v="300N/300E"/>
        <s v="300N/300W"/>
        <s v="300N/375E"/>
        <s v="300N/400E"/>
        <s v="300N/400W"/>
        <s v="STINEMYER RD/675W"/>
        <s v="50W/1100N"/>
        <s v="300N/50E"/>
        <s v="100E/S.CO. LINE"/>
        <s v="300N/600E"/>
        <s v="300N/600W"/>
        <s v="300N/700E"/>
        <s v="300N/700W"/>
        <s v="300N/800E"/>
        <s v="300N/850E"/>
        <s v="300N/FORTVILLE PK"/>
        <s v="300N/GRANDISON RD"/>
        <s v="100S/675E"/>
        <s v="300S/100E"/>
        <s v="300S/125W"/>
        <s v="300S/150W"/>
        <s v="300S/200W"/>
        <s v="300S/250W"/>
        <s v="1000N/400E"/>
        <s v="300S/300W"/>
        <s v="300S/400E"/>
        <s v="400W/400N"/>
        <s v="500S/MERIDIAN RD"/>
        <s v="300S/450W"/>
        <s v="300S/500E"/>
        <s v="300S/500W"/>
        <s v="300S/50W"/>
        <s v="300S/600E"/>
        <s v="300S/600W"/>
        <s v="300S/700E"/>
        <s v="300W/900N"/>
        <s v="300S/800E"/>
        <s v="300S/900E"/>
        <s v="300S/BINFORD RD"/>
        <s v="300S/JACOBI RD"/>
        <s v="300S/MERIDIAN RD"/>
        <s v="300S/MORRISTOWN PK"/>
        <s v="500S/50W"/>
        <s v="300W/100N"/>
        <s v="300W/200N"/>
        <s v="400W/1000N"/>
        <s v="300W/300N"/>
        <s v="300W/300S"/>
        <s v="300W/400N"/>
        <s v="300W/400S"/>
        <s v="300W/500N"/>
        <s v="50W/900N"/>
        <s v="50W/850N"/>
        <s v="850E/250N"/>
        <s v="300W/925N"/>
        <s v="300W/FAUT RD"/>
        <s v="300W/I70"/>
        <s v="300W/SR234"/>
        <s v="300W/SR67"/>
        <s v="50W/1000N"/>
        <s v="300W/US52"/>
        <s v="325N/E. CO. LINE"/>
        <s v="350N/1000E"/>
        <s v="350N/1050E"/>
        <s v="350N/600W"/>
        <s v="50W/950N"/>
        <s v="350N/GRANDISON RD"/>
        <s v="350S/300E"/>
        <s v="350W/100N"/>
        <s v="300W/600N"/>
        <s v="350W/700N"/>
        <s v="500E/100N"/>
        <s v="375E/400N"/>
        <s v="375N/100W"/>
        <s v="400E/1000N"/>
        <s v="400E/100S"/>
        <s v="400E/1100N"/>
        <s v="500E/200N"/>
        <s v="400E/200S"/>
        <s v="400E/300N"/>
        <s v="400E/400N"/>
        <s v="400E/500N"/>
        <s v="400E/500S"/>
        <s v="400E/600N"/>
        <s v="400E/650N"/>
        <s v="850E/300N"/>
        <s v="400E/900N"/>
        <s v="350W/200N"/>
        <s v="400E/700N"/>
        <s v="400N/1000E"/>
        <s v="400N/100W"/>
        <s v="400N/200W"/>
        <s v="400N/300E"/>
        <s v="400N/300W"/>
        <s v="400N/375E"/>
        <s v="400N/400E"/>
        <s v="400N/400W"/>
        <s v="400N/450E"/>
        <s v="400N/50E"/>
        <s v="400N/525E"/>
        <s v="400N/600E"/>
        <s v="BUCK CREEK RD./I70"/>
        <s v="400N/700E"/>
        <s v="400N/800E"/>
        <s v="400N/850E"/>
        <s v="400N/900E"/>
        <s v="700N/FORTVILLE PK"/>
        <s v="700N/50W"/>
        <s v="700N/MERIDIAN RD"/>
        <s v="400S/200W"/>
        <s v="400S/300E"/>
        <s v="400S/300W"/>
        <s v="400E/SR234"/>
        <s v="400S/500E"/>
        <s v="ROCKWOOD LN (W)"/>
        <s v="400S/600E"/>
        <s v="400S/700E"/>
        <s v="400S/800E"/>
        <s v="400S/900E"/>
        <s v="400S/BINFORD RD"/>
        <s v="250W/200S"/>
        <s v="400S/MORRISTOWN PK"/>
        <s v="400S/SR9"/>
        <s v="50W/700N"/>
        <s v="1000E/1100N"/>
        <s v="650N/1200E"/>
        <s v="400W/150N"/>
        <s v="400W/200N"/>
        <s v="400W/300N"/>
        <s v="400W/300S"/>
        <s v="1000N/1200E"/>
        <s v="400W/400S"/>
        <s v="900N/1000E"/>
        <s v="400W/600N"/>
        <s v="400W/700N"/>
        <s v="400W/900N"/>
        <s v="400W/FAUT RD"/>
        <s v="400W/SR234"/>
        <s v="400W/SR67"/>
        <s v="400W/US40"/>
        <s v="400W/US52"/>
        <s v="425W/200S"/>
        <s v="450E/400N"/>
        <s v="450N/E. CO. LINE"/>
        <s v="450S/800E"/>
        <s v="450S/900E"/>
        <s v="GRANDISON RD/250N"/>
        <s v="450W/S. NEW PAL"/>
        <s v="475W/SR234"/>
        <s v="500E/1000N"/>
        <s v="300W/700N"/>
        <s v="500E/100S"/>
        <s v="500E/1100N"/>
        <s v="200S/500E"/>
        <s v="500E/200S"/>
        <s v="300E/600N"/>
        <s v="500E/300N"/>
        <s v="500E/300S"/>
        <s v="500E/400S"/>
        <s v="500E/500S"/>
        <s v="500E/550S"/>
        <s v="500E/650N"/>
        <s v="500E/700N"/>
        <s v="500E/900N"/>
        <s v="500E/I70"/>
        <s v="500E/N. TWP LINE"/>
        <s v="500E/SR234"/>
        <s v="500E/US40"/>
        <s v="500N/1000E"/>
        <s v="500N/1050E"/>
        <s v="500N/200W"/>
        <s v="500N/25W"/>
        <s v="500N/300E"/>
        <s v="500N/300W"/>
        <s v="500N/400E"/>
        <s v="500N/400W"/>
        <s v="500N/500W"/>
        <s v="500N/50E"/>
        <s v="500N/600E"/>
        <s v="500N/600W"/>
        <s v="500N/700E"/>
        <s v="500N/700W"/>
        <s v="500N/800E"/>
        <s v="500N/850E"/>
        <s v="500N/900E"/>
        <s v="500N/FORTVILLE PK"/>
        <s v="500N/SR9"/>
        <s v="500S/100E"/>
        <s v="500S/200E"/>
        <s v="500S/300E"/>
        <s v="500S/400E"/>
        <s v="500S/500E"/>
        <s v="900N/550E"/>
        <s v="900N/600E"/>
        <s v="500S/575E"/>
        <s v="500S/600E"/>
        <s v="500S/900E"/>
        <s v="1200E/1100N"/>
        <s v="500S/SR9"/>
        <s v="500W"/>
        <s v="500W/1000N"/>
        <s v="500W/100S"/>
        <s v="500W/200S"/>
        <s v="1200E/900N"/>
        <s v="500W/300S"/>
        <s v="500W/600N"/>
        <s v="500W/700N"/>
        <s v="500W/750N"/>
        <s v="BUCK CREEK RD/300N"/>
        <s v="500W/DEAD END"/>
        <s v="500W/I70"/>
        <s v="400E/US40"/>
        <s v="500W/S. NEW PAL"/>
        <s v="500W/SR234"/>
        <s v="500W/SR67"/>
        <s v="500W/US40"/>
        <s v="650W/US52"/>
        <s v="50E/500N"/>
        <s v="50E/600N"/>
        <s v="50E/700N"/>
        <s v="50E/750N"/>
        <s v="1000N/625E"/>
        <s v="50S/850E"/>
        <s v="50S/E. CO. LINE"/>
        <s v="100N/700E"/>
        <s v="50W/1050N"/>
        <s v="1125E/700N"/>
        <s v="50W/300S"/>
        <s v="50W/400S"/>
        <s v="50W/500S"/>
        <s v="1125E/SR234"/>
        <s v="900E/700N"/>
        <s v="300W/200S"/>
        <s v="100W/300N"/>
        <s v="50W/SR234"/>
        <s v="1025E/700N"/>
        <s v="525W/100N"/>
        <s v="525W/200N"/>
        <s v="550E/1000N"/>
        <s v="550N/1050E"/>
        <s v="550N/E. CO. LINE"/>
        <s v="550N/END"/>
        <s v="550S/500E"/>
        <s v="550S/800E"/>
        <s v="550S/900E"/>
        <s v="550W/STINEMYER RD"/>
        <s v="550W/US52"/>
        <s v="575E/500S"/>
        <s v="575E/550S"/>
        <s v="600E/1000N"/>
        <s v="600E/100N"/>
        <s v="600E/100S"/>
        <s v="600E/200N"/>
        <s v="125W/200N"/>
        <s v="600E/250N"/>
        <s v="125W/300N"/>
        <s v="600E/300N"/>
        <s v="200E/500S"/>
        <s v="600E/400N"/>
        <s v="25W/600N"/>
        <s v="600E/500N"/>
        <s v="600E/600N"/>
        <s v="600E/650N"/>
        <s v="600E/700N"/>
        <s v="600E/900N"/>
        <s v="600E/N. TWP LINE"/>
        <s v="600E/SR234"/>
        <s v="600E/US40"/>
        <s v="600N/200W"/>
        <s v="600N/250E"/>
        <s v="600N/25W"/>
        <s v="600N/300E"/>
        <s v="600N/300W"/>
        <s v="600N/350W"/>
        <s v="600N/400E"/>
        <s v="600N/400W"/>
        <s v="600N/500E"/>
        <s v="600N/500W"/>
        <s v="600N/50E"/>
        <s v="600N/50W"/>
        <s v="600N/600E"/>
        <s v="600N/600W"/>
        <s v="600N/700E"/>
        <s v="600N/800E"/>
        <s v="600N/850E"/>
        <s v="600N/875E"/>
        <s v="600N/FORTVILLE PK"/>
        <s v="300E/400N"/>
        <s v="600N/SR9"/>
        <s v="500E/250N"/>
        <s v="600S/150W"/>
        <s v="600S/300E"/>
        <s v="600S/300W"/>
        <s v="600S/400E"/>
        <s v="600S/400W"/>
        <s v="600S/450W"/>
        <s v="600S/500E"/>
        <s v="600S/500W"/>
        <s v="600S/550W"/>
        <s v="600S/600W"/>
        <s v="600S/675W"/>
        <s v="600S/800E"/>
        <s v="600S/900E"/>
        <s v="600W/100N"/>
        <s v="600W/100S"/>
        <s v="600W/200N"/>
        <s v="600W/200S"/>
        <s v="600W/225N"/>
        <s v="600W/300N"/>
        <s v="600W/300S"/>
        <s v="600W/350N"/>
        <s v="600W/400N"/>
        <s v="600W/500N"/>
        <s v="500W/300N"/>
        <s v="600W/STINEMYER RD"/>
        <s v="600W/US40"/>
        <s v="600W/US52"/>
        <s v="625E/1100N"/>
        <s v="50E/400N"/>
        <s v="650N/1000E"/>
        <s v="650N/1050E"/>
        <s v="650N/1125E"/>
        <s v="50E/SR234"/>
        <s v="650N/400E"/>
        <s v="650N/500E"/>
        <s v="650N/600E"/>
        <s v="650N/600W"/>
        <s v="650N/700E"/>
        <s v="650N/725E"/>
        <s v="650N/800E"/>
        <s v="650N/875E"/>
        <s v="650N/900E"/>
        <s v="650N/MAIN ST"/>
        <s v="650N/SR109"/>
        <s v="650N/THOMAS RD."/>
        <s v="750N/50E"/>
        <s v="675E/1000N"/>
        <s v="675E/100S"/>
        <s v="675E/900N"/>
        <s v="675E/950N"/>
        <s v="675E/N. TWP LINE"/>
        <s v="675E/NASHVILLE RD."/>
        <s v="675E/S. TWP LINE"/>
        <s v="675W/STINEMYER RD"/>
        <s v="700E/100N"/>
        <s v="700E/150N"/>
        <s v="700E/200N"/>
        <s v="700E/200S"/>
        <s v="700E/250N"/>
        <s v="700E/250S"/>
        <s v="700E/300S"/>
        <s v="700E/400N"/>
        <s v="700E/400S"/>
        <s v="800E/400N"/>
        <s v="700E/600N"/>
        <s v="700E/650N"/>
        <s v="700N/1125E"/>
        <s v="700N/1200E"/>
        <s v="700N/200W"/>
        <s v="700N/250E"/>
        <s v="700N/300E"/>
        <s v="700N/300W"/>
        <s v="700N/350W"/>
        <s v="700N/400E"/>
        <s v="700N/400W"/>
        <s v="700N/475W"/>
        <s v="700N/500E"/>
        <s v="700N/500W"/>
        <s v="700N/50E"/>
        <s v="860N/END"/>
        <s v="700N/600E"/>
        <s v="700N/900E"/>
        <s v="900E/300S"/>
        <s v="900E/450S"/>
        <s v="700N/SR109"/>
        <s v="700N/SR9"/>
        <s v="700N/TROY RD"/>
        <s v="700W/100N"/>
        <s v="700W/100S"/>
        <s v="700W/150N"/>
        <s v="700W/200N"/>
        <s v="700W/200S"/>
        <s v="HOLMES COURT"/>
        <s v="700W/300S"/>
        <s v="700W/350N"/>
        <s v="700W/400N"/>
        <s v="700W/500N"/>
        <s v="SECOND ST(CHAR)/EA"/>
        <s v="700W/LANE RD"/>
        <s v="700W/US40"/>
        <s v="STEELEFORD RD/MORR"/>
        <s v="725E/SR234"/>
        <s v="750E/100S"/>
        <s v="750E/900N"/>
        <s v="750E/950N"/>
        <s v="525E/400N"/>
        <s v="750N/SR9"/>
        <s v="775E/1000N"/>
        <s v="775E/1100N"/>
        <s v="775E/50S"/>
        <s v="775E/700N"/>
        <s v="775E/NASHVILLE RD."/>
        <s v="775E/SR234"/>
        <s v="800E/100N"/>
        <s v="800E/150N"/>
        <s v="800E/200S"/>
        <s v="800E/250N"/>
        <s v="800E/300N"/>
        <s v="800E/300S"/>
        <s v="1125E/900N"/>
        <s v="800E/400S"/>
        <s v="800E/450S"/>
        <s v="800E/500N"/>
        <s v="800E/500S"/>
        <s v="800E/550S"/>
        <s v="800E/600N"/>
        <s v="800E/650N"/>
        <s v="800E/BINFORD RD"/>
        <s v="850E/100N"/>
        <s v="850E/100S"/>
        <s v="625N/300E"/>
        <s v="100N/525W"/>
        <s v="850E/350N"/>
        <s v="850E/400N"/>
        <s v="850E/500N"/>
        <s v="850E/50S"/>
        <s v="850E/600N"/>
        <s v="850E/N. TWP LINE"/>
        <s v="850E/US40"/>
        <s v="850N/50W"/>
        <s v="1200E/700N"/>
        <s v="875E/650N"/>
        <s v="900E/150S"/>
        <s v="900E/200S"/>
        <s v="1200E/650N"/>
        <s v="900E/400S"/>
        <s v="400S/100W"/>
        <s v="900E/500N"/>
        <s v="900E/500S"/>
        <s v="900E/550S"/>
        <s v="400S/50W"/>
        <s v="900E/SR109"/>
        <s v="900E/SR234"/>
        <s v="100S/500E"/>
        <s v="900N/1100E"/>
        <s v="900N/1125E"/>
        <s v="900N/1200E"/>
        <s v="900N/200W"/>
        <s v="900N/300W"/>
        <s v="900N/400E"/>
        <s v="900N/400W"/>
        <s v="900N/500E"/>
        <s v="900N/TROY RD"/>
        <s v="900N/50W"/>
        <s v="700E/500N"/>
        <s v="EASY STREET(W)"/>
        <s v="HAVENS DRIVE(S)"/>
        <s v="900N/750E"/>
        <s v="900N/ALFORD RD"/>
        <s v="900N/BARNARD RD"/>
        <s v="900N/FORTVILLE PK"/>
        <s v="900N/MERIDIAN RD"/>
        <s v="900N/NASHVILLE RD"/>
        <s v="900N/OLVEY RD"/>
        <s v="900N/SR109"/>
        <s v="900N/SR9"/>
        <s v="PARKWAY AVE(S)"/>
        <s v="925E/US40"/>
        <s v="925N/200W"/>
        <s v="950N/125W"/>
        <s v="950N/50W"/>
        <s v="950N/775E"/>
        <s v="AARON Court"/>
        <s v="ACCESS DRIVE"/>
        <s v="ACCESS RD/N OF 70"/>
        <s v="ACORN COURT (N)"/>
        <s v="PARKWAY COURT"/>
        <s v="ALFORD RD./1000N"/>
        <s v="ALFORD RD./1100N"/>
        <s v="ALFORD RD./900N"/>
        <s v="ALLEN DRIVE"/>
        <s v="ALLEY(CHAR)/1050E"/>
        <s v="ALLEY(CHAR)/CAR RD"/>
        <s v="ALLEY(CHAR)/CH PKG"/>
        <s v="ALLEY(CHAR)/EAST_A"/>
        <s v="ALLEY(CHAR)/EAST_B"/>
        <s v="ALLEY(CHAR)/EAST_C"/>
        <s v="ALLEY(CHAR)/EAST_D"/>
        <s v="ALLEY(CHAR)/EASTST"/>
        <s v="ALLEY(EDEN)/EDENRD"/>
        <s v="ALLEY(FIN)/MAIN ST"/>
        <s v="ALLEY(MAX)/EAST ST"/>
        <s v="ALLEY(MAX)/JACKSON"/>
        <s v="ALLEY(MAX)/JACKtoE"/>
        <s v="ALLEY(MAX)/JEFF ST"/>
        <s v="ALLEY(MAX)/SR9toEN"/>
        <s v="ALLEY(MOH)/NEW ST"/>
        <s v="ALLEY(PHILY)/PEARL"/>
        <s v="ALLEY(PHILY)/US40"/>
        <s v="ALLEY(PHILY)/US40A"/>
        <s v="AMANDA COURT"/>
        <s v="AMELIA DRIVE"/>
        <s v="WINDHAVEN COURT"/>
        <s v="ANTON WAY"/>
        <s v="Apple cave   court"/>
        <s v="APPLE ST/200N"/>
        <s v="APPLEGATE DRIVE(S)"/>
        <s v="ARBOR LANE"/>
        <s v="ARROWHEAD COURT"/>
        <s v="ARROWHEAD DRIVE"/>
        <s v="WINDSONG COURT"/>
        <s v="BLACKBERRY CT(S)"/>
        <s v="BALFER DRIVE EAST"/>
        <s v="BALFER DRIVE WEST"/>
        <s v="BANTON CIRCLE"/>
        <s v="BARNARD RD./1000N"/>
        <s v="BARNARD RD./1100N"/>
        <s v="BARNWOOD DRIVE(W)"/>
        <s v="STINEMEYER CT (W)"/>
        <s v="BEECH TREE (N)"/>
        <s v="BEECH TREE DR"/>
        <s v="BEECHWOOD LANE"/>
        <s v="GRASSY CT (S)"/>
        <s v="BERLANDER ROAD"/>
        <s v="BINFORD ROAD/300S"/>
        <s v="BINFORD ROAD/800E"/>
        <s v="BIRCH COURT"/>
        <s v="BIRDSONG COURT"/>
        <s v="BIRDSONG DRIVE"/>
        <s v="BITTNER LANE"/>
        <s v="HACKBERRY TRL (W)"/>
        <s v="BLUE BELL DRIVE"/>
        <s v="BLUE SPRUCE CT (N)"/>
        <s v="BLUEBELL DRIVE"/>
        <s v="BAYWOOD DR (W)"/>
        <s v="KEN LANE"/>
        <s v="SYCAMORE HILLS DR"/>
        <s v="BOULDER CREEK COURT(W)"/>
        <s v="BOULDER CREEK DRIVE(W)"/>
        <s v="BOULDER CREEK LANE(S)"/>
        <s v="FURRY ROAD/100W"/>
        <s v="MUD CREEK CT (S)"/>
        <s v="ATTLEBURG DRIVE(N)"/>
        <s v="CRANBERRY DRIVE"/>
        <s v="BRIAR PARK VIEW(W)"/>
        <s v="BRIARWOOD BLVD(W)"/>
        <s v="BRIER CREEK COURT"/>
        <s v="BRIER CREEK DRIVE"/>
        <s v="BRISTOL WAY"/>
        <s v="BROKEN ARROW COURT(W)"/>
        <s v="BROKEN ARROW DRIVE(S)"/>
        <s v="BROKEN ARROW DRIVE(W)"/>
        <s v="BROOKLAWN DRIVE"/>
        <s v="BRUNE COURT"/>
        <s v="BUCK CREEK COURT"/>
        <s v="BUCK CREEK RD./150N"/>
        <s v="DELEGATE WAY (N)"/>
        <s v="BUCK CREEK RD/100N"/>
        <s v="BUCK CREEK RD/200N"/>
        <s v="ESSEX CIRCLE"/>
        <s v="BUCKEYE DR (W)"/>
        <s v="BUCKEYE LANE (N)"/>
        <s v="BUCKSKIN COURT"/>
        <s v="LANE RD./700W"/>
        <s v="BURR OAK DRIVE"/>
        <s v="BUTTERCUP DRIVE"/>
        <s v="CAMERON LANE"/>
        <s v="CARIBOU CIRCLE"/>
        <s v="CARRIAGE DRIVE"/>
        <s v="CARRIE DRIVE"/>
        <s v="CARTHAGE RD/US40"/>
        <s v="CASEY LANE(E)"/>
        <s v="CATALINA DRIVE EAST"/>
        <s v="CATALINA DRIVE SOUTH"/>
        <s v="CATALINA DRIVE WEST"/>
        <s v="CENTER (FIN)/100W"/>
        <s v="CENTER ST(MAX)JEFF"/>
        <s v="BENJAMIN PLACE (N)"/>
        <s v="CENTRAL DRIVE"/>
        <s v="BURLINGTON DRIVE(W)"/>
        <s v="CHERRY TREE (N)"/>
        <s v="CHESTNUT ST(MOH)/E"/>
        <s v="CHRISTIAN DRIVE"/>
        <s v="CLUBHOUSE DRIVE"/>
        <s v="COLONIAL DRIVE"/>
        <s v="COLTON COURT"/>
        <s v="COLTON RD"/>
        <s v="COMMERCIAL"/>
        <s v="CORNERSTONE DRIVE(W)"/>
        <s v="CHARLESTON WAY(W)"/>
        <s v="COTTONWOOD DRIVE"/>
        <s v="COUNTRY LANE"/>
        <s v="COUNTRY LANE DRIVE"/>
        <s v="COUNTRY MILL DRIVE"/>
        <s v="DOVER PLACE(W)"/>
        <s v="COUNTRY WAY"/>
        <s v="COUNTRYSIDE COURT"/>
        <s v="COUNTRYSIDE DRIVE"/>
        <s v="JAMESTOWN DR(N)"/>
        <s v="CREEK RIDGE DRIVE"/>
        <s v="CREEK RIDGE DRIVE(W)"/>
        <s v="CREEKSIDE COURT"/>
        <s v="CREEKSIDE DR (N)"/>
        <s v="CREEKSIDE DR (W)"/>
        <s v="CREEKSIDE DRIVE"/>
        <s v="CREEKVIEW DRIVE"/>
        <s v="CREEKWATER PASS"/>
        <s v="CROSS TRAIL (W)"/>
        <s v="CUB BOULEVARD"/>
        <s v="DAISY LANE"/>
        <s v="DECKSHIRE LANE"/>
        <s v="DEER LANE (N)"/>
        <s v="DEER RUN DRIVE"/>
        <s v="DEERFIELD DRIVE"/>
        <s v="JAMESTOWN DRIVE (W)"/>
        <s v="DOE CT (N)"/>
        <s v="DOGWOOD WAY (N)"/>
        <s v="JEFFERSON CT (W)"/>
        <s v="JEFFERSON CT(N)"/>
        <s v="EAST ST(CHAR)/25N"/>
        <s v="EAST ST(CHAR)/US40"/>
        <s v="EAST ST(MAX)/END"/>
        <s v="EASTERN VILLAGE"/>
        <s v="EASY ST."/>
        <s v="JEFFERSON DRIVE"/>
        <s v="EDEN RD./250E"/>
        <s v="EDEN RD./TROY RD"/>
        <s v="ELAND DRIVE"/>
        <s v="ELISE COURT"/>
        <s v="KINGSTON DRIVE(W)"/>
        <s v="FAIRWAY VILLAGE BOULEVARD(S)"/>
        <s v="FAIRWAY VILLAGE COURT(S)"/>
        <s v="FAIRWAY VILLAGE DRIVE(E)"/>
        <s v="FALLOW TRAIL"/>
        <s v="FARM STONE CIRCLE(S)"/>
        <s v="FAUT ROAD/300W"/>
        <s v="FIELDING ROAD"/>
        <s v="FOREST COURT"/>
        <s v="FOREST LANE"/>
        <s v="FORTVILLE PK./200N"/>
        <s v="FORTVILLE PK./25W"/>
        <s v="FORTVILLE PK./300N"/>
        <s v="FORTVILLE PK./375N"/>
        <s v="FORTVILLE PK./500A"/>
        <s v="FORTVILLE PK./500N"/>
        <s v="FORTVILLE PK./600N"/>
        <s v="FORTVILLE PK./700N"/>
        <s v="FORTVILLE PK/850N"/>
        <s v="FORTVILLE PK/900N"/>
        <s v="FORTVILLE PK/950N"/>
        <s v="FORTVILLE PK/SR234"/>
        <s v="FOX COVE BOULEVARD"/>
        <s v="FOX DEN BOULEVARD"/>
        <s v="FOX PAW DRIVE"/>
        <s v="FOX RUN DRIVE"/>
        <s v="FOX TAIL PASS"/>
        <s v="FOX TRAIL DRIVE"/>
        <s v="FOX VIEW TRAIL"/>
        <s v="FROG POND COURT"/>
        <s v="LITTLETON DRIVE"/>
        <s v="GLENDALE LANE"/>
        <s v="GRANDISON RD./25N"/>
        <s v="GRANDISON RD./300N"/>
        <s v="GRANDISON RD/100N"/>
        <s v="GRANDISON RD/150N"/>
        <s v="MEDFORD COURT"/>
        <s v="GRANITE COURT(W)"/>
        <s v="ORCHARD DRIVE"/>
        <s v="GREENFIELD (FIN)/1"/>
        <s v="GREY FEATHER TRAIL"/>
        <s v="GREYHAWK LANE"/>
        <s v="GREYHAWK WAY"/>
        <s v="PEPPEREEL WAY(N)"/>
        <s v="HARMONY TRAIL(W)"/>
        <s v="HARVEST WAY(W)"/>
        <s v="PHILADELPHIA DRIVE"/>
        <s v="HEARTH STONE COURT"/>
        <s v="HERITAGE COURT"/>
        <s v="HERITAGE DRIVE"/>
        <s v="HERITAGE DRIVE EAST"/>
        <s v="HERITAGE DRIVE NORTH"/>
        <s v="HERITAGE DRIVE SOUTH"/>
        <s v="HERITAGE DRIVE WEST"/>
        <s v="HERON COURT"/>
        <s v="HERON DRIVE EAST"/>
        <s v="HERON DRIVE SOUTH"/>
        <s v="HERON DRIVE WEST"/>
        <s v="HICKORY BOULEVARD"/>
        <s v="HICKORY DRIVE (W)"/>
        <s v="HICKORY WOODS LANE"/>
        <s v="HIDDEN LAKE CT (W)"/>
        <s v="HIGH ACRES EAST DR"/>
        <s v="HIGH ACRES NORTH COURT"/>
        <s v="HIGH ACRES SOUTH COURT"/>
        <s v="HIGH ACRES WEST COURT"/>
        <s v="HIGH ACRES WEST DR"/>
        <s v="HILL DRIVE"/>
        <s v="HILLVIEW DRIVE(S)"/>
        <s v="HOLLYHOCK COURT"/>
        <s v="PLYMOUTH CT (N)"/>
        <s v="HOMESTEAD COURT"/>
        <s v="HOMESTEAD DRIVE"/>
        <s v="HONEYSUCKLE COURT"/>
        <s v="HUNTERS COURT(N)"/>
        <s v="IRWIN DRIVE (W)"/>
        <s v="IVY COURT"/>
        <s v="IVY LANE"/>
        <s v="JACKSON"/>
        <s v="JACKSON (MAX)/COTT"/>
        <s v="JACOBI RD./100S"/>
        <s v="JACOBI RD./200S"/>
        <s v="QUINCY DRIVE(N)"/>
        <s v="RALEIGH DRIVE(W)"/>
        <s v="JEANNE COURT"/>
        <s v="JEFFERSON (MAX)/EA"/>
        <s v="ROCKINGHAM LANE(N)"/>
        <s v="STANSBURY BLVD"/>
        <s v="STAYLEY AVE"/>
        <s v="JENNIFER COURT"/>
        <s v="JENNIFER DRIVE"/>
        <s v="JENNIFER LANE"/>
        <s v="KAITLIN COURT"/>
        <s v="KAITLIN RD"/>
        <s v="KATHLEEN COURT"/>
        <s v="KELLY DRIVE(N)"/>
        <s v="SUGAR CREEK TRAIL"/>
        <s v="KINGBIRD COURT"/>
        <s v="KINGBIRD DRIVE"/>
        <s v="THISTLE BURR"/>
        <s v="LAKESIDE COURT"/>
        <s v="LAKEWOOD COURT"/>
        <s v="LAKEWOOD DRIVE"/>
        <s v="LANA COURT EAST"/>
        <s v="LANA COURT WEST"/>
        <s v="VERNON LANE"/>
        <s v="LEE MAR DRIVE"/>
        <s v="LEONARD ROAD"/>
        <s v="LILAC LANE"/>
        <s v="LILLIAN COURT"/>
        <s v="LILY COURT"/>
        <s v="WALNUT/VINE(PHILY)"/>
        <s v="LOGAN DR (S)"/>
        <s v="MAIELLEN COURT"/>
        <s v="MAIELLEN DRIVE"/>
        <s v="MAIN CROSS(PHILY)"/>
        <s v="MAIN ST(CHAR)/25N"/>
        <s v="MAIN ST(FINLY)/GR"/>
        <s v="MAIN ST.(WILL BR)"/>
        <s v="ANITA LANE"/>
        <s v="MEADOW LAKE DRIVE"/>
        <s v="MEADOW SONG CT S"/>
        <s v="MEADOWS CIRCLE"/>
        <s v="MEADOWS LANE"/>
        <s v="MEADOWVIEW DR"/>
        <s v="MELODY LANE"/>
        <s v="WILDWOOD DRIVE"/>
        <s v="MEMORY LANE"/>
        <s v="MERIDIAN RD./1000A"/>
        <s v="300N/500W"/>
        <s v="MERIDIAN RD./100S"/>
        <s v="MERIDIAN RD./1100N"/>
        <s v="MERIDIAN RD./200S"/>
        <s v="700W/600N"/>
        <s v="MERIDIAN RD./400N"/>
        <s v="MERIDIAN RD./400S"/>
        <s v="MERIDIAN RD./500S"/>
        <s v="MERIDIAN RD./900N"/>
        <s v="MERIDIAN RD./SR234"/>
        <s v="MICHAEL'S CT"/>
        <s v="MILL BOULEVARD"/>
        <s v="MILL COURT"/>
        <s v="MILL STREAM DRIVE"/>
        <s v="MOELLER CIR (S)"/>
        <s v="MOELLER CIR(N)"/>
        <s v="MOHAWK LN(MOH)/NEW"/>
        <s v="MOHR ESTATES MIDDLE DRIVE"/>
        <s v="MOHR ESTATES SOUTH DRIVE"/>
        <s v="MOHR ROAD(E)"/>
        <s v="MOHR ROAD(N)"/>
        <s v="MORGAN COURT(W)"/>
        <s v="MORGAN CT (E)"/>
        <s v="MORNING GLORY CIRCLE"/>
        <s v="MORNING WALK DRIVE"/>
        <s v="MORRISTOWN PK./STE"/>
        <s v="MORRISTOWN PK/100S"/>
        <s v="MORRISTOWN PK/200S"/>
        <s v="MORRISTOWN PK/300S"/>
        <s v="MORRISTOWN PK/400S"/>
        <s v="MORRISTOWN PK/US40"/>
        <s v="MT VERNON COURT"/>
        <s v="MT VERNON WAY"/>
        <s v="600E/200S"/>
        <s v="NASHVILLE RD./775E"/>
        <s v="NASHVILLE RD./900N"/>
        <s v="NASHVILLE RD/1000N"/>
        <s v="NASHVILLE RD/1100N"/>
        <s v="NASHVILLE RD/675E"/>
        <s v="NEW ST(MOH)/MOH LN"/>
        <s v="NORTH ST(CHAR)/END"/>
        <s v="NORTH/EAST ST"/>
        <s v="OAK DRIVE"/>
        <s v="OAK STREET"/>
        <s v="OAKWOOD COURT"/>
        <s v="OAKWOOD DRIVE"/>
        <s v="ODEN ROAD"/>
        <s v="OLD 1200E/NEW1200E"/>
        <s v="OLD COLONY DR WEST"/>
        <s v="OLVEY RD./900N"/>
        <s v="600E/250S"/>
        <s v="OSMAN LANE"/>
        <s v="OSPREY DR"/>
        <s v="PARKER LANE (S)"/>
        <s v="PARKSIDE DRIVE"/>
        <s v="PARKVIEW DR"/>
        <s v="300S/700W"/>
        <s v="300N/525E"/>
        <s v="PEACE STREET"/>
        <s v="PEARL ST(PHILY)"/>
        <s v="400W/100N"/>
        <s v="400S/100E"/>
        <s v="PINE BLUFF DRIVE(W)"/>
        <s v="PINE COURT"/>
        <s v="PINE ST(CHAR)/1050"/>
        <s v="PLANTATION ROW (W)"/>
        <s v="PLEASANT DRIVE"/>
        <s v="900N/500W"/>
        <s v="PORTALAN DRIVE"/>
        <s v="PORTIA DRIVE"/>
        <s v="POSTMASTER LANE"/>
        <s v="PRAIRIE COURT"/>
        <s v="QUAIL COURT"/>
        <s v="QUAIL RUN DRIVE"/>
        <s v="ALEXANDRIA DRIVE"/>
        <s v="ASHLEY DRIVE(S)"/>
        <s v="BOMAR BOULEVARD"/>
        <s v="BOMAR CIRCLE"/>
        <s v="RAVEN FIELD BLVD(W)"/>
        <s v="RAVENFIELD CRT(N)"/>
        <s v="RAYLEE GARDEN DR(S)"/>
        <s v="RED FOX TRAIL (N)"/>
        <s v="RED OAK DRIVE"/>
        <s v="REDBUD CIRCLE"/>
        <s v="REMBRANT COURT"/>
        <s v="REX RIDGE ROAD"/>
        <s v="RICHMAN BLVD"/>
        <s v="RICHMAN CIRCLE"/>
        <s v="RICHMAN COURT"/>
        <s v="RICHMAN DRIVE(S)"/>
        <s v="RICHMAN LANE(W)"/>
        <s v="RICHMAN WAY(S)"/>
        <s v="RICKS DRIVE EAST"/>
        <s v="RICKS DRIVE SOUTH"/>
        <s v="RICKS DRIVE WEST"/>
        <s v="RIDGE DRIVE"/>
        <s v="RIDGEVIEW"/>
        <s v="ROBERTS CT. (W)"/>
        <s v="BOMAR LANE"/>
        <s v="ROCKWAY DRIVE(W)"/>
        <s v="BRANDYWINE COURT"/>
        <s v="ROSEWIND DR (S)"/>
        <s v="S CENTENNIAL AVE"/>
        <s v="S PHILADELPHIA PASS"/>
        <s v="SACREMENTO DRIVE"/>
        <s v="SAW MILL COURT"/>
        <s v="SCHOOL ST(MAX)/END"/>
        <s v="SECOND (CHAR)/CART"/>
        <s v="BRANDYWINE LANE(E)"/>
        <s v="SECOND ST(WIL BRA)"/>
        <s v="SHADELAND DRIVE"/>
        <s v="SHADOW CREEK WAY WEST"/>
        <s v="SHADY CREEK DRIVE"/>
        <s v="SHARON DRIVE"/>
        <s v="SHEL-LYN COURT"/>
        <s v="SHEL-LYN DRIVE"/>
        <s v="SOUTH ST(CHAR)/EAS"/>
        <s v="SOUTH ST(MAX)/CENT"/>
        <s v="SOUTH ST/END"/>
        <s v="SOUTHWAY DR (S)"/>
        <s v="SPARKS RD./300N"/>
        <s v="BRANDYWINE TRAIL(E)"/>
        <s v="STATION WAY/350N"/>
        <s v="BRANDYWINE TRAIL(S)"/>
        <s v="STEELEFORD RD/END"/>
        <s v="CENTER ST(PHIL)/VI"/>
        <s v="COUNTRY TRAIL(E)"/>
        <s v="STINEMYER RD/550W"/>
        <s v="STINEMYER RD/600W"/>
        <s v="300S/SR9"/>
        <s v="400N/600W"/>
        <s v="400N/SR9"/>
        <s v="STONE WAY(S)"/>
        <s v="STONE WAY(W)"/>
        <s v="STONEHAVEN LANE(W)"/>
        <s v="STONER"/>
        <s v="STONY RIDGE COURT"/>
        <s v="STRAHL DRIVE(N)"/>
        <s v="SUGAR BEND RUN (N)"/>
        <s v="400W/100S"/>
        <s v="SUGAR HILLS CT"/>
        <s v="SUGAR HILLS DR"/>
        <s v="SUMMERFIELD DR(N)"/>
        <s v="SUMMERHAVEN COURT"/>
        <s v="SUMMERHAVEN DRIVE"/>
        <s v="SUN CLOUD DR (W)"/>
        <s v="SUN RISE CT"/>
        <s v="SUN RISE DR"/>
        <s v="SUNSET COURT"/>
        <s v="SUNSET DRIVE NORTH"/>
        <s v="SUNSET DRIVE SOUTH"/>
        <s v="SUNSHINE DRIVE"/>
        <s v="SURREY CT WEST"/>
        <s v="SURREY LANE SOUTH"/>
        <s v="SWEET CREEK DRIVE"/>
        <s v="SYCAMORE CT"/>
        <s v="SYCAMORE DRIVE"/>
        <s v="100W/400S"/>
        <s v="THEODORE LANE"/>
        <s v="THIRD ST(WILL BRA)"/>
        <s v="1000N/500E"/>
        <s v="THOMAS COURT"/>
        <s v="THOMAS RD./SR234"/>
        <s v="THOMAS ST(WILL BR)"/>
        <s v="TIMBER DRIVE"/>
        <s v="TOMKE DRIVE"/>
        <s v="TROY RD./900N"/>
        <s v="TROY RD./EDEN RD"/>
        <s v="TROY RD./SR234"/>
        <s v="TULIP TREE DRIVE"/>
        <s v="TUMBLEWEED COURT(W)"/>
        <s v="TUMBLEWEED DRIVE(S)"/>
        <s v="TWIN OAK BLVD (E)"/>
        <s v="VALLEY COURT"/>
        <s v="VALLEY LANE"/>
        <s v="VERA DRIVE"/>
        <s v="600E/400S"/>
        <s v="VILLAGE DRIVE"/>
        <s v="VILLAGE DRIVE (S)"/>
        <s v="VILLAGE ROW"/>
        <s v="VILLAGE WAY WEST"/>
        <s v="W CONGRESS CV"/>
        <s v="W HARRISBURG CT"/>
        <s v="WALNUT CT"/>
        <s v="WALNUT DR(S)"/>
        <s v="1000N/675E"/>
        <s v="WASHINGTON (MAX)/E"/>
        <s v="WATER WHEEL DRIVE"/>
        <s v="WATERS EDGE BLVD"/>
        <s v="WATERS EDGE CT"/>
        <s v="WATERWAY DRIVE"/>
        <s v="WAYNE DRIVE"/>
        <s v="WELKER DRIVE"/>
        <s v="WEST ST(CHAR)/CART"/>
        <s v="WEST ST(FINLY)"/>
        <s v="WESTERN CT (W)"/>
        <s v="WHISPERING WAY"/>
        <s v="WHITE OAK DRIVE"/>
        <s v="WHITESIDE CT"/>
        <s v="WILDFLOWER LN"/>
        <s v="MCCORD RD./500W"/>
        <s v="WILLIAMSWOOD DRIVE"/>
        <s v="WILLOW GROVE DR (S)"/>
        <s v="WILLOW GROVE DR (W)"/>
        <s v="WILMONT"/>
        <s v="E. E ST."/>
        <s v="WINDMILL WAY(W)"/>
        <s v="25W/500N"/>
        <s v="WOLLENWEBER ROAD"/>
        <s v="WOODCREST DRIVE"/>
        <s v="WOODFIELD DRIVE"/>
        <s v="WOODGROVE WAY(S)"/>
        <m/>
        <s v="COMMERCIAL PARKWAY" u="1"/>
        <s v="HARRISBURG" u="1"/>
        <s v="COTTONWOOD DR" u="1"/>
        <s v="JACKSON STREET" u="1"/>
        <s v="yes" u="1"/>
        <s v="STONER DRIVE(W)" u="1"/>
        <s v="W Harrisburg Cr" u="1"/>
        <s v="125W/I70" u="1"/>
        <s v="IRWIN" u="1"/>
        <s v="500W/500N" u="1"/>
      </sharedItems>
    </cacheField>
    <cacheField name="ROAD" numFmtId="0">
      <sharedItems containsBlank="1"/>
    </cacheField>
    <cacheField name="SUBDIVISION" numFmtId="0">
      <sharedItems containsBlank="1"/>
    </cacheField>
    <cacheField name="FROM" numFmtId="0">
      <sharedItems containsBlank="1" count="213">
        <s v="900 N"/>
        <s v="500N"/>
        <s v="350N"/>
        <s v="400N"/>
        <s v="TWSP.2N.LINE"/>
        <s v="900N"/>
        <s v="550N"/>
        <s v="SR234"/>
        <s v="1000E"/>
        <s v="125W"/>
        <s v="400S"/>
        <s v="400W"/>
        <s v="50W"/>
        <s v="550E"/>
        <s v="600E"/>
        <s v="500 W"/>
        <s v="ALFORD RD."/>
        <s v="BARNARD RD."/>
        <s v="MERIDIAN RD."/>
        <s v="NASHVILLE RD."/>
        <s v="SR109"/>
        <s v="SR9"/>
        <s v="675E"/>
        <s v="US40"/>
        <s v="500S"/>
        <s v="100W"/>
        <s v="150W"/>
        <s v="200W"/>
        <s v="300W"/>
        <s v="350W"/>
        <s v="400E"/>
        <s v="175 E"/>
        <s v="500E"/>
        <s v="700W"/>
        <s v="SR238"/>
        <s v="200N"/>
        <s v="75W"/>
        <s v="700E"/>
        <s v="800E"/>
        <s v="BUCK CREEK RD"/>
        <s v="850E"/>
        <s v="100E"/>
        <s v="250W"/>
        <s v="600W"/>
        <s v="100N"/>
        <s v="750E"/>
        <s v="775E"/>
        <s v="COUNTY LINE"/>
        <s v="JACOBI Iroad"/>
        <s v="MERIDIAN ROAD"/>
        <s v="300N"/>
        <s v="800W"/>
        <s v="US52"/>
        <s v="425W"/>
        <s v="25N"/>
        <s v="150N"/>
        <s v="250N"/>
        <s v="325N"/>
        <s v="450N"/>
        <s v="TWP. LINE"/>
        <s v="1000N"/>
        <s v="CO. LINE"/>
        <s v="200S"/>
        <s v="300S"/>
        <s v="RAILROAD ST."/>
        <s v="700N"/>
        <s v="950N"/>
        <s v="1050E"/>
        <s v="525W"/>
        <s v="BUCK CREEK RD."/>
        <s v="900E"/>
        <s v="100S"/>
        <s v="600S"/>
        <s v="SR 9"/>
        <s v="GR. CITY LIMITS"/>
        <s v="JACOBI ROAD"/>
        <s v="MORRISTOWN PIKE"/>
        <s v="600N"/>
        <s v="FURRY ROAD"/>
        <s v="625N"/>
        <s v="GRANDISON RD."/>
        <s v="SR67"/>
        <s v="350S"/>
        <s v="650W"/>
        <s v="GREENFLD.CORP."/>
        <s v="300E"/>
        <s v="375E"/>
        <s v="675W"/>
        <s v="1050N"/>
        <s v="50E"/>
        <s v="525E"/>
        <s v="FORTVILLE PK."/>
        <s v="450W"/>
        <s v="BINFORD ROAD"/>
        <s v="275E"/>
        <s v="850N"/>
        <s v="FAUT ROAD"/>
        <s v="925N"/>
        <s v="Fortville Pike"/>
        <s v="650N"/>
        <s v="450E"/>
        <s v="850 E"/>
        <s v="700 W"/>
        <s v="1125E"/>
        <s v="1100E"/>
        <s v="1100N"/>
        <s v="550S"/>
        <s v="TWNSP. LINE"/>
        <s v="25W"/>
        <s v="200E"/>
        <s v="575E"/>
        <s v="MCCORD RD."/>
        <s v="NEW PAL"/>
        <s v="750N"/>
        <s v="STINEMYER RD."/>
        <s v="I70"/>
        <s v="250E"/>
        <s v="500W"/>
        <s v="MAIN ST."/>
        <s v="550W"/>
        <s v="S.TWP.LINE"/>
        <s v="225N"/>
        <s v="SR52"/>
        <s v="STATION WAY"/>
        <s v="US 52"/>
        <s v="725E"/>
        <s v="875E"/>
        <s v="THOMAS RD."/>
        <s v="250S"/>
        <s v="E.CORP, LINE"/>
        <s v="475W"/>
        <s v="TROY RD."/>
        <s v="LANE ROAD"/>
        <s v="CARTHAGE RD"/>
        <s v="TWP LINE"/>
        <s v="50S"/>
        <s v="BINFORD RD."/>
        <s v="450S"/>
        <s v="150S"/>
        <s v="CO.LINE"/>
        <s v="1200E"/>
        <s v="440 W"/>
        <s v="OLVEY RD."/>
        <s v="390 W"/>
        <s v="EAST ST"/>
        <s v="WEST ST"/>
        <s v="MAIN ST"/>
        <s v="EDEN RD"/>
        <s v="GREENFIELD ST"/>
        <s v="JACKSON ST"/>
        <s v="WASHINGTON ST"/>
        <s v="PEARL ST"/>
        <s v="450 W"/>
        <s v="100 N"/>
        <s v="625 W"/>
        <s v="400 E"/>
        <s v="570 W"/>
        <s v="100 W"/>
        <s v="740 W"/>
        <s v="550 W"/>
        <s v="560 W"/>
        <s v="275 W"/>
        <s v="4100 W"/>
        <s v="420 W"/>
        <s v="600 W"/>
        <s v="660 W"/>
        <s v="800 W"/>
        <s v="680 W"/>
        <s v="480 W"/>
        <s v="SOUTH ST"/>
        <m/>
        <s v="650 W"/>
        <s v="200 W"/>
        <s v="1200 E"/>
        <s v="300 N"/>
        <s v="600 N"/>
        <s v="430 W"/>
        <s v="375N"/>
        <s v="150 W"/>
        <s v="200 N"/>
        <s v="350 W"/>
        <s v="575 W"/>
        <s v="N BUCK CREEK RD"/>
        <s v="250 S"/>
        <s v="650 N"/>
        <s v="525 W"/>
        <s v="470 W"/>
        <s v="610 W"/>
        <s v="300 S"/>
        <s v="STEELEFORD RD."/>
        <s v="SR 234"/>
        <s v="MT COMFORT"/>
        <s v="200 S"/>
        <s v="300 E"/>
        <s v="NEW 1200E"/>
        <s v="250 E"/>
        <s v="50 W"/>
        <s v="150 E"/>
        <s v="BUCK CREEK ROAD"/>
        <s v="100 S"/>
        <s v="300 W"/>
        <s v="60 W"/>
        <s v="MORRISTOWN PK"/>
        <s v="CITY LIMITS"/>
        <s v="VINE ST"/>
        <s v="SECOND ST"/>
        <s v="EDEN RD."/>
        <s v="625E"/>
        <s v="S800W"/>
        <s v="700 N"/>
        <s v="500N-South To"/>
        <s v="600N/200W" u="1"/>
        <s v="SR40" u="1"/>
      </sharedItems>
    </cacheField>
    <cacheField name="TO" numFmtId="0">
      <sharedItems containsBlank="1" count="224">
        <s v="1000 N"/>
        <s v="600N"/>
        <s v="400N"/>
        <s v="500N"/>
        <s v="550N"/>
        <s v="650N"/>
        <s v="SR234"/>
        <s v="TWNSP."/>
        <s v="SR109"/>
        <s v="1100E"/>
        <s v="FORTVILLE LIMITS"/>
        <s v="300S"/>
        <s v="450W"/>
        <s v="125W"/>
        <s v="500E"/>
        <s v="550E"/>
        <s v="MAIN ST."/>
        <s v="325 S"/>
        <s v="MERIDIAN RD."/>
        <s v="SR9"/>
        <s v="50W"/>
        <s v="675E"/>
        <s v="775E"/>
        <s v="ALFORD RD."/>
        <s v="600E"/>
        <s v="END"/>
        <s v="400S"/>
        <s v="150W"/>
        <s v="200W"/>
        <s v="300W"/>
        <s v="350W"/>
        <s v="400W"/>
        <s v="525W"/>
        <s v="475 N"/>
        <s v="600W"/>
        <s v="HANCOCK CO. LINE"/>
        <s v="300N"/>
        <s v="100W"/>
        <s v="800E"/>
        <s v="850E"/>
        <s v="W. CO. LINE"/>
        <s v="GRANDISON RD."/>
        <s v="MERIDIAN ROAD"/>
        <s v="250W"/>
        <s v="JACOBI ROAD"/>
        <s v="50E"/>
        <s v="500W"/>
        <s v="BUCK CREEK RD"/>
        <s v="700W"/>
        <s v="GREENFLD.CORP."/>
        <s v="750E"/>
        <s v="200N"/>
        <s v="SR52"/>
        <s v="I70"/>
        <s v="600S"/>
        <s v="150N"/>
        <s v="250N"/>
        <s v="25N"/>
        <s v="325N"/>
        <s v="350N"/>
        <s v="450N"/>
        <s v="1000N"/>
        <s v="1100N"/>
        <s v="100S"/>
        <s v="200S"/>
        <s v="450E"/>
        <s v="MORRISTOWN PIKE"/>
        <s v="STINEMYER RD."/>
        <s v="700E"/>
        <s v="E.CO.LINE"/>
        <s v="100N"/>
        <s v="US52"/>
        <s v="275E"/>
        <s v="400E"/>
        <s v="800W"/>
        <s v="100E"/>
        <s v="425W"/>
        <s v="900E"/>
        <s v="MCCORD RD."/>
        <s v="SR 9"/>
        <s v="TWP. LINE"/>
        <s v="FURRY ROAD"/>
        <s v="700N"/>
        <s v="US40"/>
        <s v="625N"/>
        <s v="EDEN RD."/>
        <s v="1050E"/>
        <s v="CO LINE."/>
        <s v="900N"/>
        <s v="350S"/>
        <s v="STEELEFORD RD."/>
        <s v="500S"/>
        <s v="675W"/>
        <s v="300 E"/>
        <s v="375E"/>
        <s v="FORTVILLE PK."/>
        <s v="BARNARD RD."/>
        <s v="BINFORD ROAD"/>
        <s v="850N"/>
        <s v="925N"/>
        <s v="SR67"/>
        <s v="FAUT ROAD"/>
        <s v="1000E"/>
        <s v="950N"/>
        <s v="300E"/>
        <s v="US 40"/>
        <s v="525E"/>
        <s v="900 E"/>
        <s v="425 S"/>
        <s v="1200E"/>
        <s v="NEW PAL"/>
        <s v="550S"/>
        <s v="TWNSP. LINE"/>
        <s v="25W"/>
        <s v="200E"/>
        <s v="575E"/>
        <s v="AIRPORT BLV"/>
        <s v="750N"/>
        <s v="DEAD END"/>
        <s v="625E"/>
        <s v="1050N"/>
        <s v="250E"/>
        <s v="875E"/>
        <s v="550W"/>
        <s v="225N"/>
        <s v="1125E"/>
        <s v="725E"/>
        <s v="THOMAS RD."/>
        <s v="NASHVILLE RD."/>
        <s v="250S"/>
        <s v="450S"/>
        <s v="TROY RD."/>
        <s v="475W"/>
        <s v="350 N"/>
        <s v="EAST ST"/>
        <s v="LANE ROAD"/>
        <s v="BINFORD RD."/>
        <s v="50S"/>
        <s v="150S"/>
        <s v="100 S"/>
        <s v="OLVEY RD."/>
        <s v="CO. LINE"/>
        <s v="570 N"/>
        <s v="300 S"/>
        <s v="CARTHAGE RD"/>
        <s v="CHURCH PARKING LOT"/>
        <s v="MAIN ST"/>
        <s v="JACKSON ST"/>
        <s v="JEFFERSON ST"/>
        <s v="NEW ST"/>
        <s v="ALLEY"/>
        <s v="WALNUT ST"/>
        <s v="400 S"/>
        <s v="200 N"/>
        <s v="375 S"/>
        <s v="US 52"/>
        <s v="600 N"/>
        <s v="STINEMEYER ROAD"/>
        <s v="200 S"/>
        <s v="575 S"/>
        <s v="50 N"/>
        <s v="150 S"/>
        <s v="560 S"/>
        <s v="100 N"/>
        <s v="525 S"/>
        <s v="3200 S"/>
        <s v="225 S"/>
        <s v="250 S"/>
        <s v="125 S"/>
        <s v="60 S"/>
        <s v="S.TWP.LINE"/>
        <s v="SR70"/>
        <s v="350 S"/>
        <s v="COUNTY LINE"/>
        <m/>
        <s v="400 N"/>
        <s v="470 N"/>
        <s v="500 S"/>
        <s v="150 N"/>
        <s v="140 S"/>
        <s v="310 N"/>
        <s v="775 W"/>
        <s v="700 W"/>
        <s v="50N"/>
        <s v="375N"/>
        <s v="200 W"/>
        <s v="460 S"/>
        <s v="340 N"/>
        <s v="120 S"/>
        <s v="250 E"/>
        <s v="30 N"/>
        <s v="COTTONWOOD"/>
        <s v="1025 E"/>
        <s v="500 N"/>
        <s v="950 N"/>
        <s v="WALNUT/VINE"/>
        <s v="GREENFIELD ST"/>
        <s v="20 S"/>
        <s v="470 W"/>
        <s v="600 S"/>
        <s v="600 W"/>
        <s v="SR40"/>
        <s v="140 W"/>
        <s v="MOHAWK LANE"/>
        <s v="750 W"/>
        <s v="NEW 1200E"/>
        <s v="180 N"/>
        <s v="240 S"/>
        <s v="3S"/>
        <s v="875 N"/>
        <s v="THOMAS ST"/>
        <s v="260 N"/>
        <s v="380 W"/>
        <s v="25 N"/>
        <s v="CENTER ST"/>
        <s v="STEELFORD"/>
        <s v="650W"/>
        <s v="375 N"/>
        <s v="550 N"/>
        <s v="450 S"/>
        <s v="THIRD ST"/>
        <s v="WILKINSON TWN"/>
        <s v="Airport Road"/>
        <s v="600N/200W" u="1"/>
      </sharedItems>
    </cacheField>
    <cacheField name="Length" numFmtId="0">
      <sharedItems containsString="0" containsBlank="1" containsNumber="1" minValue="83.24" maxValue="12187"/>
    </cacheField>
    <cacheField name="Width" numFmtId="0">
      <sharedItems containsString="0" containsBlank="1" containsNumber="1" containsInteger="1" minValue="18" maxValue="40"/>
    </cacheField>
    <cacheField name="SURFACE" numFmtId="0">
      <sharedItems containsBlank="1"/>
    </cacheField>
    <cacheField name="TOWNSHIP" numFmtId="0">
      <sharedItems containsBlank="1"/>
    </cacheField>
    <cacheField name="TOWN SCORE" numFmtId="0">
      <sharedItems containsString="0" containsBlank="1" containsNumber="1" containsInteger="1" minValue="0" maxValue="0"/>
    </cacheField>
    <cacheField name="PASER 2014" numFmtId="0">
      <sharedItems containsString="0" containsBlank="1" containsNumber="1" minValue="1.111545979060494" maxValue="10"/>
    </cacheField>
    <cacheField name="PASER 2015" numFmtId="0">
      <sharedItems containsString="0" containsBlank="1" containsNumber="1" minValue="1.1887587479500223" maxValue="10"/>
    </cacheField>
    <cacheField name="PASER 2016" numFmtId="0">
      <sharedItems containsString="0" containsBlank="1" containsNumber="1" minValue="1.3218950536487677" maxValue="10"/>
    </cacheField>
    <cacheField name="PASER 2017" numFmtId="0">
      <sharedItems containsString="0" containsBlank="1" containsNumber="1" minValue="1.252582350422428" maxValue="10"/>
    </cacheField>
    <cacheField name="PASER 2018" numFmtId="0">
      <sharedItems containsString="0" containsBlank="1" containsNumber="1" minValue="1.1691491295148184" maxValue="10"/>
    </cacheField>
    <cacheField name="PASER 2019" numFmtId="0">
      <sharedItems containsString="0" containsBlank="1" containsNumber="1" minValue="1.0178846097760363" maxValue="9"/>
    </cacheField>
    <cacheField name="PASER 2020" numFmtId="0">
      <sharedItems containsString="0" containsBlank="1" containsNumber="1" minValue="0.87494939921664205" maxValue="10"/>
    </cacheField>
    <cacheField name="PASER 2021" numFmtId="0">
      <sharedItems containsBlank="1" containsMixedTypes="1" containsNumber="1" minValue="0.74184383560534117" maxValue="9"/>
    </cacheField>
    <cacheField name="PASER 2022" numFmtId="0">
      <sharedItems containsString="0" containsBlank="1" containsNumber="1" minValue="0.5734132839075613" maxValue="8"/>
    </cacheField>
    <cacheField name="PASER 2023" numFmtId="0">
      <sharedItems containsString="0" containsBlank="1" containsNumber="1" minValue="0.5222963495084707" maxValue="8"/>
    </cacheField>
    <cacheField name="PAINT YEAR" numFmtId="1">
      <sharedItems containsString="0" containsBlank="1" containsNumber="1" containsInteger="1" minValue="2022" maxValue="2024"/>
    </cacheField>
    <cacheField name="LAST PAINT YEAR" numFmtId="1">
      <sharedItems containsString="0" containsBlank="1" containsNumber="1" containsInteger="1" minValue="2016" maxValue="2023"/>
    </cacheField>
    <cacheField name="HAS PAINT Y/N" numFmtId="1">
      <sharedItems containsBlank="1"/>
    </cacheField>
    <cacheField name="AADT" numFmtId="0">
      <sharedItems containsString="0" containsBlank="1" containsNumber="1" containsInteger="1" minValue="9" maxValue="13030"/>
    </cacheField>
    <cacheField name="AADT Score" numFmtId="0">
      <sharedItems containsString="0" containsBlank="1" containsNumber="1" minValue="0" maxValue="1.5"/>
    </cacheField>
    <cacheField name="Road Name" numFmtId="0">
      <sharedItems containsBlank="1"/>
    </cacheField>
    <cacheField name="SCORE" numFmtId="1">
      <sharedItems containsString="0" containsBlank="1" containsNumber="1" minValue="0" maxValue="10.5"/>
    </cacheField>
    <cacheField name="FIX" numFmtId="0">
      <sharedItems containsBlank="1" count="13">
        <s v="CS"/>
        <s v="CRACK"/>
        <s v="DS"/>
        <s v="SP/CS"/>
        <s v="P"/>
        <s v="MICRO"/>
        <m/>
        <s v="MICROSEAL"/>
        <s v="GG"/>
        <s v="F"/>
        <s v="NHP"/>
        <s v="Microsea;" u="1"/>
        <s v="CAPE" u="1"/>
      </sharedItems>
    </cacheField>
    <cacheField name="COST" numFmtId="0">
      <sharedItems containsString="0" containsBlank="1" containsNumber="1" minValue="0" maxValue="1531568.3712121206"/>
    </cacheField>
    <cacheField name="%complete" numFmtId="9">
      <sharedItems containsString="0" containsBlank="1" containsNumber="1" containsInteger="1" minValue="1" maxValue="1"/>
    </cacheField>
    <cacheField name="Cost Compete" numFmtId="44">
      <sharedItems containsString="0" containsBlank="1" containsNumber="1" minValue="0" maxValue="162416.66666666666"/>
    </cacheField>
    <cacheField name="YEAR" numFmtId="0">
      <sharedItems containsString="0" containsBlank="1" containsNumber="1" containsInteger="1" minValue="0" maxValue="2028" count="15">
        <n v="2023"/>
        <m/>
        <n v="2022"/>
        <n v="2024"/>
        <n v="2026"/>
        <n v="2027"/>
        <n v="2025"/>
        <n v="2028"/>
        <n v="0"/>
        <n v="2020" u="1"/>
        <n v="2018" u="1"/>
        <n v="2016" u="1"/>
        <n v="2021" u="1"/>
        <n v="2019" u="1"/>
        <n v="201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ary Pool" refreshedDate="45544.320908680558" createdVersion="5" refreshedVersion="8" minRefreshableVersion="3" recordCount="1179" xr:uid="{00000000-000A-0000-FFFF-FFFF0A000000}">
  <cacheSource type="worksheet">
    <worksheetSource ref="A1:AG1048576" sheet="Road Evaluations"/>
  </cacheSource>
  <cacheFields count="33">
    <cacheField name="SEGMENT" numFmtId="0">
      <sharedItems containsBlank="1" containsMixedTypes="1" containsNumber="1" containsInteger="1" minValue="100" maxValue="1097"/>
    </cacheField>
    <cacheField name="SEG NAME" numFmtId="0">
      <sharedItems containsBlank="1" count="1180">
        <s v="1000E/1000N"/>
        <s v="600W/600N"/>
        <s v="1000E/400N"/>
        <s v="1000E/500N"/>
        <s v="1000E/550N"/>
        <s v="1000E/650N"/>
        <s v="1000E/900N"/>
        <s v="1000E/N.TWP LINE"/>
        <s v="1000E/SR109"/>
        <s v="1000N/1000E"/>
        <s v="1000N/1100E"/>
        <s v="400W/500N"/>
        <s v="1000N/125W"/>
        <s v="450W/300S"/>
        <s v="400S/400W"/>
        <s v="1000N/50W"/>
        <s v="1000N/550E"/>
        <s v="1000N/600E"/>
        <s v="600N/MAIN ST."/>
        <s v="RAESNER SOUTH DR"/>
        <s v="1000N/ALFORD RD"/>
        <s v="1000N/BARNARD RD"/>
        <s v="1000N/MERIDIAN RD"/>
        <s v="1000N/NASHVILLE RD"/>
        <s v="1000N/SR109"/>
        <s v="1000N/SR9"/>
        <s v="900N/675E"/>
        <s v="RAESNER NORTH DR"/>
        <s v="300W/US40"/>
        <s v="100E/500S"/>
        <s v="350W/US40"/>
        <s v="100N/100W"/>
        <s v="100N/150W"/>
        <s v="100N/200W"/>
        <s v="100N/300W"/>
        <s v="100N/350W"/>
        <s v="100N/400W"/>
        <s v="100N/500E"/>
        <s v="COTTONWOOD "/>
        <s v="100N/600E"/>
        <s v="100N/600W"/>
        <s v="1050N/FORT.LIM W"/>
        <s v="700W/300N"/>
        <s v="100N/75W"/>
        <s v="100N/800E"/>
        <s v="100N/850E"/>
        <s v="100N/BUCK CR RD"/>
        <s v="100N/GRANISON RD"/>
        <s v="100S/100E"/>
        <s v="100S/150W"/>
        <s v="100S/200W"/>
        <s v="100S/250W"/>
        <s v="300N/SR9"/>
        <s v="100S/400W"/>
        <s v="100N/700W"/>
        <s v="100S/600E"/>
        <s v="100S/600W"/>
        <s v="MERIDIAN RD./100N"/>
        <s v="100S/750E"/>
        <s v="100S/775E"/>
        <s v="100S/850E"/>
        <s v="100S/E. CO. LINE"/>
        <s v="100S/JACOBI RD"/>
        <s v="100S/MERIDIAN RD"/>
        <s v="100W/125W"/>
        <s v="100W/200N"/>
        <s v="200N/700W"/>
        <s v="100W/400N"/>
        <s v="200S/700W"/>
        <s v="100W/500S"/>
        <s v="100W/I70"/>
        <s v="100W/US52"/>
        <s v="300S/400W"/>
        <s v="1050E/150N"/>
        <s v="1050E/200N"/>
        <s v="1050E/250N"/>
        <s v="1050E/25N"/>
        <s v="1050E/325N"/>
        <s v="1050E/350N"/>
        <s v="1050E/450N"/>
        <s v="1050E/500N"/>
        <s v="1050E/550N"/>
        <s v="1050E/650N"/>
        <s v="1050E/N. TWP LINE"/>
        <s v="1050N/50W"/>
        <s v="300S/425W"/>
        <s v="1100E/1000N"/>
        <s v="1100E/1100N"/>
        <s v="1125E/650N"/>
        <s v="100E/100S"/>
        <s v="100E/300S"/>
        <s v="300N/450E"/>
        <s v="1175E PENN. ST/END"/>
        <s v="1200E/1000N"/>
        <s v="100E/400S"/>
        <s v="100S/400E"/>
        <s v="700W/US52"/>
        <s v="250N/800E"/>
        <s v="1200E/SR234"/>
        <s v="125W/1000N"/>
        <s v="250N/850E"/>
        <s v="250N/700E"/>
        <s v="125W/300S"/>
        <s v="150N/1050E"/>
        <s v="150N/400W"/>
        <s v="150N/700W"/>
        <s v="150N/800E"/>
        <s v="150N/E. CO. LINE"/>
        <s v="150S/900E"/>
        <s v="150W/100N"/>
        <s v="150W/100S"/>
        <s v="150W/200S"/>
        <s v="150W/US40"/>
        <s v="150W/US52"/>
        <s v="300S/275E"/>
        <s v="200N/100W"/>
        <s v="200N/200W"/>
        <s v="200N/300W"/>
        <s v="200N/350W"/>
        <s v="200N/400E"/>
        <s v="200N/400W"/>
        <s v="200N/500E"/>
        <s v="200N/525W"/>
        <s v="200N/600E"/>
        <s v="200N/600W"/>
        <s v="200N/700E"/>
        <s v="400E/200N"/>
        <s v="200N/BUCK CREEK RD"/>
        <s v="200N/E. CO. LINE"/>
        <s v="200N/MERIDIAN"/>
        <s v="200S/100E"/>
        <s v="200S/150W"/>
        <s v="200S/200W"/>
        <s v="200S/250W"/>
        <s v="200S/300W"/>
        <s v="200S/400E"/>
        <s v="200S/400W"/>
        <s v="200S/425W"/>
        <s v="600E/300S"/>
        <s v="200S/500W"/>
        <s v="200S/600E"/>
        <s v="200S/600W"/>
        <s v="200S/675E"/>
        <s v="200S/700E"/>
        <s v="600S/100W"/>
        <s v="200S/750E"/>
        <s v="200S/800E"/>
        <s v="200S/900E"/>
        <s v="500W/MCCORD RD"/>
        <s v="200S/MERIDIAN RD"/>
        <s v="200S/SR9"/>
        <s v="200W/100N"/>
        <s v="200W/100S"/>
        <s v="200W/200N"/>
        <s v="200W/200S"/>
        <s v="200W/300N"/>
        <s v="200W/300S"/>
        <s v="200W/400N"/>
        <s v="200W/400S"/>
        <s v="200W/500N"/>
        <s v="200W/600N"/>
        <s v="200W/700N"/>
        <s v="200W/FURRY RD"/>
        <s v="200W/SR234"/>
        <s v="200W/US40"/>
        <s v="225N/END"/>
        <s v="250E/625N"/>
        <s v="250E/700N"/>
        <s v="250E/EDEN RD"/>
        <s v="250E/SR234"/>
        <s v="250N/1050E"/>
        <s v="250N/600E"/>
        <s v="250W/US40"/>
        <s v="200S/JACOBI RD"/>
        <s v="MERIDIAN RD./300S"/>
        <s v="250N/GRANDISON RD"/>
        <s v="250S/700E"/>
        <s v="250W/100S"/>
        <s v="STINEMYER RD/700W"/>
        <s v="500W/900N"/>
        <s v="25N/1050E"/>
        <s v="500S/500E_A"/>
        <s v="400S/MERIDIAN RD"/>
        <s v="275E/300S"/>
        <s v="275E/STEELE FORD"/>
        <s v="300E/300N"/>
        <s v="300E/350S"/>
        <s v="350N/700W"/>
        <s v="300E/400S"/>
        <s v="300E/500N"/>
        <s v="300E/500S"/>
        <s v="STINEMYER RD/650W"/>
        <s v="300E/625N"/>
        <s v="300E/700N"/>
        <s v="300E/I70"/>
        <s v="300N/100W"/>
        <s v="300N/125W"/>
        <s v="300N/200W"/>
        <s v="300N/300E"/>
        <s v="300N/300W"/>
        <s v="300N/375E"/>
        <s v="300N/400E"/>
        <s v="300N/400W"/>
        <s v="STINEMYER RD/675W"/>
        <s v="50W/1100N"/>
        <s v="300N/50E"/>
        <s v="100E/S.CO. LINE"/>
        <s v="300N/600E"/>
        <s v="300N/600W"/>
        <s v="300N/700E"/>
        <s v="300N/700W"/>
        <s v="300N/800E"/>
        <s v="300N/850E"/>
        <s v="300N/FORTVILLE PK"/>
        <s v="300N/GRANDISON RD"/>
        <s v="100S/675E"/>
        <s v="300S/100E"/>
        <s v="300S/125W"/>
        <s v="300S/150W"/>
        <s v="300S/200W"/>
        <s v="300S/250W"/>
        <s v="1000N/400E"/>
        <s v="300S/300W"/>
        <s v="300S/400E"/>
        <s v="400W/400N"/>
        <s v="500S/MERIDIAN RD"/>
        <s v="300S/450W"/>
        <s v="300S/500E"/>
        <s v="300S/500W"/>
        <s v="300S/50W"/>
        <s v="300S/600E"/>
        <s v="300S/600W"/>
        <s v="300S/700E"/>
        <s v="300W/900N"/>
        <s v="300S/800E"/>
        <s v="300S/900E"/>
        <s v="300S/BINFORD RD"/>
        <s v="300S/JACOBI RD"/>
        <s v="300S/MERIDIAN RD"/>
        <s v="300S/MORRISTOWN PK"/>
        <s v="500S/50W"/>
        <s v="300W/100N"/>
        <s v="300W/200N"/>
        <s v="400W/1000N"/>
        <s v="300W/300N"/>
        <s v="300W/300S"/>
        <s v="300W/400N"/>
        <s v="300W/400S"/>
        <s v="300W/500N"/>
        <s v="50W/900N"/>
        <s v="50W/850N"/>
        <s v="850E/250N"/>
        <s v="300W/925N"/>
        <s v="300W/FAUT RD"/>
        <s v="300W/I70"/>
        <s v="300W/SR234"/>
        <s v="300W/SR67"/>
        <s v="50W/1000N"/>
        <s v="300W/US52"/>
        <s v="325N/E. CO. LINE"/>
        <s v="350N/1000E"/>
        <s v="350N/1050E"/>
        <s v="350N/600W"/>
        <s v="50W/950N"/>
        <s v="350N/GRANDISON RD"/>
        <s v="350S/300E"/>
        <s v="350W/100N"/>
        <s v="300W/600N"/>
        <s v="350W/700N"/>
        <s v="500E/100N"/>
        <s v="375E/400N"/>
        <s v="375N/100W"/>
        <s v="400E/1000N"/>
        <s v="400E/100S"/>
        <s v="400E/1100N"/>
        <s v="500E/200N"/>
        <s v="400E/200S"/>
        <s v="400E/300N"/>
        <s v="400E/400N"/>
        <s v="400E/500N"/>
        <s v="400E/500S"/>
        <s v="400E/600N"/>
        <s v="400E/650N"/>
        <s v="850E/300N"/>
        <s v="400E/900N"/>
        <s v="350W/200N"/>
        <s v="400E/700N"/>
        <s v="400N/1000E"/>
        <s v="400N/100W"/>
        <s v="400N/200W"/>
        <s v="400N/300E"/>
        <s v="400N/300W"/>
        <s v="400N/375E"/>
        <s v="400N/400E"/>
        <s v="400N/400W"/>
        <s v="400N/450E"/>
        <s v="400N/50E"/>
        <s v="400N/525E"/>
        <s v="400N/600E"/>
        <s v="BUCK CREEK RD./I70"/>
        <s v="400N/700E"/>
        <s v="400N/800E"/>
        <s v="400N/850E"/>
        <s v="400N/900E"/>
        <s v="700N/FORTVILLE PK"/>
        <s v="700N/50W"/>
        <s v="700N/MERIDIAN RD"/>
        <s v="400S/200W"/>
        <s v="400S/300E"/>
        <s v="400S/300W"/>
        <s v="400E/SR234"/>
        <s v="400S/500E"/>
        <s v="ROCKWOOD LN (W)"/>
        <s v="400S/600E"/>
        <s v="400S/700E"/>
        <s v="400S/800E"/>
        <s v="400S/900E"/>
        <s v="400S/BINFORD RD"/>
        <s v="250W/200S"/>
        <s v="400S/MORRISTOWN PK"/>
        <s v="400S/SR9"/>
        <s v="50W/700N"/>
        <s v="1000E/1100N"/>
        <s v="650N/1200E"/>
        <s v="400W/150N"/>
        <s v="400W/200N"/>
        <s v="400W/300N"/>
        <s v="400W/300S"/>
        <s v="1000N/1200E"/>
        <s v="400W/400S"/>
        <s v="900N/1000E"/>
        <s v="400W/600N"/>
        <s v="400W/700N"/>
        <s v="400W/900N"/>
        <s v="400W/FAUT RD"/>
        <s v="400W/SR234"/>
        <s v="400W/SR67"/>
        <s v="400W/US40"/>
        <s v="400W/US52"/>
        <s v="425W/200S"/>
        <s v="450E/400N"/>
        <s v="450N/E. CO. LINE"/>
        <s v="450S/800E"/>
        <s v="450S/900E"/>
        <s v="GRANDISON RD/250N"/>
        <s v="450W/S. NEW PAL"/>
        <s v="475W/SR234"/>
        <s v="500E/1000N"/>
        <s v="300W/700N"/>
        <s v="500E/100S"/>
        <s v="500E/1100N"/>
        <s v="200S/500E"/>
        <s v="500E/200S"/>
        <s v="300E/600N"/>
        <s v="500E/300N"/>
        <s v="500E/300S"/>
        <s v="500E/400S"/>
        <s v="500E/500S"/>
        <s v="500E/550S"/>
        <s v="500E/650N"/>
        <s v="500E/700N"/>
        <s v="500E/900N"/>
        <s v="500E/I70"/>
        <s v="500E/N. TWP LINE"/>
        <s v="500E/SR234"/>
        <s v="500E/US40"/>
        <s v="500N/1000E"/>
        <s v="500N/1050E"/>
        <s v="500N/200W"/>
        <s v="500N/25W"/>
        <s v="500N/300E"/>
        <s v="500N/300W"/>
        <s v="500N/400E"/>
        <s v="500N/400W"/>
        <s v="500N/500W"/>
        <s v="500N/50E"/>
        <s v="500N/600E"/>
        <s v="500N/600W"/>
        <s v="500N/700E"/>
        <s v="500N/700W"/>
        <s v="500N/800E"/>
        <s v="500N/850E"/>
        <s v="500N/900E"/>
        <s v="500N/FORTVILLE PK"/>
        <s v="500N/SR9"/>
        <s v="500S/100E"/>
        <s v="500S/200E"/>
        <s v="500S/300E"/>
        <s v="500S/400E"/>
        <s v="500S/500E"/>
        <s v="900N/550E"/>
        <s v="900N/600E"/>
        <s v="500S/575E"/>
        <s v="500S/600E"/>
        <s v="500S/900E"/>
        <s v="1200E/1100N"/>
        <s v="500S/SR9"/>
        <s v="500W"/>
        <s v="500W/1000N"/>
        <s v="500W/100S"/>
        <s v="500W/200S"/>
        <s v="1200E/900N"/>
        <s v="500W/300S"/>
        <s v="500W/600N"/>
        <s v="500W/700N"/>
        <s v="500W/750N"/>
        <s v="BUCK CREEK RD/300N"/>
        <s v="500W/DEAD END"/>
        <s v="500W/I70"/>
        <s v="400E/US40"/>
        <s v="500W/S. NEW PAL"/>
        <s v="500W/SR234"/>
        <s v="500W/SR67"/>
        <s v="500W/US40"/>
        <s v="650W/US52"/>
        <s v="50E/500N"/>
        <s v="50E/600N"/>
        <s v="50E/700N"/>
        <s v="50E/750N"/>
        <s v="1000N/625E"/>
        <s v="50S/850E"/>
        <s v="50S/E. CO. LINE"/>
        <s v="100N/700E"/>
        <s v="50W/1050N"/>
        <s v="1125E/700N"/>
        <s v="50W/300S"/>
        <s v="50W/400S"/>
        <s v="50W/500S"/>
        <s v="1125E/SR234"/>
        <s v="900E/700N"/>
        <s v="300W/200S"/>
        <s v="100W/300N"/>
        <s v="50W/SR234"/>
        <s v="1025E/700N"/>
        <s v="525W/100N"/>
        <s v="525W/200N"/>
        <s v="550E/1000N"/>
        <s v="550N/1050E"/>
        <s v="550N/E. CO. LINE"/>
        <s v="550N/END"/>
        <s v="550S/500E"/>
        <s v="550S/800E"/>
        <s v="550S/900E"/>
        <s v="550W/STINEMYER RD"/>
        <s v="550W/US52"/>
        <s v="575E/500S"/>
        <s v="575E/550S"/>
        <s v="600E/1000N"/>
        <s v="600E/100N"/>
        <s v="600E/100S"/>
        <s v="600E/200N"/>
        <s v="125W/200N"/>
        <s v="600E/250N"/>
        <s v="125W/300N"/>
        <s v="600E/300N"/>
        <s v="200E/500S"/>
        <s v="600E/400N"/>
        <s v="25W/600N"/>
        <s v="600E/500N"/>
        <s v="600E/600N"/>
        <s v="600E/650N"/>
        <s v="600E/700N"/>
        <s v="600E/900N"/>
        <s v="600E/N. TWP LINE"/>
        <s v="600E/SR234"/>
        <s v="600E/US40"/>
        <s v="600N/200W"/>
        <s v="600N/250E"/>
        <s v="600N/25W"/>
        <s v="600N/300E"/>
        <s v="600N/300W"/>
        <s v="600N/350W"/>
        <s v="600N/400E"/>
        <s v="600N/400W"/>
        <s v="600N/500E"/>
        <s v="600N/500W"/>
        <s v="600N/50E"/>
        <s v="600N/50W"/>
        <s v="600N/600E"/>
        <s v="600N/600W"/>
        <s v="600N/700E"/>
        <s v="600N/800E"/>
        <s v="600N/850E"/>
        <s v="600N/875E"/>
        <s v="600N/FORTVILLE PK"/>
        <s v="300E/400N"/>
        <s v="600N/SR9"/>
        <s v="500E/250N"/>
        <s v="600S/150W"/>
        <s v="600S/300E"/>
        <s v="600S/300W"/>
        <s v="600S/400E"/>
        <s v="600S/400W"/>
        <s v="600S/450W"/>
        <s v="600S/500E"/>
        <s v="600S/500W"/>
        <s v="600S/550W"/>
        <s v="600S/600W"/>
        <s v="600S/675W"/>
        <s v="600S/800E"/>
        <s v="600S/900E"/>
        <s v="600W/100N"/>
        <s v="600W/100S"/>
        <s v="600W/200N"/>
        <s v="600W/200S"/>
        <s v="600W/225N"/>
        <s v="600W/300N"/>
        <s v="600W/300S"/>
        <s v="600W/350N"/>
        <s v="600W/400N"/>
        <s v="600W/500N"/>
        <s v="500W/300N"/>
        <s v="600W/STINEMYER RD"/>
        <s v="600W/US40"/>
        <s v="600W/US52"/>
        <s v="625E/1100N"/>
        <s v="50E/400N"/>
        <s v="650N/1000E"/>
        <s v="650N/1050E"/>
        <s v="650N/1125E"/>
        <s v="50E/SR234"/>
        <s v="650N/400E"/>
        <s v="650N/500E"/>
        <s v="650N/600E"/>
        <s v="650N/600W"/>
        <s v="650N/700E"/>
        <s v="650N/725E"/>
        <s v="650N/800E"/>
        <s v="650N/875E"/>
        <s v="650N/900E"/>
        <s v="650N/MAIN ST"/>
        <s v="650N/SR109"/>
        <s v="650N/THOMAS RD."/>
        <s v="750N/50E"/>
        <s v="675E/1000N"/>
        <s v="675E/100S"/>
        <s v="675E/900N"/>
        <s v="675E/950N"/>
        <s v="675E/N. TWP LINE"/>
        <s v="675E/NASHVILLE RD."/>
        <s v="675E/S. TWP LINE"/>
        <s v="675W/STINEMYER RD"/>
        <s v="700E/100N"/>
        <s v="700E/150N"/>
        <s v="700E/200N"/>
        <s v="700E/200S"/>
        <s v="700E/250N"/>
        <s v="700E/250S"/>
        <s v="700E/300S"/>
        <s v="700E/400N"/>
        <s v="700E/400S"/>
        <s v="800E/400N"/>
        <s v="700E/600N"/>
        <s v="700E/650N"/>
        <s v="700N/1125E"/>
        <s v="700N/1200E"/>
        <s v="700N/200W"/>
        <s v="700N/250E"/>
        <s v="700N/300E"/>
        <s v="700N/300W"/>
        <s v="700N/350W"/>
        <s v="700N/400E"/>
        <s v="700N/400W"/>
        <s v="700N/475W"/>
        <s v="700N/500E"/>
        <s v="700N/500W"/>
        <s v="700N/50E"/>
        <s v="860N/END"/>
        <s v="700N/600E"/>
        <s v="700N/900E"/>
        <s v="900E/300S"/>
        <s v="900E/450S"/>
        <s v="700N/SR109"/>
        <s v="700N/SR9"/>
        <s v="700N/TROY RD"/>
        <s v="700W/100N"/>
        <s v="700W/100S"/>
        <s v="700W/150N"/>
        <s v="700W/200N"/>
        <s v="700W/200S"/>
        <s v="HOLMES COURT"/>
        <s v="700W/300S"/>
        <s v="700W/350N"/>
        <s v="700W/400N"/>
        <s v="700W/500N"/>
        <s v="SECOND ST(CHAR)/EA"/>
        <s v="700W/LANE RD"/>
        <s v="700W/US40"/>
        <s v="STEELEFORD RD/MORR"/>
        <s v="725E/SR234"/>
        <s v="750E/100S"/>
        <s v="750E/900N"/>
        <s v="750E/950N"/>
        <s v="525E/400N"/>
        <s v="750N/SR9"/>
        <s v="775E/1000N"/>
        <s v="775E/1100N"/>
        <s v="775E/50S"/>
        <s v="775E/700N"/>
        <s v="775E/NASHVILLE RD."/>
        <s v="775E/SR234"/>
        <s v="800E/100N"/>
        <s v="800E/150N"/>
        <s v="800E/200S"/>
        <s v="800E/250N"/>
        <s v="800E/300N"/>
        <s v="800E/300S"/>
        <s v="1125E/900N"/>
        <s v="800E/400S"/>
        <s v="800E/450S"/>
        <s v="800E/500N"/>
        <s v="800E/500S"/>
        <s v="800E/550S"/>
        <s v="800E/600N"/>
        <s v="800E/650N"/>
        <s v="800E/BINFORD RD"/>
        <s v="850E/100N"/>
        <s v="850E/100S"/>
        <s v="625N/300E"/>
        <s v="100N/525W"/>
        <s v="850E/350N"/>
        <s v="850E/400N"/>
        <s v="850E/500N"/>
        <s v="850E/50S"/>
        <s v="850E/600N"/>
        <s v="850E/N. TWP LINE"/>
        <s v="850E/US40"/>
        <s v="850N/50W"/>
        <s v="1200E/700N"/>
        <s v="875E/650N"/>
        <s v="900E/150S"/>
        <s v="900E/200S"/>
        <s v="1200E/650N"/>
        <s v="900E/400S"/>
        <s v="400S/100W"/>
        <s v="900E/500N"/>
        <s v="900E/500S"/>
        <s v="900E/550S"/>
        <s v="400S/50W"/>
        <s v="900E/SR109"/>
        <s v="900E/SR234"/>
        <s v="100S/500E"/>
        <s v="900N/1100E"/>
        <s v="900N/1125E"/>
        <s v="900N/1200E"/>
        <s v="900N/200W"/>
        <s v="900N/300W"/>
        <s v="900N/400E"/>
        <s v="900N/400W"/>
        <s v="900N/500E"/>
        <s v="900N/TROY RD"/>
        <s v="900N/50W"/>
        <s v="700E/500N"/>
        <s v="EASY STREET(W)"/>
        <s v="HAVENS DRIVE(S)"/>
        <s v="900N/750E"/>
        <s v="900N/ALFORD RD"/>
        <s v="900N/BARNARD RD"/>
        <s v="900N/FORTVILLE PK"/>
        <s v="900N/MERIDIAN RD"/>
        <s v="900N/NASHVILLE RD"/>
        <s v="900N/OLVEY RD"/>
        <s v="900N/SR109"/>
        <s v="900N/SR9"/>
        <s v="PARKWAY AVE(S)"/>
        <s v="925E/US40"/>
        <s v="925N/200W"/>
        <s v="950N/125W"/>
        <s v="950N/50W"/>
        <s v="950N/775E"/>
        <s v="AARON Court"/>
        <s v="ACCESS DRIVE"/>
        <s v="ACCESS RD/N OF 70"/>
        <s v="ACORN COURT (N)"/>
        <s v="PARKWAY COURT"/>
        <s v="ALFORD RD./1000N"/>
        <s v="ALFORD RD./1100N"/>
        <s v="ALFORD RD./900N"/>
        <s v="ALLEN DRIVE"/>
        <s v="ALLEY(CHAR)/1050E"/>
        <s v="ALLEY(CHAR)/CAR RD"/>
        <s v="ALLEY(CHAR)/CH PKG"/>
        <s v="ALLEY(CHAR)/EAST_A"/>
        <s v="ALLEY(CHAR)/EAST_B"/>
        <s v="ALLEY(CHAR)/EAST_C"/>
        <s v="ALLEY(CHAR)/EAST_D"/>
        <s v="ALLEY(CHAR)/EASTST"/>
        <s v="ALLEY(EDEN)/EDENRD"/>
        <s v="ALLEY(FIN)/MAIN ST"/>
        <s v="ALLEY(MAX)/EAST ST"/>
        <s v="ALLEY(MAX)/JACKSON"/>
        <s v="ALLEY(MAX)/JACKtoE"/>
        <s v="ALLEY(MAX)/JEFF ST"/>
        <s v="ALLEY(MAX)/SR9toEN"/>
        <s v="ALLEY(MOH)/NEW ST"/>
        <s v="ALLEY(PHILY)/PEARL"/>
        <s v="ALLEY(PHILY)/US40"/>
        <s v="ALLEY(PHILY)/US40A"/>
        <s v="AMANDA COURT"/>
        <s v="AMELIA DRIVE"/>
        <s v="WINDHAVEN COURT"/>
        <s v="ANTON WAY"/>
        <s v="Apple cave   court"/>
        <s v="APPLE ST/200N"/>
        <s v="APPLEGATE DRIVE(S)"/>
        <s v="ARBOR LANE"/>
        <s v="ARROWHEAD COURT"/>
        <s v="ARROWHEAD DRIVE"/>
        <s v="WINDSONG COURT"/>
        <s v="BLACKBERRY CT(S)"/>
        <s v="BALFER DRIVE EAST"/>
        <s v="BALFER DRIVE WEST"/>
        <s v="BANTON CIRCLE"/>
        <s v="BARNARD RD./1000N"/>
        <s v="BARNARD RD./1100N"/>
        <s v="BARNWOOD DRIVE(W)"/>
        <s v="STINEMEYER CT (W)"/>
        <s v="BEECH TREE (N)"/>
        <s v="BEECH TREE DR"/>
        <s v="BEECHWOOD LANE"/>
        <s v="GRASSY CT (S)"/>
        <s v="BERLANDER ROAD"/>
        <s v="BINFORD ROAD/300S"/>
        <s v="BINFORD ROAD/800E"/>
        <s v="BIRCH COURT"/>
        <s v="BIRDSONG COURT"/>
        <s v="BIRDSONG DRIVE"/>
        <s v="BITTNER LANE"/>
        <s v="HACKBERRY TRL (W)"/>
        <s v="BLUE BELL DRIVE"/>
        <s v="BLUE SPRUCE CT (N)"/>
        <s v="BLUEBELL DRIVE"/>
        <s v="BAYWOOD DR (W)"/>
        <s v="KEN LANE"/>
        <s v="SYCAMORE HILLS DR"/>
        <s v="BOULDER CREEK COURT(W)"/>
        <s v="BOULDER CREEK DRIVE(W)"/>
        <s v="BOULDER CREEK LANE(S)"/>
        <s v="FURRY ROAD/100W"/>
        <s v="MUD CREEK CT (S)"/>
        <s v="ATTLEBURG DRIVE(N)"/>
        <s v="CRANBERRY DRIVE"/>
        <s v="BRIAR PARK VIEW(W)"/>
        <s v="BRIARWOOD BLVD(W)"/>
        <s v="BRIER CREEK COURT"/>
        <s v="BRIER CREEK DRIVE"/>
        <s v="BRISTOL WAY"/>
        <s v="BROKEN ARROW COURT(W)"/>
        <s v="BROKEN ARROW DRIVE(S)"/>
        <s v="BROKEN ARROW DRIVE(W)"/>
        <s v="BROOKLAWN DRIVE"/>
        <s v="BRUNE COURT"/>
        <s v="BUCK CREEK COURT"/>
        <s v="BUCK CREEK RD./150N"/>
        <s v="DELEGATE WAY (N)"/>
        <s v="BUCK CREEK RD/100N"/>
        <s v="BUCK CREEK RD/200N"/>
        <s v="ESSEX CIRCLE"/>
        <s v="BUCKEYE DR (W)"/>
        <s v="BUCKEYE LANE (N)"/>
        <s v="BUCKSKIN COURT"/>
        <s v="LANE RD./700W"/>
        <s v="BURR OAK DRIVE"/>
        <s v="BUTTERCUP DRIVE"/>
        <s v="CAMERON LANE"/>
        <s v="CARIBOU CIRCLE"/>
        <s v="CARRIAGE DRIVE"/>
        <s v="CARRIE DRIVE"/>
        <s v="CARTHAGE RD/US40"/>
        <s v="CASEY LANE(E)"/>
        <s v="CATALINA DRIVE EAST"/>
        <s v="CATALINA DRIVE SOUTH"/>
        <s v="CATALINA DRIVE WEST"/>
        <s v="CENTER (FIN)/100W"/>
        <s v="CENTER ST(MAX)JEFF"/>
        <s v="BENJAMIN PLACE (N)"/>
        <s v="CENTRAL DRIVE"/>
        <s v="BURLINGTON DRIVE(W)"/>
        <s v="CHERRY TREE (N)"/>
        <s v="CHESTNUT ST(MOH)/E"/>
        <s v="CHRISTIAN DRIVE"/>
        <s v="CLUBHOUSE DRIVE"/>
        <s v="COLONIAL DRIVE"/>
        <s v="COLTON COURT"/>
        <s v="COLTON RD"/>
        <s v="COMMERCIAL"/>
        <s v="CORNERSTONE DRIVE(W)"/>
        <s v="CHARLESTON WAY(W)"/>
        <s v="COTTONWOOD DRIVE"/>
        <s v="COUNTRY LANE"/>
        <s v="COUNTRY LANE DRIVE"/>
        <s v="COUNTRY MILL DRIVE"/>
        <s v="DOVER PLACE(W)"/>
        <s v="COUNTRY WAY"/>
        <s v="COUNTRYSIDE COURT"/>
        <s v="COUNTRYSIDE DRIVE"/>
        <s v="JAMESTOWN DR(N)"/>
        <s v="CREEK RIDGE DRIVE"/>
        <s v="CREEK RIDGE DRIVE(W)"/>
        <s v="CREEKSIDE COURT"/>
        <s v="CREEKSIDE DR (N)"/>
        <s v="CREEKSIDE DR (W)"/>
        <s v="CREEKSIDE DRIVE"/>
        <s v="CREEKVIEW DRIVE"/>
        <s v="CREEKWATER PASS"/>
        <s v="CROSS TRAIL (W)"/>
        <s v="CUB BOULEVARD"/>
        <s v="DAISY LANE"/>
        <s v="DECKSHIRE LANE"/>
        <s v="DEER LANE (N)"/>
        <s v="DEER RUN DRIVE"/>
        <s v="DEERFIELD DRIVE"/>
        <s v="JAMESTOWN DRIVE (W)"/>
        <s v="DOE CT (N)"/>
        <s v="DOGWOOD WAY (N)"/>
        <s v="JEFFERSON CT (W)"/>
        <s v="JEFFERSON CT(N)"/>
        <s v="EAST ST(CHAR)/25N"/>
        <s v="EAST ST(CHAR)/US40"/>
        <s v="EAST ST(MAX)/END"/>
        <s v="EASTERN VILLAGE"/>
        <s v="EASY ST."/>
        <s v="JEFFERSON DRIVE"/>
        <s v="EDEN RD./250E"/>
        <s v="EDEN RD./TROY RD"/>
        <s v="ELAND DRIVE"/>
        <s v="ELISE COURT"/>
        <s v="KINGSTON DRIVE(W)"/>
        <s v="FAIRWAY VILLAGE BOULEVARD(S)"/>
        <s v="FAIRWAY VILLAGE COURT(S)"/>
        <s v="FAIRWAY VILLAGE DRIVE(E)"/>
        <s v="FALLOW TRAIL"/>
        <s v="FARM STONE CIRCLE(S)"/>
        <s v="FAUT ROAD/300W"/>
        <s v="FIELDING ROAD"/>
        <s v="FOREST COURT"/>
        <s v="FOREST LANE"/>
        <s v="FORTVILLE PK./200N"/>
        <s v="FORTVILLE PK./25W"/>
        <s v="FORTVILLE PK./300N"/>
        <s v="FORTVILLE PK./375N"/>
        <s v="FORTVILLE PK./500A"/>
        <s v="FORTVILLE PK./500N"/>
        <s v="FORTVILLE PK./600N"/>
        <s v="FORTVILLE PK./700N"/>
        <s v="FORTVILLE PK/850N"/>
        <s v="FORTVILLE PK/900N"/>
        <s v="FORTVILLE PK/950N"/>
        <s v="FORTVILLE PK/SR234"/>
        <s v="FOX COVE BOULEVARD"/>
        <s v="FOX DEN BOULEVARD"/>
        <s v="FOX PAW DRIVE"/>
        <s v="FOX RUN DRIVE"/>
        <s v="FOX TAIL PASS"/>
        <s v="FOX TRAIL DRIVE"/>
        <s v="FOX VIEW TRAIL"/>
        <s v="FROG POND COURT"/>
        <s v="LITTLETON DRIVE"/>
        <s v="GLENDALE LANE"/>
        <s v="GRANDISON RD./25N"/>
        <s v="GRANDISON RD./300N"/>
        <s v="GRANDISON RD/100N"/>
        <s v="GRANDISON RD/150N"/>
        <s v="MEDFORD COURT"/>
        <s v="GRANITE COURT(W)"/>
        <s v="ORCHARD DRIVE"/>
        <s v="GREENFIELD (FIN)/1"/>
        <s v="GREY FEATHER TRAIL"/>
        <s v="GREYHAWK LANE"/>
        <s v="GREYHAWK WAY"/>
        <s v="PEPPEREEL WAY(N)"/>
        <s v="HARMONY TRAIL(W)"/>
        <s v="HARVEST WAY(W)"/>
        <s v="PHILADELPHIA DRIVE"/>
        <s v="HEARTH STONE COURT"/>
        <s v="HERITAGE COURT"/>
        <s v="HERITAGE DRIVE"/>
        <s v="HERITAGE DRIVE EAST"/>
        <s v="HERITAGE DRIVE NORTH"/>
        <s v="HERITAGE DRIVE SOUTH"/>
        <s v="HERITAGE DRIVE WEST"/>
        <s v="HERON COURT"/>
        <s v="HERON DRIVE EAST"/>
        <s v="HERON DRIVE SOUTH"/>
        <s v="HERON DRIVE WEST"/>
        <s v="HICKORY BOULEVARD"/>
        <s v="HICKORY DRIVE (W)"/>
        <s v="HICKORY WOODS LANE"/>
        <s v="HIDDEN LAKE CT (W)"/>
        <s v="HIGH ACRES EAST DR"/>
        <s v="HIGH ACRES NORTH COURT"/>
        <s v="HIGH ACRES SOUTH COURT"/>
        <s v="HIGH ACRES WEST COURT"/>
        <s v="HIGH ACRES WEST DR"/>
        <s v="HILL DRIVE"/>
        <s v="HILLVIEW DRIVE(S)"/>
        <s v="HOLLYHOCK COURT"/>
        <s v="PLYMOUTH CT (N)"/>
        <s v="HOMESTEAD COURT"/>
        <s v="HOMESTEAD DRIVE"/>
        <s v="HONEYSUCKLE COURT"/>
        <s v="HUNTERS COURT(N)"/>
        <s v="IRWIN DRIVE (W)"/>
        <s v="IVY COURT"/>
        <s v="IVY LANE"/>
        <s v="JACKSON"/>
        <s v="JACKSON (MAX)/COTT"/>
        <s v="JACOBI RD./100S"/>
        <s v="JACOBI RD./200S"/>
        <s v="QUINCY DRIVE(N)"/>
        <s v="RALEIGH DRIVE(W)"/>
        <s v="JEANNE COURT"/>
        <s v="JEFFERSON (MAX)/EA"/>
        <s v="ROCKINGHAM LANE(N)"/>
        <s v="STANSBURY BLVD"/>
        <s v="STAYLEY AVE"/>
        <s v="JENNIFER COURT"/>
        <s v="JENNIFER DRIVE"/>
        <s v="JENNIFER LANE"/>
        <s v="KAITLIN COURT"/>
        <s v="KAITLIN RD"/>
        <s v="KATHLEEN COURT"/>
        <s v="KELLY DRIVE(N)"/>
        <s v="SUGAR CREEK TRAIL"/>
        <s v="KINGBIRD COURT"/>
        <s v="KINGBIRD DRIVE"/>
        <s v="THISTLE BURR"/>
        <s v="LAKESIDE COURT"/>
        <s v="LAKEWOOD COURT"/>
        <s v="LAKEWOOD DRIVE"/>
        <s v="LANA COURT EAST"/>
        <s v="LANA COURT WEST"/>
        <s v="VERNON LANE"/>
        <s v="LEE MAR DRIVE"/>
        <s v="LEONARD ROAD"/>
        <s v="LILAC LANE"/>
        <s v="LILLIAN COURT"/>
        <s v="LILY COURT"/>
        <s v="WALNUT/VINE(PHILY)"/>
        <s v="LOGAN DR (S)"/>
        <s v="MAIELLEN COURT"/>
        <s v="MAIELLEN DRIVE"/>
        <s v="MAIN CROSS(PHILY)"/>
        <s v="MAIN ST(CHAR)/25N"/>
        <s v="MAIN ST(FINLY)/GR"/>
        <s v="MAIN ST.(WILL BR)"/>
        <s v="ANITA LANE"/>
        <s v="MEADOW LAKE DRIVE"/>
        <s v="MEADOW SONG CT S"/>
        <s v="MEADOWS CIRCLE"/>
        <s v="MEADOWS LANE"/>
        <s v="MEADOWVIEW DR"/>
        <s v="MELODY LANE"/>
        <s v="WILDWOOD DRIVE"/>
        <s v="MEMORY LANE"/>
        <s v="MERIDIAN RD./1000A"/>
        <s v="300N/500W"/>
        <s v="MERIDIAN RD./100S"/>
        <s v="MERIDIAN RD./1100N"/>
        <s v="MERIDIAN RD./200S"/>
        <s v="700W/600N"/>
        <s v="MERIDIAN RD./400N"/>
        <s v="MERIDIAN RD./400S"/>
        <s v="MERIDIAN RD./500S"/>
        <s v="MERIDIAN RD./900N"/>
        <s v="MERIDIAN RD./SR234"/>
        <s v="MICHAEL'S CT"/>
        <s v="MILL BOULEVARD"/>
        <s v="MILL COURT"/>
        <s v="MILL STREAM DRIVE"/>
        <s v="MOELLER CIR (S)"/>
        <s v="MOELLER CIR(N)"/>
        <s v="MOHAWK LN(MOH)/NEW"/>
        <s v="MOHR ESTATES MIDDLE DRIVE"/>
        <s v="MOHR ESTATES SOUTH DRIVE"/>
        <s v="MOHR ROAD(E)"/>
        <s v="MOHR ROAD(N)"/>
        <s v="MORGAN COURT(W)"/>
        <s v="MORGAN CT (E)"/>
        <s v="MORNING GLORY CIRCLE"/>
        <s v="MORNING WALK DRIVE"/>
        <s v="MORRISTOWN PK./STE"/>
        <s v="MORRISTOWN PK/100S"/>
        <s v="MORRISTOWN PK/200S"/>
        <s v="MORRISTOWN PK/300S"/>
        <s v="MORRISTOWN PK/400S"/>
        <s v="MORRISTOWN PK/US40"/>
        <s v="MT VERNON COURT"/>
        <s v="MT VERNON WAY"/>
        <s v="600E/200S"/>
        <s v="NASHVILLE RD./775E"/>
        <s v="NASHVILLE RD./900N"/>
        <s v="NASHVILLE RD/1000N"/>
        <s v="NASHVILLE RD/1100N"/>
        <s v="NASHVILLE RD/675E"/>
        <s v="NEW ST(MOH)/MOH LN"/>
        <s v="NORTH ST(CHAR)/END"/>
        <s v="NORTH/EAST ST"/>
        <s v="OAK DRIVE"/>
        <s v="OAK STREET"/>
        <s v="OAKWOOD COURT"/>
        <s v="OAKWOOD DRIVE"/>
        <s v="ODEN ROAD"/>
        <s v="OLD 1200E/NEW1200E"/>
        <s v="OLD COLONY DR WEST"/>
        <s v="OLVEY RD./900N"/>
        <s v="600E/250S"/>
        <s v="OSMAN LANE"/>
        <s v="OSPREY DR"/>
        <s v="PARKER LANE (S)"/>
        <s v="PARKSIDE DRIVE"/>
        <s v="PARKVIEW DR"/>
        <s v="300S/700W"/>
        <s v="300N/525E"/>
        <s v="PEACE STREET"/>
        <s v="PEARL ST(PHILY)"/>
        <s v="400W/100N"/>
        <s v="400S/100E"/>
        <s v="PINE BLUFF DRIVE(W)"/>
        <s v="PINE COURT"/>
        <s v="PINE ST(CHAR)/1050"/>
        <s v="PLANTATION ROW (W)"/>
        <s v="PLEASANT DRIVE"/>
        <s v="900N/500W"/>
        <s v="PORTALAN DRIVE"/>
        <s v="PORTIA DRIVE"/>
        <s v="POSTMASTER LANE"/>
        <s v="PRAIRIE COURT"/>
        <s v="QUAIL COURT"/>
        <s v="QUAIL RUN DRIVE"/>
        <s v="ALEXANDRIA DRIVE"/>
        <s v="ASHLEY DRIVE(S)"/>
        <s v="BOMAR BOULEVARD"/>
        <s v="BOMAR CIRCLE"/>
        <s v="RAVEN FIELD BLVD(W)"/>
        <s v="RAVENFIELD CRT(N)"/>
        <s v="RAYLEE GARDEN DR(S)"/>
        <s v="RED FOX TRAIL (N)"/>
        <s v="RED OAK DRIVE"/>
        <s v="REDBUD CIRCLE"/>
        <s v="REMBRANT COURT"/>
        <s v="REX RIDGE ROAD"/>
        <s v="RICHMAN BLVD"/>
        <s v="RICHMAN CIRCLE"/>
        <s v="RICHMAN COURT"/>
        <s v="RICHMAN DRIVE(S)"/>
        <s v="RICHMAN LANE(W)"/>
        <s v="RICHMAN WAY(S)"/>
        <s v="RICKS DRIVE EAST"/>
        <s v="RICKS DRIVE SOUTH"/>
        <s v="RICKS DRIVE WEST"/>
        <s v="RIDGE DRIVE"/>
        <s v="RIDGEVIEW"/>
        <s v="ROBERTS CT. (W)"/>
        <s v="BOMAR LANE"/>
        <s v="ROCKWAY DRIVE(W)"/>
        <s v="BRANDYWINE COURT"/>
        <s v="ROSEWIND DR (S)"/>
        <s v="S CENTENNIAL AVE"/>
        <s v="S PHILADELPHIA PASS"/>
        <s v="SACREMENTO DRIVE"/>
        <s v="SAW MILL COURT"/>
        <s v="SCHOOL ST(MAX)/END"/>
        <s v="SECOND (CHAR)/CART"/>
        <s v="BRANDYWINE LANE(E)"/>
        <s v="SECOND ST(WIL BRA)"/>
        <s v="SHADELAND DRIVE"/>
        <s v="SHADOW CREEK WAY WEST"/>
        <s v="SHADY CREEK DRIVE"/>
        <s v="SHARON DRIVE"/>
        <s v="SHEL-LYN COURT"/>
        <s v="SHEL-LYN DRIVE"/>
        <s v="SOUTH ST(CHAR)/EAS"/>
        <s v="SOUTH ST(MAX)/CENT"/>
        <s v="SOUTH ST/END"/>
        <s v="SOUTHWAY DR (S)"/>
        <s v="SPARKS RD./300N"/>
        <s v="BRANDYWINE TRAIL(E)"/>
        <s v="STATION WAY/350N"/>
        <s v="BRANDYWINE TRAIL(S)"/>
        <s v="STEELEFORD RD/END"/>
        <s v="CENTER ST(PHIL)/VI"/>
        <s v="COUNTRY TRAIL(E)"/>
        <s v="STINEMYER RD/550W"/>
        <s v="STINEMYER RD/600W"/>
        <s v="300S/SR9"/>
        <s v="400N/600W"/>
        <s v="400N/SR9"/>
        <s v="STONE WAY(S)"/>
        <s v="STONE WAY(W)"/>
        <s v="STONEHAVEN LANE(W)"/>
        <s v="STONER"/>
        <s v="STONY RIDGE COURT"/>
        <s v="STRAHL DRIVE(N)"/>
        <s v="SUGAR BEND RUN (N)"/>
        <s v="400W/100S"/>
        <s v="SUGAR HILLS CT"/>
        <s v="SUGAR HILLS DR"/>
        <s v="SUMMERFIELD DR(N)"/>
        <s v="SUMMERHAVEN COURT"/>
        <s v="SUMMERHAVEN DRIVE"/>
        <s v="SUN CLOUD DR (W)"/>
        <s v="SUN RISE CT"/>
        <s v="SUN RISE DR"/>
        <s v="SUNSET COURT"/>
        <s v="SUNSET DRIVE NORTH"/>
        <s v="SUNSET DRIVE SOUTH"/>
        <s v="SUNSHINE DRIVE"/>
        <s v="SURREY CT WEST"/>
        <s v="SURREY LANE SOUTH"/>
        <s v="SWEET CREEK DRIVE"/>
        <s v="SYCAMORE CT"/>
        <s v="SYCAMORE DRIVE"/>
        <s v="100W/400S"/>
        <s v="THEODORE LANE"/>
        <s v="THIRD ST(WILL BRA)"/>
        <s v="1000N/500E"/>
        <s v="THOMAS COURT"/>
        <s v="THOMAS RD./SR234"/>
        <s v="THOMAS ST(WILL BR)"/>
        <s v="TIMBER DRIVE"/>
        <s v="TOMKE DRIVE"/>
        <s v="TROY RD./900N"/>
        <s v="TROY RD./EDEN RD"/>
        <s v="TROY RD./SR234"/>
        <s v="TULIP TREE DRIVE"/>
        <s v="TUMBLEWEED COURT(W)"/>
        <s v="TUMBLEWEED DRIVE(S)"/>
        <s v="TWIN OAK BLVD (E)"/>
        <s v="VALLEY COURT"/>
        <s v="VALLEY LANE"/>
        <s v="VERA DRIVE"/>
        <s v="600E/400S"/>
        <s v="VILLAGE DRIVE"/>
        <s v="VILLAGE DRIVE (S)"/>
        <s v="VILLAGE ROW"/>
        <s v="VILLAGE WAY WEST"/>
        <s v="W CONGRESS CV"/>
        <s v="W HARRISBURG CT"/>
        <s v="WALNUT CT"/>
        <s v="WALNUT DR(S)"/>
        <s v="1000N/675E"/>
        <s v="WASHINGTON (MAX)/E"/>
        <s v="WATER WHEEL DRIVE"/>
        <s v="WATERS EDGE BLVD"/>
        <s v="WATERS EDGE CT"/>
        <s v="WATERWAY DRIVE"/>
        <s v="WAYNE DRIVE"/>
        <s v="WELKER DRIVE"/>
        <s v="WEST ST(CHAR)/CART"/>
        <s v="WEST ST(FINLY)"/>
        <s v="WESTERN CT (W)"/>
        <s v="WHISPERING WAY"/>
        <s v="WHITE OAK DRIVE"/>
        <s v="WHITESIDE CT"/>
        <s v="WILDFLOWER LN"/>
        <s v="MCCORD RD./500W"/>
        <s v="WILLIAMSWOOD DRIVE"/>
        <s v="WILLOW GROVE DR (S)"/>
        <s v="WILLOW GROVE DR (W)"/>
        <s v="WILMONT"/>
        <s v="E. E ST."/>
        <s v="WINDMILL WAY(W)"/>
        <s v="25W/500N"/>
        <s v="WOLLENWEBER ROAD"/>
        <s v="WOODCREST DRIVE"/>
        <s v="WOODFIELD DRIVE"/>
        <s v="WOODGROVE WAY(S)"/>
        <m/>
        <s v="COMMERCIAL PARKWAY" u="1"/>
        <s v="HARRISBURG" u="1"/>
        <s v="COTTONWOOD DR" u="1"/>
        <s v="JACKSON STREET" u="1"/>
        <s v="yes" u="1"/>
        <s v=" " u="1"/>
        <s v="STONER DRIVE(W)" u="1"/>
        <s v="W Harrisburg Cr" u="1"/>
        <s v="125W/I70" u="1"/>
        <s v="IRWIN" u="1"/>
        <s v="500W/500N" u="1"/>
      </sharedItems>
    </cacheField>
    <cacheField name="ROAD" numFmtId="0">
      <sharedItems containsBlank="1"/>
    </cacheField>
    <cacheField name="SUBDIVISION" numFmtId="0">
      <sharedItems containsBlank="1"/>
    </cacheField>
    <cacheField name="FROM" numFmtId="0">
      <sharedItems containsBlank="1" count="213">
        <s v="900 N"/>
        <s v="500N"/>
        <s v="350N"/>
        <s v="400N"/>
        <s v="TWSP.2N.LINE"/>
        <s v="900N"/>
        <s v="550N"/>
        <s v="SR234"/>
        <s v="1000E"/>
        <s v="125W"/>
        <s v="400S"/>
        <s v="400W"/>
        <s v="50W"/>
        <s v="550E"/>
        <s v="600E"/>
        <s v="500 W"/>
        <s v="ALFORD RD."/>
        <s v="BARNARD RD."/>
        <s v="MERIDIAN RD."/>
        <s v="NASHVILLE RD."/>
        <s v="SR109"/>
        <s v="SR9"/>
        <s v="675E"/>
        <s v="US40"/>
        <s v="500S"/>
        <s v="100W"/>
        <s v="150W"/>
        <s v="200W"/>
        <s v="300W"/>
        <s v="350W"/>
        <s v="400E"/>
        <s v="175 E"/>
        <s v="500E"/>
        <s v="700W"/>
        <s v="SR238"/>
        <s v="200N"/>
        <s v="75W"/>
        <s v="700E"/>
        <s v="800E"/>
        <s v="BUCK CREEK RD"/>
        <s v="850E"/>
        <s v="100E"/>
        <s v="250W"/>
        <s v="600W"/>
        <s v="100N"/>
        <s v="750E"/>
        <s v="775E"/>
        <s v="COUNTY LINE"/>
        <s v="JACOBI Iroad"/>
        <s v="MERIDIAN ROAD"/>
        <s v="300N"/>
        <s v="800W"/>
        <s v="US52"/>
        <s v="425W"/>
        <s v="25N"/>
        <s v="150N"/>
        <s v="250N"/>
        <s v="325N"/>
        <s v="450N"/>
        <s v="TWP. LINE"/>
        <s v="1000N"/>
        <s v="CO. LINE"/>
        <s v="200S"/>
        <s v="300S"/>
        <s v="RAILROAD ST."/>
        <s v="700N"/>
        <s v="950N"/>
        <s v="1050E"/>
        <s v="525W"/>
        <s v="BUCK CREEK RD."/>
        <s v="900E"/>
        <s v="100S"/>
        <s v="600S"/>
        <s v="SR 9"/>
        <s v="GR. CITY LIMITS"/>
        <s v="JACOBI ROAD"/>
        <s v="MORRISTOWN PIKE"/>
        <s v="600N"/>
        <s v="FURRY ROAD"/>
        <s v="625N"/>
        <s v="GRANDISON RD."/>
        <s v="SR67"/>
        <s v="350S"/>
        <s v="650W"/>
        <s v="GREENFLD.CORP."/>
        <s v="300E"/>
        <s v="375E"/>
        <s v="675W"/>
        <s v="1050N"/>
        <s v="50E"/>
        <s v="525E"/>
        <s v="FORTVILLE PK."/>
        <s v="450W"/>
        <s v="BINFORD ROAD"/>
        <s v="275E"/>
        <s v="850N"/>
        <s v="FAUT ROAD"/>
        <s v="925N"/>
        <s v="Fortville Pike"/>
        <s v="650N"/>
        <s v="450E"/>
        <s v="850 E"/>
        <s v="700 W"/>
        <s v="1125E"/>
        <s v="1100E"/>
        <s v="1100N"/>
        <s v="550S"/>
        <s v="TWNSP. LINE"/>
        <s v="25W"/>
        <s v="200E"/>
        <s v="575E"/>
        <s v="MCCORD RD."/>
        <s v="NEW PAL"/>
        <s v="750N"/>
        <s v="STINEMYER RD."/>
        <s v="I70"/>
        <s v="250E"/>
        <s v="500W"/>
        <s v="MAIN ST."/>
        <s v="550W"/>
        <s v="S.TWP.LINE"/>
        <s v="225N"/>
        <s v="SR52"/>
        <s v="STATION WAY"/>
        <s v="US 52"/>
        <s v="725E"/>
        <s v="875E"/>
        <s v="THOMAS RD."/>
        <s v="250S"/>
        <s v="E.CORP, LINE"/>
        <s v="475W"/>
        <s v="TROY RD."/>
        <s v="LANE ROAD"/>
        <s v="CARTHAGE RD"/>
        <s v="TWP LINE"/>
        <s v="50S"/>
        <s v="BINFORD RD."/>
        <s v="450S"/>
        <s v="150S"/>
        <s v="CO.LINE"/>
        <s v="1200E"/>
        <s v="440 W"/>
        <s v="OLVEY RD."/>
        <s v="390 W"/>
        <s v="EAST ST"/>
        <s v="WEST ST"/>
        <s v="MAIN ST"/>
        <s v="EDEN RD"/>
        <s v="GREENFIELD ST"/>
        <s v="JACKSON ST"/>
        <s v="WASHINGTON ST"/>
        <s v="PEARL ST"/>
        <s v="450 W"/>
        <s v="100 N"/>
        <s v="625 W"/>
        <s v="400 E"/>
        <s v="570 W"/>
        <s v="100 W"/>
        <s v="740 W"/>
        <s v="550 W"/>
        <s v="560 W"/>
        <s v="275 W"/>
        <s v="4100 W"/>
        <s v="420 W"/>
        <s v="600 W"/>
        <s v="660 W"/>
        <s v="800 W"/>
        <s v="680 W"/>
        <s v="480 W"/>
        <s v="SOUTH ST"/>
        <m/>
        <s v="650 W"/>
        <s v="200 W"/>
        <s v="1200 E"/>
        <s v="300 N"/>
        <s v="600 N"/>
        <s v="430 W"/>
        <s v="375N"/>
        <s v="150 W"/>
        <s v="200 N"/>
        <s v="350 W"/>
        <s v="575 W"/>
        <s v="N BUCK CREEK RD"/>
        <s v="250 S"/>
        <s v="650 N"/>
        <s v="525 W"/>
        <s v="470 W"/>
        <s v="610 W"/>
        <s v="300 S"/>
        <s v="STEELEFORD RD."/>
        <s v="SR 234"/>
        <s v="MT COMFORT"/>
        <s v="200 S"/>
        <s v="300 E"/>
        <s v="NEW 1200E"/>
        <s v="250 E"/>
        <s v="50 W"/>
        <s v="150 E"/>
        <s v="BUCK CREEK ROAD"/>
        <s v="100 S"/>
        <s v="300 W"/>
        <s v="60 W"/>
        <s v="MORRISTOWN PK"/>
        <s v="CITY LIMITS"/>
        <s v="VINE ST"/>
        <s v="SECOND ST"/>
        <s v="EDEN RD."/>
        <s v="625E"/>
        <s v="S800W"/>
        <s v="700 N"/>
        <s v="500N-South To"/>
        <s v="600N/200W" u="1"/>
        <s v="SR40" u="1"/>
      </sharedItems>
    </cacheField>
    <cacheField name="TO" numFmtId="0">
      <sharedItems containsBlank="1" count="226">
        <s v="1000 N"/>
        <s v="600N"/>
        <s v="400N"/>
        <s v="500N"/>
        <s v="550N"/>
        <s v="650N"/>
        <s v="SR234"/>
        <s v="TWNSP."/>
        <s v="SR109"/>
        <s v="1100E"/>
        <s v="FORTVILLE LIMITS"/>
        <s v="300S"/>
        <s v="450W"/>
        <s v="125W"/>
        <s v="500E"/>
        <s v="550E"/>
        <s v="MAIN ST."/>
        <s v="325 S"/>
        <s v="MERIDIAN RD."/>
        <s v="SR9"/>
        <s v="50W"/>
        <s v="675E"/>
        <s v="775E"/>
        <s v="ALFORD RD."/>
        <s v="600E"/>
        <s v="END"/>
        <s v="400S"/>
        <s v="150W"/>
        <s v="200W"/>
        <s v="300W"/>
        <s v="350W"/>
        <s v="400W"/>
        <s v="525W"/>
        <s v="475 N"/>
        <s v="600W"/>
        <s v="HANCOCK CO. LINE"/>
        <s v="300N"/>
        <s v="100W"/>
        <s v="800E"/>
        <s v="850E"/>
        <s v="W. CO. LINE"/>
        <s v="GRANDISON RD."/>
        <s v="MERIDIAN ROAD"/>
        <s v="250W"/>
        <s v="JACOBI ROAD"/>
        <s v="50E"/>
        <s v="500W"/>
        <s v="BUCK CREEK RD"/>
        <s v="700W"/>
        <s v="GREENFLD.CORP."/>
        <s v="750E"/>
        <s v="200N"/>
        <s v="SR52"/>
        <s v="I70"/>
        <s v="600S"/>
        <s v="150N"/>
        <s v="250N"/>
        <s v="25N"/>
        <s v="325N"/>
        <s v="350N"/>
        <s v="450N"/>
        <s v="1000N"/>
        <s v="1100N"/>
        <s v="100S"/>
        <s v="200S"/>
        <s v="450E"/>
        <s v="MORRISTOWN PIKE"/>
        <s v="STINEMYER RD."/>
        <s v="700E"/>
        <s v="E.CO.LINE"/>
        <s v="100N"/>
        <s v="US52"/>
        <s v="275E"/>
        <s v="400E"/>
        <s v="800W"/>
        <s v="100E"/>
        <s v="425W"/>
        <s v="900E"/>
        <s v="MCCORD RD."/>
        <s v="SR 9"/>
        <s v="TWP. LINE"/>
        <s v="FURRY ROAD"/>
        <s v="700N"/>
        <s v="US40"/>
        <s v="625N"/>
        <s v="EDEN RD."/>
        <s v="1050E"/>
        <s v="CO LINE."/>
        <s v="900N"/>
        <s v="350S"/>
        <s v="STEELEFORD RD."/>
        <s v="500S"/>
        <s v="675W"/>
        <s v="300 E"/>
        <s v="375E"/>
        <s v="FORTVILLE PK."/>
        <s v="BARNARD RD."/>
        <s v="BINFORD ROAD"/>
        <s v="850N"/>
        <s v="925N"/>
        <s v="SR67"/>
        <s v="FAUT ROAD"/>
        <s v="1000E"/>
        <s v="950N"/>
        <s v="300E"/>
        <s v="US 40"/>
        <s v="525E"/>
        <s v="900 E"/>
        <s v="425 S"/>
        <s v="1200E"/>
        <s v="NEW PAL"/>
        <s v="550S"/>
        <s v="TWNSP. LINE"/>
        <s v="25W"/>
        <s v="200E"/>
        <s v="575E"/>
        <s v="AIRPORT BLV"/>
        <s v="750N"/>
        <s v="DEAD END"/>
        <s v="625E"/>
        <s v="1050N"/>
        <s v="250E"/>
        <s v="875E"/>
        <s v="550W"/>
        <s v="225N"/>
        <s v="1125E"/>
        <s v="725E"/>
        <s v="THOMAS RD."/>
        <s v="NASHVILLE RD."/>
        <s v="250S"/>
        <s v="450S"/>
        <s v="TROY RD."/>
        <s v="475W"/>
        <s v="350 N"/>
        <s v="EAST ST"/>
        <s v="LANE ROAD"/>
        <s v="BINFORD RD."/>
        <s v="50S"/>
        <s v="150S"/>
        <s v="100 S"/>
        <s v="OLVEY RD."/>
        <s v="CO. LINE"/>
        <s v="570 N"/>
        <s v="300 S"/>
        <s v="CARTHAGE RD"/>
        <s v="CHURCH PARKING LOT"/>
        <s v="MAIN ST"/>
        <s v="JACKSON ST"/>
        <s v="JEFFERSON ST"/>
        <s v="NEW ST"/>
        <s v="ALLEY"/>
        <s v="WALNUT ST"/>
        <s v="400 S"/>
        <s v="200 N"/>
        <s v="375 S"/>
        <s v="US 52"/>
        <s v="600 N"/>
        <s v="STINEMEYER ROAD"/>
        <s v="200 S"/>
        <s v="575 S"/>
        <s v="50 N"/>
        <s v="150 S"/>
        <s v="560 S"/>
        <s v="100 N"/>
        <s v="525 S"/>
        <s v="3200 S"/>
        <s v="225 S"/>
        <s v="250 S"/>
        <s v="125 S"/>
        <s v="60 S"/>
        <s v="S.TWP.LINE"/>
        <s v="SR70"/>
        <s v="350 S"/>
        <s v="COUNTY LINE"/>
        <m/>
        <s v="400 N"/>
        <s v="470 N"/>
        <s v="500 S"/>
        <s v="150 N"/>
        <s v="140 S"/>
        <s v="310 N"/>
        <s v="775 W"/>
        <s v="700 W"/>
        <s v="50N"/>
        <s v="375N"/>
        <s v="200 W"/>
        <s v="460 S"/>
        <s v="340 N"/>
        <s v="120 S"/>
        <s v="250 E"/>
        <s v="30 N"/>
        <s v="COTTONWOOD"/>
        <s v="1025 E"/>
        <s v="500 N"/>
        <s v="950 N"/>
        <s v="WALNUT/VINE"/>
        <s v="GREENFIELD ST"/>
        <s v="20 S"/>
        <s v="470 W"/>
        <s v="600 S"/>
        <s v="600 W"/>
        <s v="SR40"/>
        <s v="140 W"/>
        <s v="MOHAWK LANE"/>
        <s v="750 W"/>
        <s v="NEW 1200E"/>
        <s v="180 N"/>
        <s v="240 S"/>
        <s v="3S"/>
        <s v="875 N"/>
        <s v="THOMAS ST"/>
        <s v="260 N"/>
        <s v="380 W"/>
        <s v="25 N"/>
        <s v="CENTER ST"/>
        <s v="STEELFORD"/>
        <s v="650W"/>
        <s v="375 N"/>
        <s v="550 N"/>
        <s v="450 S"/>
        <s v="THIRD ST"/>
        <s v="WILKINSON TWN"/>
        <s v="Airport Road"/>
        <s v="600N/200W" u="1"/>
        <s v="STINEMYER " u="1"/>
        <s v="Stinemyer" u="1"/>
      </sharedItems>
    </cacheField>
    <cacheField name="Length" numFmtId="0">
      <sharedItems containsString="0" containsBlank="1" containsNumber="1" minValue="83.24" maxValue="12187"/>
    </cacheField>
    <cacheField name="Width" numFmtId="0">
      <sharedItems containsString="0" containsBlank="1" containsNumber="1" containsInteger="1" minValue="18" maxValue="40"/>
    </cacheField>
    <cacheField name="SURFACE" numFmtId="0">
      <sharedItems containsBlank="1"/>
    </cacheField>
    <cacheField name="TOWNSHIP" numFmtId="0">
      <sharedItems containsBlank="1"/>
    </cacheField>
    <cacheField name="TOWN SCORE" numFmtId="0">
      <sharedItems containsString="0" containsBlank="1" containsNumber="1" containsInteger="1" minValue="0" maxValue="0"/>
    </cacheField>
    <cacheField name="PASER 2014" numFmtId="0">
      <sharedItems containsString="0" containsBlank="1" containsNumber="1" minValue="1.111545979060494" maxValue="10"/>
    </cacheField>
    <cacheField name="PASER 2015" numFmtId="0">
      <sharedItems containsString="0" containsBlank="1" containsNumber="1" minValue="1.1887587479500223" maxValue="10"/>
    </cacheField>
    <cacheField name="PASER 2016" numFmtId="0">
      <sharedItems containsString="0" containsBlank="1" containsNumber="1" minValue="1.3218950536487677" maxValue="10"/>
    </cacheField>
    <cacheField name="PASER 2017" numFmtId="0">
      <sharedItems containsString="0" containsBlank="1" containsNumber="1" minValue="1.252582350422428" maxValue="10"/>
    </cacheField>
    <cacheField name="PASER 2018" numFmtId="0">
      <sharedItems containsString="0" containsBlank="1" containsNumber="1" minValue="1.1691491295148184" maxValue="10"/>
    </cacheField>
    <cacheField name="PASER 2019" numFmtId="0">
      <sharedItems containsString="0" containsBlank="1" containsNumber="1" minValue="1.0178846097760363" maxValue="9"/>
    </cacheField>
    <cacheField name="PASER 2020" numFmtId="0">
      <sharedItems containsString="0" containsBlank="1" containsNumber="1" minValue="0.87494939921664205" maxValue="10"/>
    </cacheField>
    <cacheField name="PASER 2021" numFmtId="0">
      <sharedItems containsBlank="1" containsMixedTypes="1" containsNumber="1" minValue="0.74184383560534117" maxValue="9"/>
    </cacheField>
    <cacheField name="PASER 2022" numFmtId="0">
      <sharedItems containsString="0" containsBlank="1" containsNumber="1" minValue="0.5734132839075613" maxValue="8"/>
    </cacheField>
    <cacheField name="PASER 2023" numFmtId="0">
      <sharedItems containsString="0" containsBlank="1" containsNumber="1" minValue="0.5222963495084707" maxValue="8"/>
    </cacheField>
    <cacheField name="PAINT YEAR" numFmtId="1">
      <sharedItems containsString="0" containsBlank="1" containsNumber="1" containsInteger="1" minValue="2022" maxValue="2024"/>
    </cacheField>
    <cacheField name="LAST PAINT YEAR" numFmtId="1">
      <sharedItems containsString="0" containsBlank="1" containsNumber="1" containsInteger="1" minValue="2016" maxValue="2023"/>
    </cacheField>
    <cacheField name="HAS PAINT Y/N" numFmtId="1">
      <sharedItems containsBlank="1"/>
    </cacheField>
    <cacheField name="AADT" numFmtId="0">
      <sharedItems containsString="0" containsBlank="1" containsNumber="1" containsInteger="1" minValue="9" maxValue="13030"/>
    </cacheField>
    <cacheField name="AADT Score" numFmtId="0">
      <sharedItems containsString="0" containsBlank="1" containsNumber="1" minValue="0" maxValue="1.5"/>
    </cacheField>
    <cacheField name="Road Name" numFmtId="0">
      <sharedItems containsBlank="1"/>
    </cacheField>
    <cacheField name="SCORE" numFmtId="0">
      <sharedItems containsString="0" containsBlank="1" containsNumber="1" minValue="0" maxValue="10.5"/>
    </cacheField>
    <cacheField name="FIX" numFmtId="0">
      <sharedItems containsBlank="1" count="13">
        <s v="CS"/>
        <s v="CRACK"/>
        <s v="DS"/>
        <s v="SP/CS"/>
        <s v="P"/>
        <s v="MICRO"/>
        <m/>
        <s v="MICROSEAL"/>
        <s v="GG"/>
        <s v="F"/>
        <s v="NHP"/>
        <s v="Microsea;" u="1"/>
        <s v="CAPE" u="1"/>
      </sharedItems>
    </cacheField>
    <cacheField name="COST" numFmtId="0">
      <sharedItems containsString="0" containsBlank="1" containsNumber="1" minValue="0" maxValue="1531568.3712121206"/>
    </cacheField>
    <cacheField name="%complete" numFmtId="9">
      <sharedItems containsString="0" containsBlank="1" containsNumber="1" containsInteger="1" minValue="1" maxValue="1"/>
    </cacheField>
    <cacheField name="Cost Compete" numFmtId="44">
      <sharedItems containsString="0" containsBlank="1" containsNumber="1" minValue="0" maxValue="162416.66666666666"/>
    </cacheField>
    <cacheField name="YEAR" numFmtId="0">
      <sharedItems containsString="0" containsBlank="1" containsNumber="1" containsInteger="1" minValue="0" maxValue="2028" count="15">
        <n v="2023"/>
        <m/>
        <n v="2022"/>
        <n v="2024"/>
        <n v="2026"/>
        <n v="2027"/>
        <n v="2025"/>
        <n v="2028"/>
        <n v="0"/>
        <n v="2020" u="1"/>
        <n v="2018" u="1"/>
        <n v="2016" u="1"/>
        <n v="2021" u="1"/>
        <n v="2019" u="1"/>
        <n v="2017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1">
  <r>
    <s v="BC63"/>
    <s v="600W/300N"/>
    <s v="600W/300N"/>
    <m/>
    <s v="225N"/>
    <s v="300N"/>
    <n v="4360"/>
    <n v="20"/>
    <s v="AC"/>
    <s v="BC"/>
    <n v="0"/>
    <n v="8"/>
    <n v="8"/>
    <n v="10911"/>
    <n v="1.5"/>
    <s v="600W"/>
    <n v="3.5"/>
    <s v="CRACK"/>
    <n v="4871.969696969697"/>
    <x v="0"/>
    <n v="12"/>
    <n v="4"/>
    <n v="1.5"/>
    <n v="0"/>
  </r>
  <r>
    <s v="BC62"/>
    <s v="600W/350N"/>
    <s v="600W/350N"/>
    <m/>
    <s v="STATION WAY"/>
    <s v="350N"/>
    <n v="1163"/>
    <n v="20"/>
    <s v="AC"/>
    <s v="BC"/>
    <n v="0"/>
    <n v="7"/>
    <n v="8"/>
    <n v="10700"/>
    <n v="1.5"/>
    <s v="600W"/>
    <n v="3.5"/>
    <s v="P"/>
    <n v="15418.560606060606"/>
    <x v="1"/>
    <n v="12"/>
    <n v="15"/>
    <n v="1.5"/>
    <n v="6"/>
  </r>
  <r>
    <s v="BC61"/>
    <s v="600W/400N"/>
    <s v="600W/400N"/>
    <m/>
    <s v="350N"/>
    <s v="400N"/>
    <n v="3907"/>
    <n v="20"/>
    <s v="AC"/>
    <s v="BC"/>
    <n v="0"/>
    <n v="7"/>
    <n v="8"/>
    <n v="10502"/>
    <n v="1.5"/>
    <s v="600W"/>
    <n v="3.5"/>
    <s v="P"/>
    <n v="51797.348484848488"/>
    <x v="1"/>
    <n v="12"/>
    <n v="15"/>
    <n v="1.5"/>
    <n v="6"/>
  </r>
  <r>
    <s v="BC64"/>
    <s v="600W/225N"/>
    <s v="600W/225N"/>
    <m/>
    <s v="200N"/>
    <s v="225N"/>
    <n v="1100"/>
    <n v="20"/>
    <s v="AC"/>
    <s v="BC"/>
    <n v="0"/>
    <n v="8"/>
    <n v="8"/>
    <n v="9877"/>
    <n v="1.5"/>
    <s v="600W"/>
    <n v="3.5"/>
    <s v="CRACK"/>
    <n v="1229.1666666666667"/>
    <x v="0"/>
    <n v="12"/>
    <n v="4"/>
    <n v="1.5"/>
    <n v="0"/>
  </r>
  <r>
    <s v="BC60"/>
    <s v="600W/500N"/>
    <s v="600W/500N"/>
    <m/>
    <s v="400N"/>
    <s v="500N"/>
    <n v="5386"/>
    <n v="20"/>
    <s v="AC"/>
    <s v="BC"/>
    <n v="0"/>
    <n v="7"/>
    <n v="8"/>
    <n v="9713"/>
    <n v="1.5"/>
    <s v="600W"/>
    <n v="3.5"/>
    <s v="CRACK"/>
    <n v="6018.44696969697"/>
    <x v="1"/>
    <n v="12"/>
    <n v="4"/>
    <n v="1.5"/>
    <n v="6"/>
  </r>
  <r>
    <s v="BC59"/>
    <s v="600W/600N"/>
    <s v="600W/600N"/>
    <m/>
    <s v="500N"/>
    <s v="600N"/>
    <n v="5110"/>
    <n v="20"/>
    <s v="AC"/>
    <s v="BC"/>
    <n v="0"/>
    <n v="7"/>
    <n v="7"/>
    <n v="9003"/>
    <n v="1.5"/>
    <s v="600W"/>
    <n v="4.5"/>
    <s v="CRACK"/>
    <n v="5710.037878787879"/>
    <x v="1"/>
    <n v="10"/>
    <n v="4"/>
    <n v="1.5"/>
    <n v="6"/>
  </r>
  <r>
    <s v="BC65"/>
    <s v="600W/200N"/>
    <s v="600W/200N"/>
    <m/>
    <s v="100N"/>
    <s v="200N"/>
    <n v="5300"/>
    <n v="20"/>
    <s v="AC"/>
    <s v="BC"/>
    <n v="0"/>
    <n v="7"/>
    <n v="8"/>
    <n v="8712"/>
    <n v="1.5"/>
    <s v="600W"/>
    <n v="3.5"/>
    <s v="CS"/>
    <n v="15056.818181818182"/>
    <x v="2"/>
    <n v="12"/>
    <n v="7"/>
    <n v="1.5"/>
    <n v="7.5"/>
  </r>
  <r>
    <s v="BC66"/>
    <s v="600W/100N"/>
    <s v="600W/100N"/>
    <m/>
    <s v="S.TWP.LINE"/>
    <s v="100N"/>
    <n v="5316"/>
    <n v="20"/>
    <s v="AC"/>
    <s v="BC"/>
    <n v="0"/>
    <n v="7"/>
    <n v="8"/>
    <n v="8236"/>
    <n v="1.5"/>
    <s v="600W"/>
    <n v="3.5"/>
    <s v="CRACK"/>
    <n v="5940.227272727273"/>
    <x v="2"/>
    <n v="12"/>
    <n v="4"/>
    <n v="1.5"/>
    <n v="7.5"/>
  </r>
  <r>
    <s v="SC76"/>
    <s v="600W/300S"/>
    <s v="600W/300S"/>
    <m/>
    <s v="SR52"/>
    <s v="300S"/>
    <n v="5840"/>
    <n v="20"/>
    <s v="AC"/>
    <s v="SC"/>
    <n v="0"/>
    <n v="6"/>
    <n v="8"/>
    <n v="4822"/>
    <n v="1.5"/>
    <s v="600W"/>
    <n v="3.5"/>
    <s v="CRACK"/>
    <n v="6525.757575757576"/>
    <x v="1"/>
    <n v="12"/>
    <n v="4"/>
    <n v="1.5"/>
    <n v="6"/>
  </r>
  <r>
    <s v="SC81"/>
    <s v="500W/US40"/>
    <s v="500W/US40"/>
    <m/>
    <s v="US40"/>
    <s v="100S"/>
    <n v="2790"/>
    <n v="20"/>
    <s v="AC"/>
    <s v="SC"/>
    <n v="0"/>
    <n v="7"/>
    <n v="7"/>
    <n v="5050"/>
    <n v="1.5"/>
    <s v="500W"/>
    <n v="4.5"/>
    <s v="CS"/>
    <n v="7926.136363636364"/>
    <x v="0"/>
    <n v="10"/>
    <n v="7"/>
    <n v="1.5"/>
    <n v="0"/>
  </r>
  <r>
    <s v="SC83"/>
    <s v="500W/200S"/>
    <s v="500W/200S"/>
    <m/>
    <s v="200S"/>
    <s v="300S"/>
    <n v="5310"/>
    <n v="20"/>
    <s v="AC"/>
    <s v="SC"/>
    <n v="0"/>
    <n v="7"/>
    <n v="7"/>
    <n v="4681"/>
    <n v="1.5"/>
    <s v="500W"/>
    <n v="4.5"/>
    <s v="CRACK"/>
    <n v="5933.522727272727"/>
    <x v="1"/>
    <n v="10"/>
    <n v="4"/>
    <n v="1.5"/>
    <n v="6"/>
  </r>
  <r>
    <s v="SC82"/>
    <s v="500W/100S"/>
    <s v="500W/100S"/>
    <m/>
    <s v="100S"/>
    <s v="200S"/>
    <n v="5275"/>
    <n v="20"/>
    <s v="AC"/>
    <s v="SC"/>
    <n v="0"/>
    <n v="7"/>
    <n v="7"/>
    <n v="4739"/>
    <n v="1.5"/>
    <s v="500W"/>
    <n v="4.5"/>
    <s v="CS"/>
    <n v="14985.795454545454"/>
    <x v="0"/>
    <n v="10"/>
    <n v="7"/>
    <n v="1.5"/>
    <n v="0"/>
  </r>
  <r>
    <s v="SC84"/>
    <s v="500W/300S"/>
    <s v="500W/300S"/>
    <m/>
    <s v="300S"/>
    <s v="NEW PAL"/>
    <n v="3683"/>
    <n v="20"/>
    <s v="CS"/>
    <s v="SC"/>
    <n v="0"/>
    <n v="7"/>
    <n v="7"/>
    <n v="4574"/>
    <n v="1.5"/>
    <s v="500W"/>
    <n v="4.5"/>
    <s v="CRACK"/>
    <n v="4115.473484848485"/>
    <x v="1"/>
    <n v="10"/>
    <n v="4"/>
    <n v="1.5"/>
    <n v="6"/>
  </r>
  <r>
    <s v="SC74"/>
    <s v="600W/100S"/>
    <s v="600W/100S"/>
    <m/>
    <s v="200S"/>
    <s v="100S"/>
    <n v="5100"/>
    <n v="20"/>
    <s v="AC"/>
    <s v="SC"/>
    <n v="0"/>
    <n v="8"/>
    <n v="7"/>
    <n v="4008"/>
    <n v="1.5"/>
    <s v="600W"/>
    <n v="4.5"/>
    <s v="CRACK"/>
    <n v="5698.863636363636"/>
    <x v="1"/>
    <n v="10"/>
    <n v="4"/>
    <n v="1.5"/>
    <n v="6"/>
  </r>
  <r>
    <s v="SC75"/>
    <s v="600W/200S"/>
    <s v="600W/200S"/>
    <m/>
    <s v="300S"/>
    <s v="200S"/>
    <n v="5325"/>
    <n v="20"/>
    <s v="AC"/>
    <s v="SC"/>
    <n v="0"/>
    <n v="8"/>
    <n v="8"/>
    <n v="4573"/>
    <n v="1.5"/>
    <s v="600W"/>
    <n v="3.5"/>
    <s v="CRACK"/>
    <n v="5950.284090909091"/>
    <x v="3"/>
    <n v="12"/>
    <n v="4"/>
    <n v="1.5"/>
    <n v="9"/>
  </r>
  <r>
    <s v="SC73"/>
    <s v="600W/US40"/>
    <s v="600W/US40"/>
    <m/>
    <s v="100S"/>
    <s v="US40"/>
    <n v="2701"/>
    <n v="20"/>
    <s v="AC"/>
    <s v="SC"/>
    <n v="0"/>
    <n v="8"/>
    <n v="7"/>
    <n v="4124"/>
    <n v="1.5"/>
    <s v="600W"/>
    <n v="4.5"/>
    <s v="CRACK"/>
    <n v="3018.162878787879"/>
    <x v="2"/>
    <n v="10"/>
    <n v="4"/>
    <n v="1.5"/>
    <n v="7.5"/>
  </r>
  <r>
    <s v="BC02"/>
    <s v="100N/700W"/>
    <s v="100N/700W"/>
    <m/>
    <s v="700W"/>
    <s v="BUCK CREEK RD"/>
    <n v="2643"/>
    <n v="20"/>
    <s v="AC"/>
    <s v="BC"/>
    <n v="0"/>
    <n v="8"/>
    <n v="8"/>
    <n v="3148"/>
    <n v="1.5"/>
    <s v="100N"/>
    <n v="3.5"/>
    <s v="CRACK"/>
    <n v="2953.3522727272725"/>
    <x v="1"/>
    <n v="12"/>
    <n v="4"/>
    <n v="1.5"/>
    <n v="6"/>
  </r>
  <r>
    <s v="C88"/>
    <s v="FORTVILLE PK./375N"/>
    <s v="FORTVILLE PK./375N"/>
    <m/>
    <s v="300N"/>
    <s v="375N"/>
    <n v="5227"/>
    <n v="20"/>
    <s v="AC"/>
    <s v="C"/>
    <n v="0"/>
    <n v="6"/>
    <n v="8"/>
    <n v="3949"/>
    <n v="1.5"/>
    <s v="FORTVILLE PK."/>
    <n v="3.5"/>
    <s v="CRACK"/>
    <n v="5840.776515151515"/>
    <x v="0"/>
    <n v="12"/>
    <n v="4"/>
    <n v="1.5"/>
    <n v="0"/>
  </r>
  <r>
    <s v="C89"/>
    <s v="FORTVILLE PK./25W"/>
    <s v="FORTVILLE PK./25W"/>
    <m/>
    <s v="375N"/>
    <s v="25W"/>
    <n v="1425"/>
    <n v="20"/>
    <s v="AC"/>
    <s v="C"/>
    <n v="0"/>
    <n v="6"/>
    <n v="8"/>
    <n v="3880"/>
    <n v="1.5"/>
    <s v="FORTVILLE PK."/>
    <n v="3.5"/>
    <s v="CRACK"/>
    <n v="1592.3295454545455"/>
    <x v="0"/>
    <n v="12"/>
    <n v="4"/>
    <n v="1.5"/>
    <n v="0"/>
  </r>
  <r>
    <s v="BC34"/>
    <s v="500N/700W"/>
    <s v="500N/700W"/>
    <m/>
    <s v="800W"/>
    <s v="700W"/>
    <n v="5290"/>
    <n v="20"/>
    <s v="AC"/>
    <s v="BC"/>
    <n v="0"/>
    <n v="8"/>
    <n v="7"/>
    <n v="2965"/>
    <n v="1.5"/>
    <s v="500N"/>
    <n v="4.5"/>
    <s v="CRACK"/>
    <n v="5911.174242424242"/>
    <x v="1"/>
    <n v="10"/>
    <n v="4"/>
    <n v="1.5"/>
    <n v="6"/>
  </r>
  <r>
    <s v="C91"/>
    <s v="FORTVILLE PK./500A"/>
    <s v="FORTVILLE PK./500A"/>
    <m/>
    <s v="25W"/>
    <s v="500N"/>
    <n v="5121"/>
    <n v="20"/>
    <s v="AC"/>
    <s v="C"/>
    <n v="0"/>
    <n v="6"/>
    <n v="8"/>
    <n v="3557"/>
    <n v="1.5"/>
    <s v="FORTVILLE PK."/>
    <n v="3.5"/>
    <s v="CRACK"/>
    <n v="5722.329545454545"/>
    <x v="0"/>
    <n v="12"/>
    <n v="4"/>
    <n v="1.5"/>
    <n v="0"/>
  </r>
  <r>
    <s v="C90"/>
    <s v="FORTVILLE PK./500N"/>
    <s v="FORTVILLE PK./500N"/>
    <m/>
    <s v="500N"/>
    <s v="500N"/>
    <n v="2376"/>
    <n v="20"/>
    <s v="AC"/>
    <s v="C"/>
    <n v="0"/>
    <n v="7"/>
    <n v="8"/>
    <n v="3557"/>
    <n v="1.5"/>
    <s v="FORTVILLE PK."/>
    <n v="3.5"/>
    <s v="CRACK"/>
    <n v="2655"/>
    <x v="0"/>
    <n v="12"/>
    <n v="4"/>
    <n v="1.5"/>
    <n v="0"/>
  </r>
  <r>
    <s v="V02"/>
    <s v="600N/600W"/>
    <s v="600N/600W"/>
    <m/>
    <s v="600W"/>
    <s v="700W"/>
    <n v="5011"/>
    <n v="20"/>
    <s v="AC"/>
    <s v="V"/>
    <n v="0"/>
    <n v="7"/>
    <n v="7"/>
    <n v="3552"/>
    <n v="1.5"/>
    <s v="600N"/>
    <n v="4.5"/>
    <s v="CS"/>
    <n v="14235.795454545454"/>
    <x v="0"/>
    <n v="10"/>
    <n v="7"/>
    <n v="1.5"/>
    <n v="0"/>
  </r>
  <r>
    <s v="BC58"/>
    <s v="700W/100N"/>
    <s v="700W/100N"/>
    <m/>
    <s v="100N"/>
    <s v="US 40"/>
    <n v="7230"/>
    <n v="20"/>
    <s v="AC"/>
    <s v="BC"/>
    <n v="0"/>
    <n v="7"/>
    <n v="6"/>
    <n v="3457"/>
    <n v="1.5"/>
    <s v="700W"/>
    <n v="5.5"/>
    <s v="CS"/>
    <n v="20539.772727272728"/>
    <x v="0"/>
    <n v="8"/>
    <n v="7"/>
    <n v="2"/>
    <n v="0"/>
  </r>
  <r>
    <s v="V87"/>
    <s v="FORTVILLE PK/850N"/>
    <s v="FORTVILLE PK/850N"/>
    <m/>
    <s v="SR234"/>
    <s v="850N"/>
    <n v="2956"/>
    <n v="20"/>
    <s v="AC"/>
    <s v="V"/>
    <n v="0"/>
    <n v="7"/>
    <n v="8"/>
    <n v="3450"/>
    <n v="1.5"/>
    <s v="FORTVILLE PK."/>
    <n v="3.5"/>
    <s v="CRACK"/>
    <n v="3303.1060606060605"/>
    <x v="0"/>
    <n v="12"/>
    <n v="4"/>
    <n v="1.5"/>
    <n v="0"/>
  </r>
  <r>
    <s v="V88"/>
    <s v="FORTVILLE PK/900N"/>
    <s v="FORTVILLE PK/900N"/>
    <m/>
    <s v="850N"/>
    <s v="900N"/>
    <n v="2956"/>
    <n v="20"/>
    <s v="AC"/>
    <s v="V"/>
    <n v="0"/>
    <n v="7"/>
    <n v="8"/>
    <n v="3450"/>
    <n v="1.5"/>
    <s v="FORTVILLE PK."/>
    <n v="3.5"/>
    <s v="CRACK"/>
    <n v="3303.1060606060605"/>
    <x v="0"/>
    <n v="12"/>
    <n v="4"/>
    <n v="1.5"/>
    <n v="0"/>
  </r>
  <r>
    <s v="V89"/>
    <s v="FORTVILLE PK/950N"/>
    <s v="FORTVILLE PK/950N"/>
    <m/>
    <s v="900N"/>
    <s v="950N"/>
    <n v="2956"/>
    <n v="20"/>
    <s v="AC"/>
    <s v="V"/>
    <n v="0"/>
    <n v="7"/>
    <n v="8"/>
    <n v="3449"/>
    <n v="1.5"/>
    <s v="FORTVILLE PK."/>
    <n v="3.5"/>
    <s v="CRACK"/>
    <n v="3303.1060606060605"/>
    <x v="0"/>
    <n v="12"/>
    <n v="4"/>
    <n v="1.5"/>
    <n v="0"/>
  </r>
  <r>
    <s v="C96"/>
    <s v="MORRISTOWN PK/US40"/>
    <s v="MORRISTOWN PK/US40"/>
    <m/>
    <s v="100S"/>
    <s v="SR40"/>
    <n v="5250"/>
    <n v="20"/>
    <s v="AC"/>
    <s v="C"/>
    <n v="0"/>
    <n v="8"/>
    <n v="8"/>
    <n v="2857"/>
    <n v="1.5"/>
    <s v="MORRISTOWN PK."/>
    <n v="3.5"/>
    <s v="CRACK"/>
    <n v="5866.477272727273"/>
    <x v="1"/>
    <n v="12"/>
    <n v="4"/>
    <n v="1.5"/>
    <n v="6"/>
  </r>
  <r>
    <s v="V03"/>
    <s v="600N/500W"/>
    <s v="600N/500W"/>
    <m/>
    <s v="500W"/>
    <s v="600W"/>
    <n v="6134"/>
    <n v="20"/>
    <s v="AC"/>
    <s v="V"/>
    <n v="0"/>
    <n v="7"/>
    <n v="6"/>
    <n v="3089"/>
    <n v="1.5"/>
    <s v="600N"/>
    <n v="5.5"/>
    <s v="CS"/>
    <n v="17426.136363636364"/>
    <x v="0"/>
    <n v="8"/>
    <n v="7"/>
    <n v="2"/>
    <n v="0"/>
  </r>
  <r>
    <s v="C92"/>
    <s v="FORTVILLE PK./600N"/>
    <s v="FORTVILLE PK./600N"/>
    <m/>
    <s v="500N"/>
    <s v="600N"/>
    <n v="5280"/>
    <n v="20"/>
    <s v="AC"/>
    <s v="C"/>
    <n v="0"/>
    <n v="7"/>
    <n v="8"/>
    <n v="3034"/>
    <n v="1.5"/>
    <s v="FORTVILLE PK."/>
    <n v="3.5"/>
    <s v="CRACK"/>
    <n v="5900"/>
    <x v="0"/>
    <n v="12"/>
    <n v="4"/>
    <n v="1.5"/>
    <n v="0"/>
  </r>
  <r>
    <s v="SC66"/>
    <s v="700W/US40"/>
    <s v="700W/US40"/>
    <m/>
    <s v="US40"/>
    <s v="100S"/>
    <n v="2420"/>
    <n v="20"/>
    <s v="AC"/>
    <s v="SC"/>
    <n v="0"/>
    <n v="9"/>
    <n v="7"/>
    <n v="3012"/>
    <n v="1.5"/>
    <s v="700W"/>
    <n v="4.5"/>
    <s v="CRACK"/>
    <n v="2704.1666666666665"/>
    <x v="0"/>
    <n v="10"/>
    <n v="4"/>
    <n v="1.5"/>
    <n v="0"/>
  </r>
  <r>
    <s v="SC68"/>
    <s v="700W/200S"/>
    <s v="700W/200S"/>
    <m/>
    <s v="200S"/>
    <s v="300S"/>
    <n v="5330"/>
    <n v="20"/>
    <s v="AC"/>
    <s v="SC"/>
    <n v="0"/>
    <n v="8"/>
    <n v="7"/>
    <n v="2770"/>
    <n v="1.5"/>
    <s v="700W"/>
    <n v="4.5"/>
    <s v="CRACK"/>
    <n v="5955.871212121212"/>
    <x v="1"/>
    <n v="10"/>
    <n v="4"/>
    <n v="1.5"/>
    <n v="6"/>
  </r>
  <r>
    <s v="BC56"/>
    <s v="700W/200N"/>
    <s v="700W/200N"/>
    <m/>
    <s v="150N"/>
    <s v="200N"/>
    <n v="2006"/>
    <n v="20"/>
    <s v="AC"/>
    <s v="BC"/>
    <n v="0"/>
    <n v="7"/>
    <n v="7"/>
    <n v="2954"/>
    <n v="1.5"/>
    <s v="700W"/>
    <n v="4.5"/>
    <s v="CS"/>
    <n v="5698.863636363636"/>
    <x v="0"/>
    <n v="10"/>
    <n v="7"/>
    <n v="1.5"/>
    <n v="0"/>
  </r>
  <r>
    <s v="BC24"/>
    <s v="300N/300W"/>
    <s v="300N/300W"/>
    <m/>
    <s v="300W"/>
    <s v="400W"/>
    <n v="5361"/>
    <n v="20"/>
    <s v="AC"/>
    <s v="BC"/>
    <n v="0"/>
    <n v="7"/>
    <n v="8"/>
    <n v="1930"/>
    <n v="1"/>
    <s v="300N"/>
    <n v="3"/>
    <s v="CRACK"/>
    <n v="5990.511363636364"/>
    <x v="1"/>
    <n v="12"/>
    <n v="4"/>
    <n v="1.5"/>
    <n v="6"/>
  </r>
  <r>
    <s v="J51"/>
    <s v="600E/300N"/>
    <s v="600E/300N"/>
    <m/>
    <s v="250N"/>
    <s v="300N"/>
    <n v="2640"/>
    <n v="20"/>
    <s v="AC"/>
    <s v="J"/>
    <n v="0"/>
    <n v="8"/>
    <n v="8"/>
    <n v="1714"/>
    <n v="1"/>
    <s v="600E"/>
    <n v="3"/>
    <s v="CRACK"/>
    <n v="2950"/>
    <x v="1"/>
    <n v="12"/>
    <n v="4"/>
    <n v="1.5"/>
    <n v="6"/>
  </r>
  <r>
    <s v="BC54"/>
    <s v="700W/350N"/>
    <s v="700W/350N"/>
    <m/>
    <s v="300N"/>
    <s v="350N"/>
    <n v="2587"/>
    <n v="20"/>
    <s v="AC"/>
    <s v="BC"/>
    <n v="0"/>
    <n v="7"/>
    <n v="7"/>
    <n v="2833"/>
    <n v="1.5"/>
    <s v="700W"/>
    <n v="4.5"/>
    <s v="CS"/>
    <n v="7349.431818181818"/>
    <x v="0"/>
    <n v="10"/>
    <n v="7"/>
    <n v="1.5"/>
    <n v="0"/>
  </r>
  <r>
    <s v="C20"/>
    <s v="300N/100W"/>
    <s v="300N/100W"/>
    <m/>
    <s v="100W"/>
    <s v="125W"/>
    <n v="1332"/>
    <n v="20"/>
    <s v="AC"/>
    <s v="C"/>
    <n v="0"/>
    <n v="8"/>
    <n v="8"/>
    <n v="1691"/>
    <n v="1"/>
    <s v="300N"/>
    <n v="3"/>
    <s v="CRACK"/>
    <n v="1488.409090909091"/>
    <x v="1"/>
    <n v="12"/>
    <n v="4"/>
    <n v="1.5"/>
    <n v="6"/>
  </r>
  <r>
    <s v="BC57"/>
    <s v="700W/150N"/>
    <s v="700W/150N"/>
    <m/>
    <s v="100N"/>
    <s v="150N"/>
    <n v="2798"/>
    <n v="20"/>
    <s v="AC"/>
    <s v="BC"/>
    <n v="0"/>
    <n v="7"/>
    <n v="7"/>
    <n v="2718"/>
    <n v="1.5"/>
    <s v="700W"/>
    <n v="4.5"/>
    <s v="CS"/>
    <n v="7948.863636363636"/>
    <x v="0"/>
    <n v="10"/>
    <n v="7"/>
    <n v="1.5"/>
    <n v="0"/>
  </r>
  <r>
    <s v="SC67"/>
    <s v="700W/100S"/>
    <s v="700W/100S"/>
    <m/>
    <s v="100S"/>
    <s v="200S"/>
    <n v="5330"/>
    <n v="20"/>
    <s v="AC"/>
    <s v="SC"/>
    <n v="0"/>
    <n v="9"/>
    <n v="7"/>
    <n v="2656"/>
    <n v="1.5"/>
    <s v="700W"/>
    <n v="4.5"/>
    <s v="CRACK"/>
    <n v="5955.871212121212"/>
    <x v="0"/>
    <n v="10"/>
    <n v="4"/>
    <n v="1.5"/>
    <n v="0"/>
  </r>
  <r>
    <s v="C17"/>
    <s v="200N/400E"/>
    <s v="200N/400E"/>
    <m/>
    <s v="GR. CITY LIMITS"/>
    <s v="400E"/>
    <n v="4003"/>
    <n v="20"/>
    <s v="AC"/>
    <s v="C"/>
    <n v="0"/>
    <n v="10"/>
    <n v="10"/>
    <n v="2615"/>
    <n v="1.5"/>
    <s v="200N"/>
    <n v="1.5"/>
    <s v="CRACK"/>
    <n v="4473.049242424242"/>
    <x v="3"/>
    <n v="16"/>
    <n v="4"/>
    <n v="0.5"/>
    <n v="3"/>
  </r>
  <r>
    <s v="BC51"/>
    <s v="700W/500N"/>
    <s v="700W/500N"/>
    <m/>
    <s v="LANE ROAD"/>
    <s v="500N"/>
    <n v="4537"/>
    <n v="20"/>
    <s v="AC"/>
    <s v="BC"/>
    <n v="0"/>
    <n v="7"/>
    <n v="7"/>
    <n v="2590"/>
    <n v="1.5"/>
    <s v="700W"/>
    <n v="4.5"/>
    <s v="CS"/>
    <n v="12889.204545454546"/>
    <x v="0"/>
    <n v="10"/>
    <n v="7"/>
    <n v="1.5"/>
    <n v="0"/>
  </r>
  <r>
    <s v="V85"/>
    <s v="FORTVILLE PK./700N"/>
    <s v="FORTVILLE PK./700N"/>
    <m/>
    <s v="600N"/>
    <s v="700N"/>
    <n v="5373"/>
    <n v="20"/>
    <s v="AC"/>
    <s v="V"/>
    <n v="0"/>
    <n v="7"/>
    <n v="8"/>
    <n v="2589"/>
    <n v="1.5"/>
    <s v="FORTVILLE PK."/>
    <n v="3.5"/>
    <s v="CRACK"/>
    <n v="6003.920454545455"/>
    <x v="0"/>
    <n v="12"/>
    <n v="4"/>
    <n v="1.5"/>
    <n v="0"/>
  </r>
  <r>
    <s v="V86"/>
    <s v="FORTVILLE PK/SR234"/>
    <s v="FORTVILLE PK/SR234"/>
    <m/>
    <s v="700N"/>
    <s v="SR234"/>
    <n v="5702"/>
    <n v="20"/>
    <s v="AC"/>
    <s v="V"/>
    <n v="0"/>
    <n v="7"/>
    <n v="8"/>
    <n v="2574"/>
    <n v="1.5"/>
    <s v="FORTVILLE PK."/>
    <n v="3.5"/>
    <s v="CRACK"/>
    <n v="6371.55303030303"/>
    <x v="0"/>
    <n v="12"/>
    <n v="4"/>
    <n v="1.5"/>
    <n v="0"/>
  </r>
  <r>
    <s v="SC01"/>
    <s v="600S/675W"/>
    <s v="600S/675W"/>
    <m/>
    <s v="800W"/>
    <s v="675W"/>
    <n v="6617"/>
    <n v="20"/>
    <s v="AC"/>
    <s v="SC"/>
    <n v="0"/>
    <n v="8"/>
    <n v="7"/>
    <n v="1658"/>
    <n v="1"/>
    <s v="600S"/>
    <n v="4"/>
    <s v="CRACK"/>
    <n v="7393.996212121212"/>
    <x v="1"/>
    <n v="10"/>
    <n v="4"/>
    <n v="1.5"/>
    <n v="6"/>
  </r>
  <r>
    <s v="BC53"/>
    <s v="700W/400N"/>
    <s v="700W/400N"/>
    <m/>
    <s v="350N"/>
    <s v="400N"/>
    <n v="2745"/>
    <n v="20"/>
    <s v="AC"/>
    <s v="BC"/>
    <n v="0"/>
    <n v="7"/>
    <n v="7"/>
    <n v="2531"/>
    <n v="1.5"/>
    <s v="700W"/>
    <n v="4.5"/>
    <s v="CS"/>
    <n v="7798.295454545455"/>
    <x v="0"/>
    <n v="10"/>
    <n v="7"/>
    <n v="1.5"/>
    <n v="0"/>
  </r>
  <r>
    <s v="BC50"/>
    <s v="700W/600N"/>
    <s v="700W/600N"/>
    <m/>
    <s v="500N"/>
    <s v="600N"/>
    <n v="4963"/>
    <n v="20"/>
    <s v="AC"/>
    <s v="BC"/>
    <n v="0"/>
    <n v="7"/>
    <n v="7"/>
    <n v="2420"/>
    <n v="1"/>
    <s v="700W"/>
    <n v="4"/>
    <s v="CS"/>
    <n v="14099.431818181818"/>
    <x v="4"/>
    <n v="10"/>
    <n v="7"/>
    <n v="1.5"/>
    <n v="1.5"/>
  </r>
  <r>
    <s v="SC03"/>
    <s v="600S/600W"/>
    <s v="600S/600W"/>
    <m/>
    <s v="675W"/>
    <s v="600W"/>
    <n v="4004"/>
    <n v="20"/>
    <s v="AC"/>
    <s v="SC"/>
    <n v="0"/>
    <n v="8"/>
    <n v="8"/>
    <n v="1537"/>
    <n v="1"/>
    <s v="600S"/>
    <n v="3"/>
    <s v="CRACK"/>
    <n v="4474.166666666667"/>
    <x v="1"/>
    <n v="12"/>
    <n v="4"/>
    <n v="1.5"/>
    <n v="6"/>
  </r>
  <r>
    <s v="BC22"/>
    <s v="300N/500W"/>
    <s v="300N/500W"/>
    <m/>
    <s v="500W"/>
    <s v="600W"/>
    <n v="4972"/>
    <n v="20"/>
    <s v="AC"/>
    <s v="BC"/>
    <n v="0"/>
    <n v="6"/>
    <n v="7"/>
    <n v="2375"/>
    <n v="1"/>
    <s v="300N"/>
    <n v="4"/>
    <s v="CRACK"/>
    <n v="5555.833333333333"/>
    <x v="0"/>
    <n v="10"/>
    <n v="4"/>
    <n v="1.5"/>
    <n v="0"/>
  </r>
  <r>
    <s v="BC21"/>
    <s v="300N/600W"/>
    <s v="300N/600W"/>
    <m/>
    <s v="600W"/>
    <s v="700W"/>
    <n v="5360"/>
    <n v="20"/>
    <s v="AC"/>
    <s v="BC"/>
    <n v="0"/>
    <n v="7"/>
    <n v="7"/>
    <n v="2253"/>
    <n v="1"/>
    <s v="300N"/>
    <n v="4"/>
    <s v="CS"/>
    <n v="15227.272727272728"/>
    <x v="4"/>
    <n v="10"/>
    <n v="7"/>
    <n v="1.5"/>
    <n v="1.5"/>
  </r>
  <r>
    <s v="J50"/>
    <s v="600E/250N"/>
    <s v="600E/250N"/>
    <m/>
    <s v="200N"/>
    <s v="250N"/>
    <n v="2693"/>
    <n v="20"/>
    <s v="AC"/>
    <s v="J"/>
    <n v="0"/>
    <n v="8"/>
    <n v="8"/>
    <n v="2252"/>
    <n v="1"/>
    <s v="600E"/>
    <n v="3"/>
    <s v="CRACK"/>
    <n v="3009.223484848485"/>
    <x v="0"/>
    <n v="12"/>
    <n v="4"/>
    <n v="1.5"/>
    <n v="0"/>
  </r>
  <r>
    <s v="BR61"/>
    <s v="600E/N. TWP LINE"/>
    <s v="600E/N. TWP LINE"/>
    <m/>
    <s v="TWP. LINE"/>
    <s v="100S"/>
    <n v="5017"/>
    <n v="20"/>
    <s v="AC"/>
    <s v="BR"/>
    <n v="0"/>
    <n v="7"/>
    <n v="7"/>
    <n v="2222"/>
    <n v="1"/>
    <s v="600E"/>
    <n v="4"/>
    <s v="CRACK"/>
    <n v="5606.117424242424"/>
    <x v="0"/>
    <n v="10"/>
    <n v="4"/>
    <n v="1.5"/>
    <n v="0"/>
  </r>
  <r>
    <s v="SC33"/>
    <s v="300S/400W"/>
    <s v="300S/400W"/>
    <m/>
    <s v="425W"/>
    <s v="400W"/>
    <n v="1380"/>
    <n v="20"/>
    <s v="AC"/>
    <s v="SC"/>
    <n v="0"/>
    <n v="8"/>
    <n v="7"/>
    <n v="1528"/>
    <n v="1"/>
    <s v="300S"/>
    <n v="4"/>
    <s v="CRACK"/>
    <n v="1542.0454545454545"/>
    <x v="1"/>
    <n v="10"/>
    <n v="4"/>
    <n v="1.5"/>
    <n v="6"/>
  </r>
  <r>
    <s v="BC95"/>
    <s v="200W/100N"/>
    <s v="200W/100N"/>
    <m/>
    <s v="100N"/>
    <s v="TWP. LINE"/>
    <n v="5982"/>
    <n v="20"/>
    <s v="AC"/>
    <s v="BC"/>
    <n v="0"/>
    <n v="7"/>
    <n v="7"/>
    <n v="2217"/>
    <n v="1"/>
    <s v="200W"/>
    <n v="4"/>
    <s v="CS"/>
    <n v="16994.31818181818"/>
    <x v="4"/>
    <n v="10"/>
    <n v="7"/>
    <n v="1.5"/>
    <n v="1.5"/>
  </r>
  <r>
    <s v="C12"/>
    <s v="100N/100W"/>
    <s v="100N/100W"/>
    <m/>
    <s v="100W"/>
    <s v="150W"/>
    <n v="2691"/>
    <n v="20"/>
    <s v="AC"/>
    <s v="C"/>
    <n v="0"/>
    <n v="7"/>
    <n v="7"/>
    <n v="2201"/>
    <n v="1"/>
    <s v="100N"/>
    <n v="4"/>
    <s v="CS"/>
    <n v="7644.886363636364"/>
    <x v="0"/>
    <n v="10"/>
    <n v="7"/>
    <n v="1.5"/>
    <n v="0"/>
  </r>
  <r>
    <s v="C11"/>
    <s v="100N/150W"/>
    <s v="100N/150W"/>
    <m/>
    <s v="150W"/>
    <s v="200W"/>
    <n v="2683"/>
    <n v="20"/>
    <s v="AC"/>
    <s v="C"/>
    <n v="0"/>
    <n v="7"/>
    <n v="7"/>
    <n v="2201"/>
    <n v="1"/>
    <s v="100N"/>
    <n v="4"/>
    <s v="CS"/>
    <n v="7622.159090909091"/>
    <x v="0"/>
    <n v="10"/>
    <n v="7"/>
    <n v="1.5"/>
    <n v="0"/>
  </r>
  <r>
    <s v="C13"/>
    <s v="100N/75W"/>
    <s v="100N/75W"/>
    <m/>
    <s v="75W"/>
    <s v="100W"/>
    <n v="1334"/>
    <n v="20"/>
    <s v="AC"/>
    <s v="C"/>
    <n v="0"/>
    <n v="7"/>
    <n v="5"/>
    <n v="2201"/>
    <n v="1"/>
    <s v="100N"/>
    <n v="6"/>
    <s v="CS"/>
    <n v="3789.7727272727275"/>
    <x v="0"/>
    <n v="6"/>
    <n v="7"/>
    <n v="2"/>
    <n v="0"/>
  </r>
  <r>
    <s v="J49"/>
    <s v="600E/200N"/>
    <s v="600E/200N"/>
    <m/>
    <s v="100N"/>
    <s v="200N"/>
    <n v="5385"/>
    <n v="20"/>
    <s v="AC"/>
    <s v="J"/>
    <n v="0"/>
    <n v="8"/>
    <n v="8"/>
    <n v="2199"/>
    <n v="1"/>
    <s v="600E"/>
    <n v="3"/>
    <s v="CRACK"/>
    <n v="6017.329545454545"/>
    <x v="0"/>
    <n v="12"/>
    <n v="4"/>
    <n v="1.5"/>
    <n v="0"/>
  </r>
  <r>
    <s v="BC25"/>
    <s v="300N/200W"/>
    <s v="300N/200W"/>
    <m/>
    <s v="200W"/>
    <s v="300W"/>
    <n v="5315"/>
    <n v="20"/>
    <s v="AC"/>
    <s v="BC"/>
    <n v="0"/>
    <n v="7"/>
    <n v="8"/>
    <n v="2193"/>
    <n v="1"/>
    <s v="300N"/>
    <n v="3"/>
    <s v="CS"/>
    <n v="15099.431818181818"/>
    <x v="4"/>
    <n v="12"/>
    <n v="7"/>
    <n v="1.5"/>
    <n v="1.5"/>
  </r>
  <r>
    <s v="SC32"/>
    <s v="300S/425W"/>
    <s v="300S/425W"/>
    <m/>
    <s v="425W"/>
    <s v="450W"/>
    <n v="792"/>
    <n v="20"/>
    <s v="AC"/>
    <s v="SC"/>
    <n v="0"/>
    <n v="8"/>
    <n v="7"/>
    <n v="1528"/>
    <n v="1"/>
    <s v="300S"/>
    <n v="4"/>
    <s v="CRACK"/>
    <n v="885"/>
    <x v="1"/>
    <n v="10"/>
    <n v="4"/>
    <n v="1.5"/>
    <n v="6"/>
  </r>
  <r>
    <s v="V06"/>
    <s v="600N/300W"/>
    <s v="600N/300W"/>
    <m/>
    <s v="300W"/>
    <s v="350W"/>
    <n v="2668"/>
    <n v="20"/>
    <s v="AC"/>
    <s v="V"/>
    <n v="0"/>
    <n v="6"/>
    <n v="7"/>
    <n v="2134"/>
    <n v="1"/>
    <s v="600N"/>
    <n v="4"/>
    <s v="CS"/>
    <n v="7579.545454545455"/>
    <x v="5"/>
    <n v="10"/>
    <n v="7"/>
    <n v="1.5"/>
    <n v="3"/>
  </r>
  <r>
    <s v="V05"/>
    <s v="600N/350W"/>
    <s v="600N/350W"/>
    <m/>
    <s v="350W"/>
    <s v="400W"/>
    <n v="2671"/>
    <n v="20"/>
    <s v="AC"/>
    <s v="V"/>
    <n v="0"/>
    <n v="6"/>
    <n v="7"/>
    <n v="2134"/>
    <n v="1"/>
    <s v="600N"/>
    <n v="4"/>
    <s v="CS"/>
    <n v="7588.068181818182"/>
    <x v="5"/>
    <n v="10"/>
    <n v="7"/>
    <n v="1.5"/>
    <n v="3"/>
  </r>
  <r>
    <s v="BC20"/>
    <s v="300N/700W"/>
    <s v="300N/700W"/>
    <m/>
    <s v="700W"/>
    <s v="800W"/>
    <n v="5320"/>
    <n v="20"/>
    <s v="AC"/>
    <s v="BC"/>
    <n v="0"/>
    <n v="8"/>
    <n v="8"/>
    <n v="2113"/>
    <n v="1"/>
    <s v="300N"/>
    <n v="3"/>
    <s v="CRACK"/>
    <n v="5944.69696969697"/>
    <x v="1"/>
    <n v="12"/>
    <n v="4"/>
    <n v="1.5"/>
    <n v="6"/>
  </r>
  <r>
    <s v="V07"/>
    <s v="600N/200W"/>
    <s v="600N/200W"/>
    <m/>
    <s v="200W"/>
    <s v="300W"/>
    <n v="5352"/>
    <n v="20"/>
    <s v="AC"/>
    <s v="V"/>
    <n v="0"/>
    <n v="6"/>
    <n v="7"/>
    <n v="2102"/>
    <n v="1"/>
    <s v="600N"/>
    <n v="4"/>
    <s v="CS"/>
    <n v="15204.545454545454"/>
    <x v="5"/>
    <n v="10"/>
    <n v="7"/>
    <n v="1.5"/>
    <n v="3"/>
  </r>
  <r>
    <s v="J48"/>
    <s v="600E/100N"/>
    <s v="600E/100N"/>
    <m/>
    <s v="US40"/>
    <s v="100N"/>
    <n v="4240"/>
    <n v="20"/>
    <s v="AC"/>
    <s v="J"/>
    <n v="0"/>
    <n v="7"/>
    <n v="8"/>
    <n v="2076"/>
    <n v="1"/>
    <s v="600E"/>
    <n v="3"/>
    <s v="CRACK"/>
    <n v="4737.878787878788"/>
    <x v="0"/>
    <n v="12"/>
    <n v="4"/>
    <n v="1.5"/>
    <n v="0"/>
  </r>
  <r>
    <s v="SC69"/>
    <s v="700W/300S"/>
    <s v="700W/300S"/>
    <m/>
    <s v="300S"/>
    <s v="SR52"/>
    <n v="4180"/>
    <n v="20"/>
    <s v="AC"/>
    <s v="SC"/>
    <n v="0"/>
    <n v="7"/>
    <n v="6"/>
    <n v="2070"/>
    <n v="1"/>
    <s v="700W"/>
    <n v="5"/>
    <s v="CS"/>
    <n v="11875"/>
    <x v="4"/>
    <n v="8"/>
    <n v="7"/>
    <n v="2"/>
    <n v="2"/>
  </r>
  <r>
    <s v="BC04"/>
    <s v="100N/525W"/>
    <s v="100N/525W"/>
    <m/>
    <s v="525W"/>
    <s v="600W"/>
    <n v="3639"/>
    <n v="20"/>
    <s v="AC"/>
    <s v="BC"/>
    <n v="0"/>
    <n v="6"/>
    <n v="7"/>
    <n v="2063"/>
    <n v="1"/>
    <s v="100N"/>
    <n v="4"/>
    <s v="CS"/>
    <n v="10338.068181818182"/>
    <x v="5"/>
    <n v="10"/>
    <n v="7"/>
    <n v="1.5"/>
    <n v="3"/>
  </r>
  <r>
    <s v="SC109"/>
    <s v="200W/200S"/>
    <s v="200W/200S"/>
    <m/>
    <s v="300S"/>
    <s v="200S"/>
    <n v="5330"/>
    <n v="20"/>
    <s v="AC"/>
    <s v="SC"/>
    <n v="0"/>
    <n v="7"/>
    <n v="8"/>
    <n v="2043"/>
    <n v="1"/>
    <s v="200W"/>
    <n v="3"/>
    <s v="CS"/>
    <n v="15142.045454545454"/>
    <x v="4"/>
    <n v="12"/>
    <n v="7"/>
    <n v="1.5"/>
    <n v="1.5"/>
  </r>
  <r>
    <s v="C62"/>
    <s v="MERIDIAN RD./100N"/>
    <s v="MERIDIAN RD./100N"/>
    <m/>
    <s v="100N"/>
    <s v="GREENFLD.CORP."/>
    <n v="2620"/>
    <n v="20"/>
    <s v="AC"/>
    <s v="C"/>
    <n v="0"/>
    <n v="8"/>
    <n v="7"/>
    <n v="2022"/>
    <n v="1"/>
    <s v="MERIDIAN RD."/>
    <n v="4"/>
    <s v="CRACK"/>
    <n v="2927.651515151515"/>
    <x v="1"/>
    <n v="10"/>
    <n v="4"/>
    <n v="1.5"/>
    <n v="6"/>
  </r>
  <r>
    <s v="SC77"/>
    <m/>
    <s v="600W/CSX"/>
    <m/>
    <s v="CSX"/>
    <s v="STINEMYER RD."/>
    <n v="2100"/>
    <n v="20"/>
    <s v="AC"/>
    <s v="SC"/>
    <n v="0"/>
    <n v="6"/>
    <n v="8"/>
    <n v="2005"/>
    <n v="1"/>
    <s v="600W"/>
    <n v="3"/>
    <s v="CS"/>
    <n v="5965.909090909091"/>
    <x v="5"/>
    <n v="12"/>
    <n v="7"/>
    <n v="1.5"/>
    <n v="3"/>
  </r>
  <r>
    <s v="BC16"/>
    <s v="200N/350W"/>
    <s v="200N/350W"/>
    <m/>
    <s v="350W"/>
    <s v="400W"/>
    <n v="2664"/>
    <n v="20"/>
    <s v="AC"/>
    <s v="BC"/>
    <n v="0"/>
    <n v="7"/>
    <n v="7"/>
    <n v="1996"/>
    <n v="1"/>
    <s v="200N"/>
    <n v="4"/>
    <s v="CS"/>
    <n v="7568.181818181818"/>
    <x v="4"/>
    <n v="10"/>
    <n v="7"/>
    <n v="1.5"/>
    <n v="1.5"/>
  </r>
  <r>
    <s v="SC108"/>
    <s v="200W/100S"/>
    <s v="200W/100S"/>
    <m/>
    <s v="200S"/>
    <s v="100S"/>
    <n v="5330"/>
    <n v="20"/>
    <s v="AC"/>
    <s v="SC"/>
    <n v="0"/>
    <n v="7"/>
    <n v="8"/>
    <n v="1976"/>
    <n v="1"/>
    <s v="200W"/>
    <n v="3"/>
    <s v="CS"/>
    <n v="15142.045454545454"/>
    <x v="4"/>
    <n v="12"/>
    <n v="7"/>
    <n v="1.5"/>
    <n v="1.5"/>
  </r>
  <r>
    <s v="SC38"/>
    <s v="200S/700W"/>
    <s v="200S/700W"/>
    <m/>
    <s v="800W"/>
    <s v="700W"/>
    <n v="5375"/>
    <n v="20"/>
    <s v="AC"/>
    <s v="SC"/>
    <n v="0"/>
    <n v="7"/>
    <n v="5"/>
    <n v="1967"/>
    <n v="1"/>
    <s v="200S"/>
    <n v="6"/>
    <s v="CS"/>
    <n v="15269.886363636364"/>
    <x v="0"/>
    <n v="6"/>
    <n v="7"/>
    <n v="2"/>
    <n v="0"/>
  </r>
  <r>
    <s v="V81"/>
    <s v="200W/SR234"/>
    <s v="200W/SR234"/>
    <m/>
    <s v="700N"/>
    <s v="SR234"/>
    <n v="5386"/>
    <n v="20"/>
    <s v="AC"/>
    <s v="V"/>
    <n v="0"/>
    <n v="7"/>
    <n v="7"/>
    <n v="1946"/>
    <n v="1"/>
    <s v="200W"/>
    <n v="4"/>
    <s v="CS"/>
    <n v="15301.136363636364"/>
    <x v="4"/>
    <n v="10"/>
    <n v="7"/>
    <n v="1.5"/>
    <n v="1.5"/>
  </r>
  <r>
    <s v="BC94"/>
    <s v="200W/200N"/>
    <s v="200W/200N"/>
    <m/>
    <s v="200N"/>
    <s v="100N"/>
    <n v="5300"/>
    <n v="20"/>
    <s v="AC"/>
    <s v="BC"/>
    <n v="0"/>
    <n v="10"/>
    <n v="7"/>
    <n v="1937"/>
    <n v="1"/>
    <s v="200W"/>
    <n v="4"/>
    <s v="CRACK"/>
    <n v="5922.348484848485"/>
    <x v="0"/>
    <n v="10"/>
    <n v="4"/>
    <n v="1.5"/>
    <n v="0"/>
  </r>
  <r>
    <s v="SC31"/>
    <s v="300S/450W"/>
    <s v="300S/450W"/>
    <m/>
    <s v="450W"/>
    <s v="500W"/>
    <n v="875"/>
    <n v="20"/>
    <s v="AC"/>
    <s v="SC"/>
    <n v="0"/>
    <n v="8"/>
    <n v="7"/>
    <n v="1499"/>
    <n v="0.5"/>
    <s v="300S"/>
    <n v="3.5"/>
    <s v="CRACK"/>
    <n v="977.74621212121212"/>
    <x v="1"/>
    <n v="10"/>
    <n v="4"/>
    <n v="1.5"/>
    <n v="6"/>
  </r>
  <r>
    <s v="BC52"/>
    <s v="700W/LANE RD"/>
    <s v="700W/LANE RD"/>
    <m/>
    <s v="400N"/>
    <s v="LANE ROAD"/>
    <n v="800"/>
    <n v="20"/>
    <s v="AC"/>
    <s v="BC"/>
    <n v="0"/>
    <n v="7"/>
    <n v="7"/>
    <n v="1924"/>
    <n v="1"/>
    <s v="700W"/>
    <n v="4"/>
    <s v="CS"/>
    <n v="2272.7272727272725"/>
    <x v="0"/>
    <n v="10"/>
    <n v="7"/>
    <n v="1.5"/>
    <n v="0"/>
  </r>
  <r>
    <s v="SC29"/>
    <s v="300S/600W"/>
    <s v="300S/600W"/>
    <m/>
    <s v="700W"/>
    <s v="600W"/>
    <n v="5300"/>
    <n v="20"/>
    <s v="AC"/>
    <s v="SC"/>
    <n v="0"/>
    <n v="6"/>
    <n v="8"/>
    <n v="1905"/>
    <n v="1"/>
    <s v="300S"/>
    <n v="3"/>
    <s v="CS"/>
    <n v="15056.818181818182"/>
    <x v="5"/>
    <n v="12"/>
    <n v="7"/>
    <n v="1.5"/>
    <n v="3"/>
  </r>
  <r>
    <s v="BC15"/>
    <s v="200N/400W"/>
    <s v="200N/400W"/>
    <m/>
    <s v="400W"/>
    <s v="525W"/>
    <n v="6729"/>
    <n v="20"/>
    <s v="AC"/>
    <s v="BC"/>
    <n v="0"/>
    <n v="7"/>
    <n v="7"/>
    <n v="1884"/>
    <n v="1"/>
    <s v="200N"/>
    <n v="4"/>
    <s v="CS"/>
    <n v="19116.477272727272"/>
    <x v="4"/>
    <n v="10"/>
    <n v="7"/>
    <n v="1.5"/>
    <n v="1.5"/>
  </r>
  <r>
    <s v="J52"/>
    <s v="600E/400N"/>
    <s v="600E/400N"/>
    <m/>
    <s v="300N"/>
    <s v="400N"/>
    <n v="5370"/>
    <n v="20"/>
    <s v="AC"/>
    <s v="J"/>
    <n v="0"/>
    <n v="7"/>
    <n v="8"/>
    <n v="1868"/>
    <n v="1"/>
    <s v="600E"/>
    <n v="3"/>
    <s v="CRACK"/>
    <n v="6000.568181818182"/>
    <x v="0"/>
    <n v="12"/>
    <n v="4"/>
    <n v="1.5"/>
    <n v="0"/>
  </r>
  <r>
    <s v="C15"/>
    <s v="200N/100W"/>
    <s v="200N/100W"/>
    <m/>
    <s v="100W"/>
    <s v="125W"/>
    <n v="1088"/>
    <n v="20"/>
    <s v="AC"/>
    <s v="C"/>
    <n v="0"/>
    <n v="7"/>
    <n v="7"/>
    <n v="1828"/>
    <n v="1"/>
    <s v="200N"/>
    <n v="4"/>
    <s v="CS"/>
    <n v="3090.909090909091"/>
    <x v="4"/>
    <n v="10"/>
    <n v="7"/>
    <n v="1.5"/>
    <n v="1.5"/>
  </r>
  <r>
    <s v="C21"/>
    <s v="300N/FORTVILLE PK"/>
    <s v="300N/FORTVILLE PK"/>
    <m/>
    <s v="FORTVILLE PK."/>
    <s v="100W"/>
    <n v="4663"/>
    <n v="20"/>
    <s v="AC"/>
    <s v="C"/>
    <n v="0"/>
    <n v="8"/>
    <n v="7"/>
    <n v="1793"/>
    <n v="1"/>
    <s v="300N"/>
    <n v="4"/>
    <s v="CRACK"/>
    <n v="5210.549242424242"/>
    <x v="1"/>
    <n v="10"/>
    <n v="4"/>
    <n v="1.5"/>
    <n v="6"/>
  </r>
  <r>
    <s v="J53"/>
    <s v="600E/500N"/>
    <s v="600E/500N"/>
    <m/>
    <s v="400N"/>
    <s v="500N"/>
    <n v="5385"/>
    <n v="20"/>
    <s v="AC"/>
    <s v="J"/>
    <n v="0"/>
    <n v="6"/>
    <n v="8"/>
    <n v="1776"/>
    <n v="1"/>
    <s v="600E"/>
    <n v="3"/>
    <s v="CRACK"/>
    <n v="6017.329545454545"/>
    <x v="0"/>
    <n v="12"/>
    <n v="4"/>
    <n v="1.5"/>
    <n v="0"/>
  </r>
  <r>
    <s v="BC35"/>
    <s v="500N/600W"/>
    <s v="500N/600W"/>
    <m/>
    <s v="700W"/>
    <s v="600W"/>
    <n v="5380"/>
    <n v="20"/>
    <s v="AC"/>
    <s v="BC"/>
    <n v="0"/>
    <n v="7"/>
    <n v="7"/>
    <n v="1765"/>
    <n v="1"/>
    <s v="500N"/>
    <n v="4"/>
    <s v="CS"/>
    <n v="15284.09090909091"/>
    <x v="2"/>
    <n v="10"/>
    <n v="7"/>
    <n v="1.5"/>
    <n v="7.5"/>
  </r>
  <r>
    <s v="BC93"/>
    <s v="200W/300N"/>
    <s v="200W/300N"/>
    <m/>
    <s v="300N"/>
    <s v="200N"/>
    <n v="5300"/>
    <n v="20"/>
    <s v="AC"/>
    <s v="BC"/>
    <n v="0"/>
    <n v="9"/>
    <n v="7"/>
    <n v="1760"/>
    <n v="1"/>
    <s v="200W"/>
    <n v="4"/>
    <s v="CRACK"/>
    <n v="5922.348484848485"/>
    <x v="0"/>
    <n v="10"/>
    <n v="4"/>
    <n v="1.5"/>
    <n v="0"/>
  </r>
  <r>
    <s v="V80"/>
    <s v="200W/700N"/>
    <s v="200W/700N"/>
    <m/>
    <s v="600N"/>
    <s v="700N"/>
    <n v="5296"/>
    <n v="20"/>
    <s v="AC"/>
    <s v="V"/>
    <n v="0"/>
    <n v="7"/>
    <n v="7"/>
    <n v="1758"/>
    <n v="1"/>
    <s v="200W"/>
    <n v="4"/>
    <s v="CS"/>
    <n v="15045.454545454546"/>
    <x v="4"/>
    <n v="10"/>
    <n v="7"/>
    <n v="1.5"/>
    <n v="1.5"/>
  </r>
  <r>
    <s v="BC06"/>
    <s v="100N/350W"/>
    <s v="100N/350W"/>
    <m/>
    <s v="350W"/>
    <s v="400W"/>
    <n v="2698"/>
    <n v="20"/>
    <s v="AC"/>
    <s v="BC"/>
    <n v="0"/>
    <n v="7"/>
    <n v="6"/>
    <n v="1743"/>
    <n v="1"/>
    <s v="100N"/>
    <n v="5"/>
    <s v="CS"/>
    <n v="7664.772727272727"/>
    <x v="0"/>
    <n v="8"/>
    <n v="7"/>
    <n v="2"/>
    <n v="0"/>
  </r>
  <r>
    <s v="BC08"/>
    <s v="100N/200W"/>
    <s v="100N/200W"/>
    <m/>
    <s v="200W"/>
    <s v="300W"/>
    <n v="5337"/>
    <n v="20"/>
    <s v="AC"/>
    <s v="BC"/>
    <n v="0"/>
    <n v="7"/>
    <n v="6"/>
    <n v="1735"/>
    <n v="1"/>
    <s v="100N"/>
    <n v="5"/>
    <s v="CS"/>
    <n v="15161.931818181818"/>
    <x v="0"/>
    <n v="8"/>
    <n v="7"/>
    <n v="2"/>
    <n v="0"/>
  </r>
  <r>
    <s v="SC30"/>
    <s v="300S/500W"/>
    <s v="300S/500W"/>
    <m/>
    <s v="600W"/>
    <s v="500W"/>
    <n v="5215"/>
    <n v="20"/>
    <s v="AC"/>
    <s v="SC"/>
    <n v="0"/>
    <n v="7"/>
    <n v="7"/>
    <n v="1734"/>
    <n v="1"/>
    <s v="300S"/>
    <n v="4"/>
    <s v="CS"/>
    <n v="14815.34090909091"/>
    <x v="4"/>
    <n v="10"/>
    <n v="7"/>
    <n v="1.5"/>
    <n v="1.5"/>
  </r>
  <r>
    <s v="BC18"/>
    <s v="200N/200W"/>
    <s v="200N/200W"/>
    <m/>
    <s v="200W"/>
    <s v="300W"/>
    <n v="5324"/>
    <n v="20"/>
    <s v="AC"/>
    <s v="BC"/>
    <n v="0"/>
    <n v="7"/>
    <n v="7"/>
    <n v="1728"/>
    <n v="1"/>
    <s v="200N"/>
    <n v="4"/>
    <s v="CS"/>
    <n v="15125"/>
    <x v="4"/>
    <n v="10"/>
    <n v="7"/>
    <n v="1.5"/>
    <n v="1.5"/>
  </r>
  <r>
    <s v="BC05"/>
    <s v="100N/400W"/>
    <s v="100N/400W"/>
    <m/>
    <s v="400W"/>
    <s v="525W"/>
    <n v="6720"/>
    <n v="20"/>
    <s v="AC"/>
    <s v="BC"/>
    <n v="0"/>
    <n v="6"/>
    <n v="6"/>
    <n v="1727"/>
    <n v="1"/>
    <s v="100N"/>
    <n v="5"/>
    <s v="CS"/>
    <n v="19090.909090909092"/>
    <x v="0"/>
    <n v="8"/>
    <n v="7"/>
    <n v="2"/>
    <n v="0"/>
  </r>
  <r>
    <s v="BR60"/>
    <s v="600E/100S"/>
    <s v="600E/100S"/>
    <m/>
    <s v="200S"/>
    <s v="100S"/>
    <n v="5840"/>
    <n v="20"/>
    <s v="AC"/>
    <s v="BR"/>
    <n v="0"/>
    <n v="7"/>
    <n v="7"/>
    <n v="1727"/>
    <n v="1"/>
    <s v="600E"/>
    <n v="4"/>
    <s v="CRACK"/>
    <n v="6525.757575757576"/>
    <x v="0"/>
    <n v="10"/>
    <n v="4"/>
    <n v="1.5"/>
    <n v="0"/>
  </r>
  <r>
    <s v="G03"/>
    <s v="600N/250E"/>
    <s v="600N/250E"/>
    <m/>
    <s v="250E"/>
    <s v="SR9"/>
    <n v="3534"/>
    <n v="20"/>
    <s v="AC"/>
    <s v="G"/>
    <n v="0"/>
    <n v="8"/>
    <n v="7"/>
    <n v="1434"/>
    <n v="0.5"/>
    <s v="600N"/>
    <n v="3.5"/>
    <s v="CRACK"/>
    <n v="3948.9772727272725"/>
    <x v="1"/>
    <n v="10"/>
    <n v="4"/>
    <n v="1.5"/>
    <n v="6"/>
  </r>
  <r>
    <s v="C18"/>
    <s v="200N/500E"/>
    <s v="200N/500E"/>
    <m/>
    <s v="500E"/>
    <s v="400E"/>
    <n v="5390"/>
    <n v="20"/>
    <s v="AC"/>
    <s v="C"/>
    <n v="0"/>
    <n v="9"/>
    <n v="8"/>
    <n v="1711"/>
    <n v="1"/>
    <s v="200N"/>
    <n v="3"/>
    <s v="CRACK"/>
    <n v="6022.916666666667"/>
    <x v="0"/>
    <n v="12"/>
    <n v="4"/>
    <n v="1.5"/>
    <n v="0"/>
  </r>
  <r>
    <s v="BC07"/>
    <s v="100N/300W"/>
    <s v="100N/300W"/>
    <m/>
    <s v="300W"/>
    <s v="350W"/>
    <n v="2697"/>
    <n v="20"/>
    <s v="AC"/>
    <s v="BC"/>
    <n v="0"/>
    <n v="7"/>
    <n v="7"/>
    <n v="1706"/>
    <n v="1"/>
    <s v="100N"/>
    <n v="4"/>
    <s v="CS"/>
    <n v="7661.931818181818"/>
    <x v="0"/>
    <n v="10"/>
    <n v="7"/>
    <n v="1.5"/>
    <n v="0"/>
  </r>
  <r>
    <s v="J10"/>
    <s v="200N/600E"/>
    <s v="200N/600E"/>
    <m/>
    <s v="600E"/>
    <s v="500E"/>
    <n v="5330"/>
    <n v="20"/>
    <s v="AC"/>
    <s v="J"/>
    <n v="0"/>
    <n v="10"/>
    <n v="9"/>
    <n v="1699"/>
    <n v="1"/>
    <s v="200N"/>
    <n v="2"/>
    <s v="CRACK"/>
    <n v="5955.871212121212"/>
    <x v="3"/>
    <n v="14"/>
    <n v="4"/>
    <n v="1"/>
    <n v="6"/>
  </r>
  <r>
    <s v="BW49"/>
    <s v="100E/300S"/>
    <s v="100E/300S"/>
    <m/>
    <s v="300S"/>
    <s v="200S"/>
    <n v="5325"/>
    <n v="20"/>
    <s v="AC"/>
    <s v="BW"/>
    <n v="0"/>
    <n v="8"/>
    <n v="7"/>
    <n v="1380"/>
    <n v="0.5"/>
    <s v="100E"/>
    <n v="3.5"/>
    <s v="CRACK"/>
    <n v="5950.284090909091"/>
    <x v="1"/>
    <n v="10"/>
    <n v="4"/>
    <n v="1.5"/>
    <n v="6"/>
  </r>
  <r>
    <s v="C19"/>
    <s v="300N/125W"/>
    <s v="300N/125W"/>
    <m/>
    <s v="125W"/>
    <s v="200W"/>
    <n v="3978"/>
    <n v="20"/>
    <s v="AC"/>
    <s v="C"/>
    <n v="0"/>
    <n v="6"/>
    <n v="6"/>
    <n v="1691"/>
    <n v="1"/>
    <s v="300N"/>
    <n v="5"/>
    <s v="CS"/>
    <n v="11301.136363636364"/>
    <x v="5"/>
    <n v="8"/>
    <n v="7"/>
    <n v="2"/>
    <n v="4"/>
  </r>
  <r>
    <s v="SC110"/>
    <s v="200W/300S"/>
    <s v="200W/300S"/>
    <m/>
    <s v="400S"/>
    <s v="300S"/>
    <n v="5350"/>
    <n v="20"/>
    <s v="AC"/>
    <s v="SC"/>
    <n v="0"/>
    <n v="7"/>
    <n v="8"/>
    <n v="1660"/>
    <n v="1"/>
    <s v="200W"/>
    <n v="3"/>
    <s v="CS"/>
    <n v="15198.863636363636"/>
    <x v="4"/>
    <n v="12"/>
    <n v="7"/>
    <n v="1.5"/>
    <n v="1.5"/>
  </r>
  <r>
    <s v="C23"/>
    <s v="300N/SR9"/>
    <s v="300N/SR9"/>
    <m/>
    <s v="SR9"/>
    <s v="50E"/>
    <n v="6860"/>
    <n v="20"/>
    <s v="AC"/>
    <s v="C"/>
    <n v="0"/>
    <n v="8"/>
    <n v="7"/>
    <n v="1375"/>
    <n v="0.5"/>
    <s v="300N"/>
    <n v="3.5"/>
    <s v="CRACK"/>
    <n v="7665.530303030303"/>
    <x v="1"/>
    <n v="10"/>
    <n v="4"/>
    <n v="1.5"/>
    <n v="6"/>
  </r>
  <r>
    <s v="BC14"/>
    <s v="200N/525W"/>
    <s v="200N/525W"/>
    <m/>
    <s v="525W"/>
    <s v="600W"/>
    <n v="3545"/>
    <n v="20"/>
    <s v="AC"/>
    <s v="BC"/>
    <n v="0"/>
    <n v="6"/>
    <n v="6"/>
    <n v="1647"/>
    <n v="1"/>
    <s v="200N"/>
    <n v="5"/>
    <s v="CS"/>
    <n v="10071.022727272728"/>
    <x v="0"/>
    <n v="8"/>
    <n v="7"/>
    <n v="2"/>
    <n v="0"/>
  </r>
  <r>
    <s v="B71"/>
    <s v="1050E/650N"/>
    <s v="1050E/650N"/>
    <m/>
    <s v="TWP. LINE"/>
    <s v="650N"/>
    <n v="2505"/>
    <n v="20"/>
    <s v="AC"/>
    <s v="B"/>
    <n v="0"/>
    <n v="7"/>
    <n v="8"/>
    <n v="1645"/>
    <n v="1"/>
    <s v="1025E"/>
    <n v="3"/>
    <s v="CRACK"/>
    <n v="2799.1477272727275"/>
    <x v="0"/>
    <n v="12"/>
    <n v="4"/>
    <n v="1.5"/>
    <n v="0"/>
  </r>
  <r>
    <s v="C67"/>
    <s v="100E/100S"/>
    <s v="100E/100S"/>
    <m/>
    <s v="200S"/>
    <s v="100S"/>
    <n v="5330"/>
    <n v="20"/>
    <s v="AC"/>
    <s v="C"/>
    <n v="0"/>
    <n v="6"/>
    <n v="7"/>
    <n v="1630"/>
    <n v="1"/>
    <s v="100E"/>
    <n v="4"/>
    <s v="CS"/>
    <n v="15142.045454545454"/>
    <x v="5"/>
    <n v="10"/>
    <n v="7"/>
    <n v="1.5"/>
    <n v="3"/>
  </r>
  <r>
    <s v="BC92"/>
    <s v="200W/400N"/>
    <s v="200W/400N"/>
    <m/>
    <s v="400N"/>
    <s v="300N"/>
    <n v="5300"/>
    <n v="20"/>
    <s v="AC"/>
    <s v="BC"/>
    <n v="0"/>
    <n v="9"/>
    <n v="7"/>
    <n v="1612"/>
    <n v="1"/>
    <s v="200W"/>
    <n v="4"/>
    <s v="CRACK"/>
    <n v="5922.348484848485"/>
    <x v="0"/>
    <n v="10"/>
    <n v="4"/>
    <n v="1.5"/>
    <n v="0"/>
  </r>
  <r>
    <s v="SC39"/>
    <s v="200S/600W"/>
    <s v="200S/600W"/>
    <m/>
    <s v="700W"/>
    <s v="600W"/>
    <n v="5340"/>
    <n v="20"/>
    <s v="AC"/>
    <s v="SC"/>
    <n v="0"/>
    <n v="7"/>
    <n v="7"/>
    <n v="1609"/>
    <n v="1"/>
    <s v="200S"/>
    <n v="4"/>
    <s v="CS"/>
    <n v="15170.454545454546"/>
    <x v="4"/>
    <n v="10"/>
    <n v="7"/>
    <n v="1.5"/>
    <n v="1.5"/>
  </r>
  <r>
    <s v="J54"/>
    <s v="600E/600N"/>
    <s v="600E/600N"/>
    <m/>
    <s v="600N"/>
    <s v="500N"/>
    <n v="5030"/>
    <n v="20"/>
    <s v="AC"/>
    <s v="J"/>
    <n v="0"/>
    <n v="7"/>
    <n v="8"/>
    <n v="1601"/>
    <n v="1"/>
    <s v="600E"/>
    <n v="3"/>
    <s v="CRACK"/>
    <n v="5620.643939393939"/>
    <x v="0"/>
    <n v="12"/>
    <n v="4"/>
    <n v="1.5"/>
    <n v="0"/>
  </r>
  <r>
    <s v="V09"/>
    <s v="600N/50W"/>
    <s v="600N/50W"/>
    <m/>
    <s v="50W"/>
    <s v="FORTVILLE PK."/>
    <n v="2405"/>
    <n v="20"/>
    <s v="AC"/>
    <s v="V"/>
    <n v="0"/>
    <n v="9"/>
    <n v="8"/>
    <n v="1328"/>
    <n v="0.5"/>
    <s v="600N"/>
    <n v="2.5"/>
    <s v="CRACK"/>
    <n v="2687.405303030303"/>
    <x v="1"/>
    <n v="12"/>
    <n v="4"/>
    <n v="1.5"/>
    <n v="6"/>
  </r>
  <r>
    <s v="SC78"/>
    <s v="600W/STINEMYER RD"/>
    <s v="600W/STINEMYER RD"/>
    <m/>
    <s v="STINEMYER RD."/>
    <s v="600S"/>
    <n v="6270"/>
    <n v="20"/>
    <s v="AC"/>
    <s v="SC"/>
    <n v="0"/>
    <n v="7"/>
    <n v="7"/>
    <n v="1529"/>
    <n v="1"/>
    <s v="600W"/>
    <n v="4"/>
    <s v="CS"/>
    <n v="17812.5"/>
    <x v="0"/>
    <n v="10"/>
    <n v="7"/>
    <n v="1.5"/>
    <n v="0"/>
  </r>
  <r>
    <s v="BC17"/>
    <s v="200N/300W"/>
    <s v="200N/300W"/>
    <m/>
    <s v="300W"/>
    <s v="350W"/>
    <n v="2680"/>
    <n v="20"/>
    <s v="AC"/>
    <s v="BC"/>
    <n v="0"/>
    <n v="8"/>
    <n v="7"/>
    <n v="1312"/>
    <n v="0.5"/>
    <s v="200N"/>
    <n v="3.5"/>
    <s v="CRACK"/>
    <n v="2994.6969696969695"/>
    <x v="1"/>
    <n v="10"/>
    <n v="4"/>
    <n v="1.5"/>
    <n v="6"/>
  </r>
  <r>
    <s v="G73"/>
    <s v="600E/SR234"/>
    <s v="600E/SR234"/>
    <m/>
    <s v="700N"/>
    <s v="SR234"/>
    <n v="5332"/>
    <n v="20"/>
    <s v="AC"/>
    <s v="G"/>
    <n v="0"/>
    <n v="8"/>
    <n v="8"/>
    <n v="1226"/>
    <n v="0.5"/>
    <s v="600E"/>
    <n v="2.5"/>
    <s v="CRACK"/>
    <n v="5958.106060606061"/>
    <x v="1"/>
    <n v="12"/>
    <n v="4"/>
    <n v="1.5"/>
    <n v="6"/>
  </r>
  <r>
    <s v="SC04"/>
    <s v="600S/550W"/>
    <s v="600S/550W"/>
    <m/>
    <s v="600W"/>
    <s v="550W"/>
    <n v="2648"/>
    <n v="20"/>
    <s v="AC"/>
    <s v="SC"/>
    <n v="0"/>
    <n v="7"/>
    <n v="8"/>
    <n v="1507"/>
    <n v="1"/>
    <s v="600S"/>
    <n v="3"/>
    <s v="CS"/>
    <n v="7522.727272727273"/>
    <x v="5"/>
    <n v="12"/>
    <n v="7"/>
    <n v="1.5"/>
    <n v="3"/>
  </r>
  <r>
    <s v="SC34"/>
    <s v="300S/JACOBI RD"/>
    <s v="300S/JACOBI RD"/>
    <m/>
    <s v="400W"/>
    <s v="JACOBI ROAD"/>
    <n v="2675"/>
    <n v="20"/>
    <s v="AC"/>
    <s v="SC"/>
    <n v="0"/>
    <n v="8"/>
    <n v="7"/>
    <n v="1225"/>
    <n v="0.5"/>
    <s v="300S"/>
    <n v="3.5"/>
    <s v="CRACK"/>
    <n v="2989.1098484848485"/>
    <x v="1"/>
    <n v="10"/>
    <n v="4"/>
    <n v="1.5"/>
    <n v="6"/>
  </r>
  <r>
    <s v="SC107"/>
    <s v="200W/US40"/>
    <s v="200W/US40"/>
    <m/>
    <s v="100S"/>
    <s v="US40"/>
    <n v="3650"/>
    <n v="20"/>
    <s v="AC"/>
    <s v="SC"/>
    <n v="0"/>
    <n v="7"/>
    <n v="7"/>
    <n v="1491"/>
    <n v="0.5"/>
    <s v="200W"/>
    <n v="3.5"/>
    <s v="CS"/>
    <n v="10369.318181818182"/>
    <x v="4"/>
    <n v="10"/>
    <n v="7"/>
    <n v="1.5"/>
    <n v="1.5"/>
  </r>
  <r>
    <s v="SC05"/>
    <s v="600S/500W"/>
    <s v="600S/500W"/>
    <m/>
    <s v="550W"/>
    <s v="500W"/>
    <n v="2308"/>
    <n v="20"/>
    <s v="AC"/>
    <s v="SC"/>
    <n v="0"/>
    <n v="7"/>
    <n v="7"/>
    <n v="1490"/>
    <n v="0.5"/>
    <s v="600S"/>
    <n v="3.5"/>
    <s v="CS"/>
    <n v="6556.818181818182"/>
    <x v="5"/>
    <n v="10"/>
    <n v="7"/>
    <n v="1.5"/>
    <n v="3"/>
  </r>
  <r>
    <s v="SC40"/>
    <s v="200S/500W"/>
    <s v="200S/500W"/>
    <m/>
    <s v="600W"/>
    <s v="500W"/>
    <n v="5125"/>
    <n v="20"/>
    <s v="AC"/>
    <s v="SC"/>
    <n v="0"/>
    <n v="7"/>
    <n v="6"/>
    <n v="1487"/>
    <n v="0.5"/>
    <s v="200S"/>
    <n v="4.5"/>
    <s v="CS"/>
    <n v="14559.65909090909"/>
    <x v="5"/>
    <n v="8"/>
    <n v="7"/>
    <n v="2"/>
    <n v="4"/>
  </r>
  <r>
    <s v="SC112"/>
    <s v="200W/FURRY RD"/>
    <s v="200W/FURRY RD"/>
    <m/>
    <s v="FURRY ROAD"/>
    <s v="US52"/>
    <n v="2587"/>
    <n v="20"/>
    <s v="AC"/>
    <s v="SC"/>
    <n v="0"/>
    <n v="7"/>
    <n v="7"/>
    <n v="1454"/>
    <n v="0.5"/>
    <s v="200W"/>
    <n v="3.5"/>
    <s v="CS"/>
    <n v="7349.431818181818"/>
    <x v="4"/>
    <n v="10"/>
    <n v="7"/>
    <n v="1.5"/>
    <n v="1.5"/>
  </r>
  <r>
    <s v="SC36"/>
    <s v="300S/250W"/>
    <s v="300S/250W"/>
    <m/>
    <s v="300W"/>
    <s v="250W"/>
    <n v="2645"/>
    <n v="20"/>
    <s v="AC"/>
    <s v="SC"/>
    <n v="0"/>
    <n v="8"/>
    <n v="7"/>
    <n v="1183"/>
    <n v="0.5"/>
    <s v="300S"/>
    <n v="3.5"/>
    <s v="CRACK"/>
    <n v="2955.587121212121"/>
    <x v="1"/>
    <n v="10"/>
    <n v="4"/>
    <n v="1.5"/>
    <n v="6"/>
  </r>
  <r>
    <s v="BR59"/>
    <s v="600E/200S"/>
    <s v="600E/200S"/>
    <m/>
    <s v="200S"/>
    <s v="250S"/>
    <n v="2164"/>
    <n v="20"/>
    <s v="AC"/>
    <s v="BR"/>
    <n v="0"/>
    <n v="7"/>
    <n v="7"/>
    <n v="1415"/>
    <n v="0.5"/>
    <s v="600E"/>
    <n v="3.5"/>
    <s v="CS"/>
    <n v="6147.727272727273"/>
    <x v="5"/>
    <n v="10"/>
    <n v="7"/>
    <n v="1.5"/>
    <n v="3"/>
  </r>
  <r>
    <s v="BR58"/>
    <s v="600E/250S"/>
    <s v="600E/250S"/>
    <m/>
    <s v="250S"/>
    <s v="300S"/>
    <n v="2692"/>
    <n v="20"/>
    <s v="AC"/>
    <s v="BR"/>
    <n v="0"/>
    <n v="8"/>
    <n v="7"/>
    <n v="1415"/>
    <n v="0.5"/>
    <s v="600E"/>
    <n v="3.5"/>
    <s v="CRACK"/>
    <n v="3008.1060606060605"/>
    <x v="5"/>
    <n v="10"/>
    <n v="4"/>
    <n v="1.5"/>
    <n v="3"/>
  </r>
  <r>
    <s v="SC48"/>
    <s v="100S/400W"/>
    <s v="100S/400W"/>
    <m/>
    <s v="400W"/>
    <s v="500W"/>
    <n v="5340"/>
    <n v="20"/>
    <s v="AC"/>
    <s v="SC"/>
    <n v="0"/>
    <n v="7"/>
    <n v="6"/>
    <n v="1408"/>
    <n v="0.5"/>
    <s v="100S"/>
    <n v="4.5"/>
    <s v="CS"/>
    <n v="15170.454545454546"/>
    <x v="5"/>
    <n v="8"/>
    <n v="7"/>
    <n v="2"/>
    <n v="4"/>
  </r>
  <r>
    <s v="SC37"/>
    <s v="300S/200W"/>
    <s v="300S/200W"/>
    <m/>
    <s v="250W"/>
    <s v="200W"/>
    <n v="2645"/>
    <n v="20"/>
    <s v="AC"/>
    <s v="SC"/>
    <n v="0"/>
    <n v="8"/>
    <n v="7"/>
    <n v="1102"/>
    <n v="0.5"/>
    <s v="300S"/>
    <n v="3.5"/>
    <s v="CRACK"/>
    <n v="2955.587121212121"/>
    <x v="1"/>
    <n v="10"/>
    <n v="4"/>
    <n v="1.5"/>
    <n v="6"/>
  </r>
  <r>
    <s v="C22"/>
    <s v="300N/50E"/>
    <s v="300N/50E"/>
    <m/>
    <s v="50E"/>
    <s v="FORTVILLE PK."/>
    <n v="500"/>
    <n v="20"/>
    <s v="AC"/>
    <s v="C"/>
    <n v="0"/>
    <n v="9"/>
    <n v="7"/>
    <n v="1375"/>
    <n v="0.5"/>
    <s v="300N"/>
    <n v="3.5"/>
    <s v="CRACK"/>
    <n v="558.71212121212125"/>
    <x v="0"/>
    <n v="10"/>
    <n v="4"/>
    <n v="1.5"/>
    <n v="0"/>
  </r>
  <r>
    <s v="SC35"/>
    <s v="300S/300W"/>
    <s v="300S/300W"/>
    <m/>
    <s v="JACOBI ROAD"/>
    <s v="300W"/>
    <n v="2680"/>
    <n v="20"/>
    <s v="AC"/>
    <s v="SC"/>
    <n v="0"/>
    <n v="8"/>
    <n v="7"/>
    <n v="1072"/>
    <n v="0.5"/>
    <s v="300S"/>
    <n v="3.5"/>
    <s v="CRACK"/>
    <n v="2994.6969696969695"/>
    <x v="1"/>
    <n v="10"/>
    <n v="4"/>
    <n v="1.5"/>
    <n v="6"/>
  </r>
  <r>
    <s v="V41"/>
    <s v="1000N/125W"/>
    <s v="1000N/125W"/>
    <m/>
    <s v="125W"/>
    <s v="FORTVILLE LIMITS"/>
    <n v="2650"/>
    <n v="20"/>
    <s v="G"/>
    <s v="V"/>
    <n v="0"/>
    <n v="7"/>
    <n v="7"/>
    <n v="1365"/>
    <n v="0.5"/>
    <s v="1000N"/>
    <n v="3.5"/>
    <s v="GG"/>
    <n v="7026.515151515152"/>
    <x v="5"/>
    <n v="10"/>
    <n v="1"/>
    <n v="1.5"/>
    <n v="3"/>
  </r>
  <r>
    <s v="BC91"/>
    <s v="200W/500N"/>
    <s v="200W/500N"/>
    <m/>
    <s v="500N"/>
    <s v="400N"/>
    <n v="5300"/>
    <n v="20"/>
    <s v="AC"/>
    <s v="BC"/>
    <n v="0"/>
    <n v="6"/>
    <n v="7"/>
    <n v="1364"/>
    <n v="0.5"/>
    <s v="200W"/>
    <n v="3.5"/>
    <s v="CS"/>
    <n v="15056.818181818182"/>
    <x v="5"/>
    <n v="10"/>
    <n v="7"/>
    <n v="1.5"/>
    <n v="3"/>
  </r>
  <r>
    <s v="J92"/>
    <s v="1050E/325N"/>
    <s v="1050E/325N"/>
    <m/>
    <s v="250N"/>
    <s v="325N"/>
    <n v="3937"/>
    <n v="20"/>
    <s v="AC"/>
    <s v="J"/>
    <n v="0"/>
    <n v="7"/>
    <n v="8"/>
    <n v="1360"/>
    <n v="0.5"/>
    <s v="1025E"/>
    <n v="2.5"/>
    <s v="CRACK"/>
    <n v="4399.299242424242"/>
    <x v="0"/>
    <n v="12"/>
    <n v="4"/>
    <n v="1.5"/>
    <n v="0"/>
  </r>
  <r>
    <s v="G02"/>
    <s v="600N/SR9"/>
    <s v="600N/SR9"/>
    <m/>
    <s v="SR9"/>
    <s v="50E"/>
    <n v="5782"/>
    <n v="20"/>
    <s v="AC"/>
    <s v="G"/>
    <n v="0"/>
    <n v="10"/>
    <n v="8"/>
    <n v="1352"/>
    <n v="0.5"/>
    <s v="600N"/>
    <n v="2.5"/>
    <s v="CRACK"/>
    <n v="6460.94696969697"/>
    <x v="3"/>
    <n v="12"/>
    <n v="4"/>
    <n v="1.5"/>
    <n v="9"/>
  </r>
  <r>
    <s v="G01"/>
    <s v="600N/50E"/>
    <s v="600N/50E"/>
    <m/>
    <s v="50E"/>
    <s v="25W"/>
    <n v="4407"/>
    <n v="20"/>
    <s v="AC"/>
    <s v="G"/>
    <n v="0"/>
    <n v="10"/>
    <n v="8"/>
    <n v="1334"/>
    <n v="0.5"/>
    <s v="600N"/>
    <n v="2.5"/>
    <s v="CRACK"/>
    <n v="4924.488636363636"/>
    <x v="3"/>
    <n v="12"/>
    <n v="4"/>
    <n v="1.5"/>
    <n v="9"/>
  </r>
  <r>
    <s v="V10"/>
    <s v="600N/25W"/>
    <s v="600N/25W"/>
    <m/>
    <s v="25W"/>
    <s v="50W"/>
    <n v="2227"/>
    <n v="20"/>
    <s v="AC"/>
    <s v="V"/>
    <n v="0"/>
    <n v="10"/>
    <n v="8"/>
    <n v="1328"/>
    <n v="0.5"/>
    <s v="600N"/>
    <n v="2.5"/>
    <s v="CRACK"/>
    <n v="2488.503787878788"/>
    <x v="3"/>
    <n v="12"/>
    <n v="4"/>
    <n v="1.5"/>
    <n v="9"/>
  </r>
  <r>
    <s v="BR54"/>
    <s v="575E/550S"/>
    <s v="575E/550S"/>
    <m/>
    <s v="550S"/>
    <s v="600S"/>
    <n v="2798"/>
    <n v="20"/>
    <s v="AC"/>
    <s v="BR"/>
    <n v="0"/>
    <n v="9"/>
    <n v="8"/>
    <n v="1062"/>
    <n v="0.5"/>
    <s v="575E"/>
    <n v="2.5"/>
    <s v="CRACK"/>
    <n v="3126.5530303030305"/>
    <x v="1"/>
    <n v="12"/>
    <n v="4"/>
    <n v="1.5"/>
    <n v="6"/>
  </r>
  <r>
    <s v="V08"/>
    <s v="600N/FORTVILLE PK"/>
    <s v="600N/FORTVILLE PK"/>
    <m/>
    <s v="FORTVILLE PK."/>
    <s v="200W"/>
    <n v="5516"/>
    <n v="20"/>
    <s v="AC"/>
    <s v="V"/>
    <n v="0"/>
    <n v="6"/>
    <n v="7"/>
    <n v="1313"/>
    <n v="0.5"/>
    <s v="600N"/>
    <n v="3.5"/>
    <s v="CS"/>
    <n v="15670.454545454546"/>
    <x v="5"/>
    <n v="10"/>
    <n v="7"/>
    <n v="1.5"/>
    <n v="3"/>
  </r>
  <r>
    <s v="BC12"/>
    <s v="200N/700W"/>
    <s v="200N/700W"/>
    <m/>
    <s v="700W"/>
    <s v="BUCK CREEK RD"/>
    <n v="3674"/>
    <n v="20"/>
    <s v="AC"/>
    <s v="BC"/>
    <n v="0"/>
    <n v="8"/>
    <n v="8"/>
    <n v="1023"/>
    <n v="0.5"/>
    <s v="200N"/>
    <n v="2.5"/>
    <s v="CRACK"/>
    <n v="4105.416666666667"/>
    <x v="1"/>
    <n v="12"/>
    <n v="4"/>
    <n v="1.5"/>
    <n v="6"/>
  </r>
  <r>
    <s v="SC111"/>
    <s v="200W/400S"/>
    <s v="200W/400S"/>
    <m/>
    <s v="400S"/>
    <s v="FURRY ROAD"/>
    <n v="4488"/>
    <n v="20"/>
    <s v="AC"/>
    <s v="SC"/>
    <n v="0"/>
    <n v="7"/>
    <n v="7"/>
    <n v="1284"/>
    <n v="0.5"/>
    <s v="200W"/>
    <n v="3.5"/>
    <s v="CS"/>
    <n v="12750"/>
    <x v="4"/>
    <n v="10"/>
    <n v="7"/>
    <n v="1.5"/>
    <n v="1.5"/>
  </r>
  <r>
    <s v="G71"/>
    <s v="600E/650N"/>
    <s v="600E/650N"/>
    <m/>
    <s v="600N"/>
    <s v="650N"/>
    <n v="2628"/>
    <n v="20"/>
    <s v="AC"/>
    <s v="G"/>
    <n v="0"/>
    <n v="7"/>
    <n v="8"/>
    <n v="1240"/>
    <n v="0.5"/>
    <s v="600E"/>
    <n v="2.5"/>
    <s v="CRACK"/>
    <n v="2936.590909090909"/>
    <x v="0"/>
    <n v="12"/>
    <n v="4"/>
    <n v="1.5"/>
    <n v="0"/>
  </r>
  <r>
    <s v="G72"/>
    <s v="600E/700N"/>
    <s v="600E/700N"/>
    <m/>
    <s v="650N"/>
    <s v="700N"/>
    <n v="2692"/>
    <n v="20"/>
    <s v="AC"/>
    <s v="G"/>
    <n v="0"/>
    <n v="7"/>
    <n v="8"/>
    <n v="1240"/>
    <n v="0.5"/>
    <s v="600E"/>
    <n v="2.5"/>
    <s v="CRACK"/>
    <n v="3008.1060606060605"/>
    <x v="0"/>
    <n v="12"/>
    <n v="4"/>
    <n v="1.5"/>
    <n v="0"/>
  </r>
  <r>
    <s v="SC06"/>
    <s v="600S/450W"/>
    <s v="600S/450W"/>
    <m/>
    <s v="500W"/>
    <s v="450W"/>
    <n v="3058"/>
    <n v="20"/>
    <s v="AC"/>
    <s v="SC"/>
    <n v="0"/>
    <n v="7"/>
    <n v="7"/>
    <n v="1239"/>
    <n v="0.5"/>
    <s v="600S"/>
    <n v="3.5"/>
    <s v="CS"/>
    <n v="8687.5"/>
    <x v="5"/>
    <n v="10"/>
    <n v="7"/>
    <n v="1.5"/>
    <n v="3"/>
  </r>
  <r>
    <s v="SC07"/>
    <s v="600S/400W"/>
    <s v="600S/400W"/>
    <m/>
    <s v="450W"/>
    <s v="400W"/>
    <n v="2655"/>
    <n v="20"/>
    <s v="AC"/>
    <s v="SC"/>
    <n v="0"/>
    <n v="7"/>
    <n v="7"/>
    <n v="1235"/>
    <n v="0.5"/>
    <s v="600S"/>
    <n v="3.5"/>
    <s v="CS"/>
    <n v="7542.613636363636"/>
    <x v="5"/>
    <n v="10"/>
    <n v="7"/>
    <n v="1.5"/>
    <n v="3"/>
  </r>
  <r>
    <s v="B80"/>
    <s v="1200E/SR234"/>
    <s v="1200E/SR234"/>
    <m/>
    <s v="700N"/>
    <s v="SR234"/>
    <n v="2100"/>
    <n v="20"/>
    <s v="AC"/>
    <s v="B"/>
    <n v="0"/>
    <n v="7"/>
    <n v="7"/>
    <n v="1230"/>
    <n v="0.5"/>
    <s v="1200E"/>
    <n v="3.5"/>
    <s v="CS"/>
    <n v="5965.909090909091"/>
    <x v="5"/>
    <n v="10"/>
    <n v="7"/>
    <n v="1.5"/>
    <n v="3"/>
  </r>
  <r>
    <s v="BW47"/>
    <s v="100E/500S"/>
    <s v="100E/500S"/>
    <m/>
    <s v="500S"/>
    <s v="400S"/>
    <n v="5320"/>
    <n v="20"/>
    <s v="AC"/>
    <s v="BW"/>
    <n v="0"/>
    <n v="8"/>
    <n v="7"/>
    <n v="825"/>
    <n v="0.5"/>
    <s v="100E"/>
    <n v="3.5"/>
    <s v="CRACK"/>
    <n v="5944.69696969697"/>
    <x v="1"/>
    <n v="10"/>
    <n v="4"/>
    <n v="1.5"/>
    <n v="6"/>
  </r>
  <r>
    <s v="C27"/>
    <s v="300N/450E"/>
    <s v="300N/450E"/>
    <m/>
    <s v="400E"/>
    <s v="450E"/>
    <n v="2680"/>
    <n v="20"/>
    <s v="AC"/>
    <s v="C"/>
    <n v="0"/>
    <n v="8"/>
    <n v="7"/>
    <n v="769"/>
    <n v="0.5"/>
    <s v="300N"/>
    <n v="3.5"/>
    <s v="CRACK"/>
    <n v="2994.6969696969695"/>
    <x v="1"/>
    <n v="10"/>
    <n v="4"/>
    <n v="1.5"/>
    <n v="6"/>
  </r>
  <r>
    <s v="BW28"/>
    <s v="300S/275E"/>
    <s v="300S/275E"/>
    <m/>
    <s v="SR 9"/>
    <s v="275E"/>
    <n v="4000"/>
    <n v="20"/>
    <s v="AC"/>
    <s v="BW"/>
    <n v="0"/>
    <n v="8"/>
    <n v="7"/>
    <n v="766"/>
    <n v="0.5"/>
    <s v="300S"/>
    <n v="3.5"/>
    <s v="CRACK"/>
    <n v="4469.69696969697"/>
    <x v="1"/>
    <n v="10"/>
    <n v="4"/>
    <n v="1.5"/>
    <n v="6"/>
  </r>
  <r>
    <s v="J96"/>
    <s v="1050E/550N"/>
    <s v="1050E/550N"/>
    <m/>
    <s v="500N"/>
    <s v="550N"/>
    <n v="2644"/>
    <n v="20"/>
    <s v="AC"/>
    <s v="J"/>
    <n v="0"/>
    <n v="7"/>
    <n v="8"/>
    <n v="1202"/>
    <n v="0.5"/>
    <s v="1025E"/>
    <n v="2.5"/>
    <s v="CRACK"/>
    <n v="2954.469696969697"/>
    <x v="0"/>
    <n v="12"/>
    <n v="4"/>
    <n v="1.5"/>
    <n v="0"/>
  </r>
  <r>
    <s v="B79"/>
    <s v="1200E/700N"/>
    <s v="1200E/700N"/>
    <m/>
    <s v="650N"/>
    <s v="700N"/>
    <n v="2640"/>
    <n v="20"/>
    <s v="AC"/>
    <s v="B"/>
    <n v="0"/>
    <n v="7"/>
    <n v="7"/>
    <n v="1197"/>
    <n v="0.5"/>
    <s v="1200E"/>
    <n v="3.5"/>
    <s v="CS"/>
    <n v="7500"/>
    <x v="5"/>
    <n v="10"/>
    <n v="7"/>
    <n v="1.5"/>
    <n v="3"/>
  </r>
  <r>
    <s v="J97"/>
    <s v="1050E/N. TWP LINE"/>
    <s v="1050E/N. TWP LINE"/>
    <m/>
    <s v="TWP. LINE"/>
    <s v="550N"/>
    <n v="2505"/>
    <n v="20"/>
    <s v="AC"/>
    <s v="J"/>
    <n v="0"/>
    <n v="7"/>
    <n v="8"/>
    <n v="1194"/>
    <n v="0.5"/>
    <s v="1025E"/>
    <n v="2.5"/>
    <s v="CRACK"/>
    <n v="2799.1477272727275"/>
    <x v="0"/>
    <n v="12"/>
    <n v="4"/>
    <n v="1.5"/>
    <n v="0"/>
  </r>
  <r>
    <s v="J93"/>
    <s v="1050E/350N"/>
    <s v="1050E/350N"/>
    <m/>
    <s v="325N"/>
    <s v="350N"/>
    <n v="1316"/>
    <n v="20"/>
    <s v="AC"/>
    <s v="J"/>
    <n v="0"/>
    <n v="7"/>
    <n v="8"/>
    <n v="1186"/>
    <n v="0.5"/>
    <s v="1025E"/>
    <n v="2.5"/>
    <s v="CRACK"/>
    <n v="1470.530303030303"/>
    <x v="0"/>
    <n v="12"/>
    <n v="4"/>
    <n v="1.5"/>
    <n v="0"/>
  </r>
  <r>
    <s v="C28"/>
    <s v="300N/525E"/>
    <s v="300N/525E"/>
    <m/>
    <s v="450E"/>
    <s v="525E"/>
    <n v="4046"/>
    <n v="20"/>
    <s v="AC"/>
    <s v="C"/>
    <n v="0"/>
    <n v="8"/>
    <n v="7"/>
    <n v="717"/>
    <n v="0.5"/>
    <s v="300N"/>
    <n v="3.5"/>
    <s v="CRACK"/>
    <n v="4521.098484848485"/>
    <x v="1"/>
    <n v="10"/>
    <n v="4"/>
    <n v="1.5"/>
    <n v="6"/>
  </r>
  <r>
    <s v="V67"/>
    <s v="500W/1000N"/>
    <s v="500W/1000N"/>
    <m/>
    <s v="MCCORD RD."/>
    <s v="1000N"/>
    <n v="1308"/>
    <n v="20"/>
    <s v="AC"/>
    <s v="V"/>
    <n v="0"/>
    <n v="7"/>
    <n v="7"/>
    <n v="1172"/>
    <n v="0.5"/>
    <s v="500W"/>
    <n v="3.5"/>
    <s v="CS"/>
    <n v="3715.909090909091"/>
    <x v="6"/>
    <n v="10"/>
    <n v="7"/>
    <n v="1.5"/>
    <n v="4.5"/>
  </r>
  <r>
    <s v="SC85"/>
    <s v="500W/S. NEW PAL"/>
    <s v="500W/S. NEW PAL"/>
    <m/>
    <s v="NEW PAL"/>
    <s v="600S"/>
    <n v="5725"/>
    <n v="20"/>
    <s v="AC"/>
    <s v="SC"/>
    <n v="0"/>
    <n v="7"/>
    <n v="8"/>
    <n v="1172"/>
    <n v="0.5"/>
    <s v="500W"/>
    <n v="2.5"/>
    <s v="CS"/>
    <n v="16264.204545454546"/>
    <x v="5"/>
    <n v="12"/>
    <n v="7"/>
    <n v="1.5"/>
    <n v="3"/>
  </r>
  <r>
    <s v="G04"/>
    <s v="600N/300E"/>
    <s v="600N/300E"/>
    <m/>
    <s v="300E"/>
    <s v="250E"/>
    <n v="2755"/>
    <n v="20"/>
    <s v="AC"/>
    <s v="G"/>
    <n v="0"/>
    <n v="7"/>
    <n v="7"/>
    <n v="1170"/>
    <n v="0.5"/>
    <s v="600N"/>
    <n v="3.5"/>
    <s v="CS"/>
    <n v="7826.704545454545"/>
    <x v="5"/>
    <n v="10"/>
    <n v="7"/>
    <n v="1.5"/>
    <n v="3"/>
  </r>
  <r>
    <s v="G05"/>
    <s v="600N/400E"/>
    <s v="600N/400E"/>
    <m/>
    <s v="400E"/>
    <s v="300E"/>
    <n v="5262"/>
    <n v="20"/>
    <s v="AC"/>
    <s v="G"/>
    <n v="0"/>
    <n v="7"/>
    <n v="7"/>
    <n v="1170"/>
    <n v="0.5"/>
    <s v="600N"/>
    <n v="3.5"/>
    <s v="CS"/>
    <n v="14948.863636363636"/>
    <x v="5"/>
    <n v="10"/>
    <n v="7"/>
    <n v="1.5"/>
    <n v="3"/>
  </r>
  <r>
    <s v="J95"/>
    <s v="1050E/500N"/>
    <s v="1050E/500N"/>
    <m/>
    <s v="450N"/>
    <s v="500N"/>
    <n v="2669"/>
    <n v="20"/>
    <s v="AC"/>
    <s v="J"/>
    <n v="0"/>
    <n v="7"/>
    <n v="8"/>
    <n v="1160"/>
    <n v="0.5"/>
    <s v="1025E"/>
    <n v="2.5"/>
    <s v="CRACK"/>
    <n v="2982.405303030303"/>
    <x v="0"/>
    <n v="12"/>
    <n v="4"/>
    <n v="1.5"/>
    <n v="0"/>
  </r>
  <r>
    <s v="B78"/>
    <s v="1200E/650N"/>
    <s v="1200E/650N"/>
    <m/>
    <s v="CO.LINE"/>
    <s v="650N"/>
    <n v="2775"/>
    <n v="20"/>
    <s v="AC"/>
    <s v="B"/>
    <n v="0"/>
    <n v="7"/>
    <n v="7"/>
    <n v="1143"/>
    <n v="0.5"/>
    <s v="1200E"/>
    <n v="3.5"/>
    <s v="CS"/>
    <n v="7883.522727272727"/>
    <x v="5"/>
    <n v="10"/>
    <n v="7"/>
    <n v="1.5"/>
    <n v="3"/>
  </r>
  <r>
    <s v="BW48"/>
    <s v="100E/400S"/>
    <s v="100E/400S"/>
    <m/>
    <s v="400S"/>
    <s v="300S"/>
    <n v="5350"/>
    <n v="20"/>
    <s v="AC"/>
    <s v="BW"/>
    <n v="0"/>
    <n v="7"/>
    <n v="7"/>
    <n v="1132"/>
    <n v="0.5"/>
    <s v="100E"/>
    <n v="3.5"/>
    <s v="CS"/>
    <n v="15198.863636363636"/>
    <x v="5"/>
    <n v="10"/>
    <n v="7"/>
    <n v="1.5"/>
    <n v="3"/>
  </r>
  <r>
    <s v="BC11"/>
    <s v="200N/BUCK CREEK RD"/>
    <s v="200N/BUCK CREEK RD"/>
    <m/>
    <s v="BUCK CREEK RD"/>
    <s v="800W"/>
    <n v="2624"/>
    <n v="20"/>
    <s v="AC"/>
    <s v="BC"/>
    <n v="0"/>
    <n v="7"/>
    <n v="6"/>
    <n v="1129"/>
    <n v="0.5"/>
    <s v="200N"/>
    <n v="4.5"/>
    <s v="CS"/>
    <n v="7454.545454545455"/>
    <x v="5"/>
    <n v="8"/>
    <n v="7"/>
    <n v="2"/>
    <n v="4"/>
  </r>
  <r>
    <s v="B23"/>
    <s v="700N/1200E"/>
    <s v="700N/1200E"/>
    <m/>
    <s v="1125E"/>
    <s v="1200E"/>
    <n v="4080"/>
    <n v="20"/>
    <s v="AC"/>
    <s v="B"/>
    <n v="0"/>
    <n v="7"/>
    <n v="7"/>
    <n v="1110"/>
    <n v="0.5"/>
    <s v="700N"/>
    <n v="3.5"/>
    <s v="CS"/>
    <n v="11590.90909090909"/>
    <x v="5"/>
    <n v="10"/>
    <n v="7"/>
    <n v="1.5"/>
    <n v="3"/>
  </r>
  <r>
    <s v="BW16"/>
    <s v="400S/100E"/>
    <s v="400S/100E"/>
    <m/>
    <s v="100E"/>
    <s v="MERIDIAN ROAD"/>
    <n v="5115"/>
    <n v="20"/>
    <s v="AC"/>
    <s v="BW"/>
    <n v="0"/>
    <n v="8"/>
    <n v="7"/>
    <n v="716"/>
    <n v="0.5"/>
    <s v="400S"/>
    <n v="3.5"/>
    <s v="CRACK"/>
    <n v="5715.625"/>
    <x v="1"/>
    <n v="10"/>
    <n v="4"/>
    <n v="1.5"/>
    <n v="6"/>
  </r>
  <r>
    <s v="J94"/>
    <s v="1050E/450N"/>
    <s v="1050E/450N"/>
    <m/>
    <s v="350N"/>
    <s v="450N"/>
    <n v="5290"/>
    <n v="20"/>
    <s v="AC"/>
    <s v="J"/>
    <n v="0"/>
    <n v="7"/>
    <n v="8"/>
    <n v="1097"/>
    <n v="0.5"/>
    <s v="1025E"/>
    <n v="2.5"/>
    <s v="CRACK"/>
    <n v="5911.174242424242"/>
    <x v="0"/>
    <n v="12"/>
    <n v="4"/>
    <n v="1.5"/>
    <n v="0"/>
  </r>
  <r>
    <s v="C24"/>
    <s v="300N/300E"/>
    <s v="300N/300E"/>
    <m/>
    <s v="GREENFLD.CORP."/>
    <s v="300 E"/>
    <n v="6335"/>
    <n v="20"/>
    <s v="AC"/>
    <s v="C"/>
    <n v="0"/>
    <n v="7"/>
    <n v="7"/>
    <n v="1096"/>
    <n v="0.5"/>
    <s v="300N"/>
    <n v="3.5"/>
    <s v="CS"/>
    <n v="17997.159090909092"/>
    <x v="5"/>
    <n v="10"/>
    <n v="7"/>
    <n v="1.5"/>
    <n v="3"/>
  </r>
  <r>
    <s v="SC28"/>
    <s v="300S/700W"/>
    <s v="300S/700W"/>
    <m/>
    <s v="800W"/>
    <s v="700W"/>
    <n v="5370"/>
    <n v="20"/>
    <s v="AC"/>
    <s v="SC"/>
    <n v="0"/>
    <n v="7"/>
    <n v="7"/>
    <n v="1081"/>
    <n v="0.5"/>
    <s v="300S"/>
    <n v="3.5"/>
    <s v="CS"/>
    <n v="15255.681818181818"/>
    <x v="5"/>
    <n v="10"/>
    <n v="7"/>
    <n v="1.5"/>
    <n v="3"/>
  </r>
  <r>
    <s v="B22"/>
    <s v="700N/1125E"/>
    <s v="700N/1125E"/>
    <m/>
    <s v="E.CORP, LINE"/>
    <s v="1125E"/>
    <n v="3960"/>
    <n v="20"/>
    <s v="AC"/>
    <s v="B"/>
    <n v="0"/>
    <n v="7"/>
    <n v="7"/>
    <n v="1081"/>
    <n v="0.5"/>
    <s v="700N"/>
    <n v="3.5"/>
    <s v="CS"/>
    <n v="11250"/>
    <x v="5"/>
    <n v="10"/>
    <n v="7"/>
    <n v="1.5"/>
    <n v="3"/>
  </r>
  <r>
    <s v="V42"/>
    <s v="1000N/50W"/>
    <s v="1000N/50W"/>
    <m/>
    <s v="50W"/>
    <s v="125W"/>
    <n v="4013"/>
    <n v="20"/>
    <s v="G"/>
    <s v="V"/>
    <n v="0"/>
    <n v="7"/>
    <n v="7"/>
    <n v="1076"/>
    <n v="0.5"/>
    <s v="1000N"/>
    <n v="3.5"/>
    <s v="GG"/>
    <n v="10640.530303030304"/>
    <x v="5"/>
    <n v="10"/>
    <n v="1"/>
    <n v="1.5"/>
    <n v="3"/>
  </r>
  <r>
    <s v="C34"/>
    <s v="400N/SR9"/>
    <s v="400N/SR9"/>
    <m/>
    <s v="SR9"/>
    <s v="50E"/>
    <n v="5790"/>
    <n v="20"/>
    <s v="AC"/>
    <s v="C"/>
    <n v="0"/>
    <n v="8"/>
    <n v="7"/>
    <n v="677"/>
    <n v="0.5"/>
    <s v="400N"/>
    <n v="3.5"/>
    <s v="CRACK"/>
    <n v="6469.886363636364"/>
    <x v="1"/>
    <n v="10"/>
    <n v="4"/>
    <n v="1.5"/>
    <n v="6"/>
  </r>
  <r>
    <s v="BR55"/>
    <s v="575E/500S"/>
    <s v="575E/500S"/>
    <m/>
    <s v="500S"/>
    <s v="550S"/>
    <n v="3907"/>
    <n v="20"/>
    <s v="AC"/>
    <s v="BR"/>
    <n v="0"/>
    <n v="9"/>
    <n v="8"/>
    <n v="1062"/>
    <n v="0.5"/>
    <s v="575E"/>
    <n v="2.5"/>
    <s v="CRACK"/>
    <n v="4365.776515151515"/>
    <x v="0"/>
    <n v="12"/>
    <n v="4"/>
    <n v="1.5"/>
    <n v="0"/>
  </r>
  <r>
    <s v="BW34"/>
    <s v="100W/US52"/>
    <s v="100W/US52"/>
    <m/>
    <s v="US52"/>
    <s v="600S"/>
    <n v="1890"/>
    <n v="20"/>
    <s v="AC"/>
    <s v="BW"/>
    <n v="0"/>
    <n v="9"/>
    <n v="8"/>
    <n v="643"/>
    <n v="0.5"/>
    <s v="100W"/>
    <n v="2.5"/>
    <s v="CRACK"/>
    <n v="2111.931818181818"/>
    <x v="1"/>
    <n v="12"/>
    <n v="4"/>
    <n v="1.5"/>
    <n v="6"/>
  </r>
  <r>
    <s v="J17"/>
    <s v="250N/GRANDISON RD"/>
    <s v="250N/GRANDISON RD"/>
    <m/>
    <s v="850E"/>
    <s v="GRANDISON RD."/>
    <n v="5380"/>
    <n v="20"/>
    <s v="AC"/>
    <s v="J"/>
    <n v="0"/>
    <n v="6"/>
    <n v="8"/>
    <n v="1041"/>
    <n v="0.5"/>
    <s v="250N"/>
    <n v="2.5"/>
    <s v="CS"/>
    <n v="15284.09090909091"/>
    <x v="5"/>
    <n v="12"/>
    <n v="7"/>
    <n v="1.5"/>
    <n v="3"/>
  </r>
  <r>
    <s v="J18"/>
    <s v="250N/1050E"/>
    <s v="250N/1050E"/>
    <m/>
    <s v="GRANDISON RD."/>
    <s v="1050E"/>
    <n v="5420"/>
    <n v="20"/>
    <s v="AC"/>
    <s v="J"/>
    <n v="0"/>
    <n v="9"/>
    <n v="10"/>
    <n v="1040"/>
    <n v="0.5"/>
    <s v="250N"/>
    <n v="0.5"/>
    <s v="CRACK"/>
    <n v="6056.439393939394"/>
    <x v="6"/>
    <n v="16"/>
    <n v="4"/>
    <n v="0.5"/>
    <n v="1.5"/>
  </r>
  <r>
    <s v="C77"/>
    <s v="400E/300N"/>
    <s v="400E/300N"/>
    <m/>
    <s v="200N"/>
    <s v="300N"/>
    <n v="5290"/>
    <n v="20"/>
    <s v="AC"/>
    <s v="C"/>
    <n v="0"/>
    <n v="7"/>
    <n v="7"/>
    <n v="1039"/>
    <n v="0.5"/>
    <s v="400E"/>
    <n v="3.5"/>
    <s v="CS"/>
    <n v="15028.40909090909"/>
    <x v="5"/>
    <n v="10"/>
    <n v="7"/>
    <n v="1.5"/>
    <n v="3"/>
  </r>
  <r>
    <s v="V43"/>
    <s v="1000N/MERIDIAN RD"/>
    <s v="1000N/MERIDIAN RD"/>
    <m/>
    <s v="MERIDIAN RD."/>
    <s v="50W"/>
    <n v="2693"/>
    <n v="20"/>
    <s v="AC"/>
    <s v="V"/>
    <n v="0"/>
    <n v="7"/>
    <n v="8"/>
    <n v="1025"/>
    <n v="0.5"/>
    <s v="1000N"/>
    <n v="2.5"/>
    <s v="CS"/>
    <n v="7650.568181818182"/>
    <x v="5"/>
    <n v="12"/>
    <n v="7"/>
    <n v="1.5"/>
    <n v="3"/>
  </r>
  <r>
    <s v="BC80"/>
    <s v="400W/100N"/>
    <s v="400W/100N"/>
    <m/>
    <s v="100N"/>
    <s v="S.TWP.LINE"/>
    <n v="6620"/>
    <n v="20"/>
    <s v="AC"/>
    <s v="BC"/>
    <n v="0"/>
    <n v="8"/>
    <n v="7"/>
    <n v="538"/>
    <n v="0.5"/>
    <s v="400W"/>
    <n v="3.5"/>
    <s v="CRACK"/>
    <n v="7397.348484848485"/>
    <x v="1"/>
    <n v="10"/>
    <n v="4"/>
    <n v="1.5"/>
    <n v="6"/>
  </r>
  <r>
    <s v="J91"/>
    <s v="1050E/250N"/>
    <s v="1050E/250N"/>
    <m/>
    <s v="200N"/>
    <s v="250N"/>
    <n v="2665"/>
    <n v="20"/>
    <s v="AC"/>
    <s v="J"/>
    <n v="0"/>
    <n v="7"/>
    <n v="7"/>
    <n v="1015"/>
    <n v="0.5"/>
    <s v="1025E"/>
    <n v="3.5"/>
    <s v="CRACK"/>
    <n v="2977.935606060606"/>
    <x v="0"/>
    <n v="10"/>
    <n v="4"/>
    <n v="1.5"/>
    <n v="0"/>
  </r>
  <r>
    <s v="C76"/>
    <s v="400E/200N"/>
    <s v="400E/200N"/>
    <m/>
    <s v="100N"/>
    <s v="200N"/>
    <n v="5330"/>
    <n v="20"/>
    <s v="AC"/>
    <s v="C"/>
    <n v="0"/>
    <n v="7"/>
    <n v="9"/>
    <n v="1000"/>
    <n v="0.5"/>
    <s v="400E"/>
    <n v="1.5"/>
    <s v="CS"/>
    <n v="15142.045454545454"/>
    <x v="6"/>
    <n v="14"/>
    <n v="7"/>
    <n v="1"/>
    <n v="3"/>
  </r>
  <r>
    <s v="C78"/>
    <s v="400E/400N"/>
    <s v="400E/400N"/>
    <m/>
    <s v="300N"/>
    <s v="400N"/>
    <n v="5300"/>
    <n v="20"/>
    <s v="AC"/>
    <s v="C"/>
    <n v="0"/>
    <n v="7"/>
    <n v="5"/>
    <n v="997"/>
    <n v="0.5"/>
    <s v="400E"/>
    <n v="5.5"/>
    <s v="SP/CS"/>
    <n v="40151.515151515152"/>
    <x v="0"/>
    <n v="6"/>
    <n v="10"/>
    <n v="2"/>
    <n v="0"/>
  </r>
  <r>
    <s v="G35"/>
    <s v="1000N/BARNARD RD"/>
    <s v="1000N/BARNARD RD"/>
    <m/>
    <s v="BARNARD RD."/>
    <s v="SR9"/>
    <n v="4963"/>
    <n v="20"/>
    <s v="AC"/>
    <s v="G"/>
    <n v="0"/>
    <n v="8"/>
    <n v="8"/>
    <n v="420"/>
    <n v="0"/>
    <s v="1000N"/>
    <n v="2"/>
    <s v="CRACK"/>
    <n v="5545.776515151515"/>
    <x v="1"/>
    <n v="12"/>
    <n v="4"/>
    <n v="1.5"/>
    <n v="6"/>
  </r>
  <r>
    <s v="V64"/>
    <s v="500W/SR67"/>
    <s v="500W/SR67"/>
    <m/>
    <s v="SR234"/>
    <s v="SR67"/>
    <n v="3484"/>
    <n v="20"/>
    <s v="AC"/>
    <s v="V"/>
    <n v="0"/>
    <n v="7"/>
    <n v="7"/>
    <n v="984"/>
    <n v="0.5"/>
    <s v="500W"/>
    <n v="3.5"/>
    <s v="CS"/>
    <n v="9897.7272727272721"/>
    <x v="6"/>
    <n v="10"/>
    <n v="7"/>
    <n v="1.5"/>
    <n v="4.5"/>
  </r>
  <r>
    <s v="J90"/>
    <s v="1050E/200N"/>
    <s v="1050E/200N"/>
    <m/>
    <s v="150N"/>
    <s v="200N"/>
    <n v="2688"/>
    <n v="20"/>
    <s v="AC"/>
    <s v="J"/>
    <n v="0"/>
    <n v="7"/>
    <n v="7"/>
    <n v="975"/>
    <n v="0.5"/>
    <s v="1025E"/>
    <n v="3.5"/>
    <s v="CRACK"/>
    <n v="3003.6363636363635"/>
    <x v="0"/>
    <n v="10"/>
    <n v="4"/>
    <n v="1.5"/>
    <n v="0"/>
  </r>
  <r>
    <s v="J89"/>
    <s v="1050E/150N"/>
    <s v="1050E/150N"/>
    <m/>
    <s v="25N"/>
    <s v="150N"/>
    <n v="5138"/>
    <n v="20"/>
    <s v="AC"/>
    <s v="J"/>
    <n v="0"/>
    <n v="7"/>
    <n v="7"/>
    <n v="966"/>
    <n v="0.5"/>
    <s v="1025E"/>
    <n v="3.5"/>
    <s v="CRACK"/>
    <n v="5741.325757575758"/>
    <x v="0"/>
    <n v="10"/>
    <n v="4"/>
    <n v="1.5"/>
    <n v="0"/>
  </r>
  <r>
    <s v="C35"/>
    <s v="400N/300E"/>
    <s v="400N/300E"/>
    <m/>
    <s v="300E"/>
    <s v="SR9"/>
    <n v="6370"/>
    <n v="20"/>
    <s v="AC"/>
    <s v="C"/>
    <n v="0"/>
    <n v="8"/>
    <n v="7"/>
    <n v="419"/>
    <n v="0"/>
    <s v="400N"/>
    <n v="3"/>
    <s v="CRACK"/>
    <n v="7117.992424242424"/>
    <x v="1"/>
    <n v="10"/>
    <n v="4"/>
    <n v="1.5"/>
    <n v="6"/>
  </r>
  <r>
    <s v="J88"/>
    <s v="1050E/25N"/>
    <s v="1050E/25N"/>
    <m/>
    <s v="SR40"/>
    <s v="25N"/>
    <n v="1043"/>
    <n v="20"/>
    <s v="AC"/>
    <s v="J"/>
    <n v="0"/>
    <n v="7"/>
    <n v="7"/>
    <n v="932"/>
    <n v="0.5"/>
    <s v="1025E"/>
    <n v="3.5"/>
    <s v="CRACK"/>
    <n v="1165.4734848484848"/>
    <x v="0"/>
    <n v="10"/>
    <n v="4"/>
    <n v="1.5"/>
    <n v="0"/>
  </r>
  <r>
    <s v="BR57"/>
    <s v="600E/300S"/>
    <s v="600E/300S"/>
    <m/>
    <s v="400S"/>
    <s v="300S"/>
    <n v="5365"/>
    <n v="20"/>
    <s v="AC"/>
    <s v="BR"/>
    <n v="0"/>
    <n v="7"/>
    <n v="6"/>
    <n v="921"/>
    <n v="0.5"/>
    <s v="600E"/>
    <n v="4.5"/>
    <s v="CS"/>
    <n v="15241.477272727272"/>
    <x v="5"/>
    <n v="8"/>
    <n v="7"/>
    <n v="2"/>
    <n v="4"/>
  </r>
  <r>
    <s v="SC87"/>
    <s v="450W/300S"/>
    <s v="450W/300S"/>
    <m/>
    <s v="400S"/>
    <s v="300S"/>
    <n v="2770"/>
    <n v="20"/>
    <s v="AC"/>
    <s v="SC"/>
    <n v="0"/>
    <n v="10"/>
    <n v="7"/>
    <n v="912"/>
    <n v="0.5"/>
    <s v="450W"/>
    <n v="3.5"/>
    <s v="CRACK"/>
    <n v="3095.2651515151515"/>
    <x v="3"/>
    <n v="10"/>
    <n v="4"/>
    <n v="1.5"/>
    <n v="9"/>
  </r>
  <r>
    <s v="V66"/>
    <s v="500W/MCCORD RD"/>
    <s v="500W/MCCORD RD"/>
    <m/>
    <s v="900N"/>
    <s v="MCCORD RD."/>
    <n v="3801"/>
    <n v="20"/>
    <s v="AC"/>
    <s v="V"/>
    <n v="0"/>
    <n v="7"/>
    <n v="7"/>
    <n v="900"/>
    <n v="0.5"/>
    <s v="500W"/>
    <n v="3.5"/>
    <s v="CS"/>
    <n v="10798.295454545454"/>
    <x v="6"/>
    <n v="10"/>
    <n v="7"/>
    <n v="1.5"/>
    <n v="4.5"/>
  </r>
  <r>
    <s v="BW25"/>
    <s v="300S/MERIDIAN RD"/>
    <s v="300S/MERIDIAN RD"/>
    <m/>
    <s v="50W"/>
    <s v="MERIDIAN ROAD"/>
    <n v="2580"/>
    <n v="20"/>
    <s v="AC"/>
    <s v="BW"/>
    <n v="0"/>
    <n v="7"/>
    <n v="7"/>
    <n v="896"/>
    <n v="0.5"/>
    <s v="300S"/>
    <n v="3.5"/>
    <s v="CS"/>
    <n v="7329.545454545455"/>
    <x v="6"/>
    <n v="10"/>
    <n v="7"/>
    <n v="1.5"/>
    <n v="4.5"/>
  </r>
  <r>
    <s v="BW37"/>
    <s v="100W/400S"/>
    <s v="100W/400S"/>
    <m/>
    <s v="400S"/>
    <s v="500S"/>
    <n v="5350"/>
    <n v="20"/>
    <s v="AC"/>
    <s v="BW"/>
    <n v="0"/>
    <n v="8"/>
    <n v="6"/>
    <n v="400"/>
    <n v="0"/>
    <s v="100W"/>
    <n v="4"/>
    <s v="CRACK"/>
    <n v="5978.219696969697"/>
    <x v="1"/>
    <n v="8"/>
    <n v="4"/>
    <n v="2"/>
    <n v="8"/>
  </r>
  <r>
    <s v="SC13"/>
    <s v="STINEMYER RD/600W"/>
    <s v="STINEMYER RD/600W"/>
    <m/>
    <s v="600W"/>
    <s v="650W"/>
    <n v="2720"/>
    <n v="20"/>
    <s v="AC"/>
    <s v="SC"/>
    <n v="0"/>
    <n v="8"/>
    <n v="7"/>
    <n v="400"/>
    <n v="0"/>
    <s v="STINEMEYER RD"/>
    <n v="3"/>
    <s v="CRACK"/>
    <n v="3039.3939393939395"/>
    <x v="1"/>
    <n v="10"/>
    <n v="4"/>
    <n v="1.5"/>
    <n v="6"/>
  </r>
  <r>
    <s v="BR56"/>
    <s v="600E/400S"/>
    <s v="600E/400S"/>
    <m/>
    <s v="500S"/>
    <s v="400S"/>
    <n v="5300"/>
    <n v="20"/>
    <s v="AC"/>
    <s v="BR"/>
    <n v="0"/>
    <n v="9"/>
    <n v="7"/>
    <n v="320"/>
    <n v="0"/>
    <s v="600E"/>
    <n v="3"/>
    <s v="CRACK"/>
    <n v="5922.348484848485"/>
    <x v="1"/>
    <n v="10"/>
    <n v="4"/>
    <n v="1.5"/>
    <n v="6"/>
  </r>
  <r>
    <s v="V16"/>
    <s v="700N/300W"/>
    <s v="700N/300W"/>
    <m/>
    <s v="300W"/>
    <s v="350W"/>
    <n v="2692"/>
    <n v="20"/>
    <s v="AC"/>
    <s v="V"/>
    <n v="0"/>
    <n v="8"/>
    <n v="7"/>
    <n v="292"/>
    <n v="0"/>
    <s v="700N"/>
    <n v="3"/>
    <s v="CRACK"/>
    <n v="3008.1060606060605"/>
    <x v="1"/>
    <n v="10"/>
    <n v="4"/>
    <n v="1.5"/>
    <n v="6"/>
  </r>
  <r>
    <s v="BW23"/>
    <s v="300S/125W"/>
    <s v="300S/125W"/>
    <m/>
    <s v="150W"/>
    <s v="125W"/>
    <n v="1325"/>
    <n v="20"/>
    <s v="AC"/>
    <s v="BW"/>
    <n v="0"/>
    <n v="7"/>
    <n v="7"/>
    <n v="877"/>
    <n v="0.5"/>
    <s v="300S"/>
    <n v="3.5"/>
    <s v="CS"/>
    <n v="3764.2045454545455"/>
    <x v="6"/>
    <n v="10"/>
    <n v="7"/>
    <n v="1.5"/>
    <n v="4.5"/>
  </r>
  <r>
    <s v="BW22"/>
    <s v="300S/150W"/>
    <s v="300S/150W"/>
    <m/>
    <s v="200W"/>
    <s v="150W"/>
    <n v="2685"/>
    <n v="20"/>
    <s v="AC"/>
    <s v="BW"/>
    <n v="0"/>
    <n v="7"/>
    <n v="7"/>
    <n v="877"/>
    <n v="0.5"/>
    <s v="300S"/>
    <n v="3.5"/>
    <s v="CS"/>
    <n v="7627.840909090909"/>
    <x v="6"/>
    <n v="10"/>
    <n v="7"/>
    <n v="1.5"/>
    <n v="4.5"/>
  </r>
  <r>
    <s v="J72"/>
    <s v="850E/300N"/>
    <s v="850E/300N"/>
    <m/>
    <s v="250N"/>
    <s v="300N"/>
    <n v="2388"/>
    <n v="20"/>
    <s v="AC"/>
    <s v="J"/>
    <n v="0"/>
    <n v="8"/>
    <n v="8"/>
    <n v="271"/>
    <n v="0"/>
    <s v="850E"/>
    <n v="2"/>
    <s v="CRACK"/>
    <n v="2668.409090909091"/>
    <x v="1"/>
    <n v="12"/>
    <n v="4"/>
    <n v="1.5"/>
    <n v="6"/>
  </r>
  <r>
    <s v="BW24"/>
    <s v="300S/50W"/>
    <s v="300S/50W"/>
    <m/>
    <s v="125W"/>
    <s v="50W"/>
    <n v="4000"/>
    <n v="20"/>
    <s v="AC"/>
    <s v="BW"/>
    <n v="0"/>
    <n v="7"/>
    <n v="7"/>
    <n v="873"/>
    <n v="0.5"/>
    <s v="300S"/>
    <n v="3.5"/>
    <s v="CS"/>
    <n v="11363.636363636364"/>
    <x v="6"/>
    <n v="10"/>
    <n v="7"/>
    <n v="1.5"/>
    <n v="4.5"/>
  </r>
  <r>
    <s v="C60"/>
    <s v="MERIDIAN RD./100S"/>
    <s v="MERIDIAN RD./100S"/>
    <m/>
    <s v="200S"/>
    <s v="100S"/>
    <n v="5265"/>
    <n v="20"/>
    <s v="AC"/>
    <s v="C"/>
    <n v="0"/>
    <n v="7"/>
    <n v="8"/>
    <n v="870"/>
    <n v="0.5"/>
    <s v="MERIDIAN RD."/>
    <n v="2.5"/>
    <s v="CS"/>
    <n v="14957.386363636364"/>
    <x v="6"/>
    <n v="12"/>
    <n v="7"/>
    <n v="1.5"/>
    <n v="4.5"/>
  </r>
  <r>
    <s v="G15"/>
    <s v="700N/300E"/>
    <s v="700N/300E"/>
    <m/>
    <s v="300E"/>
    <s v="250E"/>
    <n v="2693"/>
    <n v="20"/>
    <s v="AC"/>
    <s v="G"/>
    <n v="0"/>
    <n v="8"/>
    <n v="8"/>
    <n v="238"/>
    <n v="0"/>
    <s v="700N"/>
    <n v="2"/>
    <s v="CRACK"/>
    <n v="3009.223484848485"/>
    <x v="1"/>
    <n v="12"/>
    <n v="4"/>
    <n v="1.5"/>
    <n v="6"/>
  </r>
  <r>
    <s v="C08"/>
    <s v="100S/MERIDIAN RD"/>
    <s v="100S/MERIDIAN RD"/>
    <m/>
    <s v="MERIDIAN ROAD"/>
    <s v="150W"/>
    <n v="7340"/>
    <n v="20"/>
    <s v="AC"/>
    <s v="C"/>
    <n v="0"/>
    <n v="7"/>
    <n v="7"/>
    <n v="861"/>
    <n v="0.5"/>
    <s v="100S"/>
    <n v="3.5"/>
    <s v="CS"/>
    <n v="20852.272727272728"/>
    <x v="6"/>
    <n v="10"/>
    <n v="7"/>
    <n v="1.5"/>
    <n v="4.5"/>
  </r>
  <r>
    <s v="V31"/>
    <s v="900N/FORTVILLE PK"/>
    <s v="900N/FORTVILLE PK"/>
    <m/>
    <s v="FORTVILLE PIKE"/>
    <s v="200W"/>
    <n v="880"/>
    <n v="20"/>
    <s v="AC"/>
    <s v="V"/>
    <n v="0"/>
    <n v="8"/>
    <n v="8"/>
    <n v="210"/>
    <n v="0"/>
    <s v="900N"/>
    <n v="2"/>
    <s v="CRACK"/>
    <n v="983.33333333333337"/>
    <x v="1"/>
    <n v="12"/>
    <n v="4"/>
    <n v="1.5"/>
    <n v="6"/>
  </r>
  <r>
    <s v="B39"/>
    <s v="1000N/1200E"/>
    <s v="1000N/1200E"/>
    <m/>
    <s v="1100E"/>
    <s v="1200E"/>
    <n v="5485"/>
    <n v="20"/>
    <s v="AC"/>
    <s v="B"/>
    <n v="0"/>
    <n v="8"/>
    <n v="7"/>
    <n v="159"/>
    <n v="0"/>
    <s v="1000N"/>
    <n v="3"/>
    <s v="CRACK"/>
    <n v="6129.07196969697"/>
    <x v="1"/>
    <n v="10"/>
    <n v="4"/>
    <n v="1.5"/>
    <n v="6"/>
  </r>
  <r>
    <s v="V62"/>
    <s v="500W/750N"/>
    <s v="500W/750N"/>
    <m/>
    <s v="700N"/>
    <s v="750N"/>
    <n v="2692"/>
    <n v="20"/>
    <s v="AC"/>
    <s v="V"/>
    <n v="0"/>
    <n v="7"/>
    <n v="7"/>
    <n v="828"/>
    <n v="0.5"/>
    <s v="500W"/>
    <n v="3.5"/>
    <s v="CS"/>
    <n v="7647.727272727273"/>
    <x v="6"/>
    <n v="10"/>
    <n v="7"/>
    <n v="1.5"/>
    <n v="4.5"/>
  </r>
  <r>
    <s v="B04"/>
    <s v="600N/850E"/>
    <s v="600N/850E"/>
    <m/>
    <s v="800E"/>
    <s v="850E"/>
    <n v="2725"/>
    <n v="20"/>
    <s v="AC"/>
    <s v="B"/>
    <n v="0"/>
    <n v="9"/>
    <n v="8"/>
    <n v="154"/>
    <n v="0"/>
    <s v="600N"/>
    <n v="2"/>
    <s v="CRACK"/>
    <n v="3044.9810606060605"/>
    <x v="1"/>
    <n v="12"/>
    <n v="4"/>
    <n v="1.5"/>
    <n v="6"/>
  </r>
  <r>
    <s v="BW14"/>
    <s v="400S/50W"/>
    <s v="400S/50W"/>
    <m/>
    <s v="50W"/>
    <s v="100W"/>
    <n v="2685"/>
    <n v="20"/>
    <s v="CS"/>
    <s v="BW"/>
    <n v="0"/>
    <n v="7"/>
    <n v="7"/>
    <n v="825"/>
    <n v="0.5"/>
    <s v="400S"/>
    <n v="3.5"/>
    <s v="CS"/>
    <n v="7627.840909090909"/>
    <x v="6"/>
    <n v="10"/>
    <n v="7"/>
    <n v="1.5"/>
    <n v="4.5"/>
  </r>
  <r>
    <s v="SC08"/>
    <s v="600S/300W"/>
    <s v="600S/300W"/>
    <m/>
    <s v="400W"/>
    <s v="300W"/>
    <n v="5297"/>
    <n v="20"/>
    <s v="AC"/>
    <s v="SC"/>
    <n v="0"/>
    <n v="7"/>
    <n v="7"/>
    <n v="822"/>
    <n v="0.5"/>
    <s v="600S"/>
    <n v="3.5"/>
    <s v="CS"/>
    <n v="15048.295454545454"/>
    <x v="6"/>
    <n v="10"/>
    <n v="7"/>
    <n v="1.5"/>
    <n v="4.5"/>
  </r>
  <r>
    <s v="V63"/>
    <s v="500W/SR234"/>
    <s v="500W/SR234"/>
    <m/>
    <s v="750N"/>
    <s v="SR234"/>
    <n v="2692"/>
    <n v="20"/>
    <s v="AC"/>
    <s v="V"/>
    <n v="0"/>
    <n v="8"/>
    <n v="7"/>
    <n v="811"/>
    <n v="0.5"/>
    <s v="500W"/>
    <n v="3.5"/>
    <s v="CRACK"/>
    <n v="3008.1060606060605"/>
    <x v="6"/>
    <n v="10"/>
    <n v="4"/>
    <n v="1.5"/>
    <n v="4.5"/>
  </r>
  <r>
    <s v="C93"/>
    <s v="MORRISTOWN PK./STE"/>
    <s v="MORRISTOWN PK./STE"/>
    <m/>
    <s v="STEELEFORD RD."/>
    <s v="200S"/>
    <n v="2030"/>
    <n v="20"/>
    <s v="AC"/>
    <s v="C"/>
    <n v="0"/>
    <n v="5"/>
    <n v="7"/>
    <n v="806"/>
    <n v="0.5"/>
    <s v="MORRISTOWN PK."/>
    <n v="3.5"/>
    <s v="SP/CS"/>
    <n v="15378.787878787878"/>
    <x v="7"/>
    <n v="10"/>
    <n v="10"/>
    <n v="1.5"/>
    <n v="-3024"/>
  </r>
  <r>
    <s v="C95"/>
    <s v="MORRISTOWN PK/100S"/>
    <s v="MORRISTOWN PK/100S"/>
    <m/>
    <s v="STEELEFORD RD."/>
    <s v="100S"/>
    <n v="5280"/>
    <n v="20"/>
    <s v="AC"/>
    <s v="C"/>
    <n v="0"/>
    <n v="7"/>
    <n v="7"/>
    <n v="806"/>
    <n v="0.5"/>
    <s v="MORRISTOWN PK."/>
    <n v="3.5"/>
    <s v="CS"/>
    <n v="15000"/>
    <x v="6"/>
    <n v="10"/>
    <n v="7"/>
    <n v="1.5"/>
    <n v="4.5"/>
  </r>
  <r>
    <s v="B34"/>
    <s v="1000N/675E"/>
    <s v="1000N/675E"/>
    <m/>
    <s v="625E"/>
    <s v="675E"/>
    <n v="2798"/>
    <n v="20"/>
    <s v="AC"/>
    <s v="B"/>
    <n v="0"/>
    <n v="8"/>
    <n v="7"/>
    <n v="125"/>
    <n v="0"/>
    <s v="1000N"/>
    <n v="3"/>
    <s v="CRACK"/>
    <n v="3126.5530303030305"/>
    <x v="1"/>
    <n v="10"/>
    <n v="4"/>
    <n v="1.5"/>
    <n v="6"/>
  </r>
  <r>
    <s v="BW15"/>
    <s v="400S/MERIDIAN RD"/>
    <s v="400S/MERIDIAN RD"/>
    <m/>
    <s v="MERIDIAN ROAD"/>
    <s v="50W"/>
    <n v="2675"/>
    <n v="20"/>
    <s v="CS"/>
    <s v="BW"/>
    <n v="0"/>
    <n v="8"/>
    <n v="8"/>
    <n v="791"/>
    <n v="0.5"/>
    <s v="400S"/>
    <n v="2.5"/>
    <s v="CS"/>
    <n v="7599.431818181818"/>
    <x v="6"/>
    <n v="12"/>
    <n v="7"/>
    <n v="1.5"/>
    <n v="4.5"/>
  </r>
  <r>
    <s v="BC28"/>
    <s v="350N/600W"/>
    <s v="350N/600W"/>
    <m/>
    <s v="700W"/>
    <s v="600W"/>
    <n v="5410"/>
    <n v="20"/>
    <s v="AC"/>
    <s v="BC"/>
    <n v="0"/>
    <n v="7"/>
    <n v="7"/>
    <n v="785"/>
    <n v="0.5"/>
    <s v="350N"/>
    <n v="3.5"/>
    <s v="CS"/>
    <n v="15369.318181818182"/>
    <x v="6"/>
    <n v="10"/>
    <n v="7"/>
    <n v="1.5"/>
    <n v="4.5"/>
  </r>
  <r>
    <s v="B35"/>
    <s v="1000N/NASHVILLE RD"/>
    <s v="1000N/NASHVILLE RD"/>
    <m/>
    <s v="NASHVILLE RD."/>
    <s v="675E"/>
    <n v="4270"/>
    <n v="20"/>
    <s v="AC"/>
    <s v="B"/>
    <n v="0"/>
    <n v="8"/>
    <n v="6"/>
    <n v="100"/>
    <n v="0"/>
    <s v="1000N"/>
    <n v="4"/>
    <s v="CRACK"/>
    <n v="4771.401515151515"/>
    <x v="1"/>
    <n v="8"/>
    <n v="4"/>
    <n v="2"/>
    <n v="8"/>
  </r>
  <r>
    <s v="BW26"/>
    <s v="300S/100E"/>
    <s v="300S/100E"/>
    <m/>
    <s v="MERIDIAN ROAD"/>
    <s v="100E"/>
    <n v="5080"/>
    <n v="20"/>
    <s v="AC"/>
    <s v="BW"/>
    <n v="0"/>
    <n v="7"/>
    <n v="7"/>
    <n v="783"/>
    <n v="0.5"/>
    <s v="300S"/>
    <n v="3.5"/>
    <s v="CS"/>
    <n v="14431.818181818182"/>
    <x v="6"/>
    <n v="10"/>
    <n v="7"/>
    <n v="1.5"/>
    <n v="4.5"/>
  </r>
  <r>
    <s v="BR72"/>
    <s v="800E/550S"/>
    <s v="800E/550S"/>
    <m/>
    <s v="600S"/>
    <s v="550S"/>
    <n v="2620"/>
    <n v="20"/>
    <s v="AC"/>
    <s v="BR"/>
    <n v="0"/>
    <n v="9"/>
    <n v="8"/>
    <n v="50"/>
    <n v="0"/>
    <s v="800E"/>
    <n v="2"/>
    <s v="CRACK"/>
    <n v="2927.651515151515"/>
    <x v="1"/>
    <n v="12"/>
    <n v="4"/>
    <n v="1.5"/>
    <n v="6"/>
  </r>
  <r>
    <s v=""/>
    <s v="ARROWHEAD COURT"/>
    <s v="ARROWHEAD COURT"/>
    <s v="Arrowhead"/>
    <s v="400 E"/>
    <s v="600 N"/>
    <n v="1445"/>
    <n v="26"/>
    <s v="NC"/>
    <s v="C"/>
    <n v="0"/>
    <n v="8"/>
    <n v="9"/>
    <n v="50"/>
    <n v="0"/>
    <s v="ARROWHEAD COURT"/>
    <n v="1"/>
    <s v="CRACK"/>
    <n v="1614.6780303030303"/>
    <x v="1"/>
    <n v="14"/>
    <n v="4"/>
    <n v="1"/>
    <n v="4"/>
  </r>
  <r>
    <s v=""/>
    <s v="BRANDYWINE COURT"/>
    <s v="BRANDYWINE COURT"/>
    <s v="BoMar Manor"/>
    <s v="SR 9"/>
    <s v="250 S"/>
    <n v="1320"/>
    <n v="26"/>
    <s v="NC"/>
    <s v="BW"/>
    <n v="0"/>
    <n v="7"/>
    <n v="6"/>
    <n v="50"/>
    <n v="0"/>
    <s v="BRANDYWINE COURT"/>
    <n v="4"/>
    <s v="CRACK"/>
    <n v="1475"/>
    <x v="1"/>
    <n v="8"/>
    <n v="4"/>
    <n v="2"/>
    <n v="8"/>
  </r>
  <r>
    <s v="C10"/>
    <s v="100S/400E"/>
    <s v="100S/400E"/>
    <m/>
    <s v="400E"/>
    <s v="MORRISTOWN PIKE"/>
    <n v="7215"/>
    <n v="20"/>
    <s v="AC"/>
    <s v="C"/>
    <n v="0"/>
    <n v="7"/>
    <n v="8"/>
    <n v="756"/>
    <n v="0.5"/>
    <s v="100S"/>
    <n v="2.5"/>
    <s v="CS"/>
    <n v="20497.159090909092"/>
    <x v="6"/>
    <n v="12"/>
    <n v="7"/>
    <n v="1.5"/>
    <n v="4.5"/>
  </r>
  <r>
    <s v="SC42"/>
    <s v="200S/400W"/>
    <s v="200S/400W"/>
    <m/>
    <s v="400W"/>
    <s v="425W"/>
    <n v="1326"/>
    <n v="20"/>
    <s v="AC"/>
    <s v="SC"/>
    <n v="0"/>
    <n v="7"/>
    <n v="6"/>
    <n v="746"/>
    <n v="0.5"/>
    <s v="200S"/>
    <n v="4.5"/>
    <s v="CS"/>
    <n v="3767.0454545454545"/>
    <x v="1"/>
    <n v="8"/>
    <n v="7"/>
    <n v="2"/>
    <n v="8"/>
  </r>
  <r>
    <s v=""/>
    <s v="BRANDYWINE LANE(E)"/>
    <s v="BRANDYWINE LANE(E)"/>
    <s v="BoMar Manor"/>
    <s v="SR 9"/>
    <s v="250 S"/>
    <n v="2376"/>
    <n v="26"/>
    <s v="NC"/>
    <s v="BW"/>
    <n v="0"/>
    <n v="7"/>
    <n v="6"/>
    <n v="50"/>
    <n v="0"/>
    <s v="BRANDYWINE LANE€"/>
    <n v="4"/>
    <s v="CRACK"/>
    <n v="2655"/>
    <x v="1"/>
    <n v="8"/>
    <n v="4"/>
    <n v="2"/>
    <n v="8"/>
  </r>
  <r>
    <s v="BW13"/>
    <s v="400S/100W"/>
    <s v="400S/100W"/>
    <m/>
    <s v="100W"/>
    <s v="200W"/>
    <n v="5280"/>
    <n v="20"/>
    <s v="CS"/>
    <s v="BW"/>
    <n v="0"/>
    <n v="8"/>
    <n v="7"/>
    <n v="723"/>
    <n v="0.5"/>
    <s v="400S"/>
    <n v="3.5"/>
    <s v="CS"/>
    <n v="15000"/>
    <x v="6"/>
    <n v="10"/>
    <n v="7"/>
    <n v="1.5"/>
    <n v="4.5"/>
  </r>
  <r>
    <s v=""/>
    <s v="BROKEN ARROW COURT(W)"/>
    <s v="BROKEN ARROW COURT(W)"/>
    <s v="Denton Trace"/>
    <s v="600 W"/>
    <s v="125 S"/>
    <n v="422"/>
    <n v="26"/>
    <s v="NC"/>
    <s v="SC"/>
    <n v="0"/>
    <n v="6"/>
    <n v="7"/>
    <n v="50"/>
    <n v="0"/>
    <s v="BROKEN ARROW COURT(W)"/>
    <n v="3"/>
    <s v="CRACK"/>
    <n v="471.55303030303031"/>
    <x v="1"/>
    <n v="10"/>
    <n v="4"/>
    <n v="1.5"/>
    <n v="6"/>
  </r>
  <r>
    <s v=""/>
    <s v="BROKEN ARROW DRIVE(W)"/>
    <s v="BROKEN ARROW DRIVE(W)"/>
    <s v="Denton Trace"/>
    <s v="600 W"/>
    <s v="125 S"/>
    <n v="1008"/>
    <n v="26"/>
    <s v="NC"/>
    <s v="SC"/>
    <n v="0"/>
    <n v="6"/>
    <n v="6"/>
    <n v="50"/>
    <n v="0"/>
    <s v="BROKEN ARROW DRIVE(W)"/>
    <n v="4"/>
    <s v="CRACK"/>
    <n v="1126.3636363636363"/>
    <x v="1"/>
    <n v="8"/>
    <n v="4"/>
    <n v="2"/>
    <n v="8"/>
  </r>
  <r>
    <s v="BR09"/>
    <s v="500S/575E"/>
    <s v="500S/575E"/>
    <m/>
    <s v="500E"/>
    <s v="575E"/>
    <n v="4005"/>
    <n v="20"/>
    <s v="CS"/>
    <s v="BR"/>
    <n v="0"/>
    <n v="7"/>
    <n v="7"/>
    <n v="710"/>
    <n v="0.5"/>
    <s v="500S"/>
    <n v="3.5"/>
    <s v="CS"/>
    <n v="11377.84090909091"/>
    <x v="0"/>
    <n v="10"/>
    <n v="7"/>
    <n v="1.5"/>
    <n v="0"/>
  </r>
  <r>
    <s v="BR10"/>
    <s v="500S/600E"/>
    <s v="500S/600E"/>
    <m/>
    <s v="575E"/>
    <s v="600E"/>
    <n v="1342"/>
    <n v="20"/>
    <s v="CS"/>
    <s v="BR"/>
    <n v="0"/>
    <n v="8"/>
    <n v="8"/>
    <n v="710"/>
    <n v="0.5"/>
    <s v="500S"/>
    <n v="2.5"/>
    <s v="CS"/>
    <n v="3812.5"/>
    <x v="0"/>
    <n v="12"/>
    <n v="7"/>
    <n v="1.5"/>
    <n v="0"/>
  </r>
  <r>
    <s v=""/>
    <s v="BRUNE COURT"/>
    <s v="BRUNE COURT"/>
    <s v="Meadow Lake Estates"/>
    <s v="500 W"/>
    <s v="60 S"/>
    <n v="422"/>
    <n v="26"/>
    <s v="NC"/>
    <s v="SC"/>
    <n v="0"/>
    <n v="6"/>
    <n v="8"/>
    <n v="50"/>
    <n v="0"/>
    <s v="BRUNE COURT"/>
    <n v="2"/>
    <s v="CRACK"/>
    <n v="471.55303030303031"/>
    <x v="1"/>
    <n v="12"/>
    <n v="4"/>
    <n v="1.5"/>
    <n v="6"/>
  </r>
  <r>
    <s v="BR23"/>
    <s v="300S/700E"/>
    <s v="300S/700E"/>
    <m/>
    <s v="600E"/>
    <s v="700E"/>
    <n v="4768"/>
    <n v="20"/>
    <s v="AC"/>
    <s v="BR"/>
    <n v="0"/>
    <n v="6"/>
    <n v="7"/>
    <n v="698"/>
    <n v="0.5"/>
    <s v="300S"/>
    <n v="3.5"/>
    <s v="DS"/>
    <n v="22575.757575757576"/>
    <x v="4"/>
    <n v="10"/>
    <n v="7"/>
    <n v="1.5"/>
    <n v="1.5"/>
  </r>
  <r>
    <s v=""/>
    <s v="MICHAEL'S CT"/>
    <s v="MICHAEL'S CT"/>
    <s v="Shel-Lyn Estates"/>
    <s v="100 W"/>
    <s v="500 S"/>
    <n v="792"/>
    <n v="26"/>
    <s v="NC"/>
    <s v="BW"/>
    <n v="0"/>
    <n v="6"/>
    <n v="9"/>
    <n v="50"/>
    <n v="0"/>
    <s v="MICHAEL'S CT"/>
    <n v="1"/>
    <s v="CRACK"/>
    <n v="885"/>
    <x v="1"/>
    <n v="14"/>
    <n v="4"/>
    <n v="1"/>
    <n v="4"/>
  </r>
  <r>
    <s v="BW29"/>
    <s v="300S/MORRISTOWN PK"/>
    <s v="300S/MORRISTOWN PK"/>
    <m/>
    <s v="275E"/>
    <s v="MORRISTOWN PIKE"/>
    <n v="4890"/>
    <n v="20"/>
    <s v="AC"/>
    <s v="BW"/>
    <n v="0"/>
    <n v="9"/>
    <n v="8"/>
    <n v="691"/>
    <n v="0.5"/>
    <s v="300S"/>
    <n v="2.5"/>
    <s v="CRACK"/>
    <n v="5464.204545454545"/>
    <x v="0"/>
    <n v="12"/>
    <n v="4"/>
    <n v="1.5"/>
    <n v="0"/>
  </r>
  <r>
    <s v="BC38"/>
    <s v="500N/300W"/>
    <s v="500N/300W"/>
    <m/>
    <s v="300W"/>
    <s v="400W"/>
    <n v="5385"/>
    <n v="20"/>
    <s v="AC"/>
    <s v="BC"/>
    <n v="0"/>
    <n v="6"/>
    <n v="7"/>
    <n v="685"/>
    <n v="0.5"/>
    <s v="500N"/>
    <n v="3.5"/>
    <s v="CS"/>
    <n v="15298.295454545454"/>
    <x v="0"/>
    <n v="10"/>
    <n v="7"/>
    <n v="1.5"/>
    <n v="0"/>
  </r>
  <r>
    <s v="V44"/>
    <s v="1050N/FORT.LIM W"/>
    <s v="1050N/FORT.LIM W"/>
    <m/>
    <s v="SR238"/>
    <s v="HANCOCK CO. LINE"/>
    <n v="2376"/>
    <n v="20"/>
    <s v="AC"/>
    <s v="V"/>
    <n v="0"/>
    <n v="7"/>
    <n v="7"/>
    <n v="6778"/>
    <n v="1.5"/>
    <s v="1050N"/>
    <n v="4.5"/>
    <s v="CS"/>
    <n v="6750"/>
    <x v="3"/>
    <n v="10"/>
    <n v="7"/>
    <n v="1.5"/>
    <n v="9"/>
  </r>
  <r>
    <s v="C07"/>
    <s v="100S/150W"/>
    <s v="100S/150W"/>
    <m/>
    <s v="150W"/>
    <s v="200W"/>
    <n v="3310"/>
    <n v="20"/>
    <s v="AC"/>
    <s v="C"/>
    <n v="0"/>
    <n v="7"/>
    <n v="8"/>
    <n v="676"/>
    <n v="0.5"/>
    <s v="100S"/>
    <n v="2.5"/>
    <s v="CS"/>
    <n v="9403.4090909090901"/>
    <x v="6"/>
    <n v="12"/>
    <n v="7"/>
    <n v="1.5"/>
    <n v="4.5"/>
  </r>
  <r>
    <s v="BC77"/>
    <s v="400W/300N"/>
    <s v="400W/300N"/>
    <m/>
    <s v="200N"/>
    <s v="300N"/>
    <n v="5386"/>
    <n v="20"/>
    <s v="P"/>
    <s v="BC"/>
    <n v="0"/>
    <n v="7"/>
    <n v="7"/>
    <n v="665"/>
    <n v="0.5"/>
    <s v="400W"/>
    <n v="3.5"/>
    <s v="CS"/>
    <n v="15301.136363636364"/>
    <x v="0"/>
    <n v="10"/>
    <n v="7"/>
    <n v="1.5"/>
    <n v="0"/>
  </r>
  <r>
    <s v="J20"/>
    <s v="300N/600E"/>
    <s v="300N/600E"/>
    <m/>
    <s v="525E"/>
    <s v="600E"/>
    <n v="3938"/>
    <n v="20"/>
    <s v="AC"/>
    <s v="J"/>
    <n v="0"/>
    <n v="7"/>
    <n v="7"/>
    <n v="664"/>
    <n v="0.5"/>
    <s v="300N"/>
    <n v="3.5"/>
    <s v="CS"/>
    <n v="11187.5"/>
    <x v="6"/>
    <n v="10"/>
    <n v="7"/>
    <n v="1.5"/>
    <n v="4.5"/>
  </r>
  <r>
    <s v="V65"/>
    <s v="500W/900N"/>
    <s v="500W/900N"/>
    <m/>
    <s v="SR67"/>
    <s v="900N"/>
    <n v="6178"/>
    <n v="20"/>
    <s v="AC"/>
    <s v="V"/>
    <n v="0"/>
    <n v="7"/>
    <n v="7"/>
    <n v="664"/>
    <n v="0.5"/>
    <s v="500W"/>
    <n v="3.5"/>
    <s v="CS"/>
    <n v="17551.136363636364"/>
    <x v="6"/>
    <n v="10"/>
    <n v="7"/>
    <n v="1.5"/>
    <n v="4.5"/>
  </r>
  <r>
    <s v="BR36"/>
    <s v="100S/500E"/>
    <s v="100S/500E"/>
    <m/>
    <s v="500E"/>
    <s v="400E"/>
    <n v="5325"/>
    <n v="20"/>
    <s v="AC"/>
    <s v="BR"/>
    <n v="0"/>
    <n v="7"/>
    <n v="8"/>
    <n v="659"/>
    <n v="0.5"/>
    <s v="100S"/>
    <n v="2.5"/>
    <s v="CS"/>
    <n v="15127.84090909091"/>
    <x v="6"/>
    <n v="12"/>
    <n v="7"/>
    <n v="1.5"/>
    <n v="4.5"/>
  </r>
  <r>
    <s v="C09"/>
    <s v="100S/100E"/>
    <s v="100S/100E"/>
    <m/>
    <s v="100E"/>
    <s v="MERIDIAN ROAD"/>
    <n v="5090"/>
    <n v="20"/>
    <s v="AC"/>
    <s v="C"/>
    <n v="0"/>
    <n v="7"/>
    <n v="7"/>
    <n v="657"/>
    <n v="0.5"/>
    <s v="100S"/>
    <n v="3.5"/>
    <s v="CS"/>
    <n v="14460.227272727272"/>
    <x v="6"/>
    <n v="10"/>
    <n v="7"/>
    <n v="1.5"/>
    <n v="4.5"/>
  </r>
  <r>
    <s v="BW27"/>
    <s v="300S/SR9"/>
    <s v="300S/SR9"/>
    <m/>
    <s v="100E"/>
    <s v="SR 9"/>
    <n v="5350"/>
    <n v="20"/>
    <s v="AC"/>
    <s v="BW"/>
    <n v="0"/>
    <n v="7"/>
    <n v="7"/>
    <n v="657"/>
    <n v="0.5"/>
    <s v="300S"/>
    <n v="3.5"/>
    <s v="CS"/>
    <n v="15198.863636363636"/>
    <x v="6"/>
    <n v="10"/>
    <n v="7"/>
    <n v="1.5"/>
    <n v="4.5"/>
  </r>
  <r>
    <s v="SC104"/>
    <s v="250W/US40"/>
    <s v="250W/US40"/>
    <m/>
    <s v="100S"/>
    <s v="US40"/>
    <n v="4000"/>
    <n v="20"/>
    <s v="AC"/>
    <s v="SC"/>
    <n v="0"/>
    <n v="6"/>
    <n v="6"/>
    <n v="655"/>
    <n v="0.5"/>
    <s v="250W"/>
    <n v="4.5"/>
    <s v="CS"/>
    <n v="11363.636363636364"/>
    <x v="0"/>
    <n v="8"/>
    <n v="7"/>
    <n v="2"/>
    <n v="0"/>
  </r>
  <r>
    <s v="SC91"/>
    <s v="400W/US40"/>
    <s v="400W/US40"/>
    <m/>
    <s v="100S"/>
    <s v="US40"/>
    <n v="3110"/>
    <n v="20"/>
    <s v="AC"/>
    <s v="SC"/>
    <n v="0"/>
    <n v="8"/>
    <n v="7"/>
    <n v="655"/>
    <n v="0.5"/>
    <s v="400W"/>
    <n v="3.5"/>
    <s v="CRACK"/>
    <n v="3475.189393939394"/>
    <x v="0"/>
    <n v="10"/>
    <n v="4"/>
    <n v="1.5"/>
    <n v="0"/>
  </r>
  <r>
    <s v="BC01"/>
    <s v="100N/BUCK CR RD"/>
    <s v="100N/BUCK CR RD"/>
    <m/>
    <s v="BUCK CREEK RD"/>
    <s v="W. CO. LINE"/>
    <n v="2636"/>
    <n v="20"/>
    <s v="AC"/>
    <s v="BC"/>
    <n v="0"/>
    <n v="7"/>
    <n v="7"/>
    <n v="3679"/>
    <n v="1.5"/>
    <s v="100N"/>
    <n v="4.5"/>
    <s v="CS"/>
    <n v="7488.636363636364"/>
    <x v="3"/>
    <n v="10"/>
    <n v="7"/>
    <n v="1.5"/>
    <n v="9"/>
  </r>
  <r>
    <s v="BR07"/>
    <s v="500S/500E"/>
    <s v="500S/500E"/>
    <m/>
    <s v="400E"/>
    <s v="500E"/>
    <n v="3470"/>
    <n v="20"/>
    <s v="CS"/>
    <s v="BR"/>
    <n v="0"/>
    <n v="7"/>
    <n v="7"/>
    <n v="652"/>
    <n v="0.5"/>
    <s v="500S"/>
    <n v="3.5"/>
    <s v="CS"/>
    <n v="9857.954545454546"/>
    <x v="0"/>
    <n v="10"/>
    <n v="7"/>
    <n v="1.5"/>
    <n v="0"/>
  </r>
  <r>
    <s v="BR08"/>
    <s v="500S/500E_A"/>
    <s v="500S/500E_A"/>
    <m/>
    <s v="MORRISTOWN PIKE"/>
    <s v="500E"/>
    <n v="1890"/>
    <n v="20"/>
    <s v="CS"/>
    <s v="BR"/>
    <n v="0"/>
    <n v="8"/>
    <n v="8"/>
    <n v="652"/>
    <n v="0.5"/>
    <s v="500S"/>
    <n v="2.5"/>
    <s v="CS"/>
    <n v="5369.318181818182"/>
    <x v="0"/>
    <n v="12"/>
    <n v="7"/>
    <n v="1.5"/>
    <n v="0"/>
  </r>
  <r>
    <s v="V98"/>
    <s v="50W/1050N"/>
    <s v="50W/1050N"/>
    <m/>
    <s v="1000N"/>
    <s v="1050N"/>
    <n v="2649"/>
    <n v="20"/>
    <s v="AC"/>
    <s v="V"/>
    <n v="0"/>
    <n v="7"/>
    <n v="8"/>
    <n v="648"/>
    <n v="0.5"/>
    <s v="50W"/>
    <n v="2.5"/>
    <s v="CS"/>
    <n v="7525.568181818182"/>
    <x v="6"/>
    <n v="12"/>
    <n v="7"/>
    <n v="1.5"/>
    <n v="4.5"/>
  </r>
  <r>
    <s v="SC51"/>
    <s v="100S/200W"/>
    <s v="100S/200W"/>
    <m/>
    <s v="200W"/>
    <s v="250W"/>
    <n v="2590"/>
    <n v="20"/>
    <s v="AC"/>
    <s v="SC"/>
    <n v="0"/>
    <n v="7"/>
    <n v="9"/>
    <n v="645"/>
    <n v="0.5"/>
    <s v="100S"/>
    <n v="1.5"/>
    <s v="CS"/>
    <n v="7357.954545454545"/>
    <x v="6"/>
    <n v="14"/>
    <n v="7"/>
    <n v="1"/>
    <n v="3"/>
  </r>
  <r>
    <s v="BC03"/>
    <s v="100N/600W"/>
    <s v="100N/600W"/>
    <m/>
    <s v="700W"/>
    <s v="600W"/>
    <n v="5350"/>
    <n v="20"/>
    <s v="AC"/>
    <s v="BC"/>
    <n v="0"/>
    <n v="7"/>
    <n v="8"/>
    <n v="2563"/>
    <n v="1.5"/>
    <s v="100N"/>
    <n v="3.5"/>
    <s v="CS"/>
    <n v="15198.863636363636"/>
    <x v="3"/>
    <n v="12"/>
    <n v="7"/>
    <n v="1.5"/>
    <n v="9"/>
  </r>
  <r>
    <s v="SC09"/>
    <s v="600S/150W"/>
    <s v="600S/150W"/>
    <m/>
    <s v="300W"/>
    <s v="150W"/>
    <n v="7796"/>
    <n v="20"/>
    <s v="AC"/>
    <s v="SC"/>
    <n v="0"/>
    <n v="7"/>
    <n v="7"/>
    <n v="635"/>
    <n v="0.5"/>
    <s v="600S"/>
    <n v="3.5"/>
    <s v="CS"/>
    <n v="22147.727272727272"/>
    <x v="6"/>
    <n v="10"/>
    <n v="7"/>
    <n v="1.5"/>
    <n v="4.5"/>
  </r>
  <r>
    <s v="BW60"/>
    <s v="MORRISTOWN PK/200S"/>
    <s v="MORRISTOWN PK/200S"/>
    <m/>
    <s v="200S"/>
    <s v="300S"/>
    <n v="5830"/>
    <n v="20"/>
    <s v="CS"/>
    <s v="BW"/>
    <n v="0"/>
    <n v="6"/>
    <n v="7"/>
    <n v="625"/>
    <n v="0.5"/>
    <s v="MORRISTOWN PK."/>
    <n v="3.5"/>
    <s v="DS"/>
    <n v="27604.166666666668"/>
    <x v="4"/>
    <n v="10"/>
    <n v="7"/>
    <n v="1.5"/>
    <n v="1.5"/>
  </r>
  <r>
    <s v="V11"/>
    <s v="650N/600W"/>
    <s v="650N/600W"/>
    <m/>
    <s v="650W"/>
    <s v="700W"/>
    <n v="2700"/>
    <n v="20"/>
    <s v="AC"/>
    <s v="V"/>
    <n v="0"/>
    <n v="8"/>
    <n v="7"/>
    <n v="615"/>
    <n v="0.5"/>
    <s v="650N"/>
    <n v="3.5"/>
    <s v="CRACK"/>
    <n v="3017.0454545454545"/>
    <x v="0"/>
    <n v="10"/>
    <n v="4"/>
    <n v="1.5"/>
    <n v="0"/>
  </r>
  <r>
    <s v="BC27"/>
    <s v="350N/700W"/>
    <s v="350N/700W"/>
    <m/>
    <s v="700W"/>
    <s v="800W"/>
    <n v="5280"/>
    <n v="20"/>
    <s v="AC"/>
    <s v="BC"/>
    <n v="0"/>
    <n v="7"/>
    <n v="8"/>
    <n v="614"/>
    <n v="0.5"/>
    <s v="350N"/>
    <n v="2.5"/>
    <s v="CS"/>
    <n v="15000"/>
    <x v="6"/>
    <n v="12"/>
    <n v="7"/>
    <n v="1.5"/>
    <n v="4.5"/>
  </r>
  <r>
    <s v="BC79"/>
    <s v="400W/150N"/>
    <s v="400W/150N"/>
    <m/>
    <s v="100N"/>
    <s v="150N"/>
    <n v="2693"/>
    <n v="20"/>
    <s v="AC"/>
    <s v="BC"/>
    <n v="0"/>
    <n v="7"/>
    <n v="8"/>
    <n v="605"/>
    <n v="0.5"/>
    <s v="400W"/>
    <n v="2.5"/>
    <s v="CS"/>
    <n v="7650.568181818182"/>
    <x v="1"/>
    <n v="12"/>
    <n v="7"/>
    <n v="1.5"/>
    <n v="6"/>
  </r>
  <r>
    <s v="BC78"/>
    <s v="400W/200N"/>
    <s v="400W/200N"/>
    <m/>
    <s v="150N"/>
    <s v="200N"/>
    <n v="2693"/>
    <n v="20"/>
    <s v="AC"/>
    <s v="BC"/>
    <n v="0"/>
    <n v="7"/>
    <n v="7"/>
    <n v="597"/>
    <n v="0.5"/>
    <s v="400W"/>
    <n v="3.5"/>
    <s v="CS"/>
    <n v="7650.568181818182"/>
    <x v="1"/>
    <n v="10"/>
    <n v="7"/>
    <n v="1.5"/>
    <n v="6"/>
  </r>
  <r>
    <s v="BW59"/>
    <s v="MORRISTOWN PK/300S"/>
    <s v="MORRISTOWN PK/300S"/>
    <m/>
    <s v="300S"/>
    <s v="400S"/>
    <n v="5934"/>
    <n v="20"/>
    <s v="CS"/>
    <s v="BW"/>
    <n v="0"/>
    <n v="7"/>
    <n v="7"/>
    <n v="593"/>
    <n v="0.5"/>
    <s v="MORRISTOWN PK."/>
    <n v="3.5"/>
    <s v="CS"/>
    <n v="16857.954545454544"/>
    <x v="0"/>
    <n v="10"/>
    <n v="7"/>
    <n v="1.5"/>
    <n v="0"/>
  </r>
  <r>
    <s v="BW02"/>
    <s v="600S/100W"/>
    <s v="600S/100W"/>
    <m/>
    <s v="150W"/>
    <s v="100W"/>
    <n v="2983"/>
    <n v="20"/>
    <s v="AC"/>
    <s v="BW"/>
    <n v="0"/>
    <n v="7"/>
    <n v="7"/>
    <n v="575"/>
    <n v="0.5"/>
    <s v="600S"/>
    <n v="3.5"/>
    <s v="CS"/>
    <n v="8474.431818181818"/>
    <x v="6"/>
    <n v="10"/>
    <n v="7"/>
    <n v="1.5"/>
    <n v="4.5"/>
  </r>
  <r>
    <s v="BC13"/>
    <s v="200N/600W"/>
    <s v="200N/600W"/>
    <m/>
    <s v="600W"/>
    <s v="700W"/>
    <n v="5616"/>
    <n v="20"/>
    <s v="AC"/>
    <s v="BC"/>
    <n v="0"/>
    <n v="7"/>
    <n v="7"/>
    <n v="567"/>
    <n v="0.5"/>
    <s v="200N"/>
    <n v="3.5"/>
    <s v="CS"/>
    <n v="15954.545454545454"/>
    <x v="1"/>
    <n v="10"/>
    <n v="7"/>
    <n v="1.5"/>
    <n v="6"/>
  </r>
  <r>
    <s v="BW09"/>
    <s v="500S/200E"/>
    <s v="500S/200E"/>
    <m/>
    <s v="SR 9"/>
    <s v="200E"/>
    <n v="2470"/>
    <n v="20"/>
    <s v="AC"/>
    <s v="BW"/>
    <n v="0"/>
    <n v="9"/>
    <n v="8"/>
    <n v="565"/>
    <n v="0.5"/>
    <s v="500S"/>
    <n v="2.5"/>
    <s v="CRACK"/>
    <n v="2760.037878787879"/>
    <x v="0"/>
    <n v="12"/>
    <n v="4"/>
    <n v="1.5"/>
    <n v="0"/>
  </r>
  <r>
    <s v="BC23"/>
    <s v="300N/400W"/>
    <s v="300N/400W"/>
    <m/>
    <s v="400W"/>
    <s v="500W"/>
    <n v="5387"/>
    <n v="20"/>
    <s v="AC"/>
    <s v="BC"/>
    <n v="0"/>
    <n v="6"/>
    <n v="7"/>
    <n v="2381"/>
    <n v="1"/>
    <s v="300N"/>
    <n v="4"/>
    <s v="CS"/>
    <n v="15303.977272727272"/>
    <x v="3"/>
    <n v="10"/>
    <n v="7"/>
    <n v="1.5"/>
    <n v="9"/>
  </r>
  <r>
    <s v="C48"/>
    <s v="150W/100S"/>
    <s v="150W/100S"/>
    <m/>
    <s v="100S"/>
    <s v="200S"/>
    <n v="5320"/>
    <n v="20"/>
    <s v="CS"/>
    <s v="C"/>
    <n v="0"/>
    <n v="6"/>
    <n v="7"/>
    <n v="558"/>
    <n v="0.5"/>
    <s v="150W"/>
    <n v="3.5"/>
    <s v="CS"/>
    <n v="15113.636363636364"/>
    <x v="0"/>
    <n v="10"/>
    <n v="7"/>
    <n v="1.5"/>
    <n v="0"/>
  </r>
  <r>
    <s v="BW44"/>
    <s v="MERIDIAN RD./300S"/>
    <s v="MERIDIAN RD./300S"/>
    <m/>
    <s v="400S"/>
    <s v="300S"/>
    <n v="5360"/>
    <n v="20"/>
    <s v="AC"/>
    <s v="BW"/>
    <n v="0"/>
    <n v="7"/>
    <n v="8"/>
    <n v="557"/>
    <n v="0.5"/>
    <s v="MERIDIAN RD."/>
    <n v="2.5"/>
    <s v="CS"/>
    <n v="15227.272727272728"/>
    <x v="1"/>
    <n v="12"/>
    <n v="7"/>
    <n v="1.5"/>
    <n v="6"/>
  </r>
  <r>
    <s v="BC49"/>
    <s v="BUCK CREEK RD/100N"/>
    <s v="BUCK CREEK RD/100N"/>
    <m/>
    <s v="100N"/>
    <s v="S.TWP.LINE"/>
    <n v="6430"/>
    <n v="20"/>
    <s v="AC"/>
    <s v="BC"/>
    <n v="0"/>
    <n v="7"/>
    <n v="6"/>
    <n v="550"/>
    <n v="0.5"/>
    <s v="BUCK CREEK RD/100N"/>
    <n v="4.5"/>
    <s v="CS"/>
    <n v="18267.045454545456"/>
    <x v="1"/>
    <n v="8"/>
    <n v="7"/>
    <n v="2"/>
    <n v="8"/>
  </r>
  <r>
    <s v="BR37"/>
    <s v="100S/600E"/>
    <s v="100S/600E"/>
    <m/>
    <s v="600E"/>
    <s v="500E"/>
    <n v="5310"/>
    <n v="20"/>
    <s v="AC"/>
    <s v="BR"/>
    <n v="0"/>
    <n v="7"/>
    <n v="7"/>
    <n v="548"/>
    <n v="0.5"/>
    <s v="100S"/>
    <n v="3.5"/>
    <s v="CS"/>
    <n v="15085.227272727272"/>
    <x v="1"/>
    <n v="10"/>
    <n v="7"/>
    <n v="1.5"/>
    <n v="6"/>
  </r>
  <r>
    <s v="SC43"/>
    <s v="200S/JACOBI RD"/>
    <s v="200S/JACOBI RD"/>
    <m/>
    <s v="400W"/>
    <s v="JACOBI ROAD"/>
    <n v="4010"/>
    <n v="20"/>
    <s v="AC"/>
    <s v="SC"/>
    <n v="0"/>
    <n v="7"/>
    <n v="7"/>
    <n v="543"/>
    <n v="0.5"/>
    <s v="200S"/>
    <n v="3.5"/>
    <s v="CS"/>
    <n v="11392.045454545454"/>
    <x v="1"/>
    <n v="10"/>
    <n v="7"/>
    <n v="1.5"/>
    <n v="6"/>
  </r>
  <r>
    <s v="BC89"/>
    <s v="300W/100N"/>
    <s v="300W/100N"/>
    <m/>
    <s v="TWP. LINE"/>
    <s v="100N"/>
    <n v="6342"/>
    <n v="20"/>
    <s v="AC"/>
    <s v="BC"/>
    <n v="0"/>
    <n v="6"/>
    <n v="7"/>
    <n v="541"/>
    <n v="0.5"/>
    <s v="300W"/>
    <n v="3.5"/>
    <s v="DS"/>
    <n v="30028.409090909092"/>
    <x v="4"/>
    <n v="10"/>
    <n v="7"/>
    <n v="1.5"/>
    <n v="1.5"/>
  </r>
  <r>
    <s v="G06"/>
    <s v="600N/500E"/>
    <s v="600N/500E"/>
    <m/>
    <s v="500E"/>
    <s v="400E"/>
    <n v="5329"/>
    <n v="20"/>
    <s v="AC"/>
    <s v="G"/>
    <n v="0"/>
    <n v="7"/>
    <n v="8"/>
    <n v="539"/>
    <n v="0.5"/>
    <s v="600N"/>
    <n v="2.5"/>
    <s v="CS"/>
    <n v="15139.204545454546"/>
    <x v="1"/>
    <n v="12"/>
    <n v="7"/>
    <n v="1.5"/>
    <n v="6"/>
  </r>
  <r>
    <s v="J47"/>
    <s v="600E/US40"/>
    <s v="600E/US40"/>
    <m/>
    <s v="US40"/>
    <s v="TWP. LINE"/>
    <n v="988"/>
    <n v="20"/>
    <s v="AC"/>
    <s v="J"/>
    <n v="0"/>
    <n v="6"/>
    <n v="7"/>
    <n v="2222"/>
    <n v="1"/>
    <s v="600E"/>
    <n v="4"/>
    <s v="CS"/>
    <n v="2806.818181818182"/>
    <x v="3"/>
    <n v="10"/>
    <n v="7"/>
    <n v="1.5"/>
    <n v="9"/>
  </r>
  <r>
    <s v="V04"/>
    <s v="600N/400W"/>
    <s v="600N/400W"/>
    <m/>
    <s v="400W"/>
    <s v="500W"/>
    <n v="3994"/>
    <n v="20"/>
    <s v="AC"/>
    <s v="V"/>
    <n v="0"/>
    <n v="6"/>
    <n v="7"/>
    <n v="2165"/>
    <n v="1"/>
    <s v="600N"/>
    <n v="4"/>
    <s v="CS"/>
    <n v="11346.59090909091"/>
    <x v="3"/>
    <n v="10"/>
    <n v="7"/>
    <n v="1.5"/>
    <n v="9"/>
  </r>
  <r>
    <s v="SC100"/>
    <s v="300W/300S"/>
    <s v="300W/300S"/>
    <m/>
    <s v="300S"/>
    <s v="400S"/>
    <n v="5335"/>
    <n v="20"/>
    <s v="AC"/>
    <s v="SC"/>
    <n v="0"/>
    <n v="6"/>
    <n v="8"/>
    <n v="521"/>
    <n v="0.5"/>
    <s v="300W"/>
    <n v="2.5"/>
    <s v="CS"/>
    <n v="15156.25"/>
    <x v="4"/>
    <n v="12"/>
    <n v="7"/>
    <n v="1.5"/>
    <n v="1.5"/>
  </r>
  <r>
    <s v="BC82"/>
    <s v="350W/100N"/>
    <s v="350W/100N"/>
    <m/>
    <s v="100N"/>
    <s v="US 40"/>
    <n v="7010"/>
    <n v="20"/>
    <s v="AC"/>
    <s v="BC"/>
    <n v="0"/>
    <n v="7"/>
    <n v="7"/>
    <n v="507"/>
    <n v="0.5"/>
    <s v="350W"/>
    <n v="3.5"/>
    <s v="CS"/>
    <n v="19914.772727272728"/>
    <x v="1"/>
    <n v="10"/>
    <n v="7"/>
    <n v="1.5"/>
    <n v="6"/>
  </r>
  <r>
    <s v="BW46"/>
    <s v="100E/S.CO. LINE"/>
    <s v="100E/S.CO. LINE"/>
    <m/>
    <s v="COUNTY LINE"/>
    <s v="500S"/>
    <n v="5645"/>
    <n v="20"/>
    <s v="AC"/>
    <s v="BW"/>
    <n v="0"/>
    <n v="7"/>
    <n v="7"/>
    <n v="498"/>
    <n v="0"/>
    <s v="100E"/>
    <n v="3"/>
    <s v="CS"/>
    <n v="16036.931818181818"/>
    <x v="1"/>
    <n v="10"/>
    <n v="7"/>
    <n v="1.5"/>
    <n v="6"/>
  </r>
  <r>
    <s v="BR45"/>
    <s v="MORRISTOWN PK/400S"/>
    <s v="MORRISTOWN PK/400S"/>
    <m/>
    <s v="400S"/>
    <s v="500S"/>
    <n v="5960"/>
    <n v="20"/>
    <s v="CS"/>
    <s v="BR"/>
    <n v="0"/>
    <n v="7"/>
    <n v="7"/>
    <n v="497"/>
    <n v="0"/>
    <s v="MORRISTOWN PK."/>
    <n v="3"/>
    <s v="DS"/>
    <n v="28219.696969696968"/>
    <x v="4"/>
    <n v="10"/>
    <n v="7"/>
    <n v="1.5"/>
    <n v="1.5"/>
  </r>
  <r>
    <s v="BW17"/>
    <s v="400S/SR9"/>
    <s v="400S/SR9"/>
    <m/>
    <s v="SR 9"/>
    <s v="100E"/>
    <n v="4630"/>
    <n v="20"/>
    <s v="AC"/>
    <s v="BW"/>
    <n v="0"/>
    <n v="8"/>
    <n v="7"/>
    <n v="491"/>
    <n v="0"/>
    <s v="400S"/>
    <n v="3"/>
    <s v="CRACK"/>
    <n v="5173.674242424242"/>
    <x v="0"/>
    <n v="10"/>
    <n v="4"/>
    <n v="1.5"/>
    <n v="0"/>
  </r>
  <r>
    <s v="SC27"/>
    <s v="400S/200W"/>
    <s v="400S/200W"/>
    <m/>
    <s v="200W"/>
    <s v="300W"/>
    <n v="5290"/>
    <n v="20"/>
    <s v="AC"/>
    <s v="SC"/>
    <n v="0"/>
    <n v="7"/>
    <n v="6"/>
    <n v="489"/>
    <n v="0"/>
    <s v="400S"/>
    <n v="4"/>
    <s v="CS"/>
    <n v="15028.40909090909"/>
    <x v="1"/>
    <n v="8"/>
    <n v="7"/>
    <n v="2"/>
    <n v="8"/>
  </r>
  <r>
    <s v="BR38"/>
    <s v="100S/675E"/>
    <s v="100S/675E"/>
    <m/>
    <s v="675E"/>
    <s v="600E"/>
    <n v="3410"/>
    <n v="20"/>
    <s v="AC"/>
    <s v="BR"/>
    <n v="0"/>
    <n v="7"/>
    <n v="7"/>
    <n v="487"/>
    <n v="0"/>
    <s v="100S"/>
    <n v="3"/>
    <s v="CS"/>
    <n v="9687.5"/>
    <x v="1"/>
    <n v="10"/>
    <n v="7"/>
    <n v="1.5"/>
    <n v="6"/>
  </r>
  <r>
    <s v="C14"/>
    <s v="100N/500E"/>
    <s v="100N/500E"/>
    <m/>
    <s v="400E"/>
    <s v="500E"/>
    <n v="5438"/>
    <n v="20"/>
    <s v="AC"/>
    <s v="C"/>
    <n v="0"/>
    <n v="6"/>
    <n v="6"/>
    <n v="995"/>
    <n v="0.5"/>
    <s v="100N"/>
    <n v="4.5"/>
    <s v="CS"/>
    <n v="15448.863636363636"/>
    <x v="3"/>
    <n v="8"/>
    <n v="7"/>
    <n v="2"/>
    <n v="12"/>
  </r>
  <r>
    <s v="BC36"/>
    <s v="500N/500W"/>
    <s v="500N/500W"/>
    <m/>
    <s v="600W"/>
    <s v="500W"/>
    <n v="4960"/>
    <n v="20"/>
    <s v="AC"/>
    <s v="BC"/>
    <n v="0"/>
    <n v="6"/>
    <n v="7"/>
    <n v="954"/>
    <n v="0.5"/>
    <s v="500N"/>
    <n v="3.5"/>
    <s v="CS"/>
    <n v="14090.90909090909"/>
    <x v="3"/>
    <n v="10"/>
    <n v="7"/>
    <n v="1.5"/>
    <n v="9"/>
  </r>
  <r>
    <s v="SC25"/>
    <s v="400S/400W"/>
    <s v="400S/400W"/>
    <m/>
    <s v="400W"/>
    <s v="450W"/>
    <n v="2715"/>
    <n v="20"/>
    <s v="CS"/>
    <s v="SC"/>
    <n v="0"/>
    <n v="10"/>
    <n v="9"/>
    <n v="478"/>
    <n v="0"/>
    <s v="400S"/>
    <n v="1"/>
    <s v="CRACK"/>
    <n v="3033.806818181818"/>
    <x v="3"/>
    <n v="14"/>
    <n v="4"/>
    <n v="1"/>
    <n v="6"/>
  </r>
  <r>
    <s v="B08"/>
    <s v="650N/MAIN ST"/>
    <s v="650N/MAIN ST"/>
    <m/>
    <s v="THOMAS RD."/>
    <s v="MAIN ST."/>
    <n v="865"/>
    <n v="20"/>
    <s v="AC"/>
    <s v="B"/>
    <n v="0"/>
    <n v="6"/>
    <n v="6"/>
    <n v="478"/>
    <n v="0"/>
    <s v="650N"/>
    <n v="4"/>
    <s v="DS"/>
    <n v="4095.6439393939395"/>
    <x v="2"/>
    <n v="8"/>
    <n v="7"/>
    <n v="2"/>
    <n v="10"/>
  </r>
  <r>
    <s v="BW45"/>
    <s v="MERIDIAN RD./200S"/>
    <s v="MERIDIAN RD./200S"/>
    <m/>
    <s v="300S"/>
    <s v="200S"/>
    <n v="5330"/>
    <n v="20"/>
    <s v="AC"/>
    <s v="BW"/>
    <n v="0"/>
    <n v="6"/>
    <n v="7"/>
    <n v="894"/>
    <n v="0.5"/>
    <s v="MERIDIAN RD."/>
    <n v="3.5"/>
    <s v="CS"/>
    <n v="15142.045454545454"/>
    <x v="3"/>
    <n v="10"/>
    <n v="7"/>
    <n v="1.5"/>
    <n v="9"/>
  </r>
  <r>
    <s v="C80"/>
    <s v="400E/600N"/>
    <s v="400E/600N"/>
    <m/>
    <s v="500N"/>
    <s v="600N"/>
    <n v="5050"/>
    <n v="20"/>
    <s v="AC"/>
    <s v="C"/>
    <n v="0"/>
    <n v="7"/>
    <n v="7"/>
    <n v="470"/>
    <n v="0"/>
    <s v="400E"/>
    <n v="3"/>
    <s v="CS"/>
    <n v="14346.59090909091"/>
    <x v="1"/>
    <n v="10"/>
    <n v="7"/>
    <n v="1.5"/>
    <n v="6"/>
  </r>
  <r>
    <s v="J15"/>
    <s v="250N/800E"/>
    <s v="250N/800E"/>
    <m/>
    <s v="700E"/>
    <s v="800E"/>
    <n v="5438"/>
    <n v="20"/>
    <s v="AC"/>
    <s v="J"/>
    <n v="0"/>
    <n v="6"/>
    <n v="6"/>
    <n v="882"/>
    <n v="0.5"/>
    <s v="250N"/>
    <n v="4.5"/>
    <s v="CS"/>
    <n v="15448.863636363636"/>
    <x v="3"/>
    <n v="8"/>
    <n v="7"/>
    <n v="2"/>
    <n v="12"/>
  </r>
  <r>
    <s v="J14"/>
    <s v="250N/700E"/>
    <s v="250N/700E"/>
    <m/>
    <s v="600E"/>
    <s v="700E"/>
    <n v="4400"/>
    <n v="20"/>
    <s v="AC"/>
    <s v="J"/>
    <n v="0"/>
    <n v="6"/>
    <n v="6"/>
    <n v="876"/>
    <n v="0.5"/>
    <s v="250N"/>
    <n v="4.5"/>
    <s v="CS"/>
    <n v="12500"/>
    <x v="3"/>
    <n v="8"/>
    <n v="7"/>
    <n v="2"/>
    <n v="12"/>
  </r>
  <r>
    <s v="C49"/>
    <s v="150W/US40"/>
    <s v="150W/US40"/>
    <m/>
    <s v="US40"/>
    <s v="100S"/>
    <n v="3845"/>
    <n v="20"/>
    <s v="CS"/>
    <s v="C"/>
    <n v="0"/>
    <n v="5"/>
    <n v="6"/>
    <n v="454"/>
    <n v="0"/>
    <s v="150W"/>
    <n v="4"/>
    <s v="SP/CS"/>
    <n v="29128.78787878788"/>
    <x v="0"/>
    <n v="8"/>
    <n v="10"/>
    <n v="2"/>
    <n v="0"/>
  </r>
  <r>
    <s v="SC14"/>
    <s v="STINEMYER RD/550W"/>
    <s v="STINEMYER RD/550W"/>
    <m/>
    <s v="550W"/>
    <s v="600W"/>
    <n v="2520"/>
    <n v="20"/>
    <s v="AC"/>
    <s v="SC"/>
    <n v="0"/>
    <n v="8"/>
    <n v="8"/>
    <n v="450"/>
    <n v="0"/>
    <s v="STINEMEYER RD"/>
    <n v="2"/>
    <s v="CRACK"/>
    <n v="2815.909090909091"/>
    <x v="0"/>
    <n v="12"/>
    <n v="4"/>
    <n v="1.5"/>
    <n v="0"/>
  </r>
  <r>
    <s v="BR27"/>
    <s v="250S/700E"/>
    <s v="250S/700E"/>
    <m/>
    <s v="700E"/>
    <s v="600E"/>
    <n v="4790"/>
    <n v="20"/>
    <s v="CS"/>
    <s v="BR"/>
    <n v="0"/>
    <n v="4"/>
    <n v="4"/>
    <n v="449"/>
    <n v="0"/>
    <s v="250S"/>
    <n v="6"/>
    <s v="SP/CS"/>
    <n v="36287.878787878784"/>
    <x v="0"/>
    <n v="3"/>
    <n v="10"/>
    <n v="2.5"/>
    <n v="0"/>
  </r>
  <r>
    <s v="V61"/>
    <s v="500W/700N"/>
    <s v="500W/700N"/>
    <m/>
    <s v="600N"/>
    <s v="700N"/>
    <n v="5371"/>
    <n v="20"/>
    <s v="CS"/>
    <s v="V"/>
    <n v="0"/>
    <n v="6"/>
    <n v="7"/>
    <n v="868"/>
    <n v="0.5"/>
    <s v="500W"/>
    <n v="3.5"/>
    <s v="CS"/>
    <n v="15258.522727272728"/>
    <x v="3"/>
    <n v="10"/>
    <n v="7"/>
    <n v="1.5"/>
    <n v="9"/>
  </r>
  <r>
    <s v="BC76"/>
    <s v="400W/400N"/>
    <s v="400W/400N"/>
    <m/>
    <s v="400N"/>
    <s v="300N"/>
    <n v="5320"/>
    <n v="20"/>
    <s v="CS"/>
    <s v="BC"/>
    <n v="0"/>
    <n v="8"/>
    <n v="7"/>
    <n v="445"/>
    <n v="0"/>
    <s v="400W"/>
    <n v="3"/>
    <s v="CS"/>
    <n v="15113.636363636364"/>
    <x v="1"/>
    <n v="10"/>
    <n v="7"/>
    <n v="1.5"/>
    <n v="6"/>
  </r>
  <r>
    <s v="SC26"/>
    <s v="400S/300W"/>
    <s v="400S/300W"/>
    <m/>
    <s v="300W"/>
    <s v="400W"/>
    <n v="5350"/>
    <n v="20"/>
    <s v="AC"/>
    <s v="SC"/>
    <n v="0"/>
    <n v="7"/>
    <n v="7"/>
    <n v="439"/>
    <n v="0"/>
    <s v="400S"/>
    <n v="3"/>
    <s v="CS"/>
    <n v="15198.863636363636"/>
    <x v="1"/>
    <n v="10"/>
    <n v="7"/>
    <n v="1.5"/>
    <n v="6"/>
  </r>
  <r>
    <s v="B10"/>
    <s v="650N/725E"/>
    <s v="650N/725E"/>
    <m/>
    <s v="700E"/>
    <s v="725E"/>
    <n v="1372"/>
    <n v="20"/>
    <s v="AC"/>
    <s v="B"/>
    <n v="0"/>
    <n v="6"/>
    <n v="7"/>
    <n v="437"/>
    <n v="0"/>
    <s v="650N"/>
    <n v="3"/>
    <s v="DS"/>
    <n v="6496.212121212121"/>
    <x v="4"/>
    <n v="10"/>
    <n v="7"/>
    <n v="1.5"/>
    <n v="1.5"/>
  </r>
  <r>
    <s v="B11"/>
    <s v="650N/800E"/>
    <s v="650N/800E"/>
    <m/>
    <s v="725E"/>
    <s v="800E"/>
    <n v="676"/>
    <n v="20"/>
    <s v="AC"/>
    <s v="B"/>
    <n v="0"/>
    <n v="6"/>
    <n v="7"/>
    <n v="437"/>
    <n v="0"/>
    <s v="650N"/>
    <n v="3"/>
    <s v="DS"/>
    <n v="3200.757575757576"/>
    <x v="4"/>
    <n v="10"/>
    <n v="7"/>
    <n v="1.5"/>
    <n v="1.5"/>
  </r>
  <r>
    <s v="G07"/>
    <s v="600N/600E"/>
    <s v="600N/600E"/>
    <m/>
    <s v="600E"/>
    <s v="500E"/>
    <n v="5452"/>
    <n v="20"/>
    <s v="AC"/>
    <s v="G"/>
    <n v="0"/>
    <n v="7"/>
    <n v="7"/>
    <n v="435"/>
    <n v="0"/>
    <s v="600N"/>
    <n v="3"/>
    <s v="CS"/>
    <n v="15488.636363636364"/>
    <x v="1"/>
    <n v="10"/>
    <n v="7"/>
    <n v="1.5"/>
    <n v="6"/>
  </r>
  <r>
    <s v="BW30"/>
    <s v="300S/400E"/>
    <s v="300S/400E"/>
    <m/>
    <s v="MORRISTOWN PIKE"/>
    <s v="400E"/>
    <n v="1750"/>
    <n v="20"/>
    <s v="CS"/>
    <s v="BW"/>
    <n v="0"/>
    <n v="9"/>
    <n v="8"/>
    <n v="431"/>
    <n v="0"/>
    <s v="300S"/>
    <n v="2"/>
    <s v="CS"/>
    <n v="4971.590909090909"/>
    <x v="1"/>
    <n v="12"/>
    <n v="7"/>
    <n v="1.5"/>
    <n v="6"/>
  </r>
  <r>
    <s v="BR21"/>
    <s v="300S/500E"/>
    <s v="300S/500E"/>
    <m/>
    <s v="400E"/>
    <s v="500E"/>
    <n v="5350"/>
    <n v="20"/>
    <s v="CS"/>
    <s v="BR"/>
    <n v="0"/>
    <n v="8"/>
    <n v="7"/>
    <n v="431"/>
    <n v="0"/>
    <s v="300S"/>
    <n v="3"/>
    <s v="CS"/>
    <n v="15198.863636363636"/>
    <x v="1"/>
    <n v="10"/>
    <n v="7"/>
    <n v="1.5"/>
    <n v="6"/>
  </r>
  <r>
    <s v="SC11"/>
    <s v="STINEMYER RD/675W"/>
    <s v="STINEMYER RD/675W"/>
    <m/>
    <s v="675W"/>
    <s v="700W"/>
    <n v="1345"/>
    <n v="20"/>
    <s v="AC"/>
    <s v="SC"/>
    <n v="0"/>
    <n v="7"/>
    <n v="8"/>
    <n v="431"/>
    <n v="0"/>
    <s v="STINEMEYER RD"/>
    <n v="2"/>
    <s v="CS"/>
    <n v="3821.0227272727275"/>
    <x v="1"/>
    <n v="12"/>
    <n v="7"/>
    <n v="1.5"/>
    <n v="6"/>
  </r>
  <r>
    <s v="G33"/>
    <s v="1000N/ALFORD RD"/>
    <s v="1000N/ALFORD RD"/>
    <m/>
    <s v="ALFORD RD."/>
    <s v="MERIDIAN RD."/>
    <n v="6758"/>
    <n v="20"/>
    <s v="AC"/>
    <s v="G"/>
    <n v="0"/>
    <n v="6"/>
    <n v="6"/>
    <n v="857"/>
    <n v="0.5"/>
    <s v="1000N"/>
    <n v="4.5"/>
    <s v="CS"/>
    <n v="19198.863636363636"/>
    <x v="3"/>
    <n v="8"/>
    <n v="7"/>
    <n v="2"/>
    <n v="12"/>
  </r>
  <r>
    <s v="C25"/>
    <s v="300N/375E"/>
    <s v="300N/375E"/>
    <m/>
    <s v="300E"/>
    <s v="375E"/>
    <n v="4060"/>
    <n v="20"/>
    <s v="AC"/>
    <s v="C"/>
    <n v="0"/>
    <n v="6"/>
    <n v="7"/>
    <n v="838"/>
    <n v="0.5"/>
    <s v="300N"/>
    <n v="3.5"/>
    <s v="CS"/>
    <n v="11534.09090909091"/>
    <x v="3"/>
    <n v="10"/>
    <n v="7"/>
    <n v="1.5"/>
    <n v="9"/>
  </r>
  <r>
    <s v="J02"/>
    <s v="100N/600E"/>
    <s v="100N/600E"/>
    <m/>
    <s v="500E"/>
    <s v="600E"/>
    <n v="5386"/>
    <n v="20"/>
    <s v="AC"/>
    <s v="J"/>
    <n v="0"/>
    <n v="6"/>
    <n v="6"/>
    <n v="801"/>
    <n v="0.5"/>
    <s v="100N"/>
    <n v="4.5"/>
    <s v="CS"/>
    <n v="15301.136363636364"/>
    <x v="3"/>
    <n v="8"/>
    <n v="7"/>
    <n v="2"/>
    <n v="12"/>
  </r>
  <r>
    <s v="SC102"/>
    <s v="300W/US52"/>
    <s v="300W/US52"/>
    <m/>
    <s v="US52"/>
    <s v="FAUT ROAD"/>
    <n v="1478"/>
    <n v="20"/>
    <s v="AC"/>
    <s v="SC"/>
    <n v="0"/>
    <n v="6"/>
    <n v="7"/>
    <n v="418"/>
    <n v="0"/>
    <s v="300W"/>
    <n v="3"/>
    <s v="DS"/>
    <n v="6998.106060606061"/>
    <x v="4"/>
    <n v="10"/>
    <n v="7"/>
    <n v="1.5"/>
    <n v="1.5"/>
  </r>
  <r>
    <s v="SC103"/>
    <s v="300W/FAUT RD"/>
    <s v="300W/FAUT RD"/>
    <m/>
    <s v="FAUT ROAD"/>
    <s v="600S"/>
    <n v="3960"/>
    <n v="20"/>
    <s v="AC"/>
    <s v="SC"/>
    <n v="0"/>
    <n v="6"/>
    <n v="7"/>
    <n v="406"/>
    <n v="0"/>
    <s v="300W"/>
    <n v="3"/>
    <s v="P"/>
    <n v="52500"/>
    <x v="4"/>
    <n v="10"/>
    <n v="15"/>
    <n v="1.5"/>
    <n v="1.5"/>
  </r>
  <r>
    <s v="BW10"/>
    <s v="500S/300E"/>
    <s v="500S/300E"/>
    <m/>
    <s v="200E"/>
    <s v="300E"/>
    <n v="5325"/>
    <n v="20"/>
    <s v="AC"/>
    <s v="BW"/>
    <n v="0"/>
    <n v="7"/>
    <n v="7"/>
    <n v="402"/>
    <n v="0"/>
    <s v="500S"/>
    <n v="3"/>
    <s v="CS"/>
    <n v="15127.84090909091"/>
    <x v="1"/>
    <n v="10"/>
    <n v="7"/>
    <n v="1.5"/>
    <n v="6"/>
  </r>
  <r>
    <s v="BW43"/>
    <s v="MERIDIAN RD./400S"/>
    <s v="MERIDIAN RD./400S"/>
    <m/>
    <s v="500S"/>
    <s v="400S"/>
    <n v="5340"/>
    <n v="20"/>
    <s v="AC"/>
    <s v="BW"/>
    <n v="0"/>
    <n v="8"/>
    <n v="7"/>
    <n v="402"/>
    <n v="0"/>
    <s v="MERIDIAN RD."/>
    <n v="3"/>
    <s v="CRACK"/>
    <n v="5967.045454545455"/>
    <x v="0"/>
    <n v="10"/>
    <n v="4"/>
    <n v="1.5"/>
    <n v="0"/>
  </r>
  <r>
    <s v="C26"/>
    <s v="300N/400E"/>
    <s v="300N/400E"/>
    <m/>
    <s v="375E"/>
    <s v="400E"/>
    <n v="1353"/>
    <n v="20"/>
    <s v="AC"/>
    <s v="C"/>
    <n v="0"/>
    <n v="6"/>
    <n v="7"/>
    <n v="769"/>
    <n v="0.5"/>
    <s v="300N"/>
    <n v="3.5"/>
    <s v="CS"/>
    <n v="3843.75"/>
    <x v="3"/>
    <n v="10"/>
    <n v="7"/>
    <n v="1.5"/>
    <n v="9"/>
  </r>
  <r>
    <s v="C04"/>
    <s v="200S/100E"/>
    <s v="200S/100E"/>
    <m/>
    <s v="MERIDIAN ROAD"/>
    <s v="100E"/>
    <n v="5046"/>
    <n v="20"/>
    <s v="AC"/>
    <s v="C"/>
    <n v="0"/>
    <n v="7"/>
    <n v="7"/>
    <n v="400"/>
    <n v="0"/>
    <s v="200S"/>
    <n v="3"/>
    <s v="CS"/>
    <n v="14335.227272727272"/>
    <x v="1"/>
    <n v="10"/>
    <n v="7"/>
    <n v="1.5"/>
    <n v="6"/>
  </r>
  <r>
    <s v="C05"/>
    <s v="200S/SR9"/>
    <s v="200S/SR9"/>
    <m/>
    <s v="100E"/>
    <s v="SR 9"/>
    <n v="1335"/>
    <n v="20"/>
    <s v="AC"/>
    <s v="C"/>
    <n v="0"/>
    <n v="6"/>
    <n v="6"/>
    <n v="400"/>
    <n v="0"/>
    <s v="200S"/>
    <n v="4"/>
    <s v="P"/>
    <n v="17698.863636363636"/>
    <x v="0"/>
    <n v="8"/>
    <n v="15"/>
    <n v="2"/>
    <n v="0"/>
  </r>
  <r>
    <s v="SC79"/>
    <s v="550W/US52"/>
    <s v="550W/US52"/>
    <m/>
    <s v="STINEMYER RD."/>
    <s v="US52"/>
    <n v="2008"/>
    <n v="20"/>
    <s v="AC"/>
    <s v="SC"/>
    <n v="0"/>
    <n v="6"/>
    <n v="6"/>
    <n v="745"/>
    <n v="0.5"/>
    <s v="550W"/>
    <n v="4.5"/>
    <s v="CS"/>
    <n v="5704.545454545455"/>
    <x v="3"/>
    <n v="8"/>
    <n v="7"/>
    <n v="2"/>
    <n v="12"/>
  </r>
  <r>
    <s v="SC50"/>
    <s v="100S/250W"/>
    <s v="100S/250W"/>
    <m/>
    <s v="250W"/>
    <s v="JACOBI ROAD"/>
    <n v="2650"/>
    <n v="20"/>
    <s v="AC"/>
    <s v="SC"/>
    <n v="0"/>
    <n v="6"/>
    <n v="7"/>
    <n v="698"/>
    <n v="0.5"/>
    <s v="100S"/>
    <n v="3.5"/>
    <s v="CS"/>
    <n v="7528.409090909091"/>
    <x v="3"/>
    <n v="10"/>
    <n v="7"/>
    <n v="1.5"/>
    <n v="9"/>
  </r>
  <r>
    <s v="SC12"/>
    <s v="STINEMYER RD/650W"/>
    <s v="STINEMYER RD/650W"/>
    <m/>
    <s v="650W"/>
    <s v="675W"/>
    <n v="1350"/>
    <n v="20"/>
    <s v="AC"/>
    <s v="SC"/>
    <n v="0"/>
    <n v="7"/>
    <n v="8"/>
    <n v="396"/>
    <n v="0"/>
    <s v="STINEMEYER RD"/>
    <n v="2"/>
    <s v="CS"/>
    <n v="3835.2272727272725"/>
    <x v="1"/>
    <n v="12"/>
    <n v="7"/>
    <n v="1.5"/>
    <n v="6"/>
  </r>
  <r>
    <s v="BC88"/>
    <s v="300W/200N"/>
    <s v="300W/200N"/>
    <m/>
    <s v="100N"/>
    <s v="200N"/>
    <n v="5300"/>
    <n v="20"/>
    <s v="AC"/>
    <s v="BC"/>
    <n v="0"/>
    <n v="6"/>
    <n v="6"/>
    <n v="389"/>
    <n v="0"/>
    <s v="300W"/>
    <n v="4"/>
    <s v="P"/>
    <n v="70265.15151515152"/>
    <x v="0"/>
    <n v="8"/>
    <n v="15"/>
    <n v="2"/>
    <n v="0"/>
  </r>
  <r>
    <s v="SC47"/>
    <s v="100S/600W"/>
    <s v="100S/600W"/>
    <m/>
    <s v="600W"/>
    <s v="700W"/>
    <n v="5330"/>
    <n v="20"/>
    <s v="AC"/>
    <s v="SC"/>
    <n v="0"/>
    <n v="6"/>
    <n v="6"/>
    <n v="483"/>
    <n v="0"/>
    <s v="100S"/>
    <n v="4"/>
    <s v="CS"/>
    <n v="15142.045454545454"/>
    <x v="3"/>
    <n v="8"/>
    <n v="7"/>
    <n v="2"/>
    <n v="12"/>
  </r>
  <r>
    <s v="BR25"/>
    <s v="300S/800E"/>
    <s v="300S/800E"/>
    <m/>
    <s v="BINFORD ROAD"/>
    <s v="800E"/>
    <n v="4440"/>
    <n v="20"/>
    <s v="AC"/>
    <s v="BR"/>
    <n v="0"/>
    <n v="7"/>
    <n v="6"/>
    <n v="383"/>
    <n v="0"/>
    <s v="300S"/>
    <n v="4"/>
    <s v="CS"/>
    <n v="12613.636363636364"/>
    <x v="1"/>
    <n v="8"/>
    <n v="7"/>
    <n v="2"/>
    <n v="8"/>
  </r>
  <r>
    <s v="BW35"/>
    <s v="100W/500S"/>
    <s v="100W/500S"/>
    <m/>
    <s v="500S"/>
    <s v="SR52"/>
    <n v="3365"/>
    <n v="20"/>
    <s v="AC"/>
    <s v="BW"/>
    <n v="0"/>
    <n v="6"/>
    <n v="6"/>
    <n v="479"/>
    <n v="0"/>
    <s v="100W"/>
    <n v="4"/>
    <s v="CS"/>
    <n v="9559.6590909090901"/>
    <x v="3"/>
    <n v="8"/>
    <n v="7"/>
    <n v="2"/>
    <n v="12"/>
  </r>
  <r>
    <s v="SC70"/>
    <s v="700W/US52"/>
    <s v="700W/US52"/>
    <m/>
    <s v="US52"/>
    <s v="STINEMYER RD."/>
    <n v="5100"/>
    <n v="20"/>
    <s v="AC"/>
    <s v="SC"/>
    <n v="0"/>
    <n v="7"/>
    <n v="7"/>
    <n v="381"/>
    <n v="0"/>
    <s v="700W"/>
    <n v="3"/>
    <s v="CS"/>
    <n v="14488.636363636364"/>
    <x v="1"/>
    <n v="10"/>
    <n v="7"/>
    <n v="1.5"/>
    <n v="6"/>
  </r>
  <r>
    <s v="V77"/>
    <s v="300W/900N"/>
    <s v="300W/900N"/>
    <m/>
    <s v="SR234"/>
    <s v="900N"/>
    <n v="5289"/>
    <n v="20"/>
    <s v="AC"/>
    <s v="V"/>
    <n v="0"/>
    <n v="6"/>
    <n v="7"/>
    <n v="370"/>
    <n v="0"/>
    <s v="300W"/>
    <n v="3"/>
    <s v="P"/>
    <n v="70119.318181818177"/>
    <x v="4"/>
    <n v="10"/>
    <n v="15"/>
    <n v="1.5"/>
    <n v="1.5"/>
  </r>
  <r>
    <s v="SC44"/>
    <s v="200S/300W"/>
    <s v="200S/300W"/>
    <m/>
    <s v="JACOBI ROAD"/>
    <s v="300W"/>
    <n v="1373"/>
    <n v="20"/>
    <s v="AC"/>
    <s v="SC"/>
    <n v="0"/>
    <n v="7"/>
    <n v="7"/>
    <n v="367"/>
    <n v="0"/>
    <s v="200S"/>
    <n v="3"/>
    <s v="CS"/>
    <n v="3900.568181818182"/>
    <x v="1"/>
    <n v="10"/>
    <n v="7"/>
    <n v="1.5"/>
    <n v="6"/>
  </r>
  <r>
    <s v="V73"/>
    <s v="400W/1000N"/>
    <s v="400W/1000N"/>
    <m/>
    <s v="SR67"/>
    <s v="1000N"/>
    <n v="4340"/>
    <n v="20"/>
    <s v="CS"/>
    <s v="V"/>
    <n v="0"/>
    <n v="7"/>
    <n v="7"/>
    <n v="366"/>
    <n v="0"/>
    <s v="400W"/>
    <n v="3"/>
    <s v="DS"/>
    <n v="20549.242424242424"/>
    <x v="6"/>
    <n v="10"/>
    <n v="7"/>
    <n v="1.5"/>
    <n v="4.5"/>
  </r>
  <r>
    <s v="V95"/>
    <s v="50W/900N"/>
    <s v="50W/900N"/>
    <m/>
    <s v="850N"/>
    <s v="900N"/>
    <n v="2640"/>
    <n v="20"/>
    <s v="CS"/>
    <s v="V"/>
    <n v="0"/>
    <n v="7"/>
    <n v="7"/>
    <n v="366"/>
    <n v="0"/>
    <s v="50W"/>
    <n v="3"/>
    <s v="DS"/>
    <n v="12500"/>
    <x v="1"/>
    <n v="10"/>
    <n v="7"/>
    <n v="1.5"/>
    <n v="6"/>
  </r>
  <r>
    <s v="SC89"/>
    <s v="450W/S. NEW PAL"/>
    <s v="450W/S. NEW PAL"/>
    <m/>
    <s v="600S"/>
    <s v="NEW PAL"/>
    <n v="6470"/>
    <n v="20"/>
    <s v="AC"/>
    <s v="SC"/>
    <n v="0"/>
    <n v="6"/>
    <n v="7"/>
    <n v="363"/>
    <n v="0"/>
    <s v="450W"/>
    <n v="3"/>
    <s v="DS"/>
    <n v="30634.469696969696"/>
    <x v="4"/>
    <n v="10"/>
    <n v="7"/>
    <n v="1.5"/>
    <n v="1.5"/>
  </r>
  <r>
    <s v="C01"/>
    <s v="200S/150W"/>
    <s v="200S/150W"/>
    <m/>
    <s v="200W"/>
    <s v="150W"/>
    <n v="3250"/>
    <n v="20"/>
    <s v="AC"/>
    <s v="C"/>
    <n v="0"/>
    <n v="7"/>
    <n v="7"/>
    <n v="360"/>
    <n v="0"/>
    <s v="200S"/>
    <n v="3"/>
    <s v="CS"/>
    <n v="9232.954545454546"/>
    <x v="1"/>
    <n v="10"/>
    <n v="7"/>
    <n v="1.5"/>
    <n v="6"/>
  </r>
  <r>
    <s v="V94"/>
    <s v="50W/850N"/>
    <s v="50W/850N"/>
    <m/>
    <s v="SR234"/>
    <s v="850N"/>
    <n v="2642"/>
    <n v="20"/>
    <s v="CS"/>
    <s v="V"/>
    <n v="0"/>
    <n v="8"/>
    <n v="7"/>
    <n v="360"/>
    <n v="0"/>
    <s v="50W"/>
    <n v="3"/>
    <s v="CS"/>
    <n v="7505.681818181818"/>
    <x v="1"/>
    <n v="10"/>
    <n v="7"/>
    <n v="1.5"/>
    <n v="6"/>
  </r>
  <r>
    <s v="SC80"/>
    <s v="550W/STINEMYER RD"/>
    <s v="550W/STINEMYER RD"/>
    <m/>
    <s v="600S"/>
    <s v="STINEMYER RD."/>
    <n v="6100"/>
    <n v="20"/>
    <s v="CS"/>
    <s v="SC"/>
    <n v="0"/>
    <n v="6"/>
    <n v="7"/>
    <n v="359"/>
    <n v="0"/>
    <s v="550W"/>
    <n v="3"/>
    <s v="DS"/>
    <n v="28882.575757575756"/>
    <x v="4"/>
    <n v="10"/>
    <n v="7"/>
    <n v="1.5"/>
    <n v="1.5"/>
  </r>
  <r>
    <s v="BW11"/>
    <s v="500S/400E"/>
    <s v="500S/400E"/>
    <m/>
    <s v="300E"/>
    <s v="400E"/>
    <n v="5350"/>
    <n v="20"/>
    <s v="CS"/>
    <s v="BW"/>
    <n v="0"/>
    <n v="8"/>
    <n v="8"/>
    <n v="355"/>
    <n v="0"/>
    <s v="500S"/>
    <n v="2"/>
    <s v="CS"/>
    <n v="15198.863636363636"/>
    <x v="1"/>
    <n v="12"/>
    <n v="7"/>
    <n v="1.5"/>
    <n v="6"/>
  </r>
  <r>
    <s v="C03"/>
    <s v="200S/MERIDIAN RD"/>
    <s v="200S/MERIDIAN RD"/>
    <m/>
    <s v="150W"/>
    <s v="MERIDIAN ROAD"/>
    <n v="7335"/>
    <n v="20"/>
    <s v="AC"/>
    <s v="C"/>
    <n v="0"/>
    <n v="7"/>
    <n v="6"/>
    <n v="347"/>
    <n v="0"/>
    <s v="200S"/>
    <n v="4"/>
    <s v="CS"/>
    <n v="20838.06818181818"/>
    <x v="1"/>
    <n v="8"/>
    <n v="7"/>
    <n v="2"/>
    <n v="8"/>
  </r>
  <r>
    <s v="SC45"/>
    <s v="200S/250W"/>
    <s v="200S/250W"/>
    <m/>
    <s v="250W"/>
    <s v="300W"/>
    <n v="2693"/>
    <n v="20"/>
    <s v="AC"/>
    <s v="SC"/>
    <n v="0"/>
    <n v="7"/>
    <n v="7"/>
    <n v="343"/>
    <n v="0"/>
    <s v="200S"/>
    <n v="3"/>
    <s v="CS"/>
    <n v="7650.568181818182"/>
    <x v="1"/>
    <n v="10"/>
    <n v="7"/>
    <n v="1.5"/>
    <n v="6"/>
  </r>
  <r>
    <s v="V12"/>
    <s v="700N/500W"/>
    <s v="700N/500W"/>
    <m/>
    <s v="600W"/>
    <s v="500W"/>
    <n v="4636"/>
    <n v="20"/>
    <s v="AC"/>
    <s v="V"/>
    <n v="0"/>
    <n v="7"/>
    <n v="7"/>
    <n v="343"/>
    <n v="0"/>
    <s v="700N"/>
    <n v="3"/>
    <s v="CS"/>
    <n v="13170.454545454546"/>
    <x v="1"/>
    <n v="10"/>
    <n v="7"/>
    <n v="1.5"/>
    <n v="6"/>
  </r>
  <r>
    <s v="V13"/>
    <s v="700N/475W"/>
    <s v="700N/475W"/>
    <m/>
    <s v="475W"/>
    <s v="500W"/>
    <n v="1372"/>
    <n v="20"/>
    <s v="AC"/>
    <s v="V"/>
    <n v="0"/>
    <n v="7"/>
    <n v="7"/>
    <n v="342"/>
    <n v="0"/>
    <s v="700N"/>
    <n v="3"/>
    <s v="CS"/>
    <n v="3897.7272727272725"/>
    <x v="1"/>
    <n v="10"/>
    <n v="7"/>
    <n v="1.5"/>
    <n v="6"/>
  </r>
  <r>
    <s v="V45"/>
    <s v="1050N/50W"/>
    <s v="1050N/50W"/>
    <m/>
    <s v="50W"/>
    <s v="FORTVILLE LIMITS"/>
    <n v="3976"/>
    <n v="20"/>
    <s v="CS"/>
    <s v="V"/>
    <n v="0"/>
    <n v="7"/>
    <n v="7"/>
    <n v="461"/>
    <n v="0"/>
    <s v="1050N"/>
    <n v="3"/>
    <s v="CS"/>
    <n v="11295.454545454546"/>
    <x v="3"/>
    <n v="10"/>
    <n v="7"/>
    <n v="1.5"/>
    <n v="9"/>
  </r>
  <r>
    <s v="BR39"/>
    <s v="100S/750E"/>
    <s v="100S/750E"/>
    <m/>
    <s v="750E"/>
    <s v="675E"/>
    <n v="4070"/>
    <n v="20"/>
    <s v="AC"/>
    <s v="BR"/>
    <n v="0"/>
    <n v="6"/>
    <n v="7"/>
    <n v="338"/>
    <n v="0"/>
    <s v="100S"/>
    <n v="3"/>
    <s v="DS"/>
    <n v="19270.833333333332"/>
    <x v="4"/>
    <n v="10"/>
    <n v="7"/>
    <n v="1.5"/>
    <n v="1.5"/>
  </r>
  <r>
    <s v="BR40"/>
    <s v="100S/775E"/>
    <s v="100S/775E"/>
    <m/>
    <s v="775E"/>
    <s v="750E"/>
    <n v="2240"/>
    <n v="20"/>
    <s v="AC"/>
    <s v="BR"/>
    <n v="0"/>
    <n v="6"/>
    <n v="6"/>
    <n v="338"/>
    <n v="0"/>
    <s v="100S"/>
    <n v="4"/>
    <s v="DS"/>
    <n v="10606.060606060606"/>
    <x v="4"/>
    <n v="8"/>
    <n v="7"/>
    <n v="2"/>
    <n v="2"/>
  </r>
  <r>
    <s v="J71"/>
    <s v="850E/250N"/>
    <s v="850E/250N"/>
    <m/>
    <s v="US40"/>
    <s v="100N"/>
    <n v="7950"/>
    <n v="20"/>
    <s v="AC"/>
    <s v="J"/>
    <n v="0"/>
    <n v="6"/>
    <n v="7"/>
    <n v="335"/>
    <n v="0"/>
    <s v="850E"/>
    <n v="3"/>
    <s v="DS"/>
    <n v="37642.045454545456"/>
    <x v="4"/>
    <n v="10"/>
    <n v="7"/>
    <n v="1.5"/>
    <n v="1.5"/>
  </r>
  <r>
    <s v="J71-1"/>
    <m/>
    <s v="850E/250N"/>
    <m/>
    <s v="100N"/>
    <s v="250N"/>
    <n v="3695"/>
    <n v="20"/>
    <s v="AC"/>
    <s v="J"/>
    <n v="0"/>
    <n v="7"/>
    <n v="7"/>
    <n v="335"/>
    <n v="0"/>
    <s v="850E"/>
    <n v="3"/>
    <s v="CS"/>
    <n v="10497.15909090909"/>
    <x v="1"/>
    <n v="10"/>
    <n v="7"/>
    <n v="1.5"/>
    <n v="6"/>
  </r>
  <r>
    <s v="V100"/>
    <s v="MERIDIAN RD./SR234"/>
    <s v="MERIDIAN RD./SR234"/>
    <m/>
    <s v="SR234"/>
    <s v="700N"/>
    <n v="5160"/>
    <n v="20"/>
    <s v="CS"/>
    <s v="V"/>
    <n v="0"/>
    <n v="3"/>
    <n v="5"/>
    <n v="71"/>
    <n v="0"/>
    <s v="MERIDIAN RD."/>
    <n v="5"/>
    <s v="CS"/>
    <n v="14659.09090909091"/>
    <x v="3"/>
    <n v="6"/>
    <n v="7"/>
    <n v="2"/>
    <n v="12"/>
  </r>
  <r>
    <s v="V34"/>
    <s v="925N/200W"/>
    <s v="925N/200W"/>
    <m/>
    <s v="200W"/>
    <s v="300W"/>
    <n v="5245"/>
    <n v="20"/>
    <s v="CS"/>
    <s v="V"/>
    <n v="0"/>
    <n v="3"/>
    <n v="5"/>
    <n v="58"/>
    <n v="0"/>
    <s v="925N"/>
    <n v="5"/>
    <s v="CS"/>
    <n v="14900.568181818182"/>
    <x v="3"/>
    <n v="6"/>
    <n v="7"/>
    <n v="2"/>
    <n v="12"/>
  </r>
  <r>
    <s v="BR53"/>
    <s v="500E/N. TWP LINE"/>
    <s v="500E/N. TWP LINE"/>
    <m/>
    <s v="100S"/>
    <s v="TWNSP. LINE"/>
    <n v="5011"/>
    <n v="20"/>
    <s v="AC"/>
    <s v="BR"/>
    <n v="0"/>
    <n v="6"/>
    <n v="6"/>
    <n v="326"/>
    <n v="0"/>
    <s v="500E"/>
    <n v="4"/>
    <s v="DS"/>
    <n v="23726.325757575756"/>
    <x v="4"/>
    <n v="8"/>
    <n v="7"/>
    <n v="2"/>
    <n v="2"/>
  </r>
  <r>
    <s v="C82"/>
    <s v="500E/US40"/>
    <s v="500E/US40"/>
    <m/>
    <s v="TWNSP. LINE"/>
    <s v="US40"/>
    <n v="760"/>
    <n v="20"/>
    <s v="AC"/>
    <s v="C"/>
    <n v="0"/>
    <n v="8"/>
    <n v="6"/>
    <n v="326"/>
    <n v="0"/>
    <s v="500E"/>
    <n v="4"/>
    <s v="CRACK"/>
    <n v="849.24242424242425"/>
    <x v="0"/>
    <n v="8"/>
    <n v="4"/>
    <n v="2"/>
    <n v="0"/>
  </r>
  <r>
    <s v="BW52"/>
    <s v="275E/STEELE FORD"/>
    <s v="275E/STEELE FORD"/>
    <m/>
    <s v="300S"/>
    <s v="STEELEFORD RD."/>
    <n v="5630"/>
    <n v="20"/>
    <s v="CS"/>
    <s v="BW"/>
    <n v="0"/>
    <n v="3"/>
    <n v="7"/>
    <n v="50"/>
    <n v="0"/>
    <s v="275E"/>
    <n v="3"/>
    <s v="CS"/>
    <n v="15994.318181818182"/>
    <x v="3"/>
    <n v="10"/>
    <n v="7"/>
    <n v="1.5"/>
    <n v="9"/>
  </r>
  <r>
    <s v="BR41"/>
    <s v="100S/850E"/>
    <s v="100S/850E"/>
    <m/>
    <s v="850E"/>
    <s v="775E"/>
    <n v="3255"/>
    <n v="20"/>
    <s v="AC"/>
    <s v="BR"/>
    <n v="0"/>
    <n v="6"/>
    <n v="6"/>
    <n v="318"/>
    <n v="0"/>
    <s v="100S"/>
    <n v="4"/>
    <s v="DS"/>
    <n v="15411.931818181818"/>
    <x v="4"/>
    <n v="8"/>
    <n v="7"/>
    <n v="2"/>
    <n v="2"/>
  </r>
  <r>
    <s v="BR69"/>
    <s v="BINFORD ROAD/300S"/>
    <s v="BINFORD ROAD/300S"/>
    <m/>
    <s v="300S"/>
    <s v="800E"/>
    <n v="5539"/>
    <n v="20"/>
    <s v="AC"/>
    <s v="BR"/>
    <n v="0"/>
    <n v="6"/>
    <n v="6"/>
    <n v="318"/>
    <n v="0"/>
    <s v="BINFORD ROAD/300S"/>
    <n v="4"/>
    <s v="DS"/>
    <n v="26226.325757575756"/>
    <x v="4"/>
    <n v="8"/>
    <n v="7"/>
    <n v="2"/>
    <n v="2"/>
  </r>
  <r>
    <s v="BR70"/>
    <s v="BINFORD ROAD/800E"/>
    <s v="BINFORD ROAD/800E"/>
    <m/>
    <s v="800E"/>
    <s v="400S"/>
    <n v="3067"/>
    <n v="20"/>
    <s v="AC"/>
    <s v="BR"/>
    <n v="0"/>
    <n v="6"/>
    <n v="8"/>
    <n v="318"/>
    <n v="0"/>
    <s v="BINFORD ROAD/800E"/>
    <n v="2"/>
    <s v="DS"/>
    <n v="14521.780303030304"/>
    <x v="4"/>
    <n v="12"/>
    <n v="7"/>
    <n v="1.5"/>
    <n v="1.5"/>
  </r>
  <r>
    <s v="BR02"/>
    <s v="600S/800E"/>
    <s v="600S/800E"/>
    <m/>
    <s v="800E"/>
    <s v="575E"/>
    <n v="12187"/>
    <n v="20"/>
    <s v="CS"/>
    <s v="BR"/>
    <n v="0"/>
    <n v="7"/>
    <n v="8"/>
    <n v="315"/>
    <n v="0"/>
    <s v="600S"/>
    <n v="2"/>
    <s v="DS"/>
    <n v="57703.598484848488"/>
    <x v="1"/>
    <n v="12"/>
    <n v="7"/>
    <n v="1.5"/>
    <n v="6"/>
  </r>
  <r>
    <s v="V78"/>
    <s v="300W/925N"/>
    <s v="300W/925N"/>
    <m/>
    <s v="900N"/>
    <s v="925N"/>
    <n v="1373"/>
    <n v="20"/>
    <s v="AC"/>
    <s v="V"/>
    <n v="0"/>
    <n v="7"/>
    <n v="7"/>
    <n v="309"/>
    <n v="0"/>
    <s v="300W"/>
    <n v="3"/>
    <s v="CS"/>
    <n v="3900.568181818182"/>
    <x v="2"/>
    <n v="10"/>
    <n v="7"/>
    <n v="1.5"/>
    <n v="7.5"/>
  </r>
  <r>
    <s v="V79"/>
    <s v="300W/SR67"/>
    <s v="300W/SR67"/>
    <m/>
    <s v="925N"/>
    <s v="SR67"/>
    <n v="2706"/>
    <n v="20"/>
    <s v="AC"/>
    <s v="V"/>
    <n v="0"/>
    <n v="7"/>
    <n v="6"/>
    <n v="309"/>
    <n v="0"/>
    <s v="300W"/>
    <n v="4"/>
    <s v="CS"/>
    <n v="7687.5"/>
    <x v="2"/>
    <n v="8"/>
    <n v="7"/>
    <n v="2"/>
    <n v="10"/>
  </r>
  <r>
    <s v="SC94"/>
    <s v="400W/400S"/>
    <s v="400W/400S"/>
    <m/>
    <s v="400S"/>
    <s v="SR52"/>
    <n v="3500"/>
    <n v="20"/>
    <s v="CS"/>
    <s v="SC"/>
    <n v="0"/>
    <n v="8"/>
    <n v="6"/>
    <n v="306"/>
    <n v="0"/>
    <s v="400W"/>
    <n v="4"/>
    <s v="CS"/>
    <n v="9943.181818181818"/>
    <x v="2"/>
    <n v="8"/>
    <n v="7"/>
    <n v="2"/>
    <n v="10"/>
  </r>
  <r>
    <s v="V104"/>
    <s v="MERIDIAN RD./1100N"/>
    <s v="MERIDIAN RD./1100N"/>
    <m/>
    <s v="1000N"/>
    <s v="1100N"/>
    <n v="5315"/>
    <n v="20"/>
    <s v="AC"/>
    <s v="V"/>
    <n v="0"/>
    <n v="8"/>
    <n v="5"/>
    <n v="304"/>
    <n v="0"/>
    <s v="MERIDIAN RD."/>
    <n v="5"/>
    <s v="DS"/>
    <n v="25165.719696969696"/>
    <x v="5"/>
    <n v="6"/>
    <n v="7"/>
    <n v="2"/>
    <n v="4"/>
  </r>
  <r>
    <s v="C68"/>
    <s v="300E/I70"/>
    <s v="300E/I70"/>
    <m/>
    <s v="200N"/>
    <s v="I70"/>
    <n v="2400"/>
    <n v="20"/>
    <s v="AC"/>
    <s v="C"/>
    <n v="0"/>
    <n v="2"/>
    <n v="5"/>
    <n v="50"/>
    <n v="0"/>
    <s v="300E"/>
    <n v="5"/>
    <s v="CS"/>
    <n v="6818.181818181818"/>
    <x v="3"/>
    <n v="6"/>
    <n v="7"/>
    <n v="2"/>
    <n v="12"/>
  </r>
  <r>
    <s v="C29"/>
    <s v="375N/100W"/>
    <s v="375N/100W"/>
    <m/>
    <s v="Fortville Pike"/>
    <s v="100W"/>
    <n v="5190"/>
    <n v="20"/>
    <s v="AC"/>
    <s v="C"/>
    <n v="0"/>
    <n v="7"/>
    <n v="8"/>
    <n v="299"/>
    <n v="0"/>
    <s v="375N"/>
    <n v="2"/>
    <s v="CS"/>
    <n v="14744.318181818182"/>
    <x v="2"/>
    <n v="12"/>
    <n v="7"/>
    <n v="1.5"/>
    <n v="7.5"/>
  </r>
  <r>
    <s v="G64"/>
    <s v="500E/650N"/>
    <s v="500E/650N"/>
    <m/>
    <s v="650N"/>
    <s v="600N"/>
    <n v="2693"/>
    <n v="20"/>
    <s v="CS"/>
    <s v="G"/>
    <n v="0"/>
    <n v="4"/>
    <n v="3"/>
    <n v="50"/>
    <n v="0"/>
    <s v="500E"/>
    <n v="7"/>
    <s v="CS"/>
    <n v="7650.568181818182"/>
    <x v="3"/>
    <n v="1"/>
    <n v="7"/>
    <n v="3"/>
    <n v="18"/>
  </r>
  <r>
    <s v="B14"/>
    <s v="650N/900E"/>
    <s v="650N/900E"/>
    <m/>
    <s v="875E"/>
    <s v="900E"/>
    <n v="2270"/>
    <n v="20"/>
    <s v="AC"/>
    <s v="B"/>
    <n v="0"/>
    <n v="7"/>
    <n v="6"/>
    <n v="297"/>
    <n v="0"/>
    <s v="650N"/>
    <n v="4"/>
    <s v="CS"/>
    <n v="6448.863636363636"/>
    <x v="2"/>
    <n v="8"/>
    <n v="7"/>
    <n v="2"/>
    <n v="10"/>
  </r>
  <r>
    <s v="V14"/>
    <s v="700N/400W"/>
    <s v="700N/400W"/>
    <m/>
    <s v="400W"/>
    <s v="475W"/>
    <n v="2602"/>
    <n v="20"/>
    <s v="AC"/>
    <s v="V"/>
    <n v="0"/>
    <n v="6"/>
    <n v="6"/>
    <n v="294"/>
    <n v="0"/>
    <s v="700N"/>
    <n v="4"/>
    <s v="DS"/>
    <n v="12320.075757575758"/>
    <x v="4"/>
    <n v="8"/>
    <n v="7"/>
    <n v="2"/>
    <n v="2"/>
  </r>
  <r>
    <s v="SC46"/>
    <s v="200S/200W"/>
    <s v="200S/200W"/>
    <m/>
    <s v="250W"/>
    <s v="200W"/>
    <n v="2640"/>
    <n v="20"/>
    <s v="AC"/>
    <s v="SC"/>
    <n v="0"/>
    <n v="4"/>
    <n v="7"/>
    <n v="292"/>
    <n v="0"/>
    <s v="200S"/>
    <n v="3"/>
    <s v="SP/CS"/>
    <n v="20000"/>
    <x v="1"/>
    <n v="10"/>
    <n v="10"/>
    <n v="1.5"/>
    <n v="6"/>
  </r>
  <r>
    <s v="V97"/>
    <s v="50W/1000N"/>
    <s v="50W/1000N"/>
    <m/>
    <s v="950N"/>
    <s v="1000N"/>
    <n v="2798"/>
    <n v="20"/>
    <s v="CS"/>
    <s v="V"/>
    <n v="0"/>
    <n v="6"/>
    <n v="6"/>
    <n v="292"/>
    <n v="0"/>
    <s v="50W"/>
    <n v="4"/>
    <s v="DS"/>
    <n v="13248.10606060606"/>
    <x v="4"/>
    <n v="8"/>
    <n v="7"/>
    <n v="2"/>
    <n v="2"/>
  </r>
  <r>
    <s v="V96"/>
    <s v="50W/950N"/>
    <s v="50W/950N"/>
    <m/>
    <s v="900N"/>
    <s v="950N"/>
    <n v="2648"/>
    <n v="20"/>
    <s v="CS"/>
    <s v="V"/>
    <n v="0"/>
    <n v="7"/>
    <n v="7"/>
    <n v="292"/>
    <n v="0"/>
    <s v="50W"/>
    <n v="3"/>
    <s v="DS"/>
    <n v="12537.878787878788"/>
    <x v="1"/>
    <n v="10"/>
    <n v="7"/>
    <n v="1.5"/>
    <n v="6"/>
  </r>
  <r>
    <s v="BR11"/>
    <s v="500S/900E"/>
    <s v="500S/900E"/>
    <m/>
    <s v="900E"/>
    <s v="800E"/>
    <n v="5375"/>
    <n v="20"/>
    <s v="CS"/>
    <s v="BR"/>
    <n v="0"/>
    <n v="2"/>
    <n v="4"/>
    <n v="50"/>
    <n v="0"/>
    <s v="500S"/>
    <n v="6"/>
    <s v="CS"/>
    <n v="15269.886363636364"/>
    <x v="3"/>
    <n v="3"/>
    <n v="7"/>
    <n v="2.5"/>
    <n v="15"/>
  </r>
  <r>
    <s v="B15"/>
    <s v="650N/1000E"/>
    <s v="650N/1000E"/>
    <m/>
    <s v="900E"/>
    <s v="1000E"/>
    <n v="5808"/>
    <n v="20"/>
    <s v="AC"/>
    <s v="B"/>
    <n v="0"/>
    <n v="7"/>
    <n v="7"/>
    <n v="290"/>
    <n v="0"/>
    <s v="650N"/>
    <n v="3"/>
    <s v="CS"/>
    <n v="16500"/>
    <x v="2"/>
    <n v="10"/>
    <n v="7"/>
    <n v="1.5"/>
    <n v="7.5"/>
  </r>
  <r>
    <s v="B17"/>
    <s v="650N/SR109"/>
    <s v="650N/SR109"/>
    <m/>
    <s v="1050E"/>
    <s v="SR109"/>
    <n v="1225"/>
    <n v="20"/>
    <s v="AC"/>
    <s v="B"/>
    <n v="0"/>
    <n v="6"/>
    <n v="6"/>
    <n v="290"/>
    <n v="0"/>
    <s v="650N"/>
    <n v="4"/>
    <s v="DS"/>
    <n v="5800.189393939394"/>
    <x v="5"/>
    <n v="8"/>
    <n v="7"/>
    <n v="2"/>
    <n v="4"/>
  </r>
  <r>
    <s v="V17"/>
    <s v="500N/200W"/>
    <s v="500N/200W"/>
    <m/>
    <s v="300W"/>
    <s v="200W"/>
    <n v="5290"/>
    <n v="20"/>
    <s v="AC"/>
    <s v="V"/>
    <n v="0"/>
    <n v="6"/>
    <n v="6"/>
    <n v="288"/>
    <n v="0"/>
    <s v="500N"/>
    <n v="4"/>
    <s v="DS"/>
    <n v="25047.348484848484"/>
    <x v="4"/>
    <n v="8"/>
    <n v="7"/>
    <n v="2"/>
    <n v="2"/>
  </r>
  <r>
    <s v="BR17"/>
    <s v="400S/700E"/>
    <s v="400S/700E"/>
    <m/>
    <s v="700E"/>
    <s v="600E"/>
    <n v="4800"/>
    <n v="20"/>
    <s v="AC"/>
    <s v="BR"/>
    <n v="0"/>
    <n v="7"/>
    <n v="7"/>
    <n v="287"/>
    <n v="0"/>
    <s v="400S"/>
    <n v="3"/>
    <s v="CS"/>
    <n v="13636.363636363636"/>
    <x v="2"/>
    <n v="10"/>
    <n v="7"/>
    <n v="1.5"/>
    <n v="7.5"/>
  </r>
  <r>
    <s v="V27"/>
    <s v="900N/500W"/>
    <s v="900N/500W"/>
    <m/>
    <s v="500W"/>
    <s v="MCCORD RD."/>
    <n v="4870"/>
    <n v="20"/>
    <s v="AC"/>
    <s v="V"/>
    <n v="0"/>
    <n v="6"/>
    <n v="6"/>
    <n v="287"/>
    <n v="0"/>
    <s v="900N"/>
    <n v="4"/>
    <s v="P"/>
    <n v="64564.393939393936"/>
    <x v="5"/>
    <n v="8"/>
    <n v="15"/>
    <n v="2"/>
    <n v="4"/>
  </r>
  <r>
    <s v="BW05"/>
    <s v="500S/50W"/>
    <s v="500S/50W"/>
    <m/>
    <s v="100W"/>
    <s v="50W"/>
    <n v="2670"/>
    <n v="20"/>
    <s v="AC"/>
    <s v="BW"/>
    <n v="0"/>
    <n v="7"/>
    <n v="6"/>
    <n v="285"/>
    <n v="0"/>
    <s v="500S"/>
    <n v="4"/>
    <s v="CS"/>
    <n v="7585.227272727273"/>
    <x v="2"/>
    <n v="8"/>
    <n v="7"/>
    <n v="2"/>
    <n v="10"/>
  </r>
  <r>
    <s v="BW06"/>
    <s v="500S/MERIDIAN RD"/>
    <s v="500S/MERIDIAN RD"/>
    <m/>
    <s v="50W"/>
    <s v="MERIDIAN ROAD"/>
    <n v="2675"/>
    <n v="20"/>
    <s v="AC"/>
    <s v="BW"/>
    <n v="0"/>
    <n v="7"/>
    <n v="6"/>
    <n v="285"/>
    <n v="0"/>
    <s v="500S"/>
    <n v="4"/>
    <s v="CS"/>
    <n v="7599.431818181818"/>
    <x v="2"/>
    <n v="8"/>
    <n v="7"/>
    <n v="2"/>
    <n v="10"/>
  </r>
  <r>
    <s v="V15"/>
    <s v="700N/350W"/>
    <s v="700N/350W"/>
    <m/>
    <s v="350W"/>
    <s v="400W"/>
    <n v="2692"/>
    <n v="20"/>
    <s v="AC"/>
    <s v="V"/>
    <n v="0"/>
    <n v="7"/>
    <n v="7"/>
    <n v="282"/>
    <n v="0"/>
    <s v="700N"/>
    <n v="3"/>
    <s v="CS"/>
    <n v="7647.727272727273"/>
    <x v="2"/>
    <n v="10"/>
    <n v="7"/>
    <n v="1.5"/>
    <n v="7.5"/>
  </r>
  <r>
    <s v="C42"/>
    <s v="500N/50E"/>
    <s v="500N/50E"/>
    <m/>
    <s v="25W"/>
    <s v="50E"/>
    <n v="5068"/>
    <n v="20"/>
    <s v="AC"/>
    <s v="C"/>
    <n v="0"/>
    <n v="8"/>
    <n v="6"/>
    <n v="280"/>
    <n v="0"/>
    <s v="500N"/>
    <n v="4"/>
    <s v="CRACK"/>
    <n v="5663.106060606061"/>
    <x v="0"/>
    <n v="8"/>
    <n v="4"/>
    <n v="2"/>
    <n v="0"/>
  </r>
  <r>
    <s v="C43"/>
    <s v="500N/SR9"/>
    <s v="500N/SR9"/>
    <m/>
    <s v="50E"/>
    <s v="SR9"/>
    <n v="5914"/>
    <n v="20"/>
    <s v="AC"/>
    <s v="C"/>
    <n v="0"/>
    <n v="5"/>
    <n v="7"/>
    <n v="280"/>
    <n v="0"/>
    <s v="500N"/>
    <n v="3"/>
    <s v="SP/CS"/>
    <n v="44803.030303030304"/>
    <x v="4"/>
    <n v="10"/>
    <n v="10"/>
    <n v="1.5"/>
    <n v="1.5"/>
  </r>
  <r>
    <s v="C83"/>
    <s v="500E/100N"/>
    <s v="500E/100N"/>
    <m/>
    <s v="US40"/>
    <s v="100N"/>
    <n v="4400"/>
    <n v="20"/>
    <s v="AC"/>
    <s v="C"/>
    <n v="0"/>
    <n v="7"/>
    <n v="6"/>
    <n v="275"/>
    <n v="0"/>
    <s v="500E"/>
    <n v="4"/>
    <s v="CS"/>
    <n v="12500"/>
    <x v="2"/>
    <n v="8"/>
    <n v="7"/>
    <n v="2"/>
    <n v="10"/>
  </r>
  <r>
    <s v="BW42"/>
    <s v="MERIDIAN RD./500S"/>
    <s v="MERIDIAN RD./500S"/>
    <m/>
    <s v="SR52"/>
    <s v="500S"/>
    <n v="5185"/>
    <n v="20"/>
    <s v="AC"/>
    <s v="BW"/>
    <n v="0"/>
    <n v="7"/>
    <n v="5"/>
    <n v="275"/>
    <n v="0"/>
    <s v="MERIDIAN RD."/>
    <n v="5"/>
    <s v="CS"/>
    <n v="14730.113636363636"/>
    <x v="2"/>
    <n v="6"/>
    <n v="7"/>
    <n v="2"/>
    <n v="10"/>
  </r>
  <r>
    <s v="C84"/>
    <s v="500E/200N"/>
    <s v="500E/200N"/>
    <m/>
    <s v="100N"/>
    <s v="200N"/>
    <n v="5304"/>
    <n v="20"/>
    <s v="CS"/>
    <s v="C"/>
    <n v="0"/>
    <n v="6"/>
    <n v="7"/>
    <n v="273"/>
    <n v="0"/>
    <s v="500E"/>
    <n v="3"/>
    <s v="P"/>
    <n v="70318.181818181823"/>
    <x v="5"/>
    <n v="10"/>
    <n v="15"/>
    <n v="1.5"/>
    <n v="3"/>
  </r>
  <r>
    <s v="B61"/>
    <s v="NASHVILLE RD./900N"/>
    <s v="NASHVILLE RD./900N"/>
    <m/>
    <s v="900N"/>
    <s v="SR109"/>
    <n v="4480"/>
    <n v="20"/>
    <s v="AC"/>
    <s v="B"/>
    <n v="0"/>
    <n v="7"/>
    <n v="7"/>
    <n v="272"/>
    <n v="0"/>
    <s v="NASHVILLE RD."/>
    <n v="3"/>
    <s v="CS"/>
    <n v="12727.272727272728"/>
    <x v="5"/>
    <n v="10"/>
    <n v="7"/>
    <n v="1.5"/>
    <n v="3"/>
  </r>
  <r>
    <s v="G74"/>
    <s v="600E/900N"/>
    <s v="600E/900N"/>
    <m/>
    <s v="SR234"/>
    <s v="900N"/>
    <n v="4332"/>
    <n v="20"/>
    <s v="AC"/>
    <s v="G"/>
    <n v="0"/>
    <n v="5"/>
    <n v="8"/>
    <n v="271"/>
    <n v="0"/>
    <s v="600E"/>
    <n v="2"/>
    <s v="SP/CS"/>
    <n v="32818.181818181816"/>
    <x v="4"/>
    <n v="12"/>
    <n v="10"/>
    <n v="1.5"/>
    <n v="1.5"/>
  </r>
  <r>
    <s v="BR43"/>
    <s v="50S/850E"/>
    <s v="50S/850E"/>
    <m/>
    <s v="775E"/>
    <s v="850E"/>
    <n v="2700"/>
    <n v="20"/>
    <s v="CS"/>
    <s v="BR"/>
    <n v="0"/>
    <n v="5"/>
    <n v="7"/>
    <n v="50"/>
    <n v="0"/>
    <s v="50S"/>
    <n v="3"/>
    <s v="CS"/>
    <n v="7670.454545454545"/>
    <x v="3"/>
    <n v="10"/>
    <n v="7"/>
    <n v="1.5"/>
    <n v="9"/>
  </r>
  <r>
    <s v="BR03"/>
    <s v="600S/900E"/>
    <s v="600S/900E"/>
    <m/>
    <s v="900E"/>
    <s v="800E"/>
    <n v="5345"/>
    <n v="20"/>
    <s v="CS"/>
    <s v="BR"/>
    <n v="0"/>
    <n v="7"/>
    <n v="7"/>
    <n v="265"/>
    <n v="0"/>
    <s v="600S"/>
    <n v="3"/>
    <s v="P"/>
    <n v="70861.742424242431"/>
    <x v="5"/>
    <n v="10"/>
    <n v="15"/>
    <n v="1.5"/>
    <n v="3"/>
  </r>
  <r>
    <s v="V101"/>
    <s v="MERIDIAN RD./900N"/>
    <s v="MERIDIAN RD./900N"/>
    <m/>
    <s v="SR234"/>
    <s v="900N"/>
    <n v="5300"/>
    <n v="20"/>
    <s v="CS"/>
    <s v="V"/>
    <n v="0"/>
    <n v="8"/>
    <n v="7"/>
    <n v="262"/>
    <n v="0"/>
    <s v="MERIDIAN RD."/>
    <n v="3"/>
    <s v="CS"/>
    <n v="15056.818181818182"/>
    <x v="2"/>
    <n v="10"/>
    <n v="7"/>
    <n v="1.5"/>
    <n v="7.5"/>
  </r>
  <r>
    <s v="B13"/>
    <s v="650N/875E"/>
    <s v="650N/875E"/>
    <m/>
    <s v="800E"/>
    <s v="875E"/>
    <n v="4118"/>
    <n v="20"/>
    <s v="AC"/>
    <s v="B"/>
    <n v="0"/>
    <n v="7"/>
    <n v="6"/>
    <n v="251"/>
    <n v="0"/>
    <s v="650N"/>
    <n v="4"/>
    <s v="CS"/>
    <n v="11698.863636363636"/>
    <x v="2"/>
    <n v="8"/>
    <n v="7"/>
    <n v="2"/>
    <n v="10"/>
  </r>
  <r>
    <s v="C44"/>
    <s v="500N/300E"/>
    <s v="500N/300E"/>
    <m/>
    <s v="SR9"/>
    <s v="300E"/>
    <n v="8817"/>
    <n v="20"/>
    <s v="CS"/>
    <s v="C"/>
    <n v="0"/>
    <n v="5"/>
    <n v="6"/>
    <n v="250"/>
    <n v="0"/>
    <s v="500N"/>
    <n v="4"/>
    <s v="SP/CS"/>
    <n v="66795.454545454544"/>
    <x v="4"/>
    <n v="8"/>
    <n v="10"/>
    <n v="2"/>
    <n v="2"/>
  </r>
  <r>
    <s v="BW07"/>
    <s v="500S/100E"/>
    <s v="500S/100E"/>
    <m/>
    <s v="MERIDIAN ROAD"/>
    <s v="100E"/>
    <n v="5100"/>
    <n v="20"/>
    <s v="CS"/>
    <s v="BW"/>
    <n v="0"/>
    <n v="7"/>
    <n v="7"/>
    <n v="250"/>
    <n v="0"/>
    <s v="500S"/>
    <n v="3"/>
    <s v="P"/>
    <n v="67613.636363636368"/>
    <x v="5"/>
    <n v="10"/>
    <n v="15"/>
    <n v="1.5"/>
    <n v="3"/>
  </r>
  <r>
    <s v="V103"/>
    <s v="MERIDIAN RD./1000A"/>
    <s v="MERIDIAN RD./1000A"/>
    <m/>
    <s v="900N"/>
    <s v="1000N"/>
    <n v="3800"/>
    <n v="20"/>
    <s v="AC"/>
    <s v="V"/>
    <n v="0"/>
    <n v="8"/>
    <n v="7"/>
    <n v="250"/>
    <n v="0"/>
    <s v="MERIDIAN RD."/>
    <n v="3"/>
    <s v="CRACK"/>
    <n v="4246.212121212121"/>
    <x v="5"/>
    <n v="10"/>
    <n v="4"/>
    <n v="1.5"/>
    <n v="3"/>
  </r>
  <r>
    <s v="BW19"/>
    <s v="400S/MORRISTOWN PK"/>
    <s v="400S/MORRISTOWN PK"/>
    <m/>
    <s v="MORRISTOWN PIKE"/>
    <s v="300E"/>
    <n v="6175"/>
    <n v="20"/>
    <s v="AC"/>
    <s v="BW"/>
    <n v="0"/>
    <n v="4"/>
    <n v="7"/>
    <n v="241"/>
    <n v="0"/>
    <s v="400S"/>
    <n v="3"/>
    <s v="SP/CS"/>
    <n v="46780.303030303032"/>
    <x v="4"/>
    <n v="10"/>
    <n v="10"/>
    <n v="1.5"/>
    <n v="1.5"/>
  </r>
  <r>
    <s v="BC75"/>
    <s v="400W/500N"/>
    <s v="400W/500N"/>
    <m/>
    <s v="400N"/>
    <s v="500N"/>
    <n v="5290"/>
    <n v="20"/>
    <s v="CS"/>
    <s v="BC"/>
    <n v="0"/>
    <n v="7"/>
    <n v="6"/>
    <n v="241"/>
    <n v="0"/>
    <s v="400W"/>
    <n v="4"/>
    <s v="P"/>
    <n v="70132.57575757576"/>
    <x v="5"/>
    <n v="8"/>
    <n v="15"/>
    <n v="2"/>
    <n v="4"/>
  </r>
  <r>
    <s v="G14"/>
    <s v="700N/250E"/>
    <s v="700N/250E"/>
    <m/>
    <s v="250E"/>
    <s v="SR9"/>
    <n v="3590"/>
    <n v="20"/>
    <s v="AC"/>
    <s v="G"/>
    <n v="0"/>
    <n v="7"/>
    <n v="8"/>
    <n v="238"/>
    <n v="0"/>
    <s v="700N"/>
    <n v="2"/>
    <s v="CS"/>
    <n v="10198.863636363636"/>
    <x v="2"/>
    <n v="12"/>
    <n v="7"/>
    <n v="1.5"/>
    <n v="7.5"/>
  </r>
  <r>
    <s v="BR44"/>
    <s v="50S/E. CO. LINE"/>
    <s v="50S/E. CO. LINE"/>
    <m/>
    <s v="COUNTY LINE"/>
    <s v="850E"/>
    <n v="2740"/>
    <n v="20"/>
    <s v="CS"/>
    <s v="BR"/>
    <n v="0"/>
    <n v="5"/>
    <n v="5"/>
    <n v="50"/>
    <n v="0"/>
    <s v="50S"/>
    <n v="5"/>
    <s v="CS"/>
    <n v="7784.090909090909"/>
    <x v="3"/>
    <n v="6"/>
    <n v="7"/>
    <n v="2"/>
    <n v="12"/>
  </r>
  <r>
    <s v="BW08"/>
    <s v="500S/SR9"/>
    <s v="500S/SR9"/>
    <m/>
    <s v="100E"/>
    <s v="SR 9"/>
    <n v="2790"/>
    <n v="20"/>
    <s v="AC"/>
    <s v="BW"/>
    <n v="0"/>
    <n v="7"/>
    <n v="6"/>
    <n v="229"/>
    <n v="0"/>
    <s v="500S"/>
    <n v="4"/>
    <s v="CS"/>
    <n v="7926.136363636364"/>
    <x v="2"/>
    <n v="8"/>
    <n v="7"/>
    <n v="2"/>
    <n v="10"/>
  </r>
  <r>
    <s v="C36"/>
    <s v="400N/375E"/>
    <s v="400N/375E"/>
    <m/>
    <s v="300E"/>
    <s v="375E"/>
    <n v="4540"/>
    <n v="20"/>
    <s v="AC"/>
    <s v="C"/>
    <n v="0"/>
    <n v="8"/>
    <n v="7"/>
    <n v="228"/>
    <n v="0"/>
    <s v="400N"/>
    <n v="3"/>
    <s v="CRACK"/>
    <n v="5073.106060606061"/>
    <x v="0"/>
    <n v="10"/>
    <n v="4"/>
    <n v="1.5"/>
    <n v="0"/>
  </r>
  <r>
    <s v="C37"/>
    <s v="400N/400E"/>
    <s v="400N/400E"/>
    <m/>
    <s v="375E"/>
    <s v="400E"/>
    <n v="1373"/>
    <n v="20"/>
    <s v="AC"/>
    <s v="C"/>
    <n v="0"/>
    <n v="8"/>
    <n v="7"/>
    <n v="228"/>
    <n v="0"/>
    <s v="400N"/>
    <n v="3"/>
    <s v="CRACK"/>
    <n v="1534.2234848484848"/>
    <x v="0"/>
    <n v="10"/>
    <n v="4"/>
    <n v="1.5"/>
    <n v="0"/>
  </r>
  <r>
    <s v="BR20"/>
    <s v="400S/900E"/>
    <s v="400S/900E"/>
    <m/>
    <s v="900E"/>
    <s v="BINFORD ROAD"/>
    <n v="2975"/>
    <n v="20"/>
    <s v="AC"/>
    <s v="BR"/>
    <n v="0"/>
    <n v="7"/>
    <n v="7"/>
    <n v="227"/>
    <n v="0"/>
    <s v="400S"/>
    <n v="3"/>
    <s v="CS"/>
    <n v="8451.704545454546"/>
    <x v="2"/>
    <n v="10"/>
    <n v="7"/>
    <n v="1.5"/>
    <n v="7.5"/>
  </r>
  <r>
    <s v="G27"/>
    <s v="900N/BARNARD RD"/>
    <s v="900N/BARNARD RD"/>
    <m/>
    <s v="BARNARD RD."/>
    <s v="SR9"/>
    <n v="3643"/>
    <n v="20"/>
    <s v="AC"/>
    <s v="G"/>
    <n v="0"/>
    <n v="5"/>
    <n v="5"/>
    <n v="227"/>
    <n v="0"/>
    <s v="900N"/>
    <n v="5"/>
    <s v="SP/CS"/>
    <n v="27598.484848484848"/>
    <x v="0"/>
    <n v="6"/>
    <n v="10"/>
    <n v="2"/>
    <n v="0"/>
  </r>
  <r>
    <s v="BR51"/>
    <s v="500E/200S"/>
    <s v="500E/200S"/>
    <m/>
    <s v="300S"/>
    <s v="200S"/>
    <n v="5300"/>
    <n v="20"/>
    <s v="AC"/>
    <s v="BR"/>
    <n v="0"/>
    <n v="6"/>
    <n v="7"/>
    <n v="226"/>
    <n v="0"/>
    <s v="500E"/>
    <n v="3"/>
    <s v="DS"/>
    <n v="25094.696969696968"/>
    <x v="5"/>
    <n v="10"/>
    <n v="7"/>
    <n v="1.5"/>
    <n v="3"/>
  </r>
  <r>
    <s v="BC48"/>
    <s v="BUCK CREEK RD./I70"/>
    <s v="BUCK CREEK RD./I70"/>
    <m/>
    <s v="100N"/>
    <s v="I70"/>
    <n v="4380"/>
    <n v="20"/>
    <s v="AC"/>
    <s v="BC"/>
    <n v="0"/>
    <n v="7"/>
    <n v="6"/>
    <n v="226"/>
    <n v="0"/>
    <s v="BUCK CREEK RD./I70"/>
    <n v="4"/>
    <s v="CS"/>
    <n v="12443.181818181818"/>
    <x v="2"/>
    <n v="8"/>
    <n v="7"/>
    <n v="2"/>
    <n v="10"/>
  </r>
  <r>
    <s v="B63"/>
    <s v="NASHVILLE RD/1000N"/>
    <s v="NASHVILLE RD/1000N"/>
    <m/>
    <s v="775E"/>
    <s v="1000N"/>
    <n v="820"/>
    <n v="20"/>
    <s v="AC"/>
    <s v="B"/>
    <n v="0"/>
    <n v="6"/>
    <n v="6"/>
    <n v="222"/>
    <n v="0"/>
    <s v="NASHVILLE RD."/>
    <n v="4"/>
    <s v="DS"/>
    <n v="3882.5757575757575"/>
    <x v="5"/>
    <n v="8"/>
    <n v="7"/>
    <n v="2"/>
    <n v="4"/>
  </r>
  <r>
    <s v="B65"/>
    <s v="NASHVILLE RD/1100N"/>
    <s v="NASHVILLE RD/1100N"/>
    <m/>
    <s v="1100N"/>
    <s v="675E"/>
    <n v="858"/>
    <n v="20"/>
    <s v="AC"/>
    <s v="B"/>
    <n v="0"/>
    <n v="6"/>
    <n v="6"/>
    <n v="222"/>
    <n v="0"/>
    <s v="NASHVILLE RD."/>
    <n v="4"/>
    <s v="DS"/>
    <n v="4062.5"/>
    <x v="5"/>
    <n v="8"/>
    <n v="7"/>
    <n v="2"/>
    <n v="4"/>
  </r>
  <r>
    <s v="B64"/>
    <s v="NASHVILLE RD/675E"/>
    <s v="NASHVILLE RD/675E"/>
    <m/>
    <s v="1000N"/>
    <s v="675E"/>
    <n v="6328"/>
    <n v="20"/>
    <s v="AC"/>
    <s v="B"/>
    <n v="0"/>
    <n v="7"/>
    <n v="6"/>
    <n v="222"/>
    <n v="0"/>
    <s v="NASHVILLE RD."/>
    <n v="4"/>
    <s v="CS"/>
    <n v="17977.272727272728"/>
    <x v="2"/>
    <n v="8"/>
    <n v="7"/>
    <n v="2"/>
    <n v="10"/>
  </r>
  <r>
    <s v="BW18"/>
    <s v="400S/300E"/>
    <s v="400S/300E"/>
    <m/>
    <s v="300E"/>
    <s v="SR 9"/>
    <n v="5935"/>
    <n v="20"/>
    <s v="AC"/>
    <s v="BW"/>
    <n v="0"/>
    <n v="5"/>
    <n v="7"/>
    <n v="221"/>
    <n v="0"/>
    <s v="400S"/>
    <n v="3"/>
    <s v="SP/CS"/>
    <n v="44962.121212121216"/>
    <x v="4"/>
    <n v="10"/>
    <n v="10"/>
    <n v="1.5"/>
    <n v="1.5"/>
  </r>
  <r>
    <s v="SC92"/>
    <s v="400W/100S"/>
    <s v="400W/100S"/>
    <m/>
    <s v="200S"/>
    <s v="100S"/>
    <n v="5340"/>
    <n v="20"/>
    <s v="AC"/>
    <s v="SC"/>
    <n v="0"/>
    <n v="7"/>
    <n v="10"/>
    <n v="220"/>
    <n v="0"/>
    <s v="400W"/>
    <n v="0"/>
    <s v="CS"/>
    <n v="15170.454545454546"/>
    <x v="2"/>
    <n v="16"/>
    <n v="7"/>
    <n v="0.5"/>
    <n v="2.5"/>
  </r>
  <r>
    <s v="BR18"/>
    <s v="400S/800E"/>
    <s v="400S/800E"/>
    <m/>
    <s v="800E"/>
    <s v="700E"/>
    <n v="5400"/>
    <n v="20"/>
    <s v="AC"/>
    <s v="BR"/>
    <n v="0"/>
    <n v="5"/>
    <n v="7"/>
    <n v="219"/>
    <n v="0"/>
    <s v="400S"/>
    <n v="3"/>
    <s v="SP/CS"/>
    <n v="40909.090909090912"/>
    <x v="2"/>
    <n v="10"/>
    <n v="10"/>
    <n v="1.5"/>
    <n v="7.5"/>
  </r>
  <r>
    <s v="SC97"/>
    <s v="JACOBI RD./100S"/>
    <s v="JACOBI RD./100S"/>
    <m/>
    <s v="100S"/>
    <s v="200S"/>
    <n v="6640"/>
    <n v="20"/>
    <s v="CS"/>
    <s v="SC"/>
    <n v="0"/>
    <n v="8"/>
    <n v="7"/>
    <n v="217"/>
    <n v="0"/>
    <s v="JACOBI RD./100S"/>
    <n v="3"/>
    <s v="CS"/>
    <n v="18863.636363636364"/>
    <x v="2"/>
    <n v="10"/>
    <n v="7"/>
    <n v="1.5"/>
    <n v="7.5"/>
  </r>
  <r>
    <s v="V18"/>
    <s v="700N/FORTVILLE PK"/>
    <s v="700N/FORTVILLE PK"/>
    <m/>
    <s v="FORTVILLE PK."/>
    <s v="200W"/>
    <n v="5791"/>
    <n v="20"/>
    <s v="AC"/>
    <s v="V"/>
    <n v="0"/>
    <n v="5"/>
    <n v="7"/>
    <n v="215"/>
    <n v="0"/>
    <s v="700N"/>
    <n v="3"/>
    <s v="SP/CS"/>
    <n v="43871.21212121212"/>
    <x v="4"/>
    <n v="10"/>
    <n v="10"/>
    <n v="1.5"/>
    <n v="1.5"/>
  </r>
  <r>
    <s v="BC74"/>
    <s v="400W/600N"/>
    <s v="400W/600N"/>
    <m/>
    <s v="600N"/>
    <s v="500N"/>
    <n v="5110"/>
    <n v="20"/>
    <s v="AC"/>
    <s v="BC"/>
    <n v="0"/>
    <n v="6"/>
    <n v="6"/>
    <n v="214"/>
    <n v="0"/>
    <s v="400W"/>
    <n v="4"/>
    <s v="DS"/>
    <n v="24195.075757575756"/>
    <x v="5"/>
    <n v="8"/>
    <n v="7"/>
    <n v="2"/>
    <n v="4"/>
  </r>
  <r>
    <s v="G11"/>
    <s v="650N/600E"/>
    <s v="650N/600E"/>
    <m/>
    <s v="600E"/>
    <s v="500E"/>
    <n v="5290"/>
    <n v="20"/>
    <s v="CS"/>
    <s v="G"/>
    <n v="0"/>
    <n v="3"/>
    <n v="6"/>
    <n v="50"/>
    <n v="0"/>
    <s v="650N"/>
    <n v="4"/>
    <s v="CS"/>
    <n v="15028.40909090909"/>
    <x v="3"/>
    <n v="8"/>
    <n v="7"/>
    <n v="2"/>
    <n v="12"/>
  </r>
  <r>
    <s v="V72"/>
    <s v="400W/SR67"/>
    <s v="400W/SR67"/>
    <m/>
    <s v="900N"/>
    <s v="SR67"/>
    <n v="785"/>
    <n v="20"/>
    <s v="AC"/>
    <s v="V"/>
    <n v="0"/>
    <n v="7"/>
    <n v="7"/>
    <n v="209"/>
    <n v="0"/>
    <s v="400W"/>
    <n v="3"/>
    <s v="CS"/>
    <n v="2230.1136363636365"/>
    <x v="6"/>
    <n v="10"/>
    <n v="7"/>
    <n v="1.5"/>
    <n v="4.5"/>
  </r>
  <r>
    <s v="B18"/>
    <s v="650N/1125E"/>
    <s v="650N/1125E"/>
    <m/>
    <s v="SR109"/>
    <s v="1125E"/>
    <n v="2921"/>
    <n v="20"/>
    <s v="CS"/>
    <s v="B"/>
    <n v="0"/>
    <n v="6"/>
    <n v="6"/>
    <n v="209"/>
    <n v="0"/>
    <s v="650N"/>
    <n v="4"/>
    <s v="DS"/>
    <n v="13830.492424242424"/>
    <x v="5"/>
    <n v="8"/>
    <n v="7"/>
    <n v="2"/>
    <n v="4"/>
  </r>
  <r>
    <s v="V19"/>
    <s v="700N/50W"/>
    <s v="700N/50W"/>
    <m/>
    <s v="50W"/>
    <s v="FORTVILLE PK."/>
    <n v="2217"/>
    <n v="20"/>
    <s v="CS"/>
    <s v="V"/>
    <n v="0"/>
    <n v="7"/>
    <n v="6"/>
    <n v="209"/>
    <n v="0"/>
    <s v="700N"/>
    <n v="4"/>
    <s v="DS"/>
    <n v="10497.15909090909"/>
    <x v="4"/>
    <n v="8"/>
    <n v="7"/>
    <n v="2"/>
    <n v="2"/>
  </r>
  <r>
    <s v="B29"/>
    <s v="900N/1100E"/>
    <s v="900N/1100E"/>
    <m/>
    <s v="1100E"/>
    <s v="1000E"/>
    <n v="5405"/>
    <n v="20"/>
    <s v="AC"/>
    <s v="B"/>
    <n v="0"/>
    <n v="5"/>
    <n v="5"/>
    <n v="207"/>
    <n v="0"/>
    <s v="900N"/>
    <n v="5"/>
    <s v="SP/CS"/>
    <n v="40946.969696969696"/>
    <x v="4"/>
    <n v="6"/>
    <n v="10"/>
    <n v="2"/>
    <n v="2"/>
  </r>
  <r>
    <s v="SC93"/>
    <s v="400W/300S"/>
    <s v="400W/300S"/>
    <m/>
    <s v="300S"/>
    <s v="400S"/>
    <n v="5345"/>
    <n v="20"/>
    <s v="CS"/>
    <s v="SC"/>
    <n v="0"/>
    <n v="7"/>
    <n v="7"/>
    <n v="206"/>
    <n v="0"/>
    <s v="400W"/>
    <n v="3"/>
    <s v="DS"/>
    <n v="25307.765151515152"/>
    <x v="5"/>
    <n v="10"/>
    <n v="7"/>
    <n v="1.5"/>
    <n v="3"/>
  </r>
  <r>
    <s v="V20"/>
    <s v="700N/MERIDIAN RD"/>
    <s v="700N/MERIDIAN RD"/>
    <m/>
    <s v="MERIDIAN RD."/>
    <s v="50W"/>
    <n v="2667"/>
    <n v="20"/>
    <s v="CS"/>
    <s v="V"/>
    <n v="0"/>
    <n v="5"/>
    <n v="5"/>
    <n v="205"/>
    <n v="0"/>
    <s v="700N"/>
    <n v="5"/>
    <s v="SP/CS"/>
    <n v="20204.545454545456"/>
    <x v="0"/>
    <n v="6"/>
    <n v="10"/>
    <n v="2"/>
    <n v="0"/>
  </r>
  <r>
    <s v="SC105"/>
    <s v="250W/100S"/>
    <s v="250W/100S"/>
    <m/>
    <s v="200S"/>
    <s v="100S"/>
    <n v="5350"/>
    <n v="20"/>
    <s v="AC"/>
    <s v="SC"/>
    <n v="0"/>
    <n v="6"/>
    <n v="6"/>
    <n v="204"/>
    <n v="0"/>
    <s v="250W"/>
    <n v="4"/>
    <s v="DS"/>
    <n v="25331.439393939392"/>
    <x v="5"/>
    <n v="8"/>
    <n v="7"/>
    <n v="2"/>
    <n v="4"/>
  </r>
  <r>
    <s v="V30"/>
    <s v="900N/200W"/>
    <s v="900N/200W"/>
    <m/>
    <s v="200W"/>
    <s v="300W"/>
    <n v="4000"/>
    <n v="20"/>
    <s v="CS"/>
    <s v="V"/>
    <n v="0"/>
    <n v="6"/>
    <n v="6"/>
    <n v="204"/>
    <n v="0"/>
    <s v="900N"/>
    <n v="4"/>
    <s v="DS"/>
    <n v="18939.39393939394"/>
    <x v="5"/>
    <n v="8"/>
    <n v="7"/>
    <n v="2"/>
    <n v="4"/>
  </r>
  <r>
    <s v="G28"/>
    <s v="900N/TROY RD"/>
    <s v="900N/TROY RD"/>
    <m/>
    <s v="TROY RD."/>
    <s v="BARNARD RD."/>
    <n v="5322"/>
    <n v="20"/>
    <s v="AC"/>
    <s v="G"/>
    <n v="0"/>
    <n v="6"/>
    <n v="6"/>
    <n v="202"/>
    <n v="0"/>
    <s v="900N"/>
    <n v="4"/>
    <s v="DS"/>
    <n v="25198.863636363636"/>
    <x v="5"/>
    <n v="8"/>
    <n v="7"/>
    <n v="2"/>
    <n v="4"/>
  </r>
  <r>
    <s v="G36"/>
    <s v="1000N/400E"/>
    <s v="1000N/400E"/>
    <m/>
    <s v="400E"/>
    <s v="BARNARD RD."/>
    <n v="6697"/>
    <n v="20"/>
    <s v="AC"/>
    <s v="G"/>
    <n v="0"/>
    <n v="7"/>
    <n v="7"/>
    <n v="201"/>
    <n v="0"/>
    <s v="1000N"/>
    <n v="3"/>
    <s v="CS"/>
    <n v="19025.56818181818"/>
    <x v="2"/>
    <n v="10"/>
    <n v="7"/>
    <n v="1.5"/>
    <n v="7.5"/>
  </r>
  <r>
    <s v="G58"/>
    <s v="400E/650N"/>
    <s v="400E/650N"/>
    <m/>
    <s v="650N"/>
    <s v="600N"/>
    <n v="2645"/>
    <n v="20"/>
    <s v="AC"/>
    <s v="G"/>
    <n v="0"/>
    <n v="6"/>
    <n v="6"/>
    <n v="201"/>
    <n v="0"/>
    <s v="400E"/>
    <n v="4"/>
    <s v="DS"/>
    <n v="12523.674242424242"/>
    <x v="5"/>
    <n v="8"/>
    <n v="7"/>
    <n v="2"/>
    <n v="4"/>
  </r>
  <r>
    <s v="G12"/>
    <s v="700N/50E"/>
    <s v="700N/50E"/>
    <m/>
    <s v="50E"/>
    <s v="MERIDIAN RD."/>
    <n v="2660"/>
    <n v="20"/>
    <s v="AC"/>
    <s v="G"/>
    <n v="0"/>
    <n v="6"/>
    <n v="7"/>
    <n v="201"/>
    <n v="0"/>
    <s v="700N"/>
    <n v="3"/>
    <s v="DS"/>
    <n v="12594.69696969697"/>
    <x v="5"/>
    <n v="10"/>
    <n v="7"/>
    <n v="1.5"/>
    <n v="3"/>
  </r>
  <r>
    <s v="C50"/>
    <s v="150W/100N"/>
    <s v="150W/100N"/>
    <m/>
    <s v="SR40"/>
    <s v="100N"/>
    <n v="5930"/>
    <n v="20"/>
    <s v="CS"/>
    <s v="C"/>
    <n v="0"/>
    <n v="8"/>
    <n v="7"/>
    <n v="200"/>
    <n v="0"/>
    <s v="150W"/>
    <n v="3"/>
    <s v="CS"/>
    <n v="16846.590909090908"/>
    <x v="2"/>
    <n v="10"/>
    <n v="7"/>
    <n v="1.5"/>
    <n v="7.5"/>
  </r>
  <r>
    <s v="C32"/>
    <s v="400N/50E"/>
    <s v="400N/50E"/>
    <m/>
    <s v="50E"/>
    <s v="FORTVILLE PK."/>
    <n v="4360"/>
    <n v="20"/>
    <s v="AC"/>
    <s v="C"/>
    <n v="0"/>
    <n v="8"/>
    <n v="6"/>
    <n v="200"/>
    <n v="0"/>
    <s v="400N"/>
    <n v="4"/>
    <s v="CRACK"/>
    <n v="4871.969696969697"/>
    <x v="0"/>
    <n v="8"/>
    <n v="4"/>
    <n v="2"/>
    <n v="0"/>
  </r>
  <r>
    <s v="G62"/>
    <s v="400E/1000N"/>
    <s v="400E/1000N"/>
    <m/>
    <s v="900N"/>
    <s v="1000N"/>
    <n v="5340"/>
    <n v="20"/>
    <s v="AC"/>
    <s v="G"/>
    <n v="0"/>
    <n v="6"/>
    <n v="6"/>
    <n v="195"/>
    <n v="0"/>
    <s v="400E"/>
    <n v="4"/>
    <s v="DS"/>
    <n v="25284.090909090908"/>
    <x v="5"/>
    <n v="8"/>
    <n v="7"/>
    <n v="2"/>
    <n v="4"/>
  </r>
  <r>
    <s v="G63"/>
    <s v="400E/1100N"/>
    <s v="400E/1100N"/>
    <m/>
    <s v="1000N"/>
    <s v="1100N"/>
    <n v="5333"/>
    <n v="20"/>
    <s v="AC"/>
    <s v="G"/>
    <n v="0"/>
    <n v="6"/>
    <n v="5"/>
    <n v="195"/>
    <n v="0"/>
    <s v="400E"/>
    <n v="5"/>
    <s v="DS"/>
    <n v="25250.946969696968"/>
    <x v="5"/>
    <n v="6"/>
    <n v="7"/>
    <n v="2"/>
    <n v="4"/>
  </r>
  <r>
    <s v="G61"/>
    <s v="400E/900N"/>
    <s v="400E/900N"/>
    <m/>
    <s v="SR234"/>
    <s v="900N"/>
    <n v="5460"/>
    <n v="20"/>
    <s v="G"/>
    <s v="G"/>
    <n v="0"/>
    <n v="6"/>
    <n v="6"/>
    <n v="195"/>
    <n v="0"/>
    <s v="400E"/>
    <n v="4"/>
    <s v="GG"/>
    <n v="14477.272727272728"/>
    <x v="5"/>
    <n v="8"/>
    <n v="1"/>
    <n v="2"/>
    <n v="4"/>
  </r>
  <r>
    <s v="BR50"/>
    <s v="500E/300S"/>
    <s v="500E/300S"/>
    <m/>
    <s v="400S"/>
    <s v="300S"/>
    <n v="5338"/>
    <n v="20"/>
    <s v="AC"/>
    <s v="BR"/>
    <n v="0"/>
    <n v="6"/>
    <n v="7"/>
    <n v="194"/>
    <n v="0"/>
    <s v="500E"/>
    <n v="3"/>
    <s v="DS"/>
    <n v="25274.621212121212"/>
    <x v="5"/>
    <n v="10"/>
    <n v="7"/>
    <n v="1.5"/>
    <n v="3"/>
  </r>
  <r>
    <s v="SC95"/>
    <s v="400W/US52"/>
    <s v="400W/US52"/>
    <m/>
    <s v="US52"/>
    <s v="FAUT ROAD"/>
    <n v="4468"/>
    <n v="20"/>
    <s v="AC"/>
    <s v="SC"/>
    <n v="0"/>
    <n v="7"/>
    <n v="6"/>
    <n v="191"/>
    <n v="0"/>
    <s v="400W"/>
    <n v="4"/>
    <s v="CS"/>
    <n v="12693.181818181818"/>
    <x v="2"/>
    <n v="8"/>
    <n v="7"/>
    <n v="2"/>
    <n v="10"/>
  </r>
  <r>
    <s v="V29"/>
    <s v="900N/300W"/>
    <s v="900N/300W"/>
    <m/>
    <s v="300W"/>
    <s v="400W"/>
    <n v="5231"/>
    <n v="20"/>
    <s v="CS"/>
    <s v="V"/>
    <n v="0"/>
    <n v="7"/>
    <n v="6"/>
    <n v="190"/>
    <n v="0"/>
    <s v="900N"/>
    <n v="4"/>
    <s v="DS"/>
    <n v="24767.992424242424"/>
    <x v="5"/>
    <n v="8"/>
    <n v="7"/>
    <n v="2"/>
    <n v="4"/>
  </r>
  <r>
    <s v="BC32"/>
    <s v="400N/200W"/>
    <s v="400N/200W"/>
    <m/>
    <s v="200W"/>
    <s v="300W"/>
    <n v="5320"/>
    <n v="20"/>
    <s v="AC"/>
    <s v="BC"/>
    <n v="0"/>
    <n v="5"/>
    <n v="6"/>
    <n v="189"/>
    <n v="0"/>
    <s v="400N"/>
    <n v="4"/>
    <s v="SP/CS"/>
    <n v="40303.030303030304"/>
    <x v="5"/>
    <n v="8"/>
    <n v="10"/>
    <n v="2"/>
    <n v="4"/>
  </r>
  <r>
    <s v="BC31"/>
    <s v="400N/300W"/>
    <s v="400N/300W"/>
    <m/>
    <s v="400W"/>
    <s v="300W"/>
    <n v="5292"/>
    <n v="20"/>
    <s v="CS"/>
    <s v="BC"/>
    <n v="0"/>
    <n v="4"/>
    <n v="9"/>
    <n v="188"/>
    <n v="0"/>
    <s v="400N"/>
    <n v="1"/>
    <s v="CRACK"/>
    <n v="5913.409090909091"/>
    <x v="0"/>
    <n v="14"/>
    <n v="4"/>
    <n v="1"/>
    <n v="0"/>
  </r>
  <r>
    <s v="SC90"/>
    <s v="425W/200S"/>
    <s v="425W/200S"/>
    <m/>
    <s v="300S"/>
    <s v="200S"/>
    <n v="5340"/>
    <n v="20"/>
    <s v="AC"/>
    <s v="SC"/>
    <n v="0"/>
    <n v="6"/>
    <n v="6"/>
    <n v="188"/>
    <n v="0"/>
    <s v="425W"/>
    <n v="4"/>
    <s v="DS"/>
    <n v="25284.090909090908"/>
    <x v="5"/>
    <n v="8"/>
    <n v="7"/>
    <n v="2"/>
    <n v="4"/>
  </r>
  <r>
    <s v="B37"/>
    <s v="1000N/1000E"/>
    <s v="1000N/1000E"/>
    <m/>
    <s v="1000E"/>
    <s v="SR109"/>
    <n v="5320"/>
    <n v="20"/>
    <s v="AC"/>
    <s v="B"/>
    <n v="0"/>
    <n v="6"/>
    <n v="7"/>
    <n v="187"/>
    <n v="0"/>
    <s v="1000N"/>
    <n v="3"/>
    <s v="P"/>
    <n v="70530.303030303025"/>
    <x v="6"/>
    <n v="10"/>
    <n v="15"/>
    <n v="1.5"/>
    <n v="4.5"/>
  </r>
  <r>
    <s v="SC96"/>
    <s v="400W/FAUT RD"/>
    <s v="400W/FAUT RD"/>
    <m/>
    <s v="FAUT ROAD"/>
    <s v="600S"/>
    <n v="2644"/>
    <n v="20"/>
    <s v="AC"/>
    <s v="SC"/>
    <n v="0"/>
    <n v="7"/>
    <n v="7"/>
    <n v="186"/>
    <n v="0"/>
    <s v="400W"/>
    <n v="3"/>
    <s v="CS"/>
    <n v="7511.363636363636"/>
    <x v="2"/>
    <n v="10"/>
    <n v="7"/>
    <n v="1.5"/>
    <n v="7.5"/>
  </r>
  <r>
    <s v="BC09"/>
    <s v="150N/700W"/>
    <s v="150N/700W"/>
    <m/>
    <s v="BUCK CREEK RD."/>
    <s v="700W"/>
    <n v="2620"/>
    <n v="20"/>
    <s v="CS"/>
    <s v="BC"/>
    <n v="0"/>
    <n v="7"/>
    <n v="7"/>
    <n v="185"/>
    <n v="0"/>
    <s v="150N"/>
    <n v="3"/>
    <s v="P"/>
    <n v="34734.848484848488"/>
    <x v="6"/>
    <n v="10"/>
    <n v="15"/>
    <n v="1.5"/>
    <n v="4.5"/>
  </r>
  <r>
    <s v="J73"/>
    <s v="850E/350N"/>
    <s v="850E/350N"/>
    <m/>
    <s v="300N"/>
    <s v="350N"/>
    <n v="2619"/>
    <n v="20"/>
    <s v="AC"/>
    <s v="J"/>
    <n v="0"/>
    <n v="7"/>
    <n v="8"/>
    <n v="185"/>
    <n v="0"/>
    <s v="850E"/>
    <n v="2"/>
    <s v="CS"/>
    <n v="7440.340909090909"/>
    <x v="2"/>
    <n v="12"/>
    <n v="7"/>
    <n v="1.5"/>
    <n v="7.5"/>
  </r>
  <r>
    <s v="J74"/>
    <s v="850E/400N"/>
    <s v="850E/400N"/>
    <m/>
    <s v="350N"/>
    <s v="400N"/>
    <n v="2652"/>
    <n v="20"/>
    <s v="AC"/>
    <s v="J"/>
    <n v="0"/>
    <n v="7"/>
    <n v="9"/>
    <n v="185"/>
    <n v="0"/>
    <s v="850E"/>
    <n v="1"/>
    <s v="CS"/>
    <n v="7534.090909090909"/>
    <x v="2"/>
    <n v="14"/>
    <n v="7"/>
    <n v="1"/>
    <n v="5"/>
  </r>
  <r>
    <s v="J75"/>
    <s v="850E/500N"/>
    <s v="850E/500N"/>
    <m/>
    <s v="500N"/>
    <s v="400N"/>
    <n v="5320"/>
    <n v="20"/>
    <s v="AC"/>
    <s v="J"/>
    <n v="0"/>
    <n v="6"/>
    <n v="7"/>
    <n v="185"/>
    <n v="0"/>
    <s v="850E"/>
    <n v="3"/>
    <s v="P"/>
    <n v="70530.303030303025"/>
    <x v="6"/>
    <n v="10"/>
    <n v="15"/>
    <n v="1.5"/>
    <n v="4.5"/>
  </r>
  <r>
    <s v="V76"/>
    <s v="300W/SR234"/>
    <s v="300W/SR234"/>
    <m/>
    <s v="700N"/>
    <s v="SR234"/>
    <n v="5438"/>
    <n v="20"/>
    <s v="G"/>
    <s v="V"/>
    <n v="0"/>
    <n v="6"/>
    <n v="7"/>
    <n v="184"/>
    <n v="0"/>
    <s v="300W"/>
    <n v="3"/>
    <s v="P"/>
    <n v="72094.696969696975"/>
    <x v="6"/>
    <n v="10"/>
    <n v="15"/>
    <n v="1.5"/>
    <n v="4.5"/>
  </r>
  <r>
    <s v="C79"/>
    <s v="400E/500N"/>
    <s v="400E/500N"/>
    <m/>
    <s v="400N"/>
    <s v="500N"/>
    <n v="5300"/>
    <n v="20"/>
    <s v="AC"/>
    <s v="C"/>
    <n v="0"/>
    <n v="5"/>
    <n v="6"/>
    <n v="184"/>
    <n v="0"/>
    <s v="400E"/>
    <n v="4"/>
    <s v="SP/CS"/>
    <n v="40151.515151515152"/>
    <x v="5"/>
    <n v="8"/>
    <n v="10"/>
    <n v="2"/>
    <n v="4"/>
  </r>
  <r>
    <s v="G75"/>
    <s v="600E/1000N"/>
    <s v="600E/1000N"/>
    <m/>
    <s v="900N"/>
    <s v="1000N"/>
    <n v="5438"/>
    <n v="20"/>
    <s v="AC"/>
    <s v="G"/>
    <n v="0"/>
    <n v="7"/>
    <n v="8"/>
    <n v="179"/>
    <n v="0"/>
    <s v="600E"/>
    <n v="2"/>
    <s v="CS"/>
    <n v="15448.863636363636"/>
    <x v="2"/>
    <n v="12"/>
    <n v="7"/>
    <n v="1.5"/>
    <n v="7.5"/>
  </r>
  <r>
    <s v="B38"/>
    <s v="1000N/1100E"/>
    <s v="1000N/1100E"/>
    <m/>
    <s v="1000E"/>
    <s v="1100E"/>
    <n v="5470"/>
    <n v="20"/>
    <s v="AC"/>
    <s v="B"/>
    <n v="0"/>
    <n v="7"/>
    <n v="8"/>
    <n v="178"/>
    <n v="0"/>
    <s v="1000N"/>
    <n v="2"/>
    <s v="CS"/>
    <n v="15539.772727272728"/>
    <x v="2"/>
    <n v="12"/>
    <n v="7"/>
    <n v="1.5"/>
    <n v="7.5"/>
  </r>
  <r>
    <s v="V71"/>
    <s v="400W/900N"/>
    <s v="400W/900N"/>
    <m/>
    <s v="SR234"/>
    <s v="900N"/>
    <n v="5285"/>
    <n v="20"/>
    <s v="CS"/>
    <s v="V"/>
    <n v="0"/>
    <n v="6"/>
    <n v="6"/>
    <n v="178"/>
    <n v="0"/>
    <s v="400W"/>
    <n v="4"/>
    <s v="DS"/>
    <n v="25023.674242424244"/>
    <x v="6"/>
    <n v="8"/>
    <n v="7"/>
    <n v="2"/>
    <n v="6"/>
  </r>
  <r>
    <s v="G59"/>
    <s v="400E/700N"/>
    <s v="400E/700N"/>
    <m/>
    <s v="650N"/>
    <s v="700N"/>
    <n v="2659"/>
    <n v="20"/>
    <s v="AC"/>
    <s v="G"/>
    <n v="0"/>
    <n v="6"/>
    <n v="7"/>
    <n v="177"/>
    <n v="0"/>
    <s v="400E"/>
    <n v="3"/>
    <s v="DS"/>
    <n v="12589.962121212122"/>
    <x v="6"/>
    <n v="10"/>
    <n v="7"/>
    <n v="1.5"/>
    <n v="4.5"/>
  </r>
  <r>
    <s v="G60"/>
    <s v="400E/SR234"/>
    <s v="400E/SR234"/>
    <m/>
    <s v="700N"/>
    <s v="SR234"/>
    <n v="5544"/>
    <n v="20"/>
    <s v="AC"/>
    <s v="G"/>
    <n v="0"/>
    <n v="6"/>
    <n v="6"/>
    <n v="177"/>
    <n v="0"/>
    <s v="400E"/>
    <n v="4"/>
    <s v="DS"/>
    <n v="26250"/>
    <x v="6"/>
    <n v="8"/>
    <n v="7"/>
    <n v="2"/>
    <n v="6"/>
  </r>
  <r>
    <s v="G09"/>
    <s v="650N/400E"/>
    <s v="650N/400E"/>
    <m/>
    <s v="400E"/>
    <s v="400E"/>
    <n v="1288"/>
    <n v="20"/>
    <s v="AC"/>
    <s v="G"/>
    <n v="0"/>
    <n v="7"/>
    <n v="7"/>
    <n v="177"/>
    <n v="0"/>
    <s v="650N"/>
    <n v="3"/>
    <s v="CS"/>
    <n v="3659.090909090909"/>
    <x v="2"/>
    <n v="10"/>
    <n v="7"/>
    <n v="1.5"/>
    <n v="7.5"/>
  </r>
  <r>
    <s v="B69"/>
    <s v="1000E/1000N"/>
    <s v="1000E/1000N"/>
    <m/>
    <s v="900 N"/>
    <s v="1000 N"/>
    <n v="5333"/>
    <n v="20"/>
    <s v="CS"/>
    <s v="B"/>
    <n v="0"/>
    <n v="5"/>
    <n v="6"/>
    <n v="175"/>
    <n v="0"/>
    <s v="1000E"/>
    <n v="4"/>
    <s v="MICRO"/>
    <n v="50501.893939393936"/>
    <x v="5"/>
    <n v="8"/>
    <n v="10"/>
    <n v="2"/>
    <n v="4"/>
  </r>
  <r>
    <s v="B68"/>
    <s v="1000E/900N"/>
    <s v="1000E/900N"/>
    <m/>
    <s v="900N"/>
    <s v="SR234"/>
    <n v="5290"/>
    <n v="20"/>
    <s v="CS"/>
    <s v="B"/>
    <n v="0"/>
    <n v="5"/>
    <n v="6"/>
    <n v="175"/>
    <n v="0"/>
    <s v="1000E"/>
    <n v="4"/>
    <s v="SP/CS"/>
    <n v="40075.757575757576"/>
    <x v="5"/>
    <n v="8"/>
    <n v="10"/>
    <n v="2"/>
    <n v="4"/>
  </r>
  <r>
    <s v="G18"/>
    <s v="700N/500E"/>
    <s v="700N/500E"/>
    <m/>
    <s v="500E"/>
    <s v="400E"/>
    <n v="6758"/>
    <n v="20"/>
    <s v="CS"/>
    <s v="G"/>
    <n v="0"/>
    <n v="5"/>
    <n v="3"/>
    <n v="50"/>
    <n v="0"/>
    <s v="700N"/>
    <n v="7"/>
    <s v="CS"/>
    <n v="19198.863636363636"/>
    <x v="3"/>
    <n v="1"/>
    <n v="7"/>
    <n v="3"/>
    <n v="18"/>
  </r>
  <r>
    <s v="BR16"/>
    <s v="400S/600E"/>
    <s v="400S/600E"/>
    <m/>
    <s v="600E"/>
    <s v="500E"/>
    <n v="5310"/>
    <n v="20"/>
    <s v="CS"/>
    <s v="BR"/>
    <n v="0"/>
    <n v="8"/>
    <n v="7"/>
    <n v="175"/>
    <n v="0"/>
    <s v="400S"/>
    <n v="3"/>
    <s v="CS"/>
    <n v="15085.227272727272"/>
    <x v="2"/>
    <n v="10"/>
    <n v="7"/>
    <n v="1.5"/>
    <n v="7.5"/>
  </r>
  <r>
    <s v="C45"/>
    <s v="500N/400E"/>
    <s v="500N/400E"/>
    <m/>
    <s v="300E"/>
    <s v="400E"/>
    <n v="5385"/>
    <n v="20"/>
    <s v="AC"/>
    <s v="C"/>
    <n v="0"/>
    <n v="6"/>
    <n v="7"/>
    <n v="175"/>
    <n v="0"/>
    <s v="500N"/>
    <n v="3"/>
    <s v="DS"/>
    <n v="25497.159090909092"/>
    <x v="6"/>
    <n v="10"/>
    <n v="7"/>
    <n v="1.5"/>
    <n v="4.5"/>
  </r>
  <r>
    <s v="BC83"/>
    <s v="300W/600N"/>
    <s v="300W/600N"/>
    <m/>
    <s v="600N"/>
    <s v="500N"/>
    <n v="5070"/>
    <n v="20"/>
    <s v="AC"/>
    <s v="BC"/>
    <n v="0"/>
    <n v="6"/>
    <n v="7"/>
    <n v="169"/>
    <n v="0"/>
    <s v="300W"/>
    <n v="3"/>
    <s v="DS"/>
    <n v="24005.68181818182"/>
    <x v="6"/>
    <n v="10"/>
    <n v="7"/>
    <n v="1.5"/>
    <n v="4.5"/>
  </r>
  <r>
    <s v="BC81"/>
    <s v="350W/200N"/>
    <s v="350W/200N"/>
    <m/>
    <s v="200N"/>
    <s v="100N"/>
    <n v="5330"/>
    <n v="20"/>
    <s v="AC"/>
    <s v="BC"/>
    <n v="0"/>
    <n v="7"/>
    <n v="7"/>
    <n v="169"/>
    <n v="0"/>
    <s v="350W"/>
    <n v="3"/>
    <s v="CS"/>
    <n v="15142.045454545454"/>
    <x v="2"/>
    <n v="10"/>
    <n v="7"/>
    <n v="1.5"/>
    <n v="7.5"/>
  </r>
  <r>
    <s v="V92"/>
    <s v="50W/700N"/>
    <s v="50W/700N"/>
    <m/>
    <s v="700N"/>
    <s v="600N"/>
    <n v="5320"/>
    <n v="20"/>
    <s v="CS"/>
    <s v="V"/>
    <n v="0"/>
    <n v="7"/>
    <n v="7"/>
    <n v="168"/>
    <n v="0"/>
    <s v="50W"/>
    <n v="3"/>
    <s v="DS"/>
    <n v="25189.39393939394"/>
    <x v="6"/>
    <n v="10"/>
    <n v="7"/>
    <n v="1.5"/>
    <n v="4.5"/>
  </r>
  <r>
    <s v="V33"/>
    <s v="900N/MERIDIAN RD"/>
    <s v="900N/MERIDIAN RD"/>
    <m/>
    <s v="MERIDIAN RD."/>
    <s v="50W"/>
    <n v="2644"/>
    <n v="20"/>
    <s v="CS"/>
    <s v="V"/>
    <n v="0"/>
    <n v="9"/>
    <n v="7"/>
    <n v="168"/>
    <n v="0"/>
    <s v="900N"/>
    <n v="3"/>
    <s v="CS"/>
    <n v="7511.363636363636"/>
    <x v="2"/>
    <n v="10"/>
    <n v="7"/>
    <n v="1.5"/>
    <n v="7.5"/>
  </r>
  <r>
    <s v="B70"/>
    <s v="1000E/1100N"/>
    <s v="1000E/1100N"/>
    <m/>
    <s v="1000N"/>
    <s v="1100N"/>
    <n v="5345"/>
    <n v="20"/>
    <s v="AC"/>
    <s v="B"/>
    <n v="0"/>
    <n v="6"/>
    <n v="7"/>
    <n v="167"/>
    <n v="0"/>
    <s v="1000E"/>
    <n v="3"/>
    <s v="DS"/>
    <n v="25307.765151515152"/>
    <x v="6"/>
    <n v="10"/>
    <n v="7"/>
    <n v="1.5"/>
    <n v="4.5"/>
  </r>
  <r>
    <s v="B19"/>
    <s v="650N/1200E"/>
    <s v="650N/1200E"/>
    <m/>
    <s v="1125E"/>
    <s v="1200E"/>
    <n v="4071"/>
    <n v="20"/>
    <s v="CS"/>
    <s v="B"/>
    <n v="0"/>
    <n v="7"/>
    <n v="7"/>
    <n v="167"/>
    <n v="0"/>
    <s v="650N"/>
    <n v="3"/>
    <s v="DS"/>
    <n v="19275.56818181818"/>
    <x v="6"/>
    <n v="10"/>
    <n v="7"/>
    <n v="1.5"/>
    <n v="4.5"/>
  </r>
  <r>
    <s v="BR42"/>
    <s v="100S/E. CO. LINE"/>
    <s v="100S/E. CO. LINE"/>
    <m/>
    <s v="COUNTY LINE"/>
    <s v="850E"/>
    <n v="2720"/>
    <n v="20"/>
    <s v="AC"/>
    <s v="BR"/>
    <n v="0"/>
    <n v="5"/>
    <n v="6"/>
    <n v="164"/>
    <n v="0"/>
    <s v="100S"/>
    <n v="4"/>
    <s v="SP/CS"/>
    <n v="20606.060606060608"/>
    <x v="4"/>
    <n v="8"/>
    <n v="10"/>
    <n v="2"/>
    <n v="2"/>
  </r>
  <r>
    <s v="BW12"/>
    <s v="FURRY ROAD/100W"/>
    <s v="FURRY ROAD/100W"/>
    <m/>
    <s v="100W"/>
    <s v="200W"/>
    <n v="6050"/>
    <n v="20"/>
    <s v="CS"/>
    <s v="BW"/>
    <n v="0"/>
    <n v="7"/>
    <n v="7"/>
    <n v="164"/>
    <n v="0"/>
    <s v="FURRY ROAD/100W"/>
    <n v="3"/>
    <s v="DS"/>
    <n v="28645.833333333332"/>
    <x v="6"/>
    <n v="10"/>
    <n v="7"/>
    <n v="1.5"/>
    <n v="4.5"/>
  </r>
  <r>
    <s v="G19"/>
    <s v="700N/600E"/>
    <s v="700N/600E"/>
    <m/>
    <s v="600E"/>
    <s v="500E"/>
    <n v="5328"/>
    <n v="20"/>
    <s v="CS"/>
    <s v="G"/>
    <n v="0"/>
    <n v="4"/>
    <n v="4"/>
    <n v="50"/>
    <n v="0"/>
    <s v="700N"/>
    <n v="6"/>
    <s v="CS"/>
    <n v="15136.363636363636"/>
    <x v="3"/>
    <n v="3"/>
    <n v="7"/>
    <n v="2.5"/>
    <n v="15"/>
  </r>
  <r>
    <s v="BR71"/>
    <s v="775E/50S"/>
    <s v="775E/50S"/>
    <m/>
    <s v="50S"/>
    <s v="100S"/>
    <n v="3848"/>
    <n v="20"/>
    <s v="CS"/>
    <s v="BR"/>
    <n v="0"/>
    <n v="5"/>
    <n v="5"/>
    <n v="50"/>
    <n v="0"/>
    <s v="775E"/>
    <n v="5"/>
    <s v="CS"/>
    <n v="10931.818181818182"/>
    <x v="3"/>
    <n v="6"/>
    <n v="7"/>
    <n v="2"/>
    <n v="12"/>
  </r>
  <r>
    <s v="V28"/>
    <s v="900N/400W"/>
    <s v="900N/400W"/>
    <m/>
    <s v="400W"/>
    <s v="SR67"/>
    <n v="1300"/>
    <n v="20"/>
    <s v="AC"/>
    <s v="V"/>
    <n v="0"/>
    <n v="8"/>
    <n v="7"/>
    <n v="157"/>
    <n v="0"/>
    <s v="900N"/>
    <n v="3"/>
    <s v="CRACK"/>
    <n v="1452.6515151515152"/>
    <x v="0"/>
    <n v="10"/>
    <n v="4"/>
    <n v="1.5"/>
    <n v="0"/>
  </r>
  <r>
    <s v="BR19"/>
    <s v="400S/BINFORD RD"/>
    <s v="400S/BINFORD RD"/>
    <m/>
    <s v="BINFORD ROAD"/>
    <s v="800E"/>
    <n v="2425"/>
    <n v="20"/>
    <s v="AC"/>
    <s v="BR"/>
    <n v="0"/>
    <n v="6"/>
    <n v="7"/>
    <n v="155"/>
    <n v="0"/>
    <s v="400S"/>
    <n v="3"/>
    <s v="DS"/>
    <n v="11482.007575757576"/>
    <x v="2"/>
    <n v="10"/>
    <n v="7"/>
    <n v="1.5"/>
    <n v="7.5"/>
  </r>
  <r>
    <s v="B30"/>
    <s v="900N/1125E"/>
    <s v="900N/1125E"/>
    <m/>
    <s v="1125E"/>
    <s v="1100E"/>
    <n v="1360"/>
    <n v="20"/>
    <s v="AC"/>
    <s v="B"/>
    <n v="0"/>
    <n v="4"/>
    <n v="6"/>
    <n v="155"/>
    <n v="0"/>
    <s v="900N"/>
    <n v="4"/>
    <s v="SP/CS"/>
    <n v="10303.030303030304"/>
    <x v="5"/>
    <n v="8"/>
    <n v="10"/>
    <n v="2"/>
    <n v="4"/>
  </r>
  <r>
    <s v="B03"/>
    <s v="600N/800E"/>
    <s v="600N/800E"/>
    <m/>
    <s v="700E"/>
    <s v="800E"/>
    <n v="4724"/>
    <n v="20"/>
    <s v="AC"/>
    <s v="B"/>
    <n v="0"/>
    <n v="7"/>
    <n v="7"/>
    <n v="154"/>
    <n v="0"/>
    <s v="600N"/>
    <n v="3"/>
    <s v="CS"/>
    <n v="13420.454545454546"/>
    <x v="2"/>
    <n v="10"/>
    <n v="7"/>
    <n v="1.5"/>
    <n v="7.5"/>
  </r>
  <r>
    <s v="BR87"/>
    <s v="900E/200S"/>
    <s v="900E/200S"/>
    <m/>
    <s v="200S"/>
    <s v="300S"/>
    <n v="5330"/>
    <n v="20"/>
    <s v="CS"/>
    <s v="BR"/>
    <n v="0"/>
    <n v="3"/>
    <n v="6"/>
    <n v="50"/>
    <n v="0"/>
    <s v="900E"/>
    <n v="4"/>
    <s v="CS"/>
    <n v="15142.045454545454"/>
    <x v="3"/>
    <n v="8"/>
    <n v="7"/>
    <n v="2"/>
    <n v="12"/>
  </r>
  <r>
    <s v="SC106"/>
    <s v="250W/200S"/>
    <s v="250W/200S"/>
    <m/>
    <s v="300S"/>
    <s v="200S"/>
    <n v="5350"/>
    <n v="20"/>
    <s v="AC"/>
    <s v="SC"/>
    <n v="0"/>
    <n v="6"/>
    <n v="6"/>
    <n v="151"/>
    <n v="0"/>
    <s v="250W"/>
    <n v="4"/>
    <s v="DS"/>
    <n v="25331.439393939392"/>
    <x v="6"/>
    <n v="8"/>
    <n v="7"/>
    <n v="2"/>
    <n v="6"/>
  </r>
  <r>
    <s v="G30"/>
    <s v="900N/500E"/>
    <s v="900N/500E"/>
    <m/>
    <s v="500E"/>
    <s v="400E"/>
    <n v="5280"/>
    <n v="20"/>
    <s v="AC"/>
    <s v="G"/>
    <n v="0"/>
    <n v="5"/>
    <n v="5"/>
    <n v="151"/>
    <n v="0"/>
    <s v="900N"/>
    <n v="5"/>
    <s v="SP/CS"/>
    <n v="40000"/>
    <x v="0"/>
    <n v="6"/>
    <n v="10"/>
    <n v="2"/>
    <n v="0"/>
  </r>
  <r>
    <s v="G37"/>
    <s v="1000N/500E"/>
    <s v="1000N/500E"/>
    <m/>
    <s v="500E"/>
    <s v="400E"/>
    <n v="5438"/>
    <n v="20"/>
    <s v="AC"/>
    <s v="G"/>
    <n v="0"/>
    <n v="7"/>
    <n v="7"/>
    <n v="150"/>
    <n v="0"/>
    <s v="1000N"/>
    <n v="3"/>
    <s v="CS"/>
    <n v="15448.863636363636"/>
    <x v="2"/>
    <n v="10"/>
    <n v="7"/>
    <n v="1.5"/>
    <n v="7.5"/>
  </r>
  <r>
    <s v="C53"/>
    <s v="100W/200N"/>
    <s v="100W/200N"/>
    <m/>
    <s v="100N"/>
    <s v="200N"/>
    <n v="5310"/>
    <n v="20"/>
    <s v="AC"/>
    <s v="C"/>
    <n v="0"/>
    <n v="7"/>
    <n v="8"/>
    <n v="150"/>
    <n v="0"/>
    <s v="100W"/>
    <n v="2"/>
    <s v="CS"/>
    <n v="15085.227272727272"/>
    <x v="3"/>
    <n v="12"/>
    <n v="7"/>
    <n v="1.5"/>
    <n v="9"/>
  </r>
  <r>
    <s v="BC68"/>
    <s v="525W/200N"/>
    <s v="525W/200N"/>
    <m/>
    <s v="100N"/>
    <s v="200N"/>
    <n v="5310"/>
    <n v="20"/>
    <s v="AC"/>
    <s v="BC"/>
    <n v="0"/>
    <n v="5"/>
    <n v="9"/>
    <n v="150"/>
    <n v="0"/>
    <s v="525W"/>
    <n v="1"/>
    <s v="SP/CS"/>
    <n v="40227.272727272728"/>
    <x v="5"/>
    <n v="14"/>
    <n v="10"/>
    <n v="1"/>
    <n v="2"/>
  </r>
  <r>
    <s v="B28"/>
    <s v="900N/1000E"/>
    <s v="900N/1000E"/>
    <m/>
    <s v="SR109"/>
    <s v="1000E"/>
    <n v="5240"/>
    <n v="20"/>
    <s v="AC"/>
    <s v="B"/>
    <n v="0"/>
    <n v="5"/>
    <n v="5"/>
    <n v="149"/>
    <n v="0"/>
    <s v="900N"/>
    <n v="5"/>
    <s v="SP/CS"/>
    <n v="39696.969696969696"/>
    <x v="4"/>
    <n v="6"/>
    <n v="10"/>
    <n v="2"/>
    <n v="2"/>
  </r>
  <r>
    <s v="J79"/>
    <s v="GRANDISON RD./25N"/>
    <s v="GRANDISON RD./25N"/>
    <m/>
    <s v="US40"/>
    <s v="25N"/>
    <n v="1054"/>
    <n v="20"/>
    <s v="AC"/>
    <s v="J"/>
    <n v="0"/>
    <n v="7"/>
    <n v="7"/>
    <n v="149"/>
    <n v="0"/>
    <s v="GRANDISON RD."/>
    <n v="3"/>
    <s v="CS"/>
    <n v="2994.318181818182"/>
    <x v="2"/>
    <n v="10"/>
    <n v="7"/>
    <n v="1.5"/>
    <n v="7.5"/>
  </r>
  <r>
    <s v="J80"/>
    <s v="GRANDISON RD/100N"/>
    <s v="GRANDISON RD/100N"/>
    <m/>
    <s v="25N"/>
    <s v="100N"/>
    <n v="2531"/>
    <n v="20"/>
    <s v="AC"/>
    <s v="J"/>
    <n v="0"/>
    <n v="7"/>
    <n v="6"/>
    <n v="149"/>
    <n v="0"/>
    <s v="GRANDISON RD."/>
    <n v="4"/>
    <s v="CS"/>
    <n v="7190.340909090909"/>
    <x v="2"/>
    <n v="8"/>
    <n v="7"/>
    <n v="2"/>
    <n v="10"/>
  </r>
  <r>
    <s v="J81"/>
    <s v="GRANDISON RD/150N"/>
    <s v="GRANDISON RD/150N"/>
    <m/>
    <s v="100N"/>
    <s v="150N"/>
    <n v="3379"/>
    <n v="20"/>
    <s v="AC"/>
    <s v="J"/>
    <n v="0"/>
    <n v="7"/>
    <n v="6"/>
    <n v="149"/>
    <n v="0"/>
    <s v="GRANDISON RD."/>
    <n v="4"/>
    <s v="CS"/>
    <n v="9599.431818181818"/>
    <x v="2"/>
    <n v="8"/>
    <n v="7"/>
    <n v="2"/>
    <n v="10"/>
  </r>
  <r>
    <s v="BR49"/>
    <s v="500E/400S"/>
    <s v="500E/400S"/>
    <m/>
    <s v="500S"/>
    <s v="400S"/>
    <n v="5323"/>
    <n v="20"/>
    <s v="AC"/>
    <s v="BR"/>
    <n v="0"/>
    <n v="5"/>
    <n v="7"/>
    <n v="148"/>
    <n v="0"/>
    <s v="500E"/>
    <n v="3"/>
    <s v="SP/CS"/>
    <n v="40325.757575757576"/>
    <x v="5"/>
    <n v="10"/>
    <n v="10"/>
    <n v="1.5"/>
    <n v="3"/>
  </r>
  <r>
    <s v="J82"/>
    <s v="GRANDISON RD/250N"/>
    <s v="GRANDISON RD/250N"/>
    <m/>
    <s v="150N"/>
    <s v="250N"/>
    <n v="5304"/>
    <n v="20"/>
    <s v="AC"/>
    <s v="J"/>
    <n v="0"/>
    <n v="6"/>
    <n v="7"/>
    <n v="148"/>
    <n v="0"/>
    <s v="GRANDISON RD."/>
    <n v="3"/>
    <s v="DS"/>
    <n v="25113.636363636364"/>
    <x v="6"/>
    <n v="10"/>
    <n v="7"/>
    <n v="1.5"/>
    <n v="4.5"/>
  </r>
  <r>
    <s v="V75"/>
    <s v="300W/700N"/>
    <s v="300W/700N"/>
    <m/>
    <s v="600N"/>
    <s v="700N"/>
    <n v="5326"/>
    <n v="20"/>
    <s v="CS"/>
    <s v="V"/>
    <n v="0"/>
    <n v="7"/>
    <n v="7"/>
    <n v="147"/>
    <n v="0"/>
    <s v="300W"/>
    <n v="3"/>
    <s v="DS"/>
    <n v="25217.803030303032"/>
    <x v="6"/>
    <n v="10"/>
    <n v="7"/>
    <n v="1.5"/>
    <n v="4.5"/>
  </r>
  <r>
    <s v="V70"/>
    <s v="400W/SR234"/>
    <s v="400W/SR234"/>
    <m/>
    <s v="700N"/>
    <s v="SR234"/>
    <n v="5386"/>
    <n v="20"/>
    <s v="G"/>
    <s v="V"/>
    <n v="0"/>
    <n v="6"/>
    <n v="7"/>
    <n v="147"/>
    <n v="0"/>
    <s v="400W"/>
    <n v="3"/>
    <s v="GG"/>
    <n v="14281.060606060606"/>
    <x v="6"/>
    <n v="10"/>
    <n v="1"/>
    <n v="1.5"/>
    <n v="4.5"/>
  </r>
  <r>
    <s v="B43"/>
    <s v="675E/900N"/>
    <s v="675E/900N"/>
    <m/>
    <s v="SR234"/>
    <s v="900N"/>
    <n v="5300"/>
    <n v="20"/>
    <s v="AC"/>
    <s v="B"/>
    <n v="0"/>
    <n v="6"/>
    <n v="7"/>
    <n v="145"/>
    <n v="0"/>
    <s v="675E"/>
    <n v="3"/>
    <s v="DS"/>
    <n v="25094.696969696968"/>
    <x v="2"/>
    <n v="10"/>
    <n v="7"/>
    <n v="1.5"/>
    <n v="7.5"/>
  </r>
  <r>
    <s v="BC69"/>
    <s v="525W/100N"/>
    <s v="525W/100N"/>
    <m/>
    <s v="TWP. LINE"/>
    <s v="100N"/>
    <n v="6784"/>
    <n v="20"/>
    <s v="AC"/>
    <s v="BC"/>
    <n v="0"/>
    <n v="7"/>
    <n v="7"/>
    <n v="143"/>
    <n v="0"/>
    <s v="525W"/>
    <n v="3"/>
    <s v="CS"/>
    <n v="19272.727272727272"/>
    <x v="2"/>
    <n v="10"/>
    <n v="7"/>
    <n v="1.5"/>
    <n v="7.5"/>
  </r>
  <r>
    <s v="B02"/>
    <s v="600N/700E"/>
    <s v="600N/700E"/>
    <m/>
    <s v="MAIN ST."/>
    <s v="700E"/>
    <n v="3713"/>
    <n v="20"/>
    <s v="AC"/>
    <s v="B"/>
    <n v="0"/>
    <n v="8"/>
    <n v="7"/>
    <n v="142"/>
    <n v="0"/>
    <s v="600N"/>
    <n v="3"/>
    <s v="CRACK"/>
    <n v="4148.996212121212"/>
    <x v="0"/>
    <n v="10"/>
    <n v="4"/>
    <n v="1.5"/>
    <n v="0"/>
  </r>
  <r>
    <s v="B26"/>
    <s v="900N/NASHVILLE RD"/>
    <s v="900N/NASHVILLE RD"/>
    <m/>
    <s v="750E"/>
    <s v="NASHVILLE RD."/>
    <n v="5003"/>
    <n v="20"/>
    <s v="AC"/>
    <s v="B"/>
    <n v="0"/>
    <n v="7"/>
    <n v="7"/>
    <n v="142"/>
    <n v="0"/>
    <s v="900N"/>
    <n v="3"/>
    <s v="CS"/>
    <n v="14213.068181818182"/>
    <x v="2"/>
    <n v="10"/>
    <n v="7"/>
    <n v="1.5"/>
    <n v="7.5"/>
  </r>
  <r>
    <s v="C72"/>
    <s v="300E/600N"/>
    <s v="300E/600N"/>
    <m/>
    <s v="600N"/>
    <s v="500N"/>
    <n v="5110"/>
    <n v="20"/>
    <s v="CS"/>
    <s v="C"/>
    <n v="0"/>
    <n v="7"/>
    <n v="6"/>
    <n v="141"/>
    <n v="0"/>
    <s v="300E"/>
    <n v="4"/>
    <s v="DS"/>
    <n v="24195.075757575756"/>
    <x v="6"/>
    <n v="8"/>
    <n v="7"/>
    <n v="2"/>
    <n v="6"/>
  </r>
  <r>
    <s v="BC70"/>
    <s v="500W/600N"/>
    <s v="500W/600N"/>
    <m/>
    <s v="500N"/>
    <s v="600N"/>
    <n v="5020"/>
    <n v="20"/>
    <s v="AC"/>
    <s v="BC"/>
    <n v="0"/>
    <n v="5"/>
    <n v="5"/>
    <n v="141"/>
    <n v="0"/>
    <s v="500W"/>
    <n v="5"/>
    <s v="SP/CS"/>
    <n v="38030.303030303032"/>
    <x v="5"/>
    <n v="6"/>
    <n v="10"/>
    <n v="2"/>
    <n v="4"/>
  </r>
  <r>
    <s v="B27"/>
    <s v="900N/SR109"/>
    <s v="900N/SR109"/>
    <m/>
    <s v="NASHVILLE RD."/>
    <s v="SR109"/>
    <n v="2930"/>
    <n v="20"/>
    <s v="CS"/>
    <s v="B"/>
    <n v="0"/>
    <n v="8"/>
    <n v="7"/>
    <n v="139"/>
    <n v="0"/>
    <s v="900N"/>
    <n v="3"/>
    <s v="CS"/>
    <n v="8323.863636363636"/>
    <x v="2"/>
    <n v="10"/>
    <n v="7"/>
    <n v="1.5"/>
    <n v="7.5"/>
  </r>
  <r>
    <s v="G31"/>
    <s v="900N/550E"/>
    <s v="900N/550E"/>
    <m/>
    <s v="550E"/>
    <s v="500E"/>
    <n v="2692"/>
    <n v="20"/>
    <s v="AC"/>
    <s v="G"/>
    <n v="0"/>
    <n v="6"/>
    <n v="5"/>
    <n v="137"/>
    <n v="0"/>
    <s v="900N"/>
    <n v="5"/>
    <s v="DS"/>
    <n v="12746.212121212122"/>
    <x v="6"/>
    <n v="6"/>
    <n v="7"/>
    <n v="2"/>
    <n v="6"/>
  </r>
  <r>
    <s v="G32"/>
    <s v="900N/600E"/>
    <s v="900N/600E"/>
    <m/>
    <s v="600E"/>
    <s v="550E"/>
    <n v="2663"/>
    <n v="20"/>
    <s v="AC"/>
    <s v="G"/>
    <n v="0"/>
    <n v="6"/>
    <n v="6"/>
    <n v="137"/>
    <n v="0"/>
    <s v="900N"/>
    <n v="4"/>
    <s v="DS"/>
    <n v="12608.901515151516"/>
    <x v="6"/>
    <n v="8"/>
    <n v="7"/>
    <n v="2"/>
    <n v="6"/>
  </r>
  <r>
    <s v="V32"/>
    <s v="900N/50W"/>
    <s v="900N/50W"/>
    <m/>
    <s v="50W"/>
    <s v="FORTVILLE PK."/>
    <n v="6310"/>
    <n v="20"/>
    <s v="CS"/>
    <s v="V"/>
    <n v="0"/>
    <n v="9"/>
    <n v="8"/>
    <n v="136"/>
    <n v="0"/>
    <s v="900N"/>
    <n v="2"/>
    <s v="CS"/>
    <n v="17926.136363636364"/>
    <x v="2"/>
    <n v="12"/>
    <n v="7"/>
    <n v="1.5"/>
    <n v="7.5"/>
  </r>
  <r>
    <s v="G22"/>
    <s v="EDEN RD./250E"/>
    <s v="EDEN RD./250E"/>
    <m/>
    <s v="SR9"/>
    <s v="250E"/>
    <n v="3590"/>
    <n v="18"/>
    <s v="AC"/>
    <s v="G"/>
    <n v="0"/>
    <n v="4"/>
    <n v="7"/>
    <n v="132"/>
    <n v="0"/>
    <s v="EDEN RD./250E"/>
    <n v="3"/>
    <s v="P"/>
    <n v="47594.696969696968"/>
    <x v="1"/>
    <n v="10"/>
    <n v="15"/>
    <n v="1.5"/>
    <n v="6"/>
  </r>
  <r>
    <s v="BC84"/>
    <s v="300W/500N"/>
    <s v="300W/500N"/>
    <m/>
    <s v="500N"/>
    <s v="400N"/>
    <n v="5326"/>
    <n v="20"/>
    <s v="G"/>
    <s v="BC"/>
    <n v="0"/>
    <n v="8"/>
    <n v="7"/>
    <n v="129"/>
    <n v="0"/>
    <s v="300W"/>
    <n v="3"/>
    <s v="GG"/>
    <n v="14121.969696969696"/>
    <x v="8"/>
    <n v="10"/>
    <n v="1"/>
    <n v="1.5"/>
    <e v="#VALUE!"/>
  </r>
  <r>
    <s v="C38"/>
    <s v="400N/450E"/>
    <s v="400N/450E"/>
    <m/>
    <s v="400E"/>
    <s v="450E"/>
    <n v="2746"/>
    <n v="20"/>
    <s v="AC"/>
    <s v="C"/>
    <n v="0"/>
    <n v="8"/>
    <n v="7"/>
    <n v="129"/>
    <n v="0"/>
    <s v="400N"/>
    <n v="3"/>
    <s v="CRACK"/>
    <n v="3068.4469696969695"/>
    <x v="3"/>
    <n v="10"/>
    <n v="4"/>
    <n v="1.5"/>
    <n v="9"/>
  </r>
  <r>
    <s v="BR83"/>
    <s v="900E/500S"/>
    <s v="900E/500S"/>
    <m/>
    <s v="550S"/>
    <s v="500S"/>
    <n v="2650"/>
    <n v="20"/>
    <s v="CS"/>
    <s v="BR"/>
    <n v="0"/>
    <n v="3"/>
    <n v="4"/>
    <n v="50"/>
    <n v="0"/>
    <s v="900E"/>
    <n v="6"/>
    <s v="CS"/>
    <n v="7528.409090909091"/>
    <x v="3"/>
    <n v="3"/>
    <n v="7"/>
    <n v="2.5"/>
    <n v="15"/>
  </r>
  <r>
    <s v="J27"/>
    <s v="350N/1000E"/>
    <s v="350N/1000E"/>
    <m/>
    <s v="GRANDISON RD."/>
    <s v="1000E"/>
    <n v="2904"/>
    <n v="20"/>
    <s v="AC"/>
    <s v="J"/>
    <n v="0"/>
    <n v="5"/>
    <n v="6"/>
    <n v="124"/>
    <n v="0"/>
    <s v="350N"/>
    <n v="4"/>
    <s v="SP/CS"/>
    <n v="22000"/>
    <x v="6"/>
    <n v="8"/>
    <n v="10"/>
    <n v="2"/>
    <n v="6"/>
  </r>
  <r>
    <s v="J28"/>
    <s v="350N/1050E"/>
    <s v="350N/1050E"/>
    <m/>
    <s v="1050E"/>
    <s v="1000E"/>
    <n v="2690"/>
    <n v="20"/>
    <s v="CS"/>
    <s v="J"/>
    <n v="0"/>
    <n v="6"/>
    <n v="6"/>
    <n v="124"/>
    <n v="0"/>
    <s v="350N"/>
    <n v="4"/>
    <s v="P"/>
    <n v="35662.878787878784"/>
    <x v="6"/>
    <n v="8"/>
    <n v="15"/>
    <n v="2"/>
    <n v="6"/>
  </r>
  <r>
    <s v="J26"/>
    <s v="350N/GRANDISON RD"/>
    <s v="350N/GRANDISON RD"/>
    <m/>
    <s v="850E"/>
    <s v="GRANDISON RD."/>
    <n v="5491"/>
    <n v="20"/>
    <s v="CS"/>
    <s v="J"/>
    <n v="0"/>
    <n v="5"/>
    <n v="6"/>
    <n v="124"/>
    <n v="0"/>
    <s v="350N"/>
    <n v="4"/>
    <s v="SP/CS"/>
    <n v="41598.484848484848"/>
    <x v="6"/>
    <n v="8"/>
    <n v="10"/>
    <n v="2"/>
    <n v="6"/>
  </r>
  <r>
    <s v="V69"/>
    <s v="400W/700N"/>
    <s v="400W/700N"/>
    <m/>
    <s v="600N"/>
    <s v="700N"/>
    <n v="5330"/>
    <n v="20"/>
    <s v="G"/>
    <s v="V"/>
    <n v="0"/>
    <n v="6"/>
    <n v="6"/>
    <n v="124"/>
    <n v="0"/>
    <s v="400W"/>
    <n v="4"/>
    <s v="GG"/>
    <n v="14132.575757575758"/>
    <x v="6"/>
    <n v="8"/>
    <n v="1"/>
    <n v="2"/>
    <n v="6"/>
  </r>
  <r>
    <s v="G25"/>
    <s v="900N/ALFORD RD"/>
    <s v="900N/ALFORD RD"/>
    <m/>
    <s v="ALFORD RD."/>
    <s v="OLVEY RD."/>
    <n v="4020"/>
    <n v="20"/>
    <s v="CS"/>
    <s v="G"/>
    <n v="0"/>
    <n v="7"/>
    <n v="7"/>
    <n v="124"/>
    <n v="0"/>
    <s v="900N"/>
    <n v="3"/>
    <s v="DS"/>
    <n v="19034.090909090908"/>
    <x v="1"/>
    <n v="10"/>
    <n v="7"/>
    <n v="1.5"/>
    <n v="6"/>
  </r>
  <r>
    <s v="G24"/>
    <s v="900N/OLVEY RD"/>
    <s v="900N/OLVEY RD"/>
    <m/>
    <s v="OLVEY RD."/>
    <s v="MERIDIAN RD."/>
    <n v="1312"/>
    <n v="20"/>
    <s v="CS"/>
    <s v="G"/>
    <n v="0"/>
    <n v="9"/>
    <n v="8"/>
    <n v="124"/>
    <n v="0"/>
    <s v="900N"/>
    <n v="2"/>
    <s v="CS"/>
    <n v="3727.2727272727275"/>
    <x v="2"/>
    <n v="12"/>
    <n v="7"/>
    <n v="1.5"/>
    <n v="7.5"/>
  </r>
  <r>
    <s v="B62"/>
    <s v="NASHVILLE RD./775E"/>
    <s v="NASHVILLE RD./775E"/>
    <m/>
    <s v="775E"/>
    <s v="900N"/>
    <n v="5960"/>
    <n v="20"/>
    <s v="AC"/>
    <s v="B"/>
    <n v="0"/>
    <n v="6"/>
    <n v="7"/>
    <n v="124"/>
    <n v="0"/>
    <s v="NASHVILLE RD."/>
    <n v="3"/>
    <s v="DS"/>
    <n v="28219.696969696968"/>
    <x v="1"/>
    <n v="10"/>
    <n v="7"/>
    <n v="1.5"/>
    <n v="6"/>
  </r>
  <r>
    <s v="BC46"/>
    <s v="BUCK CREEK RD/300N"/>
    <s v="BUCK CREEK RD/300N"/>
    <m/>
    <s v="300N"/>
    <s v="200N"/>
    <n v="6650"/>
    <n v="20"/>
    <s v="AC"/>
    <s v="BC"/>
    <n v="0"/>
    <n v="7"/>
    <n v="7"/>
    <n v="123"/>
    <n v="0"/>
    <s v="BUCK CREEK RD/300N"/>
    <n v="3"/>
    <s v="CS"/>
    <n v="18892.045454545456"/>
    <x v="2"/>
    <n v="10"/>
    <n v="7"/>
    <n v="1.5"/>
    <n v="7.5"/>
  </r>
  <r>
    <s v="V60"/>
    <s v="MCCORD RD./500W"/>
    <s v="MCCORD RD./500W"/>
    <m/>
    <s v="500W"/>
    <s v="900N"/>
    <n v="6070"/>
    <n v="20"/>
    <s v="AC"/>
    <s v="V"/>
    <n v="0"/>
    <n v="6"/>
    <n v="8"/>
    <n v="121"/>
    <n v="0"/>
    <s v="MCCORD RD./500W"/>
    <n v="2"/>
    <s v="DS"/>
    <n v="28740.530303030304"/>
    <x v="1"/>
    <n v="12"/>
    <n v="7"/>
    <n v="1.5"/>
    <n v="6"/>
  </r>
  <r>
    <s v="J56"/>
    <s v="700E/100N"/>
    <s v="700E/100N"/>
    <m/>
    <s v="SR40"/>
    <s v="100N"/>
    <n v="4170"/>
    <n v="20"/>
    <s v="AC"/>
    <s v="J"/>
    <n v="0"/>
    <n v="7"/>
    <n v="7"/>
    <n v="120"/>
    <n v="0"/>
    <s v="700E"/>
    <n v="3"/>
    <s v="CS"/>
    <n v="11846.59090909091"/>
    <x v="2"/>
    <n v="10"/>
    <n v="7"/>
    <n v="1.5"/>
    <n v="7.5"/>
  </r>
  <r>
    <s v="C74"/>
    <s v="400E/100S"/>
    <s v="400E/100S"/>
    <m/>
    <s v="100S"/>
    <s v="200S"/>
    <n v="5320"/>
    <n v="20"/>
    <s v="G"/>
    <s v="C"/>
    <n v="0"/>
    <n v="7"/>
    <n v="7"/>
    <n v="116"/>
    <n v="0"/>
    <s v="400E"/>
    <n v="3"/>
    <s v="GG"/>
    <n v="14106.060606060606"/>
    <x v="1"/>
    <n v="10"/>
    <n v="1"/>
    <n v="1.5"/>
    <n v="6"/>
  </r>
  <r>
    <s v="C75"/>
    <s v="400E/US40"/>
    <s v="400E/US40"/>
    <m/>
    <s v="100S"/>
    <s v="US40"/>
    <n v="4558"/>
    <n v="20"/>
    <s v="CS"/>
    <s v="C"/>
    <n v="0"/>
    <n v="6"/>
    <n v="6"/>
    <n v="116"/>
    <n v="0"/>
    <s v="400E"/>
    <n v="4"/>
    <s v="DS"/>
    <n v="21581.439393939392"/>
    <x v="1"/>
    <n v="8"/>
    <n v="7"/>
    <n v="2"/>
    <n v="8"/>
  </r>
  <r>
    <s v="G67"/>
    <s v="500E/900N"/>
    <s v="500E/900N"/>
    <m/>
    <s v="SR234"/>
    <s v="900N"/>
    <n v="5370"/>
    <n v="20"/>
    <s v="G"/>
    <s v="G"/>
    <n v="0"/>
    <n v="6"/>
    <n v="7"/>
    <n v="113"/>
    <n v="0"/>
    <s v="500E"/>
    <n v="3"/>
    <s v="GG"/>
    <n v="14238.636363636364"/>
    <x v="1"/>
    <n v="10"/>
    <n v="1"/>
    <n v="1.5"/>
    <n v="6"/>
  </r>
  <r>
    <s v="V36"/>
    <s v="950N/50W"/>
    <s v="950N/50W"/>
    <m/>
    <s v="50W"/>
    <s v="125W"/>
    <n v="4002"/>
    <n v="20"/>
    <s v="AC"/>
    <s v="V"/>
    <n v="0"/>
    <n v="7"/>
    <n v="7"/>
    <n v="113"/>
    <n v="0"/>
    <s v="950N"/>
    <n v="3"/>
    <s v="CS"/>
    <n v="11369.318181818182"/>
    <x v="2"/>
    <n v="10"/>
    <n v="7"/>
    <n v="1.5"/>
    <n v="7.5"/>
  </r>
  <r>
    <s v="C39"/>
    <s v="400N/525E"/>
    <s v="400N/525E"/>
    <m/>
    <s v="450E"/>
    <s v="525E"/>
    <n v="4066"/>
    <n v="20"/>
    <s v="AC"/>
    <s v="C"/>
    <n v="0"/>
    <n v="5"/>
    <n v="5"/>
    <n v="106"/>
    <n v="0"/>
    <s v="400N"/>
    <n v="5"/>
    <s v="SP/CS"/>
    <n v="30803.030303030304"/>
    <x v="3"/>
    <n v="6"/>
    <n v="10"/>
    <n v="2"/>
    <n v="12"/>
  </r>
  <r>
    <s v="BR15"/>
    <s v="400S/500E"/>
    <s v="400S/500E"/>
    <m/>
    <s v="500E"/>
    <s v="MORRISTOWN PIKE"/>
    <n v="4470"/>
    <n v="20"/>
    <s v="CS"/>
    <s v="BR"/>
    <n v="0"/>
    <n v="8"/>
    <n v="8"/>
    <n v="106"/>
    <n v="0"/>
    <s v="400S"/>
    <n v="2"/>
    <s v="CS"/>
    <n v="12698.863636363636"/>
    <x v="2"/>
    <n v="12"/>
    <n v="7"/>
    <n v="1.5"/>
    <n v="7.5"/>
  </r>
  <r>
    <s v="C06"/>
    <s v="200S/400E"/>
    <s v="200S/400E"/>
    <m/>
    <s v="MORRISTOWN PIKE"/>
    <s v="400E"/>
    <n v="4000"/>
    <n v="20"/>
    <s v="AC"/>
    <s v="C"/>
    <n v="0"/>
    <n v="6"/>
    <n v="6"/>
    <n v="105"/>
    <n v="0"/>
    <s v="200S"/>
    <n v="4"/>
    <s v="DS"/>
    <n v="18939.39393939394"/>
    <x v="1"/>
    <n v="8"/>
    <n v="7"/>
    <n v="2"/>
    <n v="8"/>
  </r>
  <r>
    <s v="G39"/>
    <s v="1000N/600E"/>
    <s v="1000N/600E"/>
    <m/>
    <s v="600E"/>
    <s v="550E"/>
    <n v="2638"/>
    <n v="20"/>
    <s v="AC"/>
    <s v="G"/>
    <n v="0"/>
    <n v="6"/>
    <n v="7"/>
    <n v="100"/>
    <n v="0"/>
    <s v="1000N"/>
    <n v="3"/>
    <s v="DS"/>
    <n v="12490.530303030304"/>
    <x v="1"/>
    <n v="10"/>
    <n v="7"/>
    <n v="1.5"/>
    <n v="6"/>
  </r>
  <r>
    <s v="B33"/>
    <s v="1000N/625E"/>
    <s v="1000N/625E"/>
    <m/>
    <s v="600E"/>
    <s v="625E"/>
    <n v="1336"/>
    <n v="20"/>
    <s v="AC"/>
    <s v="B"/>
    <n v="0"/>
    <n v="6"/>
    <n v="7"/>
    <n v="100"/>
    <n v="0"/>
    <s v="1000N"/>
    <n v="3"/>
    <s v="DS"/>
    <n v="6325.757575757576"/>
    <x v="1"/>
    <n v="10"/>
    <n v="7"/>
    <n v="1.5"/>
    <n v="6"/>
  </r>
  <r>
    <s v=""/>
    <s v="ALFORD RD./900N"/>
    <s v="ALFORD RD./900N"/>
    <m/>
    <s v="900N"/>
    <s v="END"/>
    <n v="1180"/>
    <n v="20"/>
    <s v="G"/>
    <s v="G"/>
    <n v="0"/>
    <n v="7"/>
    <n v="7"/>
    <n v="50"/>
    <n v="0"/>
    <s v="ALFORD RD./900N"/>
    <n v="3"/>
    <s v="GG"/>
    <n v="3128.787878787879"/>
    <x v="3"/>
    <n v="10"/>
    <n v="1"/>
    <n v="1.5"/>
    <n v="9"/>
  </r>
  <r>
    <s v="BW58"/>
    <s v="400E/200S"/>
    <s v="400E/200S"/>
    <m/>
    <s v="200S"/>
    <s v="300S"/>
    <n v="5319"/>
    <n v="20"/>
    <s v="G"/>
    <s v="BW"/>
    <n v="0"/>
    <n v="6"/>
    <n v="6"/>
    <n v="100"/>
    <n v="0"/>
    <s v="400E"/>
    <n v="4"/>
    <s v="GG"/>
    <n v="14103.40909090909"/>
    <x v="1"/>
    <n v="8"/>
    <n v="1"/>
    <n v="2"/>
    <n v="8"/>
  </r>
  <r>
    <s v="C41"/>
    <s v="500N/25W"/>
    <s v="500N/25W"/>
    <m/>
    <s v="FORTVILLE PK."/>
    <s v="25W"/>
    <n v="3515"/>
    <n v="20"/>
    <s v="CS"/>
    <s v="C"/>
    <n v="0"/>
    <n v="8"/>
    <n v="7"/>
    <n v="100"/>
    <n v="0"/>
    <s v="500N"/>
    <n v="3"/>
    <s v="CS"/>
    <n v="9985.795454545454"/>
    <x v="2"/>
    <n v="10"/>
    <n v="7"/>
    <n v="1.5"/>
    <n v="7.5"/>
  </r>
  <r>
    <s v="B45"/>
    <s v="675E/1000N"/>
    <s v="675E/1000N"/>
    <m/>
    <s v="1000N"/>
    <s v="950N"/>
    <n v="2677"/>
    <n v="20"/>
    <s v="AC"/>
    <s v="B"/>
    <n v="0"/>
    <n v="5"/>
    <n v="7"/>
    <n v="100"/>
    <n v="0"/>
    <s v="675E"/>
    <n v="3"/>
    <s v="SP/CS"/>
    <n v="20280.303030303032"/>
    <x v="2"/>
    <n v="10"/>
    <n v="10"/>
    <n v="1.5"/>
    <n v="7.5"/>
  </r>
  <r>
    <s v="B44"/>
    <s v="675E/950N"/>
    <s v="675E/950N"/>
    <m/>
    <s v="950N"/>
    <s v="900N"/>
    <n v="2682"/>
    <n v="20"/>
    <s v="AC"/>
    <s v="B"/>
    <n v="0"/>
    <n v="7"/>
    <n v="7"/>
    <n v="100"/>
    <n v="0"/>
    <s v="675E"/>
    <n v="3"/>
    <s v="CS"/>
    <n v="7619.318181818182"/>
    <x v="2"/>
    <n v="10"/>
    <n v="7"/>
    <n v="1.5"/>
    <n v="7.5"/>
  </r>
  <r>
    <s v="G38"/>
    <s v="1000N/550E"/>
    <s v="1000N/550E"/>
    <m/>
    <s v="550E"/>
    <s v="500E"/>
    <n v="2693"/>
    <n v="20"/>
    <s v="AC"/>
    <s v="G"/>
    <n v="0"/>
    <n v="7"/>
    <n v="7"/>
    <n v="98"/>
    <n v="0"/>
    <s v="1000N"/>
    <n v="3"/>
    <s v="CS"/>
    <n v="7650.568181818182"/>
    <x v="2"/>
    <n v="10"/>
    <n v="7"/>
    <n v="1.5"/>
    <n v="7.5"/>
  </r>
  <r>
    <s v="J03"/>
    <s v="100N/700E"/>
    <s v="100N/700E"/>
    <m/>
    <s v="700E"/>
    <s v="600E"/>
    <n v="4360"/>
    <n v="20"/>
    <s v="AC"/>
    <s v="J"/>
    <n v="0"/>
    <n v="7"/>
    <n v="6"/>
    <n v="96"/>
    <n v="0"/>
    <s v="100N"/>
    <n v="4"/>
    <s v="CS"/>
    <n v="12386.363636363636"/>
    <x v="2"/>
    <n v="8"/>
    <n v="7"/>
    <n v="2"/>
    <n v="10"/>
  </r>
  <r>
    <s v="J30"/>
    <s v="400N/600E"/>
    <s v="400N/600E"/>
    <m/>
    <s v="525E"/>
    <s v="600E"/>
    <n v="4066"/>
    <n v="20"/>
    <s v="AC"/>
    <s v="J"/>
    <n v="0"/>
    <n v="6"/>
    <n v="6"/>
    <n v="94"/>
    <n v="0"/>
    <s v="400N"/>
    <n v="4"/>
    <s v="DS"/>
    <n v="19251.89393939394"/>
    <x v="1"/>
    <n v="8"/>
    <n v="7"/>
    <n v="2"/>
    <n v="8"/>
  </r>
  <r>
    <s v="B36"/>
    <s v="1000N/SR109"/>
    <s v="1000N/SR109"/>
    <m/>
    <s v="SR109"/>
    <s v="775E"/>
    <n v="7025"/>
    <n v="20"/>
    <s v="AC"/>
    <s v="B"/>
    <n v="0"/>
    <n v="6"/>
    <n v="8"/>
    <n v="93"/>
    <n v="0"/>
    <s v="1000N"/>
    <n v="2"/>
    <s v="DS"/>
    <n v="33262.310606060608"/>
    <x v="1"/>
    <n v="12"/>
    <n v="7"/>
    <n v="1.5"/>
    <n v="6"/>
  </r>
  <r>
    <s v="SC72"/>
    <s v="650W/US52"/>
    <s v="650W/US52"/>
    <m/>
    <s v="STINEMYER RD."/>
    <s v="US52"/>
    <n v="1800"/>
    <n v="20"/>
    <s v="CS"/>
    <s v="SC"/>
    <n v="0"/>
    <n v="5"/>
    <n v="7"/>
    <n v="88"/>
    <n v="0"/>
    <s v="650W"/>
    <n v="3"/>
    <s v="SP/CS"/>
    <n v="13636.363636363636"/>
    <x v="6"/>
    <n v="10"/>
    <n v="10"/>
    <n v="1.5"/>
    <n v="4.5"/>
  </r>
  <r>
    <s v="V93"/>
    <s v="50W/SR234"/>
    <s v="50W/SR234"/>
    <m/>
    <s v="SR234"/>
    <s v="700N"/>
    <n v="5330"/>
    <n v="20"/>
    <s v="CS"/>
    <s v="V"/>
    <n v="0"/>
    <n v="7"/>
    <n v="7"/>
    <n v="87"/>
    <n v="0"/>
    <s v="50W"/>
    <n v="3"/>
    <s v="DS"/>
    <n v="25236.742424242424"/>
    <x v="1"/>
    <n v="10"/>
    <n v="7"/>
    <n v="1.5"/>
    <n v="6"/>
  </r>
  <r>
    <s v="V35"/>
    <s v="950N/125W"/>
    <s v="950N/125W"/>
    <m/>
    <s v="125W"/>
    <s v="FORTVILLE PK."/>
    <n v="3568"/>
    <n v="20"/>
    <s v="AC"/>
    <s v="V"/>
    <n v="0"/>
    <n v="7"/>
    <n v="7"/>
    <n v="87"/>
    <n v="0"/>
    <s v="950N"/>
    <n v="3"/>
    <s v="CS"/>
    <n v="10136.363636363636"/>
    <x v="2"/>
    <n v="10"/>
    <n v="7"/>
    <n v="1.5"/>
    <n v="7.5"/>
  </r>
  <r>
    <s v="B25"/>
    <s v="900N/750E"/>
    <s v="900N/750E"/>
    <m/>
    <s v="675E"/>
    <s v="750E"/>
    <n v="4152"/>
    <n v="20"/>
    <s v="AC"/>
    <s v="B"/>
    <n v="0"/>
    <n v="7"/>
    <n v="7"/>
    <n v="86"/>
    <n v="0"/>
    <s v="900N"/>
    <n v="3"/>
    <s v="CS"/>
    <n v="11795.454545454546"/>
    <x v="2"/>
    <n v="10"/>
    <n v="7"/>
    <n v="1.5"/>
    <n v="7.5"/>
  </r>
  <r>
    <s v="SC71"/>
    <s v="675W/STINEMYER RD"/>
    <s v="675W/STINEMYER RD"/>
    <m/>
    <s v="STINEMYER RD."/>
    <s v="600S"/>
    <n v="6710"/>
    <n v="20"/>
    <s v="G"/>
    <s v="SC"/>
    <n v="0"/>
    <n v="5"/>
    <n v="5"/>
    <n v="84"/>
    <n v="0"/>
    <s v="675W"/>
    <n v="5"/>
    <s v="GG"/>
    <n v="17791.666666666668"/>
    <x v="6"/>
    <n v="6"/>
    <n v="1"/>
    <n v="2"/>
    <n v="6"/>
  </r>
  <r>
    <s v="G23"/>
    <s v="EDEN RD./TROY RD"/>
    <s v="EDEN RD./TROY RD"/>
    <m/>
    <s v="250E"/>
    <s v="TROY RD."/>
    <n v="4646"/>
    <n v="20"/>
    <s v="AC"/>
    <s v="G"/>
    <n v="0"/>
    <n v="7"/>
    <n v="8"/>
    <n v="82"/>
    <n v="0"/>
    <s v="EDEN RD./TROY RD"/>
    <n v="2"/>
    <s v="CS"/>
    <n v="13198.863636363636"/>
    <x v="2"/>
    <n v="12"/>
    <n v="7"/>
    <n v="1.5"/>
    <n v="7.5"/>
  </r>
  <r>
    <s v="B24"/>
    <s v="900N/675E"/>
    <s v="900N/675E"/>
    <m/>
    <s v="675E"/>
    <s v="600E"/>
    <n v="4000"/>
    <n v="20"/>
    <s v="AC"/>
    <s v="B"/>
    <n v="0"/>
    <n v="8"/>
    <n v="7"/>
    <n v="81"/>
    <n v="0"/>
    <s v="900N"/>
    <n v="3"/>
    <s v="CRACK"/>
    <n v="4469.69696969697"/>
    <x v="3"/>
    <n v="10"/>
    <n v="4"/>
    <n v="1.5"/>
    <n v="9"/>
  </r>
  <r>
    <s v="J86-1"/>
    <s v="1000E/N.TWP LINE"/>
    <s v="1000E/N.TWP LINE"/>
    <m/>
    <s v="550N"/>
    <s v="TWNSP."/>
    <n v="2640"/>
    <n v="20"/>
    <s v="AC"/>
    <s v="J"/>
    <n v="0"/>
    <n v="6"/>
    <n v="6"/>
    <n v="78"/>
    <n v="0"/>
    <s v="1000E"/>
    <n v="4"/>
    <s v="DS"/>
    <n v="12500"/>
    <x v="1"/>
    <n v="8"/>
    <n v="7"/>
    <n v="2"/>
    <n v="8"/>
  </r>
  <r>
    <s v="J04"/>
    <s v="100N/800E"/>
    <s v="100N/800E"/>
    <m/>
    <s v="700E"/>
    <s v="800E"/>
    <n v="5403"/>
    <n v="20"/>
    <s v="CS"/>
    <s v="J"/>
    <n v="0"/>
    <n v="7"/>
    <n v="7"/>
    <n v="75"/>
    <n v="0"/>
    <s v="100N"/>
    <n v="3"/>
    <s v="DS"/>
    <n v="25582.386363636364"/>
    <x v="1"/>
    <n v="10"/>
    <n v="7"/>
    <n v="1.5"/>
    <n v="6"/>
  </r>
  <r>
    <s v=""/>
    <s v="ALLEY(EDEN)/EDENRD"/>
    <s v="ALLEY(EDEN)/EDENRD"/>
    <m/>
    <s v="EDEN RD"/>
    <s v="SR9"/>
    <n v="284"/>
    <n v="20"/>
    <s v="G"/>
    <s v="G"/>
    <n v="0"/>
    <n v="7"/>
    <n v="6"/>
    <n v="50"/>
    <n v="0"/>
    <s v="ALLEY(EDEN)/EDENRD"/>
    <n v="4"/>
    <s v="GG"/>
    <n v="753.030303030303"/>
    <x v="3"/>
    <n v="8"/>
    <n v="1"/>
    <n v="2"/>
    <n v="12"/>
  </r>
  <r>
    <s v="BC26"/>
    <s v="STATION WAY/350N"/>
    <s v="STATION WAY/350N"/>
    <m/>
    <s v="600W"/>
    <s v="350N"/>
    <n v="3308"/>
    <n v="20"/>
    <s v="AC"/>
    <s v="BC"/>
    <n v="0"/>
    <n v="7"/>
    <n v="7"/>
    <n v="66"/>
    <n v="0"/>
    <s v="STATION WAY/350N"/>
    <n v="3"/>
    <s v="CS"/>
    <n v="9397.7272727272721"/>
    <x v="6"/>
    <n v="10"/>
    <n v="7"/>
    <n v="1.5"/>
    <n v="4.5"/>
  </r>
  <r>
    <s v="BC10"/>
    <s v="150N/400W"/>
    <s v="150N/400W"/>
    <m/>
    <s v="525W"/>
    <s v="400W"/>
    <n v="6690"/>
    <n v="20"/>
    <s v="CS"/>
    <s v="BC"/>
    <n v="0"/>
    <n v="7"/>
    <n v="6"/>
    <n v="65"/>
    <n v="0"/>
    <s v="150N"/>
    <n v="4"/>
    <s v="DS"/>
    <n v="31676.136363636364"/>
    <x v="1"/>
    <n v="8"/>
    <n v="7"/>
    <n v="2"/>
    <n v="8"/>
  </r>
  <r>
    <s v="SC99"/>
    <s v="300W/200S"/>
    <s v="300W/200S"/>
    <m/>
    <s v="200S"/>
    <s v="300S"/>
    <n v="5337"/>
    <n v="20"/>
    <s v="G"/>
    <s v="SC"/>
    <n v="0"/>
    <n v="6"/>
    <n v="7"/>
    <n v="65"/>
    <n v="0"/>
    <s v="300W"/>
    <n v="3"/>
    <s v="GG"/>
    <n v="14151.136363636364"/>
    <x v="1"/>
    <n v="10"/>
    <n v="1"/>
    <n v="1.5"/>
    <n v="6"/>
  </r>
  <r>
    <s v="J23"/>
    <s v="300N/850E"/>
    <s v="300N/850E"/>
    <m/>
    <s v="800E"/>
    <s v="850E"/>
    <n v="2640"/>
    <n v="20"/>
    <s v="G"/>
    <s v="J"/>
    <n v="0"/>
    <n v="8"/>
    <n v="9"/>
    <n v="64"/>
    <n v="0"/>
    <s v="300N"/>
    <n v="1"/>
    <s v="GG"/>
    <n v="7000"/>
    <x v="2"/>
    <n v="14"/>
    <n v="1"/>
    <n v="1"/>
    <n v="5"/>
  </r>
  <r>
    <s v="J05"/>
    <s v="100N/850E"/>
    <s v="100N/850E"/>
    <m/>
    <s v="800E"/>
    <s v="850E"/>
    <n v="2532"/>
    <n v="20"/>
    <s v="CS"/>
    <s v="J"/>
    <n v="0"/>
    <n v="7"/>
    <n v="8"/>
    <n v="60"/>
    <n v="0"/>
    <s v="100N"/>
    <n v="2"/>
    <s v="DS"/>
    <n v="11988.636363636364"/>
    <x v="1"/>
    <n v="12"/>
    <n v="7"/>
    <n v="1.5"/>
    <n v="6"/>
  </r>
  <r>
    <s v=""/>
    <s v="ALLEY(FIN)/MAIN ST"/>
    <s v="ALLEY(FIN)/MAIN ST"/>
    <m/>
    <s v="GREENFIELD ST"/>
    <s v="MAIN ST"/>
    <n v="227"/>
    <n v="20"/>
    <s v="G"/>
    <s v="BW"/>
    <n v="0"/>
    <n v="7"/>
    <n v="7"/>
    <n v="50"/>
    <n v="0"/>
    <s v="ALLEY(FIN)/MAIN ST"/>
    <n v="3"/>
    <s v="GG"/>
    <n v="601.89393939393938"/>
    <x v="3"/>
    <n v="10"/>
    <n v="1"/>
    <n v="1.5"/>
    <n v="9"/>
  </r>
  <r>
    <s v="J84"/>
    <s v="1000E/400N"/>
    <s v="1000E/400N"/>
    <m/>
    <s v="350N"/>
    <s v="400N"/>
    <n v="2668"/>
    <n v="20"/>
    <s v="CS"/>
    <s v="J"/>
    <n v="0"/>
    <n v="10"/>
    <n v="3"/>
    <n v="50"/>
    <n v="0"/>
    <s v="1000E"/>
    <n v="7"/>
    <s v="DS"/>
    <n v="12632.575757575758"/>
    <x v="0"/>
    <n v="1"/>
    <n v="7"/>
    <n v="3"/>
    <n v="0"/>
  </r>
  <r>
    <s v="J85"/>
    <s v="1000E/500N"/>
    <s v="1000E/500N"/>
    <m/>
    <s v="400N"/>
    <s v="500N"/>
    <n v="5320"/>
    <n v="20"/>
    <s v="G"/>
    <s v="J"/>
    <n v="0"/>
    <n v="7"/>
    <n v="8"/>
    <n v="50"/>
    <n v="0"/>
    <s v="1000E"/>
    <n v="2"/>
    <s v="GG"/>
    <n v="14106.060606060606"/>
    <x v="3"/>
    <n v="12"/>
    <n v="1"/>
    <n v="1.5"/>
    <n v="9"/>
  </r>
  <r>
    <s v="J86"/>
    <s v="1000E/550N"/>
    <s v="1000E/550N"/>
    <m/>
    <s v="500N"/>
    <s v="550N"/>
    <n v="2693"/>
    <n v="20"/>
    <s v="AC"/>
    <s v="J"/>
    <n v="0"/>
    <n v="7"/>
    <n v="6"/>
    <n v="50"/>
    <n v="0"/>
    <s v="1000E"/>
    <n v="4"/>
    <s v="CS"/>
    <n v="7650.568181818182"/>
    <x v="3"/>
    <n v="8"/>
    <n v="7"/>
    <n v="2"/>
    <n v="12"/>
  </r>
  <r>
    <s v="B66"/>
    <s v="1000E/650N"/>
    <s v="1000E/650N"/>
    <m/>
    <s v="TWSP.2N.LINE"/>
    <s v="650N"/>
    <n v="2910"/>
    <n v="20"/>
    <s v="AC"/>
    <s v="B"/>
    <n v="0"/>
    <n v="7"/>
    <n v="7"/>
    <n v="50"/>
    <n v="0"/>
    <s v="1000E"/>
    <n v="3"/>
    <s v="CS"/>
    <n v="8267.045454545454"/>
    <x v="3"/>
    <n v="10"/>
    <n v="7"/>
    <n v="1.5"/>
    <n v="9"/>
  </r>
  <r>
    <s v="J06"/>
    <s v="100N/GRANISON RD"/>
    <s v="100N/GRANISON RD"/>
    <m/>
    <s v="850E"/>
    <s v="GRANDISON RD."/>
    <n v="7320"/>
    <n v="20"/>
    <s v="G"/>
    <s v="J"/>
    <n v="0"/>
    <n v="7"/>
    <n v="9"/>
    <n v="50"/>
    <n v="0"/>
    <s v="100N"/>
    <n v="1"/>
    <s v="GG"/>
    <n v="19409.090909090908"/>
    <x v="3"/>
    <n v="14"/>
    <n v="1"/>
    <n v="1"/>
    <n v="6"/>
  </r>
  <r>
    <s v="BW38"/>
    <s v="100W/125W"/>
    <s v="100W/125W"/>
    <m/>
    <s v="125W"/>
    <s v="400S"/>
    <n v="2225"/>
    <n v="20"/>
    <s v="CS"/>
    <s v="BW"/>
    <n v="0"/>
    <n v="7"/>
    <n v="5"/>
    <n v="50"/>
    <n v="0"/>
    <s v="100W"/>
    <n v="5"/>
    <s v="DS"/>
    <n v="10535.037878787878"/>
    <x v="0"/>
    <n v="6"/>
    <n v="7"/>
    <n v="2"/>
    <n v="0"/>
  </r>
  <r>
    <s v="C54"/>
    <s v="100W/300N"/>
    <s v="100W/300N"/>
    <m/>
    <s v="I70"/>
    <s v="300N"/>
    <n v="2560"/>
    <n v="20"/>
    <s v="AC"/>
    <s v="C"/>
    <n v="0"/>
    <n v="5"/>
    <n v="3"/>
    <n v="50"/>
    <n v="0"/>
    <s v="100W"/>
    <n v="7"/>
    <s v="DS"/>
    <n v="12121.212121212122"/>
    <x v="0"/>
    <n v="1"/>
    <n v="7"/>
    <n v="3"/>
    <n v="0"/>
  </r>
  <r>
    <s v="C56"/>
    <s v="100W/400N"/>
    <s v="100W/400N"/>
    <m/>
    <s v="300N"/>
    <s v="400N"/>
    <n v="5280"/>
    <n v="20"/>
    <s v="AC"/>
    <s v="C"/>
    <n v="0"/>
    <n v="5"/>
    <n v="7"/>
    <n v="50"/>
    <n v="0"/>
    <s v="100W"/>
    <n v="3"/>
    <s v="SP/CS"/>
    <n v="40000"/>
    <x v="1"/>
    <n v="10"/>
    <n v="10"/>
    <n v="1.5"/>
    <n v="6"/>
  </r>
  <r>
    <s v="C55"/>
    <s v="100W/I70"/>
    <s v="100W/I70"/>
    <m/>
    <s v="200N"/>
    <s v="I70"/>
    <n v="2400"/>
    <n v="20"/>
    <s v="CS"/>
    <s v="C"/>
    <n v="0"/>
    <n v="3"/>
    <n v="3"/>
    <n v="50"/>
    <n v="0"/>
    <s v="100W"/>
    <n v="7"/>
    <s v="CRACK"/>
    <n v="2681.818181818182"/>
    <x v="3"/>
    <n v="1"/>
    <n v="4"/>
    <n v="3"/>
    <n v="18"/>
  </r>
  <r>
    <s v=""/>
    <s v="1025E/700N"/>
    <s v="1025E/700N"/>
    <m/>
    <s v="700N"/>
    <s v="650N"/>
    <n v="2615"/>
    <n v="20"/>
    <s v="AC"/>
    <s v="B"/>
    <n v="0"/>
    <n v="6"/>
    <n v="7"/>
    <n v="50"/>
    <n v="0"/>
    <s v="1025E"/>
    <n v="3"/>
    <s v="P"/>
    <n v="34668.560606060608"/>
    <x v="1"/>
    <n v="10"/>
    <n v="15"/>
    <n v="1.5"/>
    <n v="6"/>
  </r>
  <r>
    <s v="B72"/>
    <s v="1100E/1000N"/>
    <s v="1100E/1000N"/>
    <m/>
    <s v="900N"/>
    <s v="1000N"/>
    <n v="5300"/>
    <n v="20"/>
    <s v="AC"/>
    <s v="B"/>
    <n v="0"/>
    <n v="7"/>
    <n v="7"/>
    <n v="50"/>
    <n v="0"/>
    <s v="1100E"/>
    <n v="3"/>
    <s v="CS"/>
    <n v="15056.818181818182"/>
    <x v="3"/>
    <n v="10"/>
    <n v="7"/>
    <n v="1.5"/>
    <n v="9"/>
  </r>
  <r>
    <s v="B73"/>
    <s v="1100E/1100N"/>
    <s v="1100E/1100N"/>
    <m/>
    <s v="1000N"/>
    <s v="1100N"/>
    <n v="5290"/>
    <n v="20"/>
    <s v="CS"/>
    <s v="B"/>
    <n v="0"/>
    <n v="6"/>
    <n v="7"/>
    <n v="50"/>
    <n v="0"/>
    <s v="1100E"/>
    <n v="3"/>
    <s v="P"/>
    <n v="70132.57575757576"/>
    <x v="1"/>
    <n v="10"/>
    <n v="15"/>
    <n v="1.5"/>
    <n v="6"/>
  </r>
  <r>
    <s v="B74"/>
    <s v="1125E/650N"/>
    <s v="1125E/650N"/>
    <m/>
    <s v="CO. LINE"/>
    <s v="650N"/>
    <n v="3080"/>
    <n v="20"/>
    <s v="AC"/>
    <s v="B"/>
    <n v="0"/>
    <n v="7"/>
    <n v="8"/>
    <n v="50"/>
    <n v="0"/>
    <s v="1125E"/>
    <n v="2"/>
    <s v="CS"/>
    <n v="8750"/>
    <x v="3"/>
    <n v="12"/>
    <n v="7"/>
    <n v="1.5"/>
    <n v="9"/>
  </r>
  <r>
    <s v="B75"/>
    <s v="1125E/700N"/>
    <s v="1125E/700N"/>
    <m/>
    <s v="650N"/>
    <s v="700N"/>
    <n v="2655"/>
    <n v="20"/>
    <s v="AC"/>
    <s v="B"/>
    <n v="0"/>
    <n v="7"/>
    <n v="7"/>
    <n v="50"/>
    <n v="0"/>
    <s v="1125E"/>
    <n v="3"/>
    <s v="CS"/>
    <n v="7542.613636363636"/>
    <x v="3"/>
    <n v="10"/>
    <n v="7"/>
    <n v="1.5"/>
    <n v="9"/>
  </r>
  <r>
    <s v="B77"/>
    <s v="1125E/900N"/>
    <s v="1125E/900N"/>
    <m/>
    <s v="SR234"/>
    <s v="900N"/>
    <n v="5230"/>
    <n v="20"/>
    <s v="AC"/>
    <s v="B"/>
    <n v="0"/>
    <n v="7"/>
    <n v="6"/>
    <n v="50"/>
    <n v="0"/>
    <s v="1125E"/>
    <n v="4"/>
    <s v="CS"/>
    <n v="14857.954545454546"/>
    <x v="3"/>
    <n v="8"/>
    <n v="7"/>
    <n v="2"/>
    <n v="12"/>
  </r>
  <r>
    <s v="B76"/>
    <s v="1125E/SR234"/>
    <s v="1125E/SR234"/>
    <m/>
    <s v="700N"/>
    <s v="SR234"/>
    <n v="5275"/>
    <n v="20"/>
    <s v="AC"/>
    <s v="B"/>
    <n v="0"/>
    <n v="5"/>
    <n v="7"/>
    <n v="50"/>
    <n v="0"/>
    <s v="1125E"/>
    <n v="3"/>
    <s v="SP/CS"/>
    <n v="39962.121212121216"/>
    <x v="1"/>
    <n v="10"/>
    <n v="10"/>
    <n v="1.5"/>
    <n v="6"/>
  </r>
  <r>
    <s v=""/>
    <s v="1175E PENN. ST/END"/>
    <s v="1175E PENN. ST/END"/>
    <m/>
    <s v="RAILROAD ST."/>
    <s v="END"/>
    <n v="1389"/>
    <n v="20"/>
    <s v="AC"/>
    <s v="B"/>
    <n v="0"/>
    <n v="7"/>
    <n v="7"/>
    <n v="50"/>
    <n v="0"/>
    <s v="1175E (PENN ST)"/>
    <n v="3"/>
    <s v="CS"/>
    <n v="3946.0227272727275"/>
    <x v="3"/>
    <n v="10"/>
    <n v="7"/>
    <n v="1.5"/>
    <n v="9"/>
  </r>
  <r>
    <s v="B82"/>
    <s v="1200E/1000N"/>
    <s v="1200E/1000N"/>
    <m/>
    <s v="900N"/>
    <s v="1000N"/>
    <n v="5325"/>
    <n v="20"/>
    <s v="AC"/>
    <s v="B"/>
    <n v="0"/>
    <n v="7"/>
    <n v="7"/>
    <n v="50"/>
    <n v="0"/>
    <s v="1200E"/>
    <n v="3"/>
    <s v="CS"/>
    <n v="15127.84090909091"/>
    <x v="3"/>
    <n v="10"/>
    <n v="7"/>
    <n v="1.5"/>
    <n v="9"/>
  </r>
  <r>
    <s v="B83"/>
    <s v="1200E/1100N"/>
    <s v="1200E/1100N"/>
    <m/>
    <s v="1000N"/>
    <s v="1100N"/>
    <n v="5250"/>
    <n v="20"/>
    <s v="AC"/>
    <s v="B"/>
    <n v="0"/>
    <n v="6"/>
    <n v="7"/>
    <n v="50"/>
    <n v="0"/>
    <s v="1200E"/>
    <n v="3"/>
    <s v="P"/>
    <n v="69602.272727272721"/>
    <x v="1"/>
    <n v="10"/>
    <n v="15"/>
    <n v="1.5"/>
    <n v="6"/>
  </r>
  <r>
    <s v="B81"/>
    <s v="1200E/900N"/>
    <s v="1200E/900N"/>
    <m/>
    <s v="SR234"/>
    <s v="900N"/>
    <n v="5490"/>
    <n v="20"/>
    <s v="AC"/>
    <s v="B"/>
    <n v="0"/>
    <n v="6"/>
    <n v="7"/>
    <n v="50"/>
    <n v="0"/>
    <s v="1200E"/>
    <n v="3"/>
    <s v="P"/>
    <n v="72784.090909090912"/>
    <x v="1"/>
    <n v="10"/>
    <n v="15"/>
    <n v="1.5"/>
    <n v="6"/>
  </r>
  <r>
    <s v="V91"/>
    <s v="125W/1000N"/>
    <s v="125W/1000N"/>
    <m/>
    <s v="950N"/>
    <s v="1000N"/>
    <n v="2650"/>
    <n v="20"/>
    <s v="AC"/>
    <s v="V"/>
    <n v="0"/>
    <n v="7"/>
    <n v="6"/>
    <n v="50"/>
    <n v="0"/>
    <s v="125W"/>
    <n v="4"/>
    <s v="CS"/>
    <n v="7528.409090909091"/>
    <x v="3"/>
    <n v="8"/>
    <n v="7"/>
    <n v="2"/>
    <n v="12"/>
  </r>
  <r>
    <s v="C51"/>
    <s v="125W/300N"/>
    <s v="125W/300N"/>
    <m/>
    <s v="300N"/>
    <s v="I70"/>
    <n v="2240"/>
    <n v="20"/>
    <s v="CS"/>
    <s v="C"/>
    <n v="0"/>
    <n v="6"/>
    <n v="6"/>
    <n v="50"/>
    <n v="0"/>
    <s v="125W"/>
    <n v="4"/>
    <s v="DS"/>
    <n v="10606.060606060606"/>
    <x v="2"/>
    <n v="8"/>
    <n v="7"/>
    <n v="2"/>
    <n v="10"/>
  </r>
  <r>
    <s v="BW33"/>
    <s v="125W/300S"/>
    <s v="125W/300S"/>
    <m/>
    <s v="300S"/>
    <s v="100W"/>
    <n v="4002"/>
    <n v="20"/>
    <s v="CS"/>
    <s v="BW"/>
    <n v="0"/>
    <n v="5"/>
    <n v="5"/>
    <n v="50"/>
    <n v="0"/>
    <s v="125W"/>
    <n v="5"/>
    <s v="SP/CS"/>
    <n v="30318.18181818182"/>
    <x v="6"/>
    <n v="6"/>
    <n v="10"/>
    <n v="2"/>
    <n v="6"/>
  </r>
  <r>
    <m/>
    <s v="125W/I70"/>
    <s v="125W/I70"/>
    <m/>
    <s v="200N"/>
    <s v="END"/>
    <n v="1310"/>
    <n v="20"/>
    <s v="CS"/>
    <s v="C"/>
    <n v="0"/>
    <n v="5"/>
    <n v="6"/>
    <n v="50"/>
    <n v="0"/>
    <s v="125W"/>
    <n v="4"/>
    <s v="SP/CS"/>
    <n v="9924.242424242424"/>
    <x v="1"/>
    <n v="8"/>
    <n v="10"/>
    <n v="2"/>
    <n v="8"/>
  </r>
  <r>
    <s v="J08"/>
    <s v="150N/1050E"/>
    <s v="150N/1050E"/>
    <m/>
    <s v="1050E"/>
    <s v="GRANDISON RD."/>
    <n v="5350"/>
    <n v="20"/>
    <s v="CS"/>
    <s v="J"/>
    <n v="0"/>
    <n v="7"/>
    <n v="6"/>
    <n v="50"/>
    <n v="0"/>
    <s v="150N"/>
    <n v="4"/>
    <s v="P"/>
    <n v="70928.030303030304"/>
    <x v="4"/>
    <n v="8"/>
    <n v="15"/>
    <n v="2"/>
    <n v="2"/>
  </r>
  <r>
    <s v="J07"/>
    <s v="150N/800E"/>
    <s v="150N/800E"/>
    <m/>
    <s v="800E"/>
    <s v="700E"/>
    <n v="5380"/>
    <n v="20"/>
    <s v="G"/>
    <s v="J"/>
    <n v="0"/>
    <n v="6"/>
    <n v="8"/>
    <n v="50"/>
    <n v="0"/>
    <s v="150N"/>
    <n v="2"/>
    <s v="GG"/>
    <n v="14265.151515151516"/>
    <x v="2"/>
    <n v="12"/>
    <n v="1"/>
    <n v="1.5"/>
    <n v="7.5"/>
  </r>
  <r>
    <s v="J09"/>
    <s v="150N/E. CO. LINE"/>
    <s v="150N/E. CO. LINE"/>
    <m/>
    <s v="1050E"/>
    <s v="E.CO.LINE"/>
    <n v="2680"/>
    <n v="20"/>
    <s v="CS"/>
    <s v="J"/>
    <n v="0"/>
    <n v="4"/>
    <n v="5"/>
    <n v="50"/>
    <n v="0"/>
    <s v="150N"/>
    <n v="5"/>
    <s v="SP/CS"/>
    <n v="20303.030303030304"/>
    <x v="6"/>
    <n v="6"/>
    <n v="10"/>
    <n v="2"/>
    <n v="6"/>
  </r>
  <r>
    <s v="BR35"/>
    <s v="150S/900E"/>
    <s v="150S/900E"/>
    <m/>
    <s v="900E"/>
    <s v="850E"/>
    <n v="2715"/>
    <n v="20"/>
    <s v="CS"/>
    <s v="BR"/>
    <n v="0"/>
    <n v="8"/>
    <n v="7"/>
    <n v="50"/>
    <n v="0"/>
    <s v="150S"/>
    <n v="3"/>
    <s v="CS"/>
    <n v="7713.068181818182"/>
    <x v="2"/>
    <n v="10"/>
    <n v="7"/>
    <n v="1.5"/>
    <n v="7.5"/>
  </r>
  <r>
    <s v="BW32"/>
    <s v="150W/200S"/>
    <s v="150W/200S"/>
    <m/>
    <s v="200S"/>
    <s v="300S"/>
    <n v="5335"/>
    <n v="20"/>
    <s v="G"/>
    <s v="BW"/>
    <n v="0"/>
    <n v="10"/>
    <n v="8"/>
    <n v="50"/>
    <n v="0"/>
    <s v="150W"/>
    <n v="2"/>
    <s v="GG"/>
    <n v="14145.833333333334"/>
    <x v="3"/>
    <n v="12"/>
    <n v="1"/>
    <n v="1.5"/>
    <n v="9"/>
  </r>
  <r>
    <s v="BW31"/>
    <s v="150W/US52"/>
    <s v="150W/US52"/>
    <m/>
    <s v="600S"/>
    <s v="US52"/>
    <n v="2820"/>
    <n v="20"/>
    <s v="AC"/>
    <s v="BW"/>
    <n v="0"/>
    <n v="7"/>
    <n v="9"/>
    <n v="50"/>
    <n v="0"/>
    <s v="150W"/>
    <n v="1"/>
    <s v="CS"/>
    <n v="8011.363636363636"/>
    <x v="2"/>
    <n v="14"/>
    <n v="7"/>
    <n v="1"/>
    <n v="5"/>
  </r>
  <r>
    <s v="BW50"/>
    <s v="200E/500S"/>
    <s v="200E/500S"/>
    <m/>
    <s v="500S"/>
    <s v="600S"/>
    <n v="5340"/>
    <n v="20"/>
    <s v="AC"/>
    <s v="BW"/>
    <n v="0"/>
    <n v="4"/>
    <n v="6"/>
    <n v="50"/>
    <n v="0"/>
    <s v="200E"/>
    <n v="4"/>
    <s v="SP/CS"/>
    <n v="40454.545454545456"/>
    <x v="6"/>
    <n v="8"/>
    <n v="10"/>
    <n v="2"/>
    <n v="6"/>
  </r>
  <r>
    <s v="J11"/>
    <s v="200N/700E"/>
    <s v="200N/700E"/>
    <m/>
    <s v="700E"/>
    <s v="600E"/>
    <n v="4365"/>
    <n v="20"/>
    <s v="AC"/>
    <s v="J"/>
    <n v="0"/>
    <n v="7"/>
    <n v="7"/>
    <n v="50"/>
    <n v="0"/>
    <s v="200N"/>
    <n v="3"/>
    <s v="CS"/>
    <n v="12400.568181818182"/>
    <x v="3"/>
    <n v="10"/>
    <n v="7"/>
    <n v="1.5"/>
    <n v="9"/>
  </r>
  <r>
    <s v="J12"/>
    <s v="200N/E. CO. LINE"/>
    <s v="200N/E. CO. LINE"/>
    <m/>
    <s v="1050E"/>
    <s v="E.CO.LINE"/>
    <n v="2710"/>
    <n v="20"/>
    <s v="CS"/>
    <s v="J"/>
    <n v="0"/>
    <n v="5"/>
    <n v="7"/>
    <n v="50"/>
    <n v="0"/>
    <s v="200N"/>
    <n v="3"/>
    <s v="SP/CS"/>
    <n v="20530.303030303032"/>
    <x v="1"/>
    <n v="10"/>
    <n v="10"/>
    <n v="1.5"/>
    <n v="6"/>
  </r>
  <r>
    <s v="BR28"/>
    <s v="200S/500E"/>
    <s v="200S/500E"/>
    <m/>
    <s v="400E"/>
    <s v="500E"/>
    <n v="5360"/>
    <n v="20"/>
    <s v="AC"/>
    <s v="BR"/>
    <n v="0"/>
    <n v="6"/>
    <n v="5"/>
    <n v="50"/>
    <n v="0"/>
    <s v="200S"/>
    <n v="5"/>
    <s v="DS"/>
    <n v="25378.78787878788"/>
    <x v="2"/>
    <n v="6"/>
    <n v="7"/>
    <n v="2"/>
    <n v="10"/>
  </r>
  <r>
    <s v="BR29"/>
    <s v="200S/600E"/>
    <s v="200S/600E"/>
    <m/>
    <s v="500E"/>
    <s v="600E"/>
    <n v="5310"/>
    <n v="20"/>
    <s v="CS"/>
    <s v="BR"/>
    <n v="0"/>
    <n v="5"/>
    <n v="6"/>
    <n v="50"/>
    <n v="0"/>
    <s v="200S"/>
    <n v="4"/>
    <s v="SP/CS"/>
    <n v="40227.272727272728"/>
    <x v="5"/>
    <n v="8"/>
    <n v="10"/>
    <n v="2"/>
    <n v="4"/>
  </r>
  <r>
    <s v="BR30"/>
    <s v="200S/675E"/>
    <s v="200S/675E"/>
    <m/>
    <s v="600E"/>
    <s v="675E"/>
    <n v="3660"/>
    <n v="20"/>
    <s v="CS"/>
    <s v="BR"/>
    <n v="0"/>
    <n v="6"/>
    <n v="8"/>
    <n v="50"/>
    <n v="0"/>
    <s v="200S"/>
    <n v="2"/>
    <s v="CS"/>
    <n v="10397.727272727272"/>
    <x v="0"/>
    <n v="12"/>
    <n v="7"/>
    <n v="1.5"/>
    <n v="0"/>
  </r>
  <r>
    <s v="BR31"/>
    <s v="200S/700E"/>
    <s v="200S/700E"/>
    <m/>
    <s v="675E"/>
    <s v="700E"/>
    <n v="1320"/>
    <n v="20"/>
    <s v="CS"/>
    <s v="BR"/>
    <n v="0"/>
    <n v="7"/>
    <n v="6"/>
    <n v="50"/>
    <n v="0"/>
    <s v="200S"/>
    <n v="4"/>
    <s v="CS"/>
    <n v="3750"/>
    <x v="0"/>
    <n v="8"/>
    <n v="7"/>
    <n v="2"/>
    <n v="0"/>
  </r>
  <r>
    <s v="BR32"/>
    <s v="200S/750E"/>
    <s v="200S/750E"/>
    <m/>
    <s v="700E"/>
    <s v="750E"/>
    <n v="2750"/>
    <n v="20"/>
    <s v="AC"/>
    <s v="BR"/>
    <n v="0"/>
    <n v="5"/>
    <n v="5"/>
    <n v="50"/>
    <n v="0"/>
    <s v="200S"/>
    <n v="5"/>
    <s v="DS"/>
    <n v="13020.833333333334"/>
    <x v="0"/>
    <n v="6"/>
    <n v="7"/>
    <n v="2"/>
    <n v="0"/>
  </r>
  <r>
    <s v="BR33"/>
    <s v="200S/800E"/>
    <s v="200S/800E"/>
    <m/>
    <s v="750E"/>
    <s v="800E"/>
    <n v="2740"/>
    <n v="20"/>
    <s v="CS"/>
    <s v="BR"/>
    <n v="0"/>
    <n v="4"/>
    <n v="5"/>
    <n v="50"/>
    <n v="0"/>
    <s v="200S"/>
    <n v="5"/>
    <s v="SP/CS"/>
    <n v="20757.575757575756"/>
    <x v="0"/>
    <n v="6"/>
    <n v="10"/>
    <n v="2"/>
    <n v="0"/>
  </r>
  <r>
    <s v="BR34"/>
    <s v="200S/900E"/>
    <s v="200S/900E"/>
    <m/>
    <s v="800E"/>
    <s v="900E"/>
    <n v="5470"/>
    <n v="20"/>
    <s v="AC"/>
    <s v="BR"/>
    <n v="0"/>
    <n v="4"/>
    <n v="7"/>
    <n v="50"/>
    <n v="0"/>
    <s v="200S"/>
    <n v="3"/>
    <s v="SP/CS"/>
    <n v="41439.393939393936"/>
    <x v="0"/>
    <n v="10"/>
    <n v="10"/>
    <n v="1.5"/>
    <n v="0"/>
  </r>
  <r>
    <s v=""/>
    <s v="225N/END"/>
    <s v="225N/END"/>
    <m/>
    <s v="600W"/>
    <s v="END"/>
    <n v="850"/>
    <n v="20"/>
    <s v="AC"/>
    <s v="BC"/>
    <n v="0"/>
    <n v="9"/>
    <n v="8"/>
    <n v="50"/>
    <n v="0"/>
    <s v="225N"/>
    <n v="2"/>
    <s v="CRACK"/>
    <n v="949.81060606060601"/>
    <x v="4"/>
    <n v="12"/>
    <n v="4"/>
    <n v="1.5"/>
    <n v="1.5"/>
  </r>
  <r>
    <s v="G46"/>
    <s v="250E/625N"/>
    <s v="250E/625N"/>
    <m/>
    <s v="600N"/>
    <s v="625N"/>
    <n v="1318"/>
    <n v="20"/>
    <s v="AC"/>
    <s v="G"/>
    <n v="0"/>
    <n v="6"/>
    <n v="5"/>
    <n v="50"/>
    <n v="0"/>
    <s v="250E"/>
    <n v="5"/>
    <s v="DS"/>
    <n v="6240.530303030303"/>
    <x v="6"/>
    <n v="6"/>
    <n v="7"/>
    <n v="2"/>
    <n v="6"/>
  </r>
  <r>
    <s v="G47"/>
    <s v="250E/700N"/>
    <s v="250E/700N"/>
    <m/>
    <s v="625N"/>
    <s v="700N"/>
    <n v="4013"/>
    <n v="20"/>
    <s v="AC"/>
    <s v="G"/>
    <n v="0"/>
    <n v="5"/>
    <n v="5"/>
    <n v="50"/>
    <n v="0"/>
    <s v="250E"/>
    <n v="5"/>
    <s v="SP/CS"/>
    <n v="30401.515151515152"/>
    <x v="6"/>
    <n v="6"/>
    <n v="10"/>
    <n v="2"/>
    <n v="6"/>
  </r>
  <r>
    <s v="G49"/>
    <s v="250E/EDEN RD"/>
    <s v="250E/EDEN RD"/>
    <m/>
    <s v="SR234"/>
    <s v="EDEN RD."/>
    <n v="1795"/>
    <n v="20"/>
    <s v="AC"/>
    <s v="G"/>
    <n v="0"/>
    <n v="6"/>
    <n v="7"/>
    <n v="50"/>
    <n v="0"/>
    <s v="250E"/>
    <n v="3"/>
    <s v="DS"/>
    <n v="8499.05303030303"/>
    <x v="2"/>
    <n v="10"/>
    <n v="7"/>
    <n v="1.5"/>
    <n v="7.5"/>
  </r>
  <r>
    <s v="G48"/>
    <s v="250E/SR234"/>
    <s v="250E/SR234"/>
    <m/>
    <s v="700N"/>
    <s v="SR234"/>
    <n v="5438"/>
    <n v="20"/>
    <s v="AC"/>
    <s v="G"/>
    <n v="0"/>
    <n v="6"/>
    <n v="5"/>
    <n v="50"/>
    <n v="0"/>
    <s v="250E"/>
    <n v="5"/>
    <s v="DS"/>
    <n v="25748.10606060606"/>
    <x v="2"/>
    <n v="6"/>
    <n v="7"/>
    <n v="2"/>
    <n v="10"/>
  </r>
  <r>
    <s v="J13"/>
    <s v="250N/600E"/>
    <s v="250N/600E"/>
    <m/>
    <s v="500E"/>
    <s v="600E"/>
    <n v="5420"/>
    <n v="20"/>
    <s v="CS"/>
    <s v="J"/>
    <n v="0"/>
    <n v="5"/>
    <n v="5"/>
    <n v="50"/>
    <n v="0"/>
    <s v="250N"/>
    <n v="5"/>
    <s v="SP/CS"/>
    <n v="41060.606060606064"/>
    <x v="6"/>
    <n v="6"/>
    <n v="10"/>
    <n v="2"/>
    <n v="6"/>
  </r>
  <r>
    <s v="J01"/>
    <s v="25N/1050E"/>
    <s v="25N/1050E"/>
    <m/>
    <s v="1050E"/>
    <s v="GRANDISON RD."/>
    <n v="1730"/>
    <n v="20"/>
    <s v="AC"/>
    <s v="J"/>
    <n v="0"/>
    <n v="6"/>
    <n v="5"/>
    <n v="50"/>
    <n v="0"/>
    <s v="25N"/>
    <n v="5"/>
    <s v="DS"/>
    <n v="8191.287878787879"/>
    <x v="2"/>
    <n v="6"/>
    <n v="7"/>
    <n v="2"/>
    <n v="10"/>
  </r>
  <r>
    <s v="C57"/>
    <s v="25W/500N"/>
    <s v="25W/500N"/>
    <m/>
    <s v="500N"/>
    <s v="FORTVILLE PK."/>
    <n v="5600"/>
    <n v="20"/>
    <s v="CS"/>
    <s v="C"/>
    <n v="0"/>
    <n v="7"/>
    <n v="8"/>
    <n v="50"/>
    <n v="0"/>
    <s v="25W"/>
    <n v="2"/>
    <s v="P"/>
    <n v="74242.42424242424"/>
    <x v="3"/>
    <n v="12"/>
    <n v="15"/>
    <n v="1.5"/>
    <n v="9"/>
  </r>
  <r>
    <s v="C58"/>
    <s v="25W/600N"/>
    <s v="25W/600N"/>
    <m/>
    <s v="600N"/>
    <s v="500N"/>
    <n v="5370"/>
    <n v="20"/>
    <s v="AC"/>
    <s v="C"/>
    <n v="0"/>
    <n v="7"/>
    <n v="7"/>
    <n v="50"/>
    <n v="0"/>
    <s v="25W"/>
    <n v="3"/>
    <s v="CS"/>
    <n v="15255.681818181818"/>
    <x v="3"/>
    <n v="10"/>
    <n v="7"/>
    <n v="1.5"/>
    <n v="9"/>
  </r>
  <r>
    <s v="BW51"/>
    <s v="275E/300S"/>
    <s v="275E/300S"/>
    <m/>
    <s v="300S"/>
    <s v="350S"/>
    <n v="2620"/>
    <n v="20"/>
    <s v="CS"/>
    <s v="BW"/>
    <n v="0"/>
    <n v="4"/>
    <n v="7"/>
    <n v="50"/>
    <n v="0"/>
    <s v="275E"/>
    <n v="3"/>
    <s v="SP/CS"/>
    <n v="19848.484848484848"/>
    <x v="0"/>
    <n v="10"/>
    <n v="10"/>
    <n v="1.5"/>
    <n v="0"/>
  </r>
  <r>
    <s v=""/>
    <s v="ALLEY(MAX)/EAST ST"/>
    <s v="ALLEY(MAX)/EAST ST"/>
    <m/>
    <s v="SR9"/>
    <s v="EAST ST"/>
    <n v="604"/>
    <n v="20"/>
    <s v="G"/>
    <s v="C"/>
    <n v="0"/>
    <n v="7"/>
    <n v="7"/>
    <n v="50"/>
    <n v="0"/>
    <s v="ALLEY(MAX)/EAST ST"/>
    <n v="3"/>
    <s v="GG"/>
    <n v="1601.5151515151515"/>
    <x v="3"/>
    <n v="10"/>
    <n v="1"/>
    <n v="1.5"/>
    <n v="9"/>
  </r>
  <r>
    <s v="C69"/>
    <s v="300E/300N"/>
    <s v="300E/300N"/>
    <m/>
    <s v="300N"/>
    <s v="I70"/>
    <n v="2610"/>
    <n v="20"/>
    <s v="AC"/>
    <s v="C"/>
    <n v="0"/>
    <n v="6"/>
    <n v="7"/>
    <n v="50"/>
    <n v="0"/>
    <s v="300E"/>
    <n v="3"/>
    <s v="DS"/>
    <n v="12357.954545454546"/>
    <x v="2"/>
    <n v="10"/>
    <n v="7"/>
    <n v="1.5"/>
    <n v="7.5"/>
  </r>
  <r>
    <s v="BW55"/>
    <s v="300E/350S"/>
    <s v="300E/350S"/>
    <m/>
    <s v="350S"/>
    <s v="400S"/>
    <n v="2620"/>
    <n v="20"/>
    <s v="CS"/>
    <s v="BW"/>
    <n v="0"/>
    <n v="4"/>
    <n v="6"/>
    <n v="50"/>
    <n v="0"/>
    <s v="300E"/>
    <n v="4"/>
    <s v="SP/CS"/>
    <n v="19848.484848484848"/>
    <x v="0"/>
    <n v="8"/>
    <n v="10"/>
    <n v="2"/>
    <n v="0"/>
  </r>
  <r>
    <s v="C70"/>
    <s v="300E/400N"/>
    <s v="300E/400N"/>
    <m/>
    <s v="400N"/>
    <s v="300N"/>
    <n v="5300"/>
    <n v="20"/>
    <s v="AC"/>
    <s v="C"/>
    <n v="0"/>
    <n v="6"/>
    <n v="6"/>
    <n v="50"/>
    <n v="0"/>
    <s v="300E"/>
    <n v="4"/>
    <s v="DS"/>
    <n v="25094.696969696968"/>
    <x v="2"/>
    <n v="8"/>
    <n v="7"/>
    <n v="2"/>
    <n v="10"/>
  </r>
  <r>
    <s v="BW54"/>
    <s v="300E/400S"/>
    <s v="300E/400S"/>
    <m/>
    <s v="400S"/>
    <s v="500S"/>
    <n v="5386"/>
    <n v="20"/>
    <s v="CS"/>
    <s v="BW"/>
    <n v="0"/>
    <n v="7"/>
    <n v="7"/>
    <n v="50"/>
    <n v="0"/>
    <s v="300E"/>
    <n v="3"/>
    <s v="P"/>
    <n v="71405.303030303025"/>
    <x v="3"/>
    <n v="10"/>
    <n v="15"/>
    <n v="1.5"/>
    <n v="9"/>
  </r>
  <r>
    <s v="C71"/>
    <s v="300E/500N"/>
    <s v="300E/500N"/>
    <m/>
    <s v="400N"/>
    <s v="500N"/>
    <n v="5620"/>
    <n v="20"/>
    <s v="CS"/>
    <s v="C"/>
    <n v="0"/>
    <n v="5"/>
    <n v="6"/>
    <n v="50"/>
    <n v="0"/>
    <s v="300E"/>
    <n v="4"/>
    <s v="SP/CS"/>
    <n v="42575.757575757576"/>
    <x v="5"/>
    <n v="8"/>
    <n v="10"/>
    <n v="2"/>
    <n v="4"/>
  </r>
  <r>
    <s v="BW53"/>
    <s v="300E/500S"/>
    <s v="300E/500S"/>
    <m/>
    <s v="500S"/>
    <s v="600S"/>
    <n v="5300"/>
    <n v="20"/>
    <s v="CS"/>
    <s v="BW"/>
    <n v="0"/>
    <n v="7"/>
    <n v="7"/>
    <n v="50"/>
    <n v="0"/>
    <s v="300E"/>
    <n v="3"/>
    <s v="P"/>
    <n v="70265.15151515152"/>
    <x v="3"/>
    <n v="10"/>
    <n v="15"/>
    <n v="1.5"/>
    <n v="9"/>
  </r>
  <r>
    <s v="G52"/>
    <s v="300E/625N"/>
    <s v="300E/625N"/>
    <m/>
    <s v="625N"/>
    <s v="600N"/>
    <n v="1320"/>
    <n v="20"/>
    <s v="CS"/>
    <s v="G"/>
    <n v="0"/>
    <n v="7"/>
    <n v="7"/>
    <n v="50"/>
    <n v="0"/>
    <s v="300E"/>
    <n v="3"/>
    <s v="P"/>
    <n v="17500"/>
    <x v="3"/>
    <n v="10"/>
    <n v="15"/>
    <n v="1.5"/>
    <n v="9"/>
  </r>
  <r>
    <s v="G53"/>
    <s v="300E/700N"/>
    <s v="300E/700N"/>
    <m/>
    <s v="700N"/>
    <s v="625N"/>
    <n v="3987"/>
    <n v="20"/>
    <s v="CS"/>
    <s v="G"/>
    <n v="0"/>
    <n v="7"/>
    <n v="7"/>
    <n v="50"/>
    <n v="0"/>
    <s v="300E"/>
    <n v="3"/>
    <s v="P"/>
    <n v="52857.954545454544"/>
    <x v="3"/>
    <n v="10"/>
    <n v="15"/>
    <n v="1.5"/>
    <n v="9"/>
  </r>
  <r>
    <s v="BC55"/>
    <s v="700W/300N"/>
    <s v="700W/300N"/>
    <m/>
    <s v="200N"/>
    <s v="300N"/>
    <n v="5416"/>
    <n v="20"/>
    <s v="AC"/>
    <s v="BC"/>
    <n v="0"/>
    <n v="7"/>
    <n v="7"/>
    <n v="2941"/>
    <n v="1.5"/>
    <s v="700W"/>
    <n v="4.5"/>
    <s v="CRACK"/>
    <n v="6051.969696969697"/>
    <x v="1"/>
    <n v="10"/>
    <n v="4"/>
    <n v="1.5"/>
    <n v="6"/>
  </r>
  <r>
    <s v="J21"/>
    <s v="300N/700E"/>
    <s v="300N/700E"/>
    <m/>
    <s v="600E"/>
    <s v="700E"/>
    <n v="4432"/>
    <n v="20"/>
    <s v="G"/>
    <s v="J"/>
    <n v="0"/>
    <n v="8"/>
    <n v="9"/>
    <n v="50"/>
    <n v="0"/>
    <s v="300N"/>
    <n v="1"/>
    <s v="GG"/>
    <n v="11751.515151515152"/>
    <x v="2"/>
    <n v="14"/>
    <n v="1"/>
    <n v="1"/>
    <n v="5"/>
  </r>
  <r>
    <s v="J22"/>
    <s v="300N/800E"/>
    <s v="300N/800E"/>
    <m/>
    <s v="700E"/>
    <s v="800E"/>
    <n v="5420"/>
    <n v="20"/>
    <s v="G"/>
    <s v="J"/>
    <n v="0"/>
    <n v="8"/>
    <n v="9"/>
    <n v="50"/>
    <n v="0"/>
    <s v="300N"/>
    <n v="1"/>
    <s v="GG"/>
    <n v="14371.212121212122"/>
    <x v="2"/>
    <n v="14"/>
    <n v="1"/>
    <n v="1"/>
    <n v="5"/>
  </r>
  <r>
    <s v="J24"/>
    <s v="300N/GRANDISON RD"/>
    <s v="300N/GRANDISON RD"/>
    <m/>
    <s v="GRANDISON RD."/>
    <s v="850E"/>
    <n v="5410"/>
    <n v="20"/>
    <s v="G"/>
    <s v="J"/>
    <n v="0"/>
    <n v="7"/>
    <n v="9"/>
    <n v="50"/>
    <n v="0"/>
    <s v="300N"/>
    <n v="1"/>
    <s v="GG"/>
    <n v="14344.69696969697"/>
    <x v="3"/>
    <n v="14"/>
    <n v="1"/>
    <n v="1"/>
    <n v="6"/>
  </r>
  <r>
    <s v="BC86"/>
    <s v="300W/300N"/>
    <s v="300W/300N"/>
    <m/>
    <s v="300N"/>
    <s v="I70"/>
    <n v="2624"/>
    <n v="20"/>
    <s v="CS"/>
    <s v="BC"/>
    <n v="0"/>
    <n v="8"/>
    <n v="5"/>
    <n v="50"/>
    <n v="0"/>
    <s v="300W"/>
    <n v="5"/>
    <s v="CS"/>
    <n v="7454.545454545455"/>
    <x v="2"/>
    <n v="6"/>
    <n v="7"/>
    <n v="2"/>
    <n v="10"/>
  </r>
  <r>
    <s v="BC87"/>
    <s v="300W/I70"/>
    <s v="300W/I70"/>
    <m/>
    <s v="200N"/>
    <s v="END"/>
    <n v="1740"/>
    <n v="20"/>
    <s v="CS"/>
    <s v="BC"/>
    <n v="0"/>
    <n v="4"/>
    <n v="5"/>
    <n v="50"/>
    <n v="0"/>
    <s v="300W"/>
    <n v="5"/>
    <s v="SP/CS"/>
    <n v="13181.818181818182"/>
    <x v="0"/>
    <n v="6"/>
    <n v="10"/>
    <n v="2"/>
    <n v="0"/>
  </r>
  <r>
    <s v=""/>
    <s v="300W/US40"/>
    <s v="300W/US40"/>
    <m/>
    <s v="US40"/>
    <s v="END"/>
    <n v="5000"/>
    <n v="20"/>
    <s v="CS"/>
    <s v="SC"/>
    <n v="0"/>
    <n v="4"/>
    <n v="5"/>
    <n v="50"/>
    <n v="0"/>
    <s v="300W"/>
    <n v="5"/>
    <s v="SP/CS"/>
    <n v="37878.78787878788"/>
    <x v="6"/>
    <n v="6"/>
    <n v="10"/>
    <n v="2"/>
    <n v="6"/>
  </r>
  <r>
    <s v="J25"/>
    <s v="325N/E. CO. LINE"/>
    <s v="325N/E. CO. LINE"/>
    <m/>
    <s v="1050E"/>
    <s v="E.CO.LINE"/>
    <n v="2720"/>
    <n v="20"/>
    <s v="AC"/>
    <s v="J"/>
    <n v="0"/>
    <n v="4"/>
    <n v="7"/>
    <n v="50"/>
    <n v="0"/>
    <s v="325N"/>
    <n v="3"/>
    <s v="SP/CS"/>
    <n v="20606.060606060608"/>
    <x v="1"/>
    <n v="10"/>
    <n v="10"/>
    <n v="1.5"/>
    <n v="6"/>
  </r>
  <r>
    <s v="BW21"/>
    <s v="350S/300E"/>
    <s v="350S/300E"/>
    <m/>
    <s v="275E"/>
    <s v="300E"/>
    <n v="1380"/>
    <n v="20"/>
    <s v="CS"/>
    <s v="BW"/>
    <n v="0"/>
    <n v="5"/>
    <n v="6"/>
    <n v="50"/>
    <n v="0"/>
    <s v="350S"/>
    <n v="4"/>
    <s v="SP/CS"/>
    <n v="10454.545454545454"/>
    <x v="0"/>
    <n v="8"/>
    <n v="10"/>
    <n v="2"/>
    <n v="0"/>
  </r>
  <r>
    <s v="BC82a"/>
    <s v="350W/US40"/>
    <s v="350W/US40"/>
    <m/>
    <s v="US40"/>
    <s v="END"/>
    <n v="1372"/>
    <n v="20"/>
    <s v="CS"/>
    <s v="SC"/>
    <n v="0"/>
    <n v="4"/>
    <n v="5"/>
    <n v="50"/>
    <n v="0"/>
    <s v="350W"/>
    <n v="5"/>
    <s v="SP/CS"/>
    <n v="10393.939393939394"/>
    <x v="6"/>
    <n v="6"/>
    <n v="10"/>
    <n v="2"/>
    <n v="6"/>
  </r>
  <r>
    <s v="C73"/>
    <s v="375E/400N"/>
    <s v="375E/400N"/>
    <m/>
    <s v="300N"/>
    <s v="400N"/>
    <n v="5300"/>
    <n v="20"/>
    <s v="CS"/>
    <s v="C"/>
    <n v="0"/>
    <n v="6"/>
    <n v="6"/>
    <n v="50"/>
    <n v="0"/>
    <s v="375E"/>
    <n v="4"/>
    <s v="DS"/>
    <n v="25094.696969696968"/>
    <x v="2"/>
    <n v="8"/>
    <n v="7"/>
    <n v="2"/>
    <n v="10"/>
  </r>
  <r>
    <s v="BW57"/>
    <s v="400E/500S"/>
    <s v="400E/500S"/>
    <m/>
    <s v="600S"/>
    <s v="500S"/>
    <n v="5315"/>
    <n v="20"/>
    <s v="AC"/>
    <s v="BW"/>
    <n v="0"/>
    <n v="4"/>
    <n v="6"/>
    <n v="50"/>
    <n v="0"/>
    <s v="400E"/>
    <n v="4"/>
    <s v="SP/CS"/>
    <n v="40265.151515151512"/>
    <x v="5"/>
    <n v="8"/>
    <n v="10"/>
    <n v="2"/>
    <n v="4"/>
  </r>
  <r>
    <s v="J35"/>
    <s v="400N/1000E"/>
    <s v="400N/1000E"/>
    <m/>
    <s v="1000E"/>
    <s v="900E"/>
    <n v="5411"/>
    <n v="20"/>
    <s v="G"/>
    <s v="J"/>
    <n v="0"/>
    <n v="7"/>
    <n v="7"/>
    <n v="50"/>
    <n v="0"/>
    <s v="400N"/>
    <n v="3"/>
    <s v="GG"/>
    <n v="14347.348484848484"/>
    <x v="3"/>
    <n v="10"/>
    <n v="1"/>
    <n v="1.5"/>
    <n v="9"/>
  </r>
  <r>
    <s v="BC30.5"/>
    <s v="400N/400W"/>
    <s v="400N/400W"/>
    <m/>
    <s v="400W"/>
    <s v="END"/>
    <n v="2198"/>
    <n v="20"/>
    <s v="G"/>
    <s v="BC"/>
    <n v="0"/>
    <n v="6"/>
    <n v="8"/>
    <n v="50"/>
    <n v="0"/>
    <s v="400N"/>
    <n v="2"/>
    <s v="GG"/>
    <n v="5828.030303030303"/>
    <x v="4"/>
    <n v="12"/>
    <n v="1"/>
    <n v="1.5"/>
    <n v="1.5"/>
  </r>
  <r>
    <s v="J31"/>
    <s v="400N/700E"/>
    <s v="400N/700E"/>
    <m/>
    <s v="600E"/>
    <s v="700E"/>
    <n v="4488"/>
    <n v="20"/>
    <s v="AC"/>
    <s v="J"/>
    <n v="0"/>
    <n v="8"/>
    <n v="5"/>
    <n v="50"/>
    <n v="0"/>
    <s v="400N"/>
    <n v="5"/>
    <s v="CRACK"/>
    <n v="5015"/>
    <x v="0"/>
    <n v="6"/>
    <n v="4"/>
    <n v="2"/>
    <n v="0"/>
  </r>
  <r>
    <s v="J32"/>
    <s v="400N/800E"/>
    <s v="400N/800E"/>
    <m/>
    <s v="700E"/>
    <s v="800E"/>
    <n v="5491"/>
    <n v="20"/>
    <s v="AC"/>
    <s v="J"/>
    <n v="0"/>
    <n v="7"/>
    <n v="5"/>
    <n v="50"/>
    <n v="0"/>
    <s v="400N"/>
    <n v="5"/>
    <s v="CS"/>
    <n v="15599.431818181818"/>
    <x v="2"/>
    <n v="6"/>
    <n v="7"/>
    <n v="2"/>
    <n v="10"/>
  </r>
  <r>
    <s v="J33"/>
    <s v="400N/850E"/>
    <s v="400N/850E"/>
    <m/>
    <s v="800E"/>
    <s v="850E"/>
    <n v="2746"/>
    <n v="20"/>
    <s v="AC"/>
    <s v="J"/>
    <n v="0"/>
    <n v="7"/>
    <n v="8"/>
    <n v="50"/>
    <n v="0"/>
    <s v="400N"/>
    <n v="2"/>
    <s v="CS"/>
    <n v="7801.136363636364"/>
    <x v="2"/>
    <n v="12"/>
    <n v="7"/>
    <n v="1.5"/>
    <n v="7.5"/>
  </r>
  <r>
    <s v="J34"/>
    <s v="400N/900E"/>
    <s v="400N/900E"/>
    <m/>
    <s v="850 E"/>
    <s v="900 E"/>
    <n v="2779"/>
    <n v="20"/>
    <s v="G"/>
    <s v="J"/>
    <n v="0"/>
    <n v="8"/>
    <n v="7"/>
    <n v="50"/>
    <n v="0"/>
    <s v="400N"/>
    <n v="3"/>
    <s v="GG"/>
    <n v="7368.560606060606"/>
    <x v="5"/>
    <n v="10"/>
    <n v="1"/>
    <n v="1.5"/>
    <n v="3"/>
  </r>
  <r>
    <s v="J36"/>
    <s v="450N/E. CO. LINE"/>
    <s v="450N/E. CO. LINE"/>
    <m/>
    <s v="1050E"/>
    <s v="E.CO.LINE"/>
    <n v="2950"/>
    <n v="20"/>
    <s v="AC"/>
    <s v="J"/>
    <n v="0"/>
    <n v="5"/>
    <n v="6"/>
    <n v="50"/>
    <n v="0"/>
    <s v="450N"/>
    <n v="4"/>
    <s v="SP/CS"/>
    <n v="22348.484848484848"/>
    <x v="5"/>
    <n v="8"/>
    <n v="10"/>
    <n v="2"/>
    <n v="4"/>
  </r>
  <r>
    <s v="BR12"/>
    <s v="450S/800E"/>
    <s v="450S/800E"/>
    <m/>
    <s v="800E"/>
    <s v="700E"/>
    <n v="5370"/>
    <n v="20"/>
    <s v="CS"/>
    <s v="BR"/>
    <n v="0"/>
    <n v="5"/>
    <n v="4"/>
    <n v="50"/>
    <n v="0"/>
    <s v="450S"/>
    <n v="6"/>
    <s v="DS"/>
    <n v="25426.136363636364"/>
    <x v="0"/>
    <n v="3"/>
    <n v="7"/>
    <n v="2.5"/>
    <n v="0"/>
  </r>
  <r>
    <s v="BR13"/>
    <s v="450S/900E"/>
    <s v="450S/900E"/>
    <m/>
    <s v="800E"/>
    <s v="900E"/>
    <n v="5430"/>
    <n v="20"/>
    <s v="CS"/>
    <s v="BR"/>
    <n v="0"/>
    <n v="4"/>
    <n v="4"/>
    <n v="50"/>
    <n v="0"/>
    <s v="450S"/>
    <n v="6"/>
    <s v="DS"/>
    <n v="25710.227272727272"/>
    <x v="0"/>
    <n v="3"/>
    <n v="7"/>
    <n v="2.5"/>
    <n v="0"/>
  </r>
  <r>
    <s v="G68"/>
    <s v="500E/1000N"/>
    <s v="500E/1000N"/>
    <m/>
    <s v="900N"/>
    <s v="1000N"/>
    <n v="5280"/>
    <n v="20"/>
    <s v="CS"/>
    <s v="G"/>
    <n v="0"/>
    <n v="7"/>
    <n v="7"/>
    <n v="50"/>
    <n v="0"/>
    <s v="500E"/>
    <n v="3"/>
    <s v="DS"/>
    <n v="25000"/>
    <x v="3"/>
    <n v="10"/>
    <n v="7"/>
    <n v="1.5"/>
    <n v="9"/>
  </r>
  <r>
    <s v="G69"/>
    <s v="500E/1100N"/>
    <s v="500E/1100N"/>
    <m/>
    <s v="1100N"/>
    <s v="1000N"/>
    <n v="5280"/>
    <n v="20"/>
    <s v="CS"/>
    <s v="G"/>
    <n v="0"/>
    <n v="7"/>
    <n v="7"/>
    <n v="50"/>
    <n v="0"/>
    <s v="500E"/>
    <n v="3"/>
    <s v="DS"/>
    <n v="25000"/>
    <x v="3"/>
    <n v="10"/>
    <n v="7"/>
    <n v="1.5"/>
    <n v="9"/>
  </r>
  <r>
    <s v="C85"/>
    <s v="500E/250N"/>
    <s v="500E/250N"/>
    <m/>
    <s v="200N"/>
    <s v="250N"/>
    <n v="1412"/>
    <n v="20"/>
    <s v="CS"/>
    <s v="C"/>
    <n v="0"/>
    <n v="6"/>
    <n v="7"/>
    <n v="50"/>
    <n v="0"/>
    <s v="500E"/>
    <n v="3"/>
    <s v="DS"/>
    <n v="6685.606060606061"/>
    <x v="4"/>
    <n v="10"/>
    <n v="7"/>
    <n v="1.5"/>
    <n v="1.5"/>
  </r>
  <r>
    <s v="C87"/>
    <s v="500E/300N"/>
    <s v="500E/300N"/>
    <m/>
    <s v="300N"/>
    <s v="I70"/>
    <n v="1307"/>
    <n v="20"/>
    <s v="CS"/>
    <s v="C"/>
    <n v="0"/>
    <n v="5"/>
    <n v="4"/>
    <n v="50"/>
    <n v="0"/>
    <s v="500E"/>
    <n v="6"/>
    <s v="DS"/>
    <n v="6188.44696969697"/>
    <x v="0"/>
    <n v="3"/>
    <n v="7"/>
    <n v="2.5"/>
    <n v="0"/>
  </r>
  <r>
    <s v="BR48"/>
    <s v="500E/500S"/>
    <s v="500E/500S"/>
    <m/>
    <s v="500S"/>
    <s v="550S"/>
    <n v="2650"/>
    <n v="20"/>
    <s v="CS"/>
    <s v="BR"/>
    <n v="0"/>
    <n v="8"/>
    <n v="7"/>
    <n v="50"/>
    <n v="0"/>
    <s v="500E"/>
    <n v="3"/>
    <s v="CS"/>
    <n v="7528.409090909091"/>
    <x v="2"/>
    <n v="10"/>
    <n v="7"/>
    <n v="1.5"/>
    <n v="7.5"/>
  </r>
  <r>
    <s v="BR47"/>
    <s v="500E/550S"/>
    <s v="500E/550S"/>
    <m/>
    <s v="550S"/>
    <s v="600S"/>
    <n v="2880"/>
    <n v="20"/>
    <s v="CS"/>
    <s v="BR"/>
    <n v="0"/>
    <n v="7"/>
    <n v="7"/>
    <n v="50"/>
    <n v="0"/>
    <s v="500E"/>
    <n v="3"/>
    <s v="DS"/>
    <n v="13636.363636363636"/>
    <x v="3"/>
    <n v="10"/>
    <n v="7"/>
    <n v="1.5"/>
    <n v="9"/>
  </r>
  <r>
    <s v="BR22"/>
    <s v="300S/600E"/>
    <s v="300S/600E"/>
    <m/>
    <s v="500E"/>
    <s v="600E"/>
    <n v="5320"/>
    <n v="20"/>
    <s v="CS"/>
    <s v="BR"/>
    <n v="0"/>
    <n v="6"/>
    <n v="8"/>
    <n v="386"/>
    <n v="0"/>
    <s v="300S"/>
    <n v="2"/>
    <s v="CRACK"/>
    <n v="5944.69696969697"/>
    <x v="1"/>
    <n v="12"/>
    <n v="4"/>
    <n v="1.5"/>
    <n v="6"/>
  </r>
  <r>
    <s v="G65"/>
    <s v="500E/700N"/>
    <s v="500E/700N"/>
    <m/>
    <s v="700N"/>
    <s v="650N"/>
    <n v="2851"/>
    <n v="20"/>
    <s v="CS"/>
    <s v="G"/>
    <n v="0"/>
    <n v="7"/>
    <n v="7"/>
    <n v="50"/>
    <n v="0"/>
    <s v="500E"/>
    <n v="3"/>
    <s v="DS"/>
    <n v="13499.05303030303"/>
    <x v="3"/>
    <n v="10"/>
    <n v="7"/>
    <n v="1.5"/>
    <n v="9"/>
  </r>
  <r>
    <s v="C86"/>
    <s v="500E/I70"/>
    <s v="500E/I70"/>
    <m/>
    <s v="250N"/>
    <s v="I70"/>
    <n v="654"/>
    <n v="20"/>
    <s v="CS"/>
    <s v="C"/>
    <n v="0"/>
    <n v="4"/>
    <n v="3"/>
    <n v="50"/>
    <n v="0"/>
    <s v="500E"/>
    <n v="7"/>
    <s v="DS"/>
    <n v="3096.590909090909"/>
    <x v="0"/>
    <n v="1"/>
    <n v="7"/>
    <n v="3"/>
    <n v="0"/>
  </r>
  <r>
    <s v="G66"/>
    <s v="500E/SR234"/>
    <s v="500E/SR234"/>
    <m/>
    <s v="SR234"/>
    <s v="700N"/>
    <n v="7974"/>
    <n v="20"/>
    <s v="G"/>
    <s v="G"/>
    <n v="0"/>
    <n v="7"/>
    <n v="7"/>
    <n v="50"/>
    <n v="0"/>
    <s v="500E"/>
    <n v="3"/>
    <s v="GG"/>
    <n v="21143.18181818182"/>
    <x v="3"/>
    <n v="10"/>
    <n v="1"/>
    <n v="1.5"/>
    <n v="9"/>
  </r>
  <r>
    <s v="J42"/>
    <s v="500N/1000E"/>
    <s v="500N/1000E"/>
    <m/>
    <s v="900E"/>
    <s v="1000E"/>
    <n v="5445"/>
    <n v="20"/>
    <s v="AC"/>
    <s v="J"/>
    <n v="0"/>
    <n v="9"/>
    <n v="7"/>
    <n v="50"/>
    <n v="0"/>
    <s v="500N"/>
    <n v="3"/>
    <s v="CRACK"/>
    <n v="6084.375"/>
    <x v="0"/>
    <n v="10"/>
    <n v="4"/>
    <n v="1.5"/>
    <n v="0"/>
  </r>
  <r>
    <s v="J43"/>
    <s v="500N/1050E"/>
    <s v="500N/1050E"/>
    <m/>
    <s v="1000E"/>
    <s v="1050E"/>
    <n v="2746"/>
    <n v="20"/>
    <s v="AC"/>
    <s v="J"/>
    <n v="0"/>
    <n v="7"/>
    <n v="7"/>
    <n v="50"/>
    <n v="0"/>
    <s v="500N"/>
    <n v="3"/>
    <s v="CS"/>
    <n v="7801.136363636364"/>
    <x v="2"/>
    <n v="10"/>
    <n v="7"/>
    <n v="1.5"/>
    <n v="7.5"/>
  </r>
  <r>
    <s v="C46"/>
    <s v="500N/600E"/>
    <s v="500N/600E"/>
    <m/>
    <s v="400E"/>
    <s v="600E"/>
    <n v="10650"/>
    <n v="20"/>
    <s v="CS"/>
    <s v="C"/>
    <n v="0"/>
    <n v="5"/>
    <n v="4"/>
    <n v="50"/>
    <n v="0"/>
    <s v="500N"/>
    <n v="6"/>
    <s v="SP/CS"/>
    <n v="80681.818181818177"/>
    <x v="0"/>
    <n v="3"/>
    <n v="10"/>
    <n v="2.5"/>
    <n v="0"/>
  </r>
  <r>
    <s v="J38"/>
    <s v="500N/700E"/>
    <s v="500N/700E"/>
    <m/>
    <s v="700E"/>
    <s v="600E"/>
    <n v="4475"/>
    <n v="20"/>
    <s v="AC"/>
    <s v="J"/>
    <n v="0"/>
    <n v="8"/>
    <n v="6"/>
    <n v="50"/>
    <n v="0"/>
    <s v="500N"/>
    <n v="4"/>
    <s v="CRACK"/>
    <n v="5000.473484848485"/>
    <x v="0"/>
    <n v="8"/>
    <n v="4"/>
    <n v="2"/>
    <n v="0"/>
  </r>
  <r>
    <s v="J39"/>
    <s v="500N/800E"/>
    <s v="500N/800E"/>
    <m/>
    <s v="700E"/>
    <s v="800E"/>
    <n v="5420"/>
    <n v="20"/>
    <s v="AC"/>
    <s v="J"/>
    <n v="0"/>
    <n v="7"/>
    <n v="7"/>
    <n v="50"/>
    <n v="0"/>
    <s v="500N"/>
    <n v="3"/>
    <s v="CS"/>
    <n v="15397.727272727272"/>
    <x v="2"/>
    <n v="10"/>
    <n v="7"/>
    <n v="1.5"/>
    <n v="7.5"/>
  </r>
  <r>
    <s v="J40"/>
    <s v="500N/850E"/>
    <s v="500N/850E"/>
    <m/>
    <s v="800E"/>
    <s v="850E"/>
    <n v="2710"/>
    <n v="20"/>
    <s v="AC"/>
    <s v="J"/>
    <n v="0"/>
    <n v="9"/>
    <n v="7"/>
    <n v="50"/>
    <n v="0"/>
    <s v="500N"/>
    <n v="3"/>
    <s v="CRACK"/>
    <n v="3028.219696969697"/>
    <x v="0"/>
    <n v="10"/>
    <n v="4"/>
    <n v="1.5"/>
    <n v="0"/>
  </r>
  <r>
    <s v="J41"/>
    <s v="500N/900E"/>
    <s v="500N/900E"/>
    <m/>
    <s v="850E"/>
    <s v="900E"/>
    <n v="2745"/>
    <n v="20"/>
    <s v="AC"/>
    <s v="J"/>
    <n v="0"/>
    <n v="9"/>
    <n v="7"/>
    <n v="50"/>
    <n v="0"/>
    <s v="500N"/>
    <n v="3"/>
    <s v="CRACK"/>
    <n v="3067.3295454545455"/>
    <x v="0"/>
    <n v="10"/>
    <n v="4"/>
    <n v="1.5"/>
    <n v="0"/>
  </r>
  <r>
    <s v="B67"/>
    <s v="1000E/SR109"/>
    <s v="1000E/SR109"/>
    <m/>
    <s v="SR234"/>
    <s v="SR109"/>
    <n v="3854"/>
    <n v="20"/>
    <s v="AC"/>
    <s v="B"/>
    <n v="0"/>
    <n v="10"/>
    <n v="10"/>
    <n v="175"/>
    <n v="0"/>
    <s v="1000E"/>
    <n v="0"/>
    <s v="CRACK"/>
    <n v="4306.55303030303"/>
    <x v="1"/>
    <n v="16"/>
    <n v="4"/>
    <n v="0.5"/>
    <n v="2"/>
  </r>
  <r>
    <s v="BC97"/>
    <m/>
    <s v="500W"/>
    <m/>
    <s v="500N-South To"/>
    <s v="Airport Road"/>
    <n v="5000"/>
    <n v="20"/>
    <s v="&lt;Null&gt;"/>
    <s v="BC"/>
    <n v="0"/>
    <n v="8"/>
    <n v="7"/>
    <n v="50"/>
    <n v="0"/>
    <s v="500W"/>
    <n v="3"/>
    <s v="GG"/>
    <n v="13257.575757575758"/>
    <x v="5"/>
    <n v="10"/>
    <n v="1"/>
    <n v="1.5"/>
    <n v="3"/>
  </r>
  <r>
    <s v="BC72"/>
    <s v="500W/300N"/>
    <s v="500W/300N"/>
    <m/>
    <s v="300N"/>
    <s v="I70"/>
    <n v="2630"/>
    <n v="20"/>
    <s v="CS"/>
    <s v="BC"/>
    <n v="0"/>
    <n v="6"/>
    <n v="5"/>
    <n v="50"/>
    <n v="0"/>
    <s v="500W"/>
    <n v="5"/>
    <s v="DS"/>
    <n v="12452.651515151516"/>
    <x v="2"/>
    <n v="6"/>
    <n v="7"/>
    <n v="2"/>
    <n v="10"/>
  </r>
  <r>
    <s v="BC73"/>
    <s v="500W/I70"/>
    <s v="500W/I70"/>
    <m/>
    <s v="200N"/>
    <s v="I70"/>
    <n v="2400"/>
    <n v="20"/>
    <s v="CS"/>
    <s v="BC"/>
    <n v="0"/>
    <n v="3"/>
    <n v="7"/>
    <n v="50"/>
    <n v="0"/>
    <s v="500W"/>
    <n v="3"/>
    <s v="CS"/>
    <n v="6818.181818181818"/>
    <x v="4"/>
    <n v="10"/>
    <n v="7"/>
    <n v="1.5"/>
    <n v="1.5"/>
  </r>
  <r>
    <s v="C64"/>
    <s v="50E/400N"/>
    <s v="50E/400N"/>
    <m/>
    <s v="400N"/>
    <s v="300N"/>
    <n v="5310"/>
    <n v="20"/>
    <s v="CS"/>
    <s v="C"/>
    <n v="0"/>
    <n v="7"/>
    <n v="7"/>
    <n v="50"/>
    <n v="0"/>
    <s v="50E"/>
    <n v="3"/>
    <s v="DS"/>
    <n v="25142.045454545456"/>
    <x v="3"/>
    <n v="10"/>
    <n v="7"/>
    <n v="1.5"/>
    <n v="9"/>
  </r>
  <r>
    <s v="C65"/>
    <s v="50E/500N"/>
    <s v="50E/500N"/>
    <m/>
    <s v="400N"/>
    <s v="500N"/>
    <n v="5330"/>
    <n v="20"/>
    <s v="CS"/>
    <s v="C"/>
    <n v="0"/>
    <n v="7"/>
    <n v="7"/>
    <n v="50"/>
    <n v="0"/>
    <s v="50E"/>
    <n v="3"/>
    <s v="DS"/>
    <n v="25236.742424242424"/>
    <x v="3"/>
    <n v="10"/>
    <n v="7"/>
    <n v="1.5"/>
    <n v="9"/>
  </r>
  <r>
    <s v="C66"/>
    <s v="50E/600N"/>
    <s v="50E/600N"/>
    <m/>
    <s v="500N"/>
    <s v="600N"/>
    <n v="5230"/>
    <n v="20"/>
    <s v="CS"/>
    <s v="C"/>
    <n v="0"/>
    <n v="7"/>
    <n v="6"/>
    <n v="50"/>
    <n v="0"/>
    <s v="50E"/>
    <n v="4"/>
    <s v="DS"/>
    <n v="24763.257575757576"/>
    <x v="3"/>
    <n v="8"/>
    <n v="7"/>
    <n v="2"/>
    <n v="12"/>
  </r>
  <r>
    <s v="G41"/>
    <s v="50E/700N"/>
    <s v="50E/700N"/>
    <m/>
    <s v="600N"/>
    <s v="700N"/>
    <n v="5290"/>
    <n v="20"/>
    <s v="AC"/>
    <s v="G"/>
    <n v="0"/>
    <n v="6"/>
    <n v="7"/>
    <n v="50"/>
    <n v="0"/>
    <s v="50E"/>
    <n v="3"/>
    <s v="DS"/>
    <n v="25047.348484848484"/>
    <x v="2"/>
    <n v="10"/>
    <n v="7"/>
    <n v="1.5"/>
    <n v="7.5"/>
  </r>
  <r>
    <s v="G42"/>
    <s v="50E/750N"/>
    <s v="50E/750N"/>
    <m/>
    <s v="700N"/>
    <s v="750N"/>
    <n v="2640"/>
    <n v="20"/>
    <s v="G"/>
    <s v="G"/>
    <n v="0"/>
    <n v="7"/>
    <n v="7"/>
    <n v="50"/>
    <n v="0"/>
    <s v="50E"/>
    <n v="3"/>
    <s v="GG"/>
    <n v="7000"/>
    <x v="3"/>
    <n v="10"/>
    <n v="1"/>
    <n v="1.5"/>
    <n v="9"/>
  </r>
  <r>
    <s v="G43"/>
    <s v="50E/SR234"/>
    <s v="50E/SR234"/>
    <m/>
    <s v="750N"/>
    <s v="SR234"/>
    <n v="2650"/>
    <n v="20"/>
    <s v="AC"/>
    <s v="G"/>
    <n v="0"/>
    <n v="6"/>
    <n v="6"/>
    <n v="50"/>
    <n v="0"/>
    <s v="50E"/>
    <n v="4"/>
    <s v="DS"/>
    <n v="12547.348484848484"/>
    <x v="2"/>
    <n v="8"/>
    <n v="7"/>
    <n v="2"/>
    <n v="10"/>
  </r>
  <r>
    <s v=""/>
    <s v="ARROWHEAD DRIVE"/>
    <s v="ARROWHEAD DRIVE"/>
    <s v="Arrowhead"/>
    <s v="400 E"/>
    <s v="600 N"/>
    <n v="2621"/>
    <n v="26"/>
    <s v="NC"/>
    <s v="C"/>
    <n v="0"/>
    <n v="6"/>
    <n v="6"/>
    <n v="50"/>
    <n v="0"/>
    <s v="ARROWHEAD DRIVE"/>
    <n v="4"/>
    <s v="CRACK"/>
    <n v="2928.7689393939395"/>
    <x v="1"/>
    <n v="8"/>
    <n v="4"/>
    <n v="2"/>
    <n v="8"/>
  </r>
  <r>
    <s v=""/>
    <s v="BEECHWOOD LANE"/>
    <s v="BEECHWOOD LANE"/>
    <s v="Beechwood"/>
    <s v="550 W"/>
    <s v="575 S"/>
    <n v="1162"/>
    <n v="26"/>
    <s v="NC"/>
    <s v="SC"/>
    <n v="0"/>
    <n v="6"/>
    <n v="6"/>
    <n v="50"/>
    <n v="0"/>
    <s v="BEECHWOOD LANE"/>
    <n v="4"/>
    <s v="CRACK"/>
    <n v="1298.4469696969697"/>
    <x v="1"/>
    <n v="8"/>
    <n v="4"/>
    <n v="2"/>
    <n v="8"/>
  </r>
  <r>
    <s v="BW41"/>
    <s v="50W/300S"/>
    <s v="50W/300S"/>
    <m/>
    <s v="400S"/>
    <s v="300S"/>
    <n v="5340"/>
    <n v="20"/>
    <s v="CS"/>
    <s v="BW"/>
    <n v="0"/>
    <n v="7"/>
    <n v="6"/>
    <n v="50"/>
    <n v="0"/>
    <s v="50W"/>
    <n v="4"/>
    <s v="DS"/>
    <n v="25284.090909090908"/>
    <x v="1"/>
    <n v="8"/>
    <n v="7"/>
    <n v="2"/>
    <n v="8"/>
  </r>
  <r>
    <s v="BW40"/>
    <s v="50W/400S"/>
    <s v="50W/400S"/>
    <m/>
    <s v="500S"/>
    <s v="400S"/>
    <n v="5310"/>
    <n v="20"/>
    <s v="CS"/>
    <s v="BW"/>
    <n v="0"/>
    <n v="6"/>
    <n v="6"/>
    <n v="50"/>
    <n v="0"/>
    <s v="50W"/>
    <n v="4"/>
    <s v="DS"/>
    <n v="25142.045454545456"/>
    <x v="1"/>
    <n v="8"/>
    <n v="7"/>
    <n v="2"/>
    <n v="8"/>
  </r>
  <r>
    <s v="BW39"/>
    <s v="50W/500S"/>
    <s v="50W/500S"/>
    <m/>
    <s v="500S"/>
    <s v="US52"/>
    <n v="3622"/>
    <n v="20"/>
    <s v="AC"/>
    <s v="BW"/>
    <n v="0"/>
    <n v="6"/>
    <n v="6"/>
    <n v="50"/>
    <n v="0"/>
    <s v="50W"/>
    <n v="4"/>
    <s v="DS"/>
    <n v="17149.621212121212"/>
    <x v="4"/>
    <n v="8"/>
    <n v="7"/>
    <n v="2"/>
    <n v="2"/>
  </r>
  <r>
    <s v="J46"/>
    <s v="525E/400N"/>
    <s v="525E/400N"/>
    <m/>
    <s v="300N"/>
    <s v="400N"/>
    <n v="5370"/>
    <n v="20"/>
    <s v="CS"/>
    <s v="J"/>
    <n v="0"/>
    <n v="6"/>
    <n v="6"/>
    <n v="50"/>
    <n v="0"/>
    <s v="525E"/>
    <n v="4"/>
    <s v="DS"/>
    <n v="25426.136363636364"/>
    <x v="2"/>
    <n v="8"/>
    <n v="7"/>
    <n v="2"/>
    <n v="10"/>
  </r>
  <r>
    <s v="G70"/>
    <s v="550E/1000N"/>
    <s v="550E/1000N"/>
    <m/>
    <s v="1000N"/>
    <s v="GRAVEL"/>
    <n v="5280"/>
    <n v="20"/>
    <s v="G"/>
    <s v="G"/>
    <n v="0"/>
    <n v="6"/>
    <n v="7"/>
    <n v="50"/>
    <n v="0"/>
    <s v="550E"/>
    <n v="3"/>
    <s v="GG"/>
    <n v="14000"/>
    <x v="2"/>
    <n v="10"/>
    <n v="1"/>
    <n v="1.5"/>
    <n v="7.5"/>
  </r>
  <r>
    <s v="J44"/>
    <s v="550N/1050E"/>
    <s v="550N/1050E"/>
    <m/>
    <s v="1050E"/>
    <s v="1000E"/>
    <n v="2700"/>
    <n v="20"/>
    <s v="CS"/>
    <s v="J"/>
    <n v="0"/>
    <n v="6"/>
    <n v="3"/>
    <n v="50"/>
    <n v="0"/>
    <s v="550N"/>
    <n v="7"/>
    <s v="DS"/>
    <n v="12784.09090909091"/>
    <x v="0"/>
    <n v="1"/>
    <n v="7"/>
    <n v="3"/>
    <n v="0"/>
  </r>
  <r>
    <s v="J45"/>
    <s v="550N/E. CO. LINE"/>
    <s v="550N/E. CO. LINE"/>
    <m/>
    <s v="1050E"/>
    <s v="E.CO.LINE"/>
    <n v="2755"/>
    <n v="20"/>
    <s v="AC"/>
    <s v="J"/>
    <n v="0"/>
    <n v="4"/>
    <n v="6"/>
    <n v="50"/>
    <n v="0"/>
    <s v="550N"/>
    <n v="4"/>
    <s v="DS"/>
    <n v="13044.507575757576"/>
    <x v="0"/>
    <n v="8"/>
    <n v="7"/>
    <n v="2"/>
    <n v="0"/>
  </r>
  <r>
    <s v="C47"/>
    <s v="550N/END"/>
    <s v="550N/END"/>
    <m/>
    <s v="SR9"/>
    <s v="END"/>
    <n v="2792"/>
    <n v="20"/>
    <s v="G"/>
    <s v="C"/>
    <n v="0"/>
    <n v="7"/>
    <n v="7"/>
    <n v="50"/>
    <n v="0"/>
    <s v="550N"/>
    <n v="3"/>
    <s v="CS"/>
    <n v="7931.818181818182"/>
    <x v="4"/>
    <n v="10"/>
    <n v="7"/>
    <n v="1.5"/>
    <n v="1.5"/>
  </r>
  <r>
    <s v="BR04"/>
    <s v="550S/500E"/>
    <s v="550S/500E"/>
    <m/>
    <s v="500E"/>
    <s v="400E"/>
    <n v="4665"/>
    <n v="20"/>
    <s v="G"/>
    <s v="BR"/>
    <n v="0"/>
    <n v="6"/>
    <n v="8"/>
    <n v="50"/>
    <n v="0"/>
    <s v="550S"/>
    <n v="2"/>
    <s v="GG"/>
    <n v="12369.318181818182"/>
    <x v="2"/>
    <n v="12"/>
    <n v="1"/>
    <n v="1.5"/>
    <n v="7.5"/>
  </r>
  <r>
    <s v="BR06"/>
    <s v="550S/900E"/>
    <s v="550S/900E"/>
    <m/>
    <s v="800E"/>
    <s v="900E"/>
    <n v="5362"/>
    <n v="20"/>
    <s v="G"/>
    <s v="BR"/>
    <n v="0"/>
    <n v="8"/>
    <n v="5"/>
    <n v="50"/>
    <n v="0"/>
    <s v="550S"/>
    <n v="5"/>
    <s v="GG"/>
    <n v="14217.424242424242"/>
    <x v="2"/>
    <n v="6"/>
    <n v="1"/>
    <n v="2"/>
    <n v="10"/>
  </r>
  <r>
    <s v="B05"/>
    <s v="600N/875E"/>
    <s v="600N/875E"/>
    <m/>
    <s v="850E"/>
    <s v="875E"/>
    <n v="1235"/>
    <n v="20"/>
    <s v="AC"/>
    <s v="B"/>
    <n v="0"/>
    <n v="4"/>
    <n v="4"/>
    <n v="50"/>
    <n v="0"/>
    <s v="600N"/>
    <n v="6"/>
    <s v="SP/CS"/>
    <n v="9356.060606060606"/>
    <x v="0"/>
    <n v="3"/>
    <n v="10"/>
    <n v="2.5"/>
    <n v="0"/>
  </r>
  <r>
    <s v="BW03"/>
    <s v="600S/300E"/>
    <s v="600S/300E"/>
    <m/>
    <s v="200E"/>
    <s v="300E"/>
    <n v="5365"/>
    <n v="20"/>
    <s v="AC"/>
    <s v="BW"/>
    <n v="0"/>
    <n v="8"/>
    <n v="7"/>
    <n v="50"/>
    <n v="0"/>
    <s v="600S"/>
    <n v="3"/>
    <s v="CRACK"/>
    <n v="5994.981060606061"/>
    <x v="0"/>
    <n v="10"/>
    <n v="4"/>
    <n v="1.5"/>
    <n v="0"/>
  </r>
  <r>
    <s v="BW04"/>
    <s v="600S/400E"/>
    <s v="600S/400E"/>
    <m/>
    <s v="300E"/>
    <s v="400E"/>
    <n v="5315"/>
    <n v="20"/>
    <s v="AC"/>
    <s v="BW"/>
    <n v="0"/>
    <n v="7"/>
    <n v="7"/>
    <n v="50"/>
    <n v="0"/>
    <s v="600S"/>
    <n v="3"/>
    <s v="CS"/>
    <n v="15099.431818181818"/>
    <x v="2"/>
    <n v="10"/>
    <n v="7"/>
    <n v="1.5"/>
    <n v="7.5"/>
  </r>
  <r>
    <s v="BR01"/>
    <s v="600S/500E"/>
    <s v="600S/500E"/>
    <m/>
    <s v="400E"/>
    <s v="500E"/>
    <n v="5320"/>
    <n v="20"/>
    <s v="CS"/>
    <s v="BR"/>
    <n v="0"/>
    <n v="6"/>
    <n v="7"/>
    <n v="50"/>
    <n v="0"/>
    <s v="600S"/>
    <n v="3"/>
    <s v="P"/>
    <n v="70530.303030303025"/>
    <x v="1"/>
    <n v="10"/>
    <n v="15"/>
    <n v="1.5"/>
    <n v="6"/>
  </r>
  <r>
    <s v="B40"/>
    <s v="625E/1100N"/>
    <s v="625E/1100N"/>
    <m/>
    <s v="1100N"/>
    <s v="1000N"/>
    <n v="5335"/>
    <n v="20"/>
    <s v="CS"/>
    <s v="B"/>
    <n v="0"/>
    <n v="7"/>
    <n v="7"/>
    <n v="50"/>
    <n v="0"/>
    <s v="625E"/>
    <n v="3"/>
    <s v="DS"/>
    <n v="25260.416666666668"/>
    <x v="3"/>
    <n v="10"/>
    <n v="7"/>
    <n v="1.5"/>
    <n v="9"/>
  </r>
  <r>
    <s v="G08"/>
    <s v="625N/300E"/>
    <s v="625N/300E"/>
    <m/>
    <s v="300E"/>
    <s v="250E"/>
    <n v="2530"/>
    <n v="20"/>
    <s v="AC"/>
    <s v="G"/>
    <n v="0"/>
    <n v="4"/>
    <n v="6"/>
    <n v="50"/>
    <n v="0"/>
    <s v="625N"/>
    <n v="4"/>
    <s v="SP/CS"/>
    <n v="19166.666666666668"/>
    <x v="6"/>
    <n v="8"/>
    <n v="10"/>
    <n v="2"/>
    <n v="6"/>
  </r>
  <r>
    <s v="G10"/>
    <s v="650N/500E"/>
    <s v="650N/500E"/>
    <m/>
    <s v="500E"/>
    <s v="400E"/>
    <n v="5360"/>
    <n v="20"/>
    <s v="CS"/>
    <s v="G"/>
    <n v="0"/>
    <n v="6"/>
    <n v="6"/>
    <n v="50"/>
    <n v="0"/>
    <s v="650N"/>
    <n v="4"/>
    <s v="DS"/>
    <n v="25378.78787878788"/>
    <x v="4"/>
    <n v="8"/>
    <n v="7"/>
    <n v="2"/>
    <n v="2"/>
  </r>
  <r>
    <s v=""/>
    <s v="BIRCH COURT"/>
    <s v="BIRCH COURT"/>
    <s v="Colonial Heights"/>
    <s v="700 W"/>
    <s v="50 N"/>
    <n v="106"/>
    <n v="26"/>
    <s v="NC"/>
    <s v="BC"/>
    <n v="0"/>
    <n v="6"/>
    <n v="7"/>
    <n v="50"/>
    <n v="0"/>
    <s v="BIRCH COURT"/>
    <n v="3"/>
    <s v="CRACK"/>
    <n v="118.4469696969697"/>
    <x v="1"/>
    <n v="10"/>
    <n v="4"/>
    <n v="1.5"/>
    <n v="6"/>
  </r>
  <r>
    <s v="BR62"/>
    <s v="675E/100S"/>
    <s v="675E/100S"/>
    <m/>
    <s v="100S"/>
    <s v="200S"/>
    <n v="5300"/>
    <n v="20"/>
    <s v="CS"/>
    <s v="BR"/>
    <n v="0"/>
    <n v="4"/>
    <n v="7"/>
    <n v="50"/>
    <n v="0"/>
    <s v="675E"/>
    <n v="3"/>
    <s v="SP/CS"/>
    <n v="40151.515151515152"/>
    <x v="1"/>
    <n v="10"/>
    <n v="10"/>
    <n v="1.5"/>
    <n v="6"/>
  </r>
  <r>
    <s v="BR63"/>
    <s v="675E/N. TWP LINE"/>
    <s v="675E/N. TWP LINE"/>
    <m/>
    <s v="TWP. LINE"/>
    <s v="100S"/>
    <n v="5419"/>
    <n v="20"/>
    <s v="CS"/>
    <s v="BR"/>
    <n v="0"/>
    <n v="8"/>
    <n v="7"/>
    <n v="50"/>
    <n v="0"/>
    <s v="675E"/>
    <n v="3"/>
    <s v="CS"/>
    <n v="15394.886363636364"/>
    <x v="2"/>
    <n v="10"/>
    <n v="7"/>
    <n v="1.5"/>
    <n v="7.5"/>
  </r>
  <r>
    <s v="B46"/>
    <s v="675E/NASHVILLE RD."/>
    <s v="675E/NASHVILLE RD."/>
    <m/>
    <s v="1000N"/>
    <s v="NASHVILLE RD."/>
    <n v="4640"/>
    <n v="20"/>
    <s v="AC"/>
    <s v="B"/>
    <n v="0"/>
    <n v="7"/>
    <n v="8"/>
    <n v="50"/>
    <n v="0"/>
    <s v="675E"/>
    <n v="2"/>
    <s v="CS"/>
    <n v="13181.818181818182"/>
    <x v="2"/>
    <n v="12"/>
    <n v="7"/>
    <n v="1.5"/>
    <n v="7.5"/>
  </r>
  <r>
    <s v="J55"/>
    <s v="675E/S. TWP LINE"/>
    <s v="675E/S. TWP LINE"/>
    <m/>
    <s v="US40"/>
    <s v="TWP. LINE"/>
    <n v="1382"/>
    <n v="20"/>
    <s v="G"/>
    <s v="J"/>
    <n v="0"/>
    <n v="8"/>
    <n v="7"/>
    <n v="50"/>
    <n v="0"/>
    <s v="675E"/>
    <n v="3"/>
    <s v="GG"/>
    <n v="3664.3939393939395"/>
    <x v="2"/>
    <n v="10"/>
    <n v="1"/>
    <n v="1.5"/>
    <n v="7.5"/>
  </r>
  <r>
    <s v="J57"/>
    <s v="700E/150N"/>
    <s v="700E/150N"/>
    <m/>
    <s v="100N"/>
    <s v="150N"/>
    <n v="2962"/>
    <n v="20"/>
    <s v="AC"/>
    <s v="J"/>
    <n v="0"/>
    <n v="7"/>
    <n v="7"/>
    <n v="50"/>
    <n v="0"/>
    <s v="700E"/>
    <n v="3"/>
    <s v="CS"/>
    <n v="8414.7727272727279"/>
    <x v="2"/>
    <n v="10"/>
    <n v="7"/>
    <n v="1.5"/>
    <n v="7.5"/>
  </r>
  <r>
    <s v="J58"/>
    <s v="700E/200N"/>
    <s v="700E/200N"/>
    <m/>
    <s v="150N"/>
    <s v="200N"/>
    <n v="2992"/>
    <n v="20"/>
    <s v="AC"/>
    <s v="J"/>
    <n v="0"/>
    <n v="6"/>
    <n v="7"/>
    <n v="50"/>
    <n v="0"/>
    <s v="700E"/>
    <n v="3"/>
    <s v="P"/>
    <n v="39666.666666666664"/>
    <x v="2"/>
    <n v="10"/>
    <n v="15"/>
    <n v="1.5"/>
    <n v="7.5"/>
  </r>
  <r>
    <s v="BR67"/>
    <s v="700E/200S"/>
    <s v="700E/200S"/>
    <m/>
    <s v="200S"/>
    <s v="250S"/>
    <n v="2665"/>
    <n v="20"/>
    <s v="CS"/>
    <s v="BR"/>
    <n v="0"/>
    <n v="6"/>
    <n v="7"/>
    <n v="50"/>
    <n v="0"/>
    <s v="700E"/>
    <n v="3"/>
    <s v="P"/>
    <n v="35331.439393939392"/>
    <x v="1"/>
    <n v="10"/>
    <n v="15"/>
    <n v="1.5"/>
    <n v="6"/>
  </r>
  <r>
    <s v="J59"/>
    <s v="700E/250N"/>
    <s v="700E/250N"/>
    <m/>
    <s v="200N"/>
    <s v="250N"/>
    <n v="2693"/>
    <n v="20"/>
    <s v="AC"/>
    <s v="J"/>
    <n v="0"/>
    <n v="7"/>
    <n v="7"/>
    <n v="50"/>
    <n v="0"/>
    <s v="700E"/>
    <n v="3"/>
    <s v="CS"/>
    <n v="7650.568181818182"/>
    <x v="2"/>
    <n v="10"/>
    <n v="7"/>
    <n v="1.5"/>
    <n v="7.5"/>
  </r>
  <r>
    <s v="BR66"/>
    <s v="700E/250S"/>
    <s v="700E/250S"/>
    <m/>
    <s v="250S"/>
    <s v="300S"/>
    <n v="2640"/>
    <n v="20"/>
    <s v="AC"/>
    <s v="BR"/>
    <n v="0"/>
    <n v="5"/>
    <n v="5"/>
    <n v="50"/>
    <n v="0"/>
    <s v="700E"/>
    <n v="5"/>
    <s v="SP/CS"/>
    <n v="20000"/>
    <x v="1"/>
    <n v="6"/>
    <n v="10"/>
    <n v="2"/>
    <n v="8"/>
  </r>
  <r>
    <s v="BR65"/>
    <s v="700E/300S"/>
    <s v="700E/300S"/>
    <m/>
    <s v="300S"/>
    <s v="400S"/>
    <n v="5255"/>
    <n v="20"/>
    <s v="CS"/>
    <s v="BR"/>
    <n v="0"/>
    <n v="6"/>
    <n v="7"/>
    <n v="50"/>
    <n v="0"/>
    <s v="700E"/>
    <n v="3"/>
    <s v="P"/>
    <n v="69668.560606060608"/>
    <x v="1"/>
    <n v="10"/>
    <n v="15"/>
    <n v="1.5"/>
    <n v="6"/>
  </r>
  <r>
    <s v="J60"/>
    <s v="700E/400N"/>
    <s v="700E/400N"/>
    <m/>
    <s v="300N"/>
    <s v="400N"/>
    <n v="5270"/>
    <n v="20"/>
    <s v="CS"/>
    <s v="J"/>
    <n v="0"/>
    <n v="4"/>
    <n v="2"/>
    <n v="50"/>
    <n v="0"/>
    <s v="700E"/>
    <n v="8"/>
    <s v="DS"/>
    <n v="24952.651515151516"/>
    <x v="0"/>
    <n v="0"/>
    <n v="7"/>
    <n v="2"/>
    <n v="0"/>
  </r>
  <r>
    <s v="BR64"/>
    <s v="700E/400S"/>
    <s v="700E/400S"/>
    <m/>
    <s v="400S"/>
    <s v="450S"/>
    <n v="2635"/>
    <n v="20"/>
    <s v="CS"/>
    <s v="BR"/>
    <n v="0"/>
    <n v="6"/>
    <n v="6"/>
    <n v="50"/>
    <n v="0"/>
    <s v="700E"/>
    <n v="4"/>
    <s v="P"/>
    <n v="34933.71212121212"/>
    <x v="1"/>
    <n v="8"/>
    <n v="15"/>
    <n v="2"/>
    <n v="8"/>
  </r>
  <r>
    <s v="J61"/>
    <s v="700E/500N"/>
    <s v="700E/500N"/>
    <m/>
    <s v="400N"/>
    <s v="500N"/>
    <n v="5264"/>
    <n v="20"/>
    <s v="G"/>
    <s v="J"/>
    <n v="0"/>
    <n v="6"/>
    <n v="5"/>
    <n v="50"/>
    <n v="0"/>
    <s v="700E"/>
    <n v="5"/>
    <s v="GG"/>
    <n v="13957.575757575758"/>
    <x v="2"/>
    <n v="6"/>
    <n v="1"/>
    <n v="2"/>
    <n v="10"/>
  </r>
  <r>
    <s v="J62"/>
    <s v="700E/600N"/>
    <s v="700E/600N"/>
    <m/>
    <s v="600N"/>
    <s v="500N"/>
    <n v="5030"/>
    <n v="20"/>
    <s v="AC"/>
    <s v="J"/>
    <n v="0"/>
    <n v="6"/>
    <n v="7"/>
    <n v="50"/>
    <n v="0"/>
    <s v="700E"/>
    <n v="3"/>
    <s v="DS"/>
    <n v="23816.28787878788"/>
    <x v="2"/>
    <n v="10"/>
    <n v="7"/>
    <n v="1.5"/>
    <n v="7.5"/>
  </r>
  <r>
    <s v="B47"/>
    <s v="700E/650N"/>
    <s v="700E/650N"/>
    <m/>
    <s v="600N"/>
    <s v="650N"/>
    <n v="2655"/>
    <n v="20"/>
    <s v="CS"/>
    <s v="B"/>
    <n v="0"/>
    <n v="7"/>
    <n v="7"/>
    <n v="50"/>
    <n v="0"/>
    <s v="700E"/>
    <n v="3"/>
    <s v="DS"/>
    <n v="12571.022727272728"/>
    <x v="3"/>
    <n v="10"/>
    <n v="7"/>
    <n v="1.5"/>
    <n v="9"/>
  </r>
  <r>
    <s v="G17"/>
    <s v="700N/400E"/>
    <s v="700N/400E"/>
    <m/>
    <s v="400E"/>
    <s v="TROY RD."/>
    <n v="2700"/>
    <n v="20"/>
    <s v="AC"/>
    <s v="G"/>
    <n v="0"/>
    <n v="5"/>
    <n v="6"/>
    <n v="50"/>
    <n v="0"/>
    <s v="700N"/>
    <n v="4"/>
    <s v="SP/CS"/>
    <n v="20454.545454545456"/>
    <x v="4"/>
    <n v="8"/>
    <n v="10"/>
    <n v="2"/>
    <n v="2"/>
  </r>
  <r>
    <s v=""/>
    <s v="BOMAR BOULEVARD"/>
    <s v="BOMAR BOULEVARD"/>
    <s v="BoMar Manor"/>
    <s v="SR 9"/>
    <s v="250 S"/>
    <n v="1690"/>
    <n v="26"/>
    <s v="NC"/>
    <s v="BW"/>
    <n v="0"/>
    <n v="6"/>
    <n v="6"/>
    <n v="50"/>
    <n v="0"/>
    <s v="BOMAR BOULEVARD"/>
    <n v="4"/>
    <s v="CRACK"/>
    <n v="1888.4469696969697"/>
    <x v="1"/>
    <n v="8"/>
    <n v="4"/>
    <n v="2"/>
    <n v="8"/>
  </r>
  <r>
    <s v=""/>
    <s v="BOMAR LANE"/>
    <s v="BOMAR LANE"/>
    <s v="BoMar Manor"/>
    <s v="SR 9"/>
    <s v="250 S"/>
    <n v="1584"/>
    <n v="26"/>
    <s v="NC"/>
    <s v="BW"/>
    <n v="0"/>
    <n v="6"/>
    <n v="6"/>
    <n v="50"/>
    <n v="0"/>
    <s v="BOMAR LANE"/>
    <n v="4"/>
    <s v="CRACK"/>
    <n v="1770"/>
    <x v="1"/>
    <n v="8"/>
    <n v="4"/>
    <n v="2"/>
    <n v="8"/>
  </r>
  <r>
    <s v="B20"/>
    <s v="700N/900E"/>
    <s v="700N/900E"/>
    <m/>
    <s v="775E"/>
    <s v="900E"/>
    <n v="6738"/>
    <n v="20"/>
    <s v="AC"/>
    <s v="B"/>
    <n v="0"/>
    <n v="7"/>
    <n v="7"/>
    <n v="50"/>
    <n v="0"/>
    <s v="700N"/>
    <n v="3"/>
    <s v="CS"/>
    <n v="19142.045454545456"/>
    <x v="2"/>
    <n v="10"/>
    <n v="7"/>
    <n v="1.5"/>
    <n v="7.5"/>
  </r>
  <r>
    <s v="B21"/>
    <s v="700N/SR109"/>
    <s v="700N/SR109"/>
    <m/>
    <s v="900E"/>
    <s v="SR109"/>
    <n v="5650"/>
    <n v="20"/>
    <s v="AC"/>
    <s v="B"/>
    <n v="0"/>
    <n v="7"/>
    <n v="7"/>
    <n v="50"/>
    <n v="0"/>
    <s v="700N"/>
    <n v="3"/>
    <s v="CS"/>
    <n v="16051.136363636364"/>
    <x v="2"/>
    <n v="10"/>
    <n v="7"/>
    <n v="1.5"/>
    <n v="7.5"/>
  </r>
  <r>
    <s v="G13"/>
    <s v="700N/SR9"/>
    <s v="700N/SR9"/>
    <m/>
    <s v="SR9"/>
    <s v="50E"/>
    <n v="5670"/>
    <n v="20"/>
    <s v="AC"/>
    <s v="G"/>
    <n v="0"/>
    <n v="7"/>
    <n v="7"/>
    <n v="50"/>
    <n v="0"/>
    <s v="700N"/>
    <n v="3"/>
    <s v="CS"/>
    <n v="16107.954545454546"/>
    <x v="2"/>
    <n v="10"/>
    <n v="7"/>
    <n v="1.5"/>
    <n v="7.5"/>
  </r>
  <r>
    <s v="G16"/>
    <s v="700N/TROY RD"/>
    <s v="700N/TROY RD"/>
    <m/>
    <s v="TROY RD."/>
    <s v="300E"/>
    <n v="1328"/>
    <n v="20"/>
    <s v="AC"/>
    <s v="G"/>
    <n v="0"/>
    <n v="7"/>
    <n v="7"/>
    <n v="50"/>
    <n v="0"/>
    <s v="700N"/>
    <n v="3"/>
    <s v="CS"/>
    <n v="3772.7272727272725"/>
    <x v="4"/>
    <n v="10"/>
    <n v="7"/>
    <n v="1.5"/>
    <n v="1.5"/>
  </r>
  <r>
    <s v="B48"/>
    <s v="725E/SR234"/>
    <s v="725E/SR234"/>
    <m/>
    <s v="SR234"/>
    <s v="650N"/>
    <n v="7925"/>
    <n v="20"/>
    <s v="CS"/>
    <s v="B"/>
    <n v="0"/>
    <n v="5"/>
    <n v="4"/>
    <n v="50"/>
    <n v="0"/>
    <s v="725E"/>
    <n v="6"/>
    <s v="DS"/>
    <n v="37523.67424242424"/>
    <x v="0"/>
    <n v="3"/>
    <n v="7"/>
    <n v="2.5"/>
    <n v="0"/>
  </r>
  <r>
    <s v="BR68"/>
    <s v="750E/100S"/>
    <s v="750E/100S"/>
    <m/>
    <s v="200S"/>
    <s v="100S"/>
    <n v="5300"/>
    <n v="20"/>
    <s v="G"/>
    <s v="BR"/>
    <n v="0"/>
    <n v="6"/>
    <n v="8"/>
    <n v="50"/>
    <n v="0"/>
    <s v="750E"/>
    <n v="2"/>
    <s v="GG"/>
    <n v="14053.030303030304"/>
    <x v="2"/>
    <n v="12"/>
    <n v="1"/>
    <n v="1.5"/>
    <n v="7.5"/>
  </r>
  <r>
    <s v="B49"/>
    <s v="750E/900N"/>
    <s v="750E/900N"/>
    <m/>
    <s v="900N"/>
    <s v="SR234"/>
    <n v="5300"/>
    <n v="20"/>
    <s v="CS"/>
    <s v="B"/>
    <n v="0"/>
    <n v="6"/>
    <n v="7"/>
    <n v="50"/>
    <n v="0"/>
    <s v="750E"/>
    <n v="3"/>
    <s v="DS"/>
    <n v="25094.696969696968"/>
    <x v="2"/>
    <n v="10"/>
    <n v="7"/>
    <n v="1.5"/>
    <n v="7.5"/>
  </r>
  <r>
    <s v="B50"/>
    <s v="750E/950N"/>
    <s v="750E/950N"/>
    <m/>
    <s v="950N"/>
    <s v="900N"/>
    <n v="2644"/>
    <n v="20"/>
    <s v="CS"/>
    <s v="B"/>
    <n v="0"/>
    <n v="6"/>
    <n v="7"/>
    <n v="50"/>
    <n v="0"/>
    <s v="750E"/>
    <n v="3"/>
    <s v="DS"/>
    <n v="12518.939393939394"/>
    <x v="2"/>
    <n v="10"/>
    <n v="7"/>
    <n v="1.5"/>
    <n v="7.5"/>
  </r>
  <r>
    <s v="G20"/>
    <s v="750N/50E"/>
    <s v="750N/50E"/>
    <m/>
    <s v="50E"/>
    <s v="50E"/>
    <n v="894"/>
    <n v="20"/>
    <s v="CS"/>
    <s v="G"/>
    <n v="0"/>
    <n v="6"/>
    <n v="6"/>
    <n v="50"/>
    <n v="0"/>
    <s v="750N"/>
    <n v="4"/>
    <s v="DS"/>
    <n v="4232.954545454545"/>
    <x v="2"/>
    <n v="8"/>
    <n v="7"/>
    <n v="2"/>
    <n v="10"/>
  </r>
  <r>
    <s v="G21"/>
    <s v="750N/SR9"/>
    <s v="750N/SR9"/>
    <m/>
    <s v="SR9"/>
    <s v="50E"/>
    <n v="6620"/>
    <n v="20"/>
    <s v="G"/>
    <s v="G"/>
    <n v="0"/>
    <n v="6"/>
    <n v="7"/>
    <n v="50"/>
    <n v="0"/>
    <s v="750N"/>
    <n v="3"/>
    <s v="GG"/>
    <n v="17553.030303030304"/>
    <x v="2"/>
    <n v="10"/>
    <n v="1"/>
    <n v="1.5"/>
    <n v="7.5"/>
  </r>
  <r>
    <s v="B55"/>
    <s v="775E/1100N"/>
    <s v="775E/1100N"/>
    <m/>
    <s v="1000N"/>
    <s v="1100N"/>
    <n v="5360"/>
    <n v="20"/>
    <s v="AC"/>
    <s v="B"/>
    <n v="0"/>
    <n v="7"/>
    <n v="7"/>
    <n v="50"/>
    <n v="0"/>
    <s v="775E"/>
    <n v="3"/>
    <s v="CS"/>
    <n v="15227.272727272728"/>
    <x v="2"/>
    <n v="10"/>
    <n v="7"/>
    <n v="1.5"/>
    <n v="7.5"/>
  </r>
  <r>
    <s v=""/>
    <s v="BRANDYWINE TRAIL(E)"/>
    <s v="BRANDYWINE TRAIL(E)"/>
    <s v="BoMar Manor"/>
    <s v="SR 9"/>
    <s v="250 S"/>
    <n v="2059"/>
    <n v="26"/>
    <s v="NC"/>
    <s v="BW"/>
    <n v="0"/>
    <n v="6"/>
    <n v="6"/>
    <n v="50"/>
    <n v="0"/>
    <s v="BRANDYWINE TRAIL€"/>
    <n v="4"/>
    <s v="CRACK"/>
    <n v="2300.776515151515"/>
    <x v="1"/>
    <n v="8"/>
    <n v="4"/>
    <n v="2"/>
    <n v="8"/>
  </r>
  <r>
    <s v="B51"/>
    <s v="775E/700N"/>
    <s v="775E/700N"/>
    <m/>
    <s v="700N"/>
    <s v="650N"/>
    <n v="2692"/>
    <n v="20"/>
    <s v="AC"/>
    <s v="B"/>
    <n v="0"/>
    <n v="5"/>
    <n v="7"/>
    <n v="50"/>
    <n v="0"/>
    <s v="775E"/>
    <n v="3"/>
    <s v="SP/CS"/>
    <n v="20393.939393939392"/>
    <x v="3"/>
    <n v="10"/>
    <n v="10"/>
    <n v="1.5"/>
    <n v="9"/>
  </r>
  <r>
    <s v="B53"/>
    <s v="775E/NASHVILLE RD."/>
    <s v="775E/NASHVILLE RD."/>
    <m/>
    <s v="950N"/>
    <s v="NASHVILLE RD."/>
    <n v="2010"/>
    <n v="20"/>
    <s v="G"/>
    <s v="B"/>
    <n v="0"/>
    <n v="7"/>
    <n v="8"/>
    <n v="50"/>
    <n v="0"/>
    <s v="775E"/>
    <n v="2"/>
    <s v="GG"/>
    <n v="5329.545454545455"/>
    <x v="3"/>
    <n v="12"/>
    <n v="1"/>
    <n v="1.5"/>
    <n v="9"/>
  </r>
  <r>
    <s v="B52"/>
    <s v="775E/SR234"/>
    <s v="775E/SR234"/>
    <m/>
    <s v="SR234"/>
    <s v="700N"/>
    <n v="5312"/>
    <n v="20"/>
    <s v="AC"/>
    <s v="B"/>
    <n v="0"/>
    <n v="6"/>
    <n v="6"/>
    <n v="50"/>
    <n v="0"/>
    <s v="775E"/>
    <n v="4"/>
    <s v="DS"/>
    <n v="25151.515151515152"/>
    <x v="6"/>
    <n v="8"/>
    <n v="7"/>
    <n v="2"/>
    <n v="6"/>
  </r>
  <r>
    <s v="J63"/>
    <s v="800E/100N"/>
    <s v="800E/100N"/>
    <m/>
    <s v="SR40"/>
    <s v="100N"/>
    <n v="3830"/>
    <n v="20"/>
    <s v="AC"/>
    <s v="J"/>
    <n v="0"/>
    <n v="6"/>
    <n v="7"/>
    <n v="50"/>
    <n v="0"/>
    <s v="800E"/>
    <n v="3"/>
    <s v="DS"/>
    <n v="18134.469696969696"/>
    <x v="2"/>
    <n v="10"/>
    <n v="7"/>
    <n v="1.5"/>
    <n v="7.5"/>
  </r>
  <r>
    <s v="J64"/>
    <s v="800E/150N"/>
    <s v="800E/150N"/>
    <m/>
    <s v="100N"/>
    <s v="150N"/>
    <n v="2692"/>
    <n v="20"/>
    <s v="CS"/>
    <s v="J"/>
    <n v="0"/>
    <n v="6"/>
    <n v="7"/>
    <n v="50"/>
    <n v="0"/>
    <s v="800E"/>
    <n v="3"/>
    <s v="DS"/>
    <n v="12746.212121212122"/>
    <x v="2"/>
    <n v="10"/>
    <n v="7"/>
    <n v="1.5"/>
    <n v="7.5"/>
  </r>
  <r>
    <s v="BR78"/>
    <s v="800E/200S"/>
    <s v="800E/200S"/>
    <m/>
    <s v="300S"/>
    <s v="200S"/>
    <n v="5295"/>
    <n v="20"/>
    <s v="G"/>
    <s v="BR"/>
    <n v="0"/>
    <n v="6"/>
    <n v="7"/>
    <n v="50"/>
    <n v="0"/>
    <s v="800E"/>
    <n v="3"/>
    <s v="GG"/>
    <n v="14039.772727272728"/>
    <x v="2"/>
    <n v="10"/>
    <n v="1"/>
    <n v="1.5"/>
    <n v="7.5"/>
  </r>
  <r>
    <s v="J65"/>
    <s v="800E/250N"/>
    <s v="800E/250N"/>
    <m/>
    <s v="150N"/>
    <s v="250N"/>
    <n v="5284"/>
    <n v="20"/>
    <s v="CS"/>
    <s v="J"/>
    <n v="0"/>
    <n v="7"/>
    <n v="7"/>
    <n v="50"/>
    <n v="0"/>
    <s v="800E"/>
    <n v="3"/>
    <s v="DS"/>
    <n v="25018.939393939392"/>
    <x v="3"/>
    <n v="10"/>
    <n v="7"/>
    <n v="1.5"/>
    <n v="9"/>
  </r>
  <r>
    <s v="J65.5"/>
    <s v="800E/300N"/>
    <s v="800E/300N"/>
    <m/>
    <s v="I70"/>
    <s v="300N"/>
    <n v="1133"/>
    <n v="20"/>
    <s v="CS"/>
    <s v="J"/>
    <n v="0"/>
    <n v="7"/>
    <n v="6"/>
    <n v="50"/>
    <n v="0"/>
    <s v="800E"/>
    <n v="4"/>
    <s v="DS"/>
    <n v="5364.583333333333"/>
    <x v="3"/>
    <n v="8"/>
    <n v="7"/>
    <n v="2"/>
    <n v="12"/>
  </r>
  <r>
    <s v="J66"/>
    <s v="800E/400N"/>
    <s v="800E/400N"/>
    <m/>
    <s v="300N"/>
    <s v="400N"/>
    <n v="4134"/>
    <n v="20"/>
    <s v="G"/>
    <s v="J"/>
    <n v="0"/>
    <n v="7"/>
    <n v="6"/>
    <n v="50"/>
    <n v="0"/>
    <s v="800E"/>
    <n v="4"/>
    <s v="GG"/>
    <n v="10961.363636363636"/>
    <x v="2"/>
    <n v="8"/>
    <n v="1"/>
    <n v="2"/>
    <n v="10"/>
  </r>
  <r>
    <s v="BR75"/>
    <s v="800E/400S"/>
    <s v="800E/400S"/>
    <m/>
    <s v="450S"/>
    <s v="400S"/>
    <n v="2650"/>
    <n v="20"/>
    <s v="AC"/>
    <s v="BR"/>
    <n v="0"/>
    <n v="6"/>
    <n v="6"/>
    <n v="50"/>
    <n v="0"/>
    <s v="800E"/>
    <n v="4"/>
    <s v="DS"/>
    <n v="12547.348484848484"/>
    <x v="2"/>
    <n v="8"/>
    <n v="7"/>
    <n v="2"/>
    <n v="10"/>
  </r>
  <r>
    <s v="BR74"/>
    <s v="800E/450S"/>
    <s v="800E/450S"/>
    <m/>
    <s v="500S"/>
    <s v="450S"/>
    <n v="2590"/>
    <n v="20"/>
    <s v="AC"/>
    <s v="BR"/>
    <n v="0"/>
    <n v="4"/>
    <n v="4"/>
    <n v="50"/>
    <n v="0"/>
    <s v="800E"/>
    <n v="6"/>
    <s v="SP/CS"/>
    <n v="19621.21212121212"/>
    <x v="0"/>
    <n v="3"/>
    <n v="10"/>
    <n v="2.5"/>
    <n v="0"/>
  </r>
  <r>
    <s v="J67"/>
    <s v="800E/500N"/>
    <s v="800E/500N"/>
    <m/>
    <s v="400N"/>
    <s v="500N"/>
    <n v="5300"/>
    <n v="20"/>
    <s v="CS"/>
    <s v="J"/>
    <n v="0"/>
    <n v="5"/>
    <n v="5"/>
    <n v="50"/>
    <n v="0"/>
    <s v="800E"/>
    <n v="5"/>
    <s v="SP/CS"/>
    <n v="40151.515151515152"/>
    <x v="2"/>
    <n v="6"/>
    <n v="10"/>
    <n v="2"/>
    <n v="10"/>
  </r>
  <r>
    <s v="BR73"/>
    <s v="800E/500S"/>
    <s v="800E/500S"/>
    <m/>
    <s v="550S"/>
    <s v="500S"/>
    <n v="2650"/>
    <n v="20"/>
    <s v="AC"/>
    <s v="BR"/>
    <n v="0"/>
    <n v="5"/>
    <n v="4"/>
    <n v="50"/>
    <n v="0"/>
    <s v="800E"/>
    <n v="6"/>
    <s v="SP/CS"/>
    <n v="20075.757575757576"/>
    <x v="0"/>
    <n v="3"/>
    <n v="10"/>
    <n v="2.5"/>
    <n v="0"/>
  </r>
  <r>
    <s v=""/>
    <s v="BRANDYWINE TRAIL(S)"/>
    <s v="BRANDYWINE TRAIL(S)"/>
    <s v="BoMar Manor"/>
    <s v="SR 9"/>
    <s v="250 S"/>
    <n v="2059"/>
    <n v="26"/>
    <s v="NC"/>
    <s v="BW"/>
    <n v="0"/>
    <n v="6"/>
    <n v="6"/>
    <n v="50"/>
    <n v="0"/>
    <s v="BRANDYWINE TRAIL(S)"/>
    <n v="4"/>
    <s v="CRACK"/>
    <n v="2300.776515151515"/>
    <x v="1"/>
    <n v="8"/>
    <n v="4"/>
    <n v="2"/>
    <n v="8"/>
  </r>
  <r>
    <s v="J68"/>
    <s v="800E/600N"/>
    <s v="800E/600N"/>
    <m/>
    <s v="500N"/>
    <s v="600N"/>
    <n v="4985"/>
    <n v="20"/>
    <s v="CS"/>
    <s v="J"/>
    <n v="0"/>
    <n v="8"/>
    <n v="9"/>
    <n v="50"/>
    <n v="0"/>
    <s v="800E"/>
    <n v="1"/>
    <s v="CS"/>
    <n v="14161.931818181818"/>
    <x v="2"/>
    <n v="14"/>
    <n v="7"/>
    <n v="1"/>
    <n v="5"/>
  </r>
  <r>
    <s v="B56"/>
    <s v="800E/650N"/>
    <s v="800E/650N"/>
    <m/>
    <s v="650N"/>
    <s v="600N"/>
    <n v="2650"/>
    <n v="20"/>
    <s v="G"/>
    <s v="B"/>
    <n v="0"/>
    <n v="6"/>
    <n v="9"/>
    <n v="50"/>
    <n v="0"/>
    <s v="800E"/>
    <n v="1"/>
    <s v="GG"/>
    <n v="7026.515151515152"/>
    <x v="2"/>
    <n v="14"/>
    <n v="1"/>
    <n v="1"/>
    <n v="5"/>
  </r>
  <r>
    <s v="BR76"/>
    <s v="800E/BINFORD RD"/>
    <s v="800E/BINFORD RD"/>
    <m/>
    <s v="400S"/>
    <s v="BINFORD RD."/>
    <n v="1880"/>
    <n v="20"/>
    <s v="AC"/>
    <s v="BR"/>
    <n v="0"/>
    <n v="5"/>
    <n v="6"/>
    <n v="50"/>
    <n v="0"/>
    <s v="800E"/>
    <n v="4"/>
    <s v="SP/CS"/>
    <n v="14242.424242424242"/>
    <x v="2"/>
    <n v="8"/>
    <n v="10"/>
    <n v="2"/>
    <n v="10"/>
  </r>
  <r>
    <s v="BR79"/>
    <s v="850E/100S"/>
    <s v="850E/100S"/>
    <m/>
    <s v="150S"/>
    <s v="100S"/>
    <n v="2650"/>
    <n v="20"/>
    <s v="CS"/>
    <s v="BR"/>
    <n v="0"/>
    <n v="5"/>
    <n v="6"/>
    <n v="50"/>
    <n v="0"/>
    <s v="850E"/>
    <n v="4"/>
    <s v="SP/CS"/>
    <n v="20075.757575757576"/>
    <x v="2"/>
    <n v="8"/>
    <n v="10"/>
    <n v="2"/>
    <n v="10"/>
  </r>
  <r>
    <s v="BR80"/>
    <s v="850E/50S"/>
    <s v="850E/50S"/>
    <m/>
    <s v="100S"/>
    <s v="50S"/>
    <n v="2645"/>
    <n v="20"/>
    <s v="CS"/>
    <s v="BR"/>
    <n v="0"/>
    <n v="4"/>
    <n v="6"/>
    <n v="50"/>
    <n v="0"/>
    <s v="850E"/>
    <n v="4"/>
    <s v="DS"/>
    <n v="12523.674242424242"/>
    <x v="0"/>
    <n v="8"/>
    <n v="7"/>
    <n v="2"/>
    <n v="0"/>
  </r>
  <r>
    <s v="J76"/>
    <s v="850E/600N"/>
    <s v="850E/600N"/>
    <m/>
    <s v="600N"/>
    <s v="500N"/>
    <n v="5010"/>
    <n v="20"/>
    <s v="AC"/>
    <s v="J"/>
    <n v="0"/>
    <n v="5"/>
    <n v="7"/>
    <n v="50"/>
    <n v="0"/>
    <s v="850E"/>
    <n v="3"/>
    <s v="SP/CS"/>
    <n v="37954.545454545456"/>
    <x v="0"/>
    <n v="10"/>
    <n v="10"/>
    <n v="1.5"/>
    <n v="0"/>
  </r>
  <r>
    <s v="BR81"/>
    <s v="850E/N. TWP LINE"/>
    <s v="850E/N. TWP LINE"/>
    <m/>
    <s v="50S"/>
    <s v="TWP. LINE"/>
    <n v="4000"/>
    <n v="20"/>
    <s v="G"/>
    <s v="BR"/>
    <n v="0"/>
    <n v="7"/>
    <n v="6"/>
    <n v="50"/>
    <n v="0"/>
    <s v="850E"/>
    <n v="4"/>
    <s v="DS"/>
    <n v="18939.39393939394"/>
    <x v="0"/>
    <n v="8"/>
    <n v="7"/>
    <n v="2"/>
    <n v="0"/>
  </r>
  <r>
    <s v="J69"/>
    <s v="850E/US40"/>
    <s v="850E/US40"/>
    <m/>
    <s v="TWP. LINE"/>
    <s v="US40"/>
    <n v="1468"/>
    <n v="20"/>
    <s v="AC"/>
    <s v="J"/>
    <n v="0"/>
    <n v="5"/>
    <n v="6"/>
    <n v="50"/>
    <n v="0"/>
    <s v="850E"/>
    <n v="4"/>
    <s v="SP/CS"/>
    <n v="11121.212121212122"/>
    <x v="2"/>
    <n v="8"/>
    <n v="10"/>
    <n v="2"/>
    <n v="10"/>
  </r>
  <r>
    <s v=""/>
    <s v="860N/END"/>
    <s v="860N/END"/>
    <m/>
    <s v="500W"/>
    <s v="END"/>
    <n v="293"/>
    <n v="20"/>
    <s v="AC"/>
    <s v="V"/>
    <n v="0"/>
    <n v="5"/>
    <n v="6"/>
    <n v="50"/>
    <n v="0"/>
    <s v="850N"/>
    <n v="4"/>
    <s v="SP/CS"/>
    <n v="2219.6969696969695"/>
    <x v="6"/>
    <n v="8"/>
    <n v="10"/>
    <n v="2"/>
    <n v="6"/>
  </r>
  <r>
    <s v="B57"/>
    <s v="875E/650N"/>
    <s v="875E/650N"/>
    <m/>
    <s v="600N"/>
    <s v="650N"/>
    <n v="2689"/>
    <n v="20"/>
    <s v="AC"/>
    <s v="B"/>
    <n v="0"/>
    <n v="4"/>
    <n v="6"/>
    <n v="50"/>
    <n v="0"/>
    <s v="875E"/>
    <n v="4"/>
    <s v="SP/CS"/>
    <n v="20371.21212121212"/>
    <x v="0"/>
    <n v="8"/>
    <n v="10"/>
    <n v="2"/>
    <n v="0"/>
  </r>
  <r>
    <s v="BR88"/>
    <s v="900E/150S"/>
    <s v="900E/150S"/>
    <m/>
    <s v="200S"/>
    <s v="150S"/>
    <n v="2550"/>
    <n v="20"/>
    <s v="G"/>
    <s v="BR"/>
    <n v="0"/>
    <n v="6"/>
    <n v="7"/>
    <n v="50"/>
    <n v="0"/>
    <s v="900E"/>
    <n v="3"/>
    <s v="GG"/>
    <n v="6761.363636363636"/>
    <x v="2"/>
    <n v="10"/>
    <n v="1"/>
    <n v="1.5"/>
    <n v="7.5"/>
  </r>
  <r>
    <s v=""/>
    <s v="GREY FEATHER TRAIL"/>
    <s v="GREY FEATHER TRAIL"/>
    <s v="Greyhawk Woods"/>
    <s v="SR 9"/>
    <s v="460 S"/>
    <n v="1214"/>
    <n v="26"/>
    <s v="NC"/>
    <s v="BW"/>
    <n v="0"/>
    <n v="7"/>
    <n v="8"/>
    <n v="50"/>
    <n v="0"/>
    <s v="GREY FEATHER TRAIL"/>
    <n v="2"/>
    <s v="CRACK"/>
    <n v="1356.5530303030303"/>
    <x v="1"/>
    <n v="12"/>
    <n v="4"/>
    <n v="1.5"/>
    <n v="6"/>
  </r>
  <r>
    <s v="BR86"/>
    <s v="900E/300S"/>
    <s v="900E/300S"/>
    <m/>
    <s v="400S"/>
    <s v="300S"/>
    <n v="5275"/>
    <n v="20"/>
    <s v="CS"/>
    <s v="BR"/>
    <n v="0"/>
    <n v="4"/>
    <n v="7"/>
    <n v="50"/>
    <n v="0"/>
    <s v="900E"/>
    <n v="3"/>
    <s v="SP/CS"/>
    <n v="39962.121212121216"/>
    <x v="1"/>
    <n v="10"/>
    <n v="10"/>
    <n v="1.5"/>
    <n v="6"/>
  </r>
  <r>
    <s v="BR85"/>
    <s v="900E/400S"/>
    <s v="900E/400S"/>
    <m/>
    <s v="450S"/>
    <s v="400S"/>
    <n v="2555"/>
    <n v="20"/>
    <s v="G"/>
    <s v="BR"/>
    <n v="0"/>
    <n v="4"/>
    <n v="7"/>
    <n v="50"/>
    <n v="0"/>
    <s v="900E"/>
    <n v="3"/>
    <s v="GG"/>
    <n v="6774.621212121212"/>
    <x v="2"/>
    <n v="10"/>
    <n v="1"/>
    <n v="1.5"/>
    <n v="7.5"/>
  </r>
  <r>
    <s v="BR84"/>
    <s v="900E/450S"/>
    <s v="900E/450S"/>
    <m/>
    <s v="500S"/>
    <s v="450S"/>
    <n v="3035"/>
    <n v="20"/>
    <s v="CS"/>
    <s v="BR"/>
    <n v="0"/>
    <n v="4"/>
    <n v="4"/>
    <n v="50"/>
    <n v="0"/>
    <s v="900E"/>
    <n v="6"/>
    <s v="SP/CS"/>
    <n v="22992.424242424244"/>
    <x v="0"/>
    <n v="3"/>
    <n v="10"/>
    <n v="2.5"/>
    <n v="0"/>
  </r>
  <r>
    <s v="J77"/>
    <s v="900E/500N"/>
    <s v="900E/500N"/>
    <m/>
    <s v="400N"/>
    <s v="500N"/>
    <n v="5325"/>
    <n v="20"/>
    <s v="CS"/>
    <s v="J"/>
    <n v="0"/>
    <n v="4"/>
    <n v="5"/>
    <n v="50"/>
    <n v="0"/>
    <s v="900E"/>
    <n v="5"/>
    <s v="DS"/>
    <n v="25213.06818181818"/>
    <x v="0"/>
    <n v="6"/>
    <n v="7"/>
    <n v="2"/>
    <n v="0"/>
  </r>
  <r>
    <s v=""/>
    <s v="OSMAN LANE"/>
    <s v="OSMAN LANE"/>
    <s v="Wildwood North"/>
    <s v="200 W"/>
    <s v="50 N"/>
    <n v="1954"/>
    <n v="26"/>
    <s v="NC"/>
    <s v="BC"/>
    <n v="0"/>
    <n v="7"/>
    <n v="5"/>
    <n v="50"/>
    <n v="0"/>
    <s v="OSMAN LANE"/>
    <n v="5"/>
    <s v="CRACK"/>
    <n v="2183.4469696969695"/>
    <x v="1"/>
    <n v="6"/>
    <n v="4"/>
    <n v="2"/>
    <n v="8"/>
  </r>
  <r>
    <s v="BR82"/>
    <s v="900E/550S"/>
    <s v="900E/550S"/>
    <m/>
    <s v="600S"/>
    <s v="550S"/>
    <n v="2640"/>
    <n v="20"/>
    <s v="CS"/>
    <s v="BR"/>
    <n v="0"/>
    <n v="4"/>
    <n v="7"/>
    <n v="50"/>
    <n v="0"/>
    <s v="900E"/>
    <n v="3"/>
    <s v="SP/CS"/>
    <n v="20000"/>
    <x v="1"/>
    <n v="10"/>
    <n v="10"/>
    <n v="1.5"/>
    <n v="6"/>
  </r>
  <r>
    <s v="B58"/>
    <s v="900E/700N"/>
    <s v="900E/700N"/>
    <m/>
    <s v="650N"/>
    <s v="700N"/>
    <n v="2217"/>
    <n v="20"/>
    <s v="CS"/>
    <s v="B"/>
    <n v="0"/>
    <n v="4"/>
    <n v="3"/>
    <n v="50"/>
    <n v="0"/>
    <s v="900E"/>
    <n v="7"/>
    <s v="SP/CS"/>
    <n v="16795.454545454544"/>
    <x v="0"/>
    <n v="1"/>
    <n v="10"/>
    <n v="3"/>
    <n v="0"/>
  </r>
  <r>
    <s v="B60"/>
    <s v="900E/SR109"/>
    <s v="900E/SR109"/>
    <m/>
    <s v="SR234"/>
    <s v="SR109"/>
    <n v="1313"/>
    <n v="20"/>
    <s v="AC"/>
    <s v="B"/>
    <n v="0"/>
    <n v="7"/>
    <n v="7"/>
    <n v="50"/>
    <n v="0"/>
    <s v="900E"/>
    <n v="3"/>
    <s v="CS"/>
    <n v="3730.1136363636365"/>
    <x v="4"/>
    <n v="10"/>
    <n v="7"/>
    <n v="1.5"/>
    <n v="1.5"/>
  </r>
  <r>
    <s v="B59"/>
    <s v="900E/SR234"/>
    <s v="900E/SR234"/>
    <m/>
    <s v="700N"/>
    <s v="SR234"/>
    <n v="5332"/>
    <n v="20"/>
    <s v="G"/>
    <s v="B"/>
    <n v="0"/>
    <n v="6"/>
    <n v="9"/>
    <n v="50"/>
    <n v="0"/>
    <s v="900E"/>
    <n v="1"/>
    <s v="GG"/>
    <n v="14137.878787878788"/>
    <x v="4"/>
    <n v="14"/>
    <n v="1"/>
    <n v="1"/>
    <n v="1"/>
  </r>
  <r>
    <s v="B31"/>
    <s v="900N/1200E"/>
    <s v="900N/1200E"/>
    <m/>
    <s v="1200E"/>
    <s v="1125E"/>
    <n v="4179"/>
    <n v="20"/>
    <s v="AC"/>
    <s v="B"/>
    <n v="0"/>
    <n v="7"/>
    <n v="7"/>
    <n v="50"/>
    <n v="0"/>
    <s v="900N"/>
    <n v="3"/>
    <s v="CS"/>
    <n v="11872.15909090909"/>
    <x v="2"/>
    <n v="10"/>
    <n v="7"/>
    <n v="1.5"/>
    <n v="7.5"/>
  </r>
  <r>
    <s v="G29"/>
    <s v="900N/400E"/>
    <s v="900N/400E"/>
    <m/>
    <s v="400E"/>
    <s v="TROY RD."/>
    <n v="2798"/>
    <n v="20"/>
    <s v="AC"/>
    <s v="G"/>
    <n v="0"/>
    <n v="5"/>
    <n v="5"/>
    <n v="50"/>
    <n v="0"/>
    <s v="900N"/>
    <n v="5"/>
    <s v="SP/CS"/>
    <n v="21196.969696969696"/>
    <x v="0"/>
    <n v="6"/>
    <n v="10"/>
    <n v="2"/>
    <n v="0"/>
  </r>
  <r>
    <s v="G26"/>
    <s v="900N/SR9"/>
    <s v="900N/SR9"/>
    <m/>
    <s v="SR9"/>
    <s v="ALFORD RD."/>
    <n v="3647"/>
    <n v="20"/>
    <s v="CS"/>
    <s v="G"/>
    <n v="0"/>
    <n v="6"/>
    <n v="6"/>
    <n v="50"/>
    <n v="0"/>
    <s v="900N"/>
    <n v="4"/>
    <s v="DS"/>
    <n v="17267.992424242424"/>
    <x v="2"/>
    <n v="8"/>
    <n v="7"/>
    <n v="2"/>
    <n v="10"/>
  </r>
  <r>
    <s v="J78"/>
    <s v="925E/US40"/>
    <s v="925E/US40"/>
    <m/>
    <s v="US40"/>
    <s v="CO. LINE"/>
    <n v="1756"/>
    <n v="20"/>
    <s v="AC"/>
    <s v="J"/>
    <n v="0"/>
    <n v="6"/>
    <n v="7"/>
    <n v="50"/>
    <n v="0"/>
    <s v="925E"/>
    <n v="3"/>
    <s v="DS"/>
    <n v="8314.3939393939399"/>
    <x v="2"/>
    <n v="10"/>
    <n v="7"/>
    <n v="1.5"/>
    <n v="7.5"/>
  </r>
  <r>
    <s v="B32"/>
    <s v="950N/775E"/>
    <s v="950N/775E"/>
    <m/>
    <s v="675E"/>
    <s v="775E"/>
    <n v="4830"/>
    <n v="20"/>
    <s v="G"/>
    <s v="B"/>
    <n v="0"/>
    <n v="6"/>
    <n v="4"/>
    <n v="50"/>
    <n v="0"/>
    <s v="950N"/>
    <n v="6"/>
    <s v="DS"/>
    <n v="22869.31818181818"/>
    <x v="0"/>
    <n v="3"/>
    <n v="7"/>
    <n v="2.5"/>
    <n v="0"/>
  </r>
  <r>
    <s v=""/>
    <s v="ACCESS RD/N OF 70"/>
    <s v="ACCESS RD/N OF 70"/>
    <m/>
    <s v="600W"/>
    <s v="END"/>
    <n v="2006"/>
    <n v="20"/>
    <s v="AC"/>
    <s v="BC"/>
    <n v="0"/>
    <n v="9"/>
    <n v="8"/>
    <n v="50"/>
    <n v="0"/>
    <s v="ACCESS RD/N OF 70"/>
    <n v="2"/>
    <s v="CRACK"/>
    <n v="2241.5530303030305"/>
    <x v="1"/>
    <n v="12"/>
    <n v="4"/>
    <n v="1.5"/>
    <n v="6"/>
  </r>
  <r>
    <s v=""/>
    <s v="ACORN COURT (N)"/>
    <s v="ACORN COURT (N)"/>
    <s v="Twin Oaks"/>
    <s v="SR 9"/>
    <s v="570 N"/>
    <n v="1109"/>
    <n v="26"/>
    <s v="NC"/>
    <s v="C"/>
    <n v="0"/>
    <n v="7"/>
    <n v="8"/>
    <n v="50"/>
    <n v="0"/>
    <s v="ACORN COURT (N)"/>
    <n v="2"/>
    <s v="CRACK"/>
    <n v="1239.2234848484848"/>
    <x v="4"/>
    <n v="12"/>
    <n v="4"/>
    <n v="1.5"/>
    <n v="1.5"/>
  </r>
  <r>
    <s v=""/>
    <s v="ALEXANDRIA DRIVE"/>
    <s v="ALEXANDRIA DRIVE"/>
    <s v="Wildwood Estates"/>
    <s v="200 W"/>
    <s v="50 N"/>
    <n v="1637"/>
    <n v="26"/>
    <s v="NC"/>
    <s v="BC"/>
    <n v="0"/>
    <n v="5"/>
    <n v="6"/>
    <n v="50"/>
    <n v="0"/>
    <s v="ALEXANDRIA DRIVE"/>
    <n v="4"/>
    <s v="P"/>
    <n v="21702.651515151516"/>
    <x v="5"/>
    <n v="8"/>
    <n v="15"/>
    <n v="2"/>
    <n v="4"/>
  </r>
  <r>
    <s v="G44"/>
    <s v="ALFORD RD./1000N"/>
    <s v="ALFORD RD./1000N"/>
    <m/>
    <s v="1000N"/>
    <s v="900N"/>
    <n v="5720"/>
    <n v="20"/>
    <s v="CS"/>
    <s v="G"/>
    <n v="0"/>
    <n v="7"/>
    <n v="7"/>
    <n v="50"/>
    <n v="0"/>
    <s v="ALFORD RD./1000N"/>
    <n v="3"/>
    <s v="DS"/>
    <n v="27083.333333333332"/>
    <x v="3"/>
    <n v="10"/>
    <n v="7"/>
    <n v="1.5"/>
    <n v="9"/>
  </r>
  <r>
    <s v="G45"/>
    <s v="ALFORD RD./1100N"/>
    <s v="ALFORD RD./1100N"/>
    <m/>
    <s v="1100N"/>
    <s v="1000N"/>
    <n v="5340"/>
    <n v="20"/>
    <s v="AC"/>
    <s v="G"/>
    <n v="0"/>
    <n v="7"/>
    <n v="7"/>
    <n v="50"/>
    <n v="0"/>
    <s v="ALFORD RD./1100N"/>
    <n v="3"/>
    <s v="CS"/>
    <n v="15170.454545454546"/>
    <x v="3"/>
    <n v="10"/>
    <n v="7"/>
    <n v="1.5"/>
    <n v="9"/>
  </r>
  <r>
    <s v=""/>
    <s v="PINE COURT"/>
    <s v="PINE COURT"/>
    <s v="Colonial Heights"/>
    <s v="700 W"/>
    <s v="50 N"/>
    <n v="317"/>
    <n v="26"/>
    <s v="NC"/>
    <s v="BC"/>
    <n v="0"/>
    <n v="6"/>
    <n v="6"/>
    <n v="50"/>
    <n v="0"/>
    <s v="PINE COURT"/>
    <n v="4"/>
    <s v="CRACK"/>
    <n v="354.22348484848487"/>
    <x v="1"/>
    <n v="8"/>
    <n v="4"/>
    <n v="2"/>
    <n v="8"/>
  </r>
  <r>
    <s v=""/>
    <s v="ALLEN DRIVE"/>
    <s v="ALLEN DRIVE"/>
    <s v="Sugar Creek View"/>
    <s v="390 W"/>
    <s v="300 S"/>
    <n v="950"/>
    <n v="26"/>
    <s v="NC"/>
    <s v="SC"/>
    <n v="0"/>
    <n v="7"/>
    <n v="7"/>
    <n v="50"/>
    <n v="0"/>
    <s v="ALLEN DRIVE"/>
    <n v="3"/>
    <s v="CRACK"/>
    <n v="1061.5530303030303"/>
    <x v="2"/>
    <n v="10"/>
    <n v="4"/>
    <n v="1.5"/>
    <n v="7.5"/>
  </r>
  <r>
    <s v=""/>
    <s v="ALLEY(CHAR)/1050E"/>
    <s v="ALLEY(CHAR)/1050E"/>
    <m/>
    <s v="EAST ST"/>
    <s v="1050E"/>
    <n v="337"/>
    <n v="20"/>
    <s v="G"/>
    <s v="J"/>
    <n v="0"/>
    <n v="6"/>
    <n v="6"/>
    <n v="50"/>
    <n v="0"/>
    <s v="ALLEY(CHAR)/1050E"/>
    <n v="4"/>
    <s v="GG"/>
    <n v="893.56060606060601"/>
    <x v="0"/>
    <n v="8"/>
    <n v="1"/>
    <n v="2"/>
    <n v="0"/>
  </r>
  <r>
    <s v=""/>
    <s v="ALLEY(CHAR)/CAR RD"/>
    <s v="ALLEY(CHAR)/CAR RD"/>
    <m/>
    <s v="WEST ST"/>
    <s v="CARTHAGE RD"/>
    <n v="254"/>
    <n v="20"/>
    <s v="G"/>
    <s v="J"/>
    <n v="0"/>
    <n v="6"/>
    <n v="6"/>
    <n v="50"/>
    <n v="0"/>
    <s v="ALLEY(CHAR)/CAR RD"/>
    <n v="4"/>
    <s v="GG"/>
    <n v="673.4848484848485"/>
    <x v="0"/>
    <n v="8"/>
    <n v="1"/>
    <n v="2"/>
    <n v="0"/>
  </r>
  <r>
    <s v=""/>
    <s v="ALLEY(CHAR)/CH PKG"/>
    <s v="ALLEY(CHAR)/CH PKG"/>
    <m/>
    <s v="CARTHAGE RD"/>
    <s v="CHURCH PARKING LOT"/>
    <n v="268"/>
    <n v="20"/>
    <s v="G"/>
    <s v="J"/>
    <n v="0"/>
    <n v="6"/>
    <n v="6"/>
    <n v="50"/>
    <n v="0"/>
    <s v="ALLEY(CHAR)/CH PKG"/>
    <n v="4"/>
    <s v="GG"/>
    <n v="710.60606060606062"/>
    <x v="0"/>
    <n v="8"/>
    <n v="1"/>
    <n v="2"/>
    <n v="0"/>
  </r>
  <r>
    <s v=""/>
    <s v="ALLEY(CHAR)/EAST_A"/>
    <s v="ALLEY(CHAR)/EAST_A"/>
    <m/>
    <s v="CARTHAGE RD"/>
    <s v="EAST ST"/>
    <n v="360"/>
    <n v="20"/>
    <s v="G"/>
    <s v="J"/>
    <n v="0"/>
    <n v="6"/>
    <n v="6"/>
    <n v="50"/>
    <n v="0"/>
    <s v="ALLEY(CHAR)/EAST_A"/>
    <n v="4"/>
    <s v="GG"/>
    <n v="954.5454545454545"/>
    <x v="0"/>
    <n v="8"/>
    <n v="1"/>
    <n v="2"/>
    <n v="0"/>
  </r>
  <r>
    <s v=""/>
    <s v="ALLEY(CHAR)/EAST_B"/>
    <s v="ALLEY(CHAR)/EAST_B"/>
    <m/>
    <s v="CARTHAGE RD"/>
    <s v="EAST ST"/>
    <n v="360"/>
    <n v="20"/>
    <s v="G"/>
    <s v="J"/>
    <n v="0"/>
    <n v="6"/>
    <n v="6"/>
    <n v="50"/>
    <n v="0"/>
    <s v="ALLEY(CHAR)/EAST_B"/>
    <n v="4"/>
    <s v="GG"/>
    <n v="954.5454545454545"/>
    <x v="0"/>
    <n v="8"/>
    <n v="1"/>
    <n v="2"/>
    <n v="0"/>
  </r>
  <r>
    <s v=""/>
    <s v="ALLEY(CHAR)/EAST_C"/>
    <s v="ALLEY(CHAR)/EAST_C"/>
    <m/>
    <s v="MAIN ST"/>
    <s v="EAST ST"/>
    <n v="397"/>
    <n v="20"/>
    <s v="G"/>
    <s v="J"/>
    <n v="0"/>
    <n v="6"/>
    <n v="6"/>
    <n v="50"/>
    <n v="0"/>
    <s v="ALLEY(CHAR)/EAST_C"/>
    <n v="4"/>
    <s v="GG"/>
    <n v="1052.6515151515152"/>
    <x v="0"/>
    <n v="8"/>
    <n v="1"/>
    <n v="2"/>
    <n v="0"/>
  </r>
  <r>
    <s v=""/>
    <s v="ALLEY(CHAR)/EAST_D"/>
    <s v="ALLEY(CHAR)/EAST_D"/>
    <m/>
    <s v="CARTHAGE RD"/>
    <s v="EAST ST"/>
    <n v="360"/>
    <n v="20"/>
    <s v="G"/>
    <s v="J"/>
    <n v="0"/>
    <n v="6"/>
    <n v="5"/>
    <n v="50"/>
    <n v="0"/>
    <s v="ALLEY(CHAR)/EAST_D"/>
    <n v="5"/>
    <s v="GG"/>
    <n v="954.5454545454545"/>
    <x v="0"/>
    <n v="6"/>
    <n v="1"/>
    <n v="2"/>
    <n v="0"/>
  </r>
  <r>
    <s v=""/>
    <s v="ALLEY(CHAR)/EASTST"/>
    <s v="ALLEY(CHAR)/EASTST"/>
    <m/>
    <s v="CARTHAGE RD"/>
    <s v="EAST ST"/>
    <n v="360"/>
    <n v="20"/>
    <s v="G"/>
    <s v="J"/>
    <n v="0"/>
    <n v="6"/>
    <n v="4"/>
    <n v="50"/>
    <n v="0"/>
    <s v="ALLEY(CHAR)/EASTST"/>
    <n v="6"/>
    <s v="GG"/>
    <n v="954.5454545454545"/>
    <x v="0"/>
    <n v="3"/>
    <n v="1"/>
    <n v="2.5"/>
    <n v="0"/>
  </r>
  <r>
    <s v="BC90"/>
    <s v="200W/600N"/>
    <s v="200W/600N"/>
    <m/>
    <s v="600N"/>
    <s v="500N"/>
    <n v="5170"/>
    <n v="20"/>
    <s v="AC"/>
    <s v="BC"/>
    <n v="0"/>
    <n v="5"/>
    <n v="5"/>
    <n v="1210"/>
    <n v="0.5"/>
    <s v="200W"/>
    <n v="5.5"/>
    <s v="CS"/>
    <n v="14687.5"/>
    <x v="3"/>
    <n v="6"/>
    <n v="7"/>
    <n v="2"/>
    <n v="12"/>
  </r>
  <r>
    <s v="SC49"/>
    <s v="100S/JACOBI RD"/>
    <s v="100S/JACOBI RD"/>
    <m/>
    <s v="JACOBI Iroad"/>
    <s v="400W"/>
    <n v="5370"/>
    <n v="20"/>
    <s v="AC"/>
    <s v="SC"/>
    <n v="0"/>
    <n v="5"/>
    <n v="6"/>
    <n v="890"/>
    <n v="0.5"/>
    <s v="100S"/>
    <n v="4.5"/>
    <s v="CS"/>
    <n v="15255.681818181818"/>
    <x v="3"/>
    <n v="8"/>
    <n v="7"/>
    <n v="2"/>
    <n v="12"/>
  </r>
  <r>
    <s v="J16"/>
    <s v="250N/850E"/>
    <s v="250N/850E"/>
    <m/>
    <s v="800E"/>
    <s v="850E"/>
    <n v="2746"/>
    <n v="20"/>
    <s v="AC"/>
    <s v="J"/>
    <n v="0"/>
    <n v="5"/>
    <n v="6"/>
    <n v="883"/>
    <n v="0.5"/>
    <s v="250N"/>
    <n v="4.5"/>
    <s v="CS"/>
    <n v="7801.136363636364"/>
    <x v="3"/>
    <n v="8"/>
    <n v="7"/>
    <n v="2"/>
    <n v="12"/>
  </r>
  <r>
    <s v=""/>
    <s v="ALLEY(MAX)/JACKSON"/>
    <s v="ALLEY(MAX)/JACKSON"/>
    <m/>
    <s v="SR9"/>
    <s v="JACKSON ST"/>
    <n v="416"/>
    <n v="20"/>
    <s v="G"/>
    <s v="C"/>
    <n v="0"/>
    <n v="7"/>
    <n v="6"/>
    <n v="50"/>
    <n v="0"/>
    <s v="ALLEY(MAX)/JACKSON"/>
    <n v="4"/>
    <s v="GG"/>
    <n v="1103.030303030303"/>
    <x v="0"/>
    <n v="8"/>
    <n v="1"/>
    <n v="2"/>
    <n v="0"/>
  </r>
  <r>
    <s v=""/>
    <s v="ALLEY(MAX)/JACKtoE"/>
    <s v="ALLEY(MAX)/JACKtoE"/>
    <m/>
    <s v="JACKSON ST"/>
    <s v="END"/>
    <n v="244"/>
    <n v="20"/>
    <s v="G"/>
    <s v="C"/>
    <n v="0"/>
    <n v="7"/>
    <n v="6"/>
    <n v="50"/>
    <n v="0"/>
    <s v="ALLEY(MAX)/JACKtoE"/>
    <n v="4"/>
    <s v="GG"/>
    <n v="646.969696969697"/>
    <x v="0"/>
    <n v="8"/>
    <n v="1"/>
    <n v="2"/>
    <n v="0"/>
  </r>
  <r>
    <s v=""/>
    <s v="ALLEY(MAX)/JEFF ST"/>
    <s v="ALLEY(MAX)/JEFF ST"/>
    <m/>
    <s v="WASHINGTON ST"/>
    <s v="JEFFERSON ST"/>
    <n v="384"/>
    <n v="20"/>
    <s v="G"/>
    <s v="C"/>
    <n v="0"/>
    <n v="7"/>
    <n v="6"/>
    <n v="50"/>
    <n v="0"/>
    <s v="ALLEY(MAX)/JEFF ST"/>
    <n v="4"/>
    <s v="GG"/>
    <n v="1018.1818181818181"/>
    <x v="0"/>
    <n v="8"/>
    <n v="1"/>
    <n v="2"/>
    <n v="0"/>
  </r>
  <r>
    <s v=""/>
    <s v="ALLEY(MAX)/SR9toEN"/>
    <s v="ALLEY(MAX)/SR9toEN"/>
    <m/>
    <s v="SR9"/>
    <s v="END"/>
    <n v="330"/>
    <n v="20"/>
    <s v="G"/>
    <s v="C"/>
    <n v="0"/>
    <n v="7"/>
    <n v="6"/>
    <n v="50"/>
    <n v="0"/>
    <s v="ALLEY(MAX)/SR9toEN"/>
    <n v="4"/>
    <s v="GG"/>
    <n v="875"/>
    <x v="0"/>
    <n v="8"/>
    <n v="1"/>
    <n v="2"/>
    <n v="0"/>
  </r>
  <r>
    <s v=""/>
    <s v="ALLEY(MOH)/NEW ST"/>
    <s v="ALLEY(MOH)/NEW ST"/>
    <m/>
    <s v="200W"/>
    <s v="NEW ST"/>
    <n v="294"/>
    <n v="20"/>
    <s v="G"/>
    <s v="C"/>
    <n v="0"/>
    <n v="6"/>
    <n v="6"/>
    <n v="50"/>
    <n v="0"/>
    <s v="ALLEY(MOH)/NEW ST"/>
    <n v="4"/>
    <s v="GG"/>
    <n v="779.5454545454545"/>
    <x v="0"/>
    <n v="8"/>
    <n v="1"/>
    <n v="2"/>
    <n v="0"/>
  </r>
  <r>
    <s v=""/>
    <s v="ALLEY(PHILY)/PEARL"/>
    <s v="ALLEY(PHILY)/PEARL"/>
    <m/>
    <s v="PEARL ST"/>
    <s v="ALLEY"/>
    <n v="153"/>
    <n v="20"/>
    <s v="G"/>
    <s v="SC"/>
    <n v="0"/>
    <n v="7"/>
    <n v="6"/>
    <n v="50"/>
    <n v="0"/>
    <s v="ALLEY(PHILY)/PEARL"/>
    <n v="4"/>
    <s v="GG"/>
    <n v="405.68181818181819"/>
    <x v="0"/>
    <n v="8"/>
    <n v="1"/>
    <n v="2"/>
    <n v="0"/>
  </r>
  <r>
    <s v=""/>
    <s v="ALLEY(PHILY)/US40"/>
    <s v="ALLEY(PHILY)/US40"/>
    <m/>
    <s v="US40"/>
    <s v="WALNUT ST"/>
    <n v="465"/>
    <n v="20"/>
    <s v="G"/>
    <s v="SC"/>
    <n v="0"/>
    <n v="7"/>
    <n v="6"/>
    <n v="50"/>
    <n v="0"/>
    <s v="ALLEY(PHILY)/US40"/>
    <n v="4"/>
    <s v="GG"/>
    <n v="1232.9545454545455"/>
    <x v="0"/>
    <n v="8"/>
    <n v="1"/>
    <n v="2"/>
    <n v="0"/>
  </r>
  <r>
    <s v=""/>
    <s v="ALLEY(PHILY)/US40A"/>
    <s v="ALLEY(PHILY)/US40A"/>
    <m/>
    <s v="US40"/>
    <s v="WALNUT ST"/>
    <n v="459"/>
    <n v="20"/>
    <s v="G"/>
    <s v="SC"/>
    <n v="0"/>
    <n v="7"/>
    <n v="6"/>
    <n v="50"/>
    <n v="0"/>
    <s v="ALLEY(PHILY)/US40A"/>
    <n v="4"/>
    <s v="GG"/>
    <n v="1217.0454545454545"/>
    <x v="0"/>
    <n v="8"/>
    <n v="1"/>
    <n v="2"/>
    <n v="0"/>
  </r>
  <r>
    <s v=""/>
    <s v="AMELIA DRIVE"/>
    <s v="AMELIA DRIVE"/>
    <s v="Schildmeier Woods"/>
    <s v="700 W"/>
    <s v="400 S"/>
    <n v="1162"/>
    <n v="26"/>
    <s v="NC"/>
    <s v="SC"/>
    <n v="0"/>
    <n v="6"/>
    <n v="7"/>
    <n v="50"/>
    <n v="0"/>
    <s v="AMELIA DRIVE"/>
    <n v="3"/>
    <s v="CRACK"/>
    <n v="1298.4469696969697"/>
    <x v="2"/>
    <n v="10"/>
    <n v="4"/>
    <n v="1.5"/>
    <n v="7.5"/>
  </r>
  <r>
    <s v=""/>
    <s v="ANITA LANE"/>
    <s v="ANITA LANE"/>
    <s v="Wildwood Estates"/>
    <s v="200 W"/>
    <s v="50 N"/>
    <n v="1478"/>
    <n v="26"/>
    <s v="NC"/>
    <s v="SC"/>
    <n v="0"/>
    <n v="6"/>
    <n v="6"/>
    <n v="50"/>
    <n v="0"/>
    <s v="ANITA LANE"/>
    <n v="4"/>
    <s v="P"/>
    <n v="19594.696969696968"/>
    <x v="5"/>
    <n v="8"/>
    <n v="15"/>
    <n v="2"/>
    <n v="4"/>
  </r>
  <r>
    <s v=""/>
    <s v="ANTON WAY"/>
    <s v="ANTON WAY"/>
    <s v="Schildmeier Woods"/>
    <s v="700 W"/>
    <s v="400 S"/>
    <n v="2746"/>
    <n v="26"/>
    <s v="NC"/>
    <s v="SC"/>
    <n v="0"/>
    <n v="7"/>
    <n v="7"/>
    <n v="50"/>
    <n v="0"/>
    <s v="ANTON WAY"/>
    <n v="3"/>
    <s v="CRACK"/>
    <n v="3068.4469696969695"/>
    <x v="1"/>
    <n v="10"/>
    <n v="4"/>
    <n v="1.5"/>
    <n v="6"/>
  </r>
  <r>
    <s v=""/>
    <s v="APPLE CAVE COURT"/>
    <s v="APPLE CAVE COURT"/>
    <s v="Cornerstone Village"/>
    <s v="450 W"/>
    <s v="400 S"/>
    <n v="317"/>
    <n v="26"/>
    <s v="NC"/>
    <s v="SC"/>
    <n v="0"/>
    <n v="8"/>
    <n v="8"/>
    <n v="50"/>
    <n v="0"/>
    <s v="APPLE CAVE COURT"/>
    <n v="2"/>
    <s v="CRACK"/>
    <n v="354.22348484848487"/>
    <x v="4"/>
    <n v="12"/>
    <n v="4"/>
    <n v="1.5"/>
    <n v="1.5"/>
  </r>
  <r>
    <s v=""/>
    <s v="APPLEGATE DRIVE(S)"/>
    <s v="APPLEGATE DRIVE(S)"/>
    <s v="Countryside"/>
    <s v="500 W"/>
    <s v="375 S"/>
    <n v="2482"/>
    <n v="26"/>
    <s v="NC"/>
    <s v="SC"/>
    <n v="0"/>
    <n v="7"/>
    <n v="8"/>
    <n v="50"/>
    <n v="0"/>
    <s v="APPLEGATE DRIVE(S)"/>
    <n v="2"/>
    <s v="CRACK"/>
    <n v="2773.4469696969695"/>
    <x v="4"/>
    <n v="12"/>
    <n v="4"/>
    <n v="1.5"/>
    <n v="1.5"/>
  </r>
  <r>
    <s v=""/>
    <s v="ARBOR LANE"/>
    <s v="ARBOR LANE"/>
    <s v="Hilton Business Park"/>
    <s v="625 W"/>
    <s v="US 52"/>
    <n v="441"/>
    <n v="26"/>
    <s v="NC"/>
    <s v="SC"/>
    <n v="0"/>
    <n v="8"/>
    <n v="8"/>
    <n v="50"/>
    <n v="0"/>
    <s v="ARBOR LANE"/>
    <n v="2"/>
    <s v="CRACK"/>
    <n v="492.78409090909093"/>
    <x v="6"/>
    <n v="12"/>
    <n v="4"/>
    <n v="1.5"/>
    <n v="4.5"/>
  </r>
  <r>
    <s v="BC30"/>
    <s v="400N/600W"/>
    <s v="400N/600W"/>
    <m/>
    <s v="700W"/>
    <s v="600W"/>
    <n v="5390"/>
    <n v="20"/>
    <s v="AC"/>
    <s v="BC"/>
    <n v="0"/>
    <n v="4"/>
    <n v="6"/>
    <n v="785"/>
    <n v="0.5"/>
    <s v="400N"/>
    <n v="4.5"/>
    <s v="CS"/>
    <n v="15312.5"/>
    <x v="3"/>
    <n v="8"/>
    <n v="7"/>
    <n v="2"/>
    <n v="12"/>
  </r>
  <r>
    <s v="SC41"/>
    <s v="200S/425W"/>
    <s v="200S/425W"/>
    <m/>
    <s v="425W"/>
    <s v="500W"/>
    <n v="1426"/>
    <n v="20"/>
    <s v="AC"/>
    <s v="SC"/>
    <n v="0"/>
    <n v="5"/>
    <n v="5"/>
    <n v="693"/>
    <n v="0.5"/>
    <s v="200S"/>
    <n v="5.5"/>
    <s v="CS"/>
    <n v="4051.1363636363635"/>
    <x v="3"/>
    <n v="6"/>
    <n v="7"/>
    <n v="2"/>
    <n v="12"/>
  </r>
  <r>
    <s v=""/>
    <s v="ASHLEY DRIVE(S)"/>
    <s v="ASHLEY DRIVE(S)"/>
    <s v="BoMar Manor"/>
    <s v="SR 9"/>
    <s v="250 S"/>
    <n v="528"/>
    <n v="26"/>
    <s v="NC"/>
    <s v="BW"/>
    <n v="0"/>
    <n v="7"/>
    <n v="7"/>
    <n v="50"/>
    <n v="0"/>
    <s v="ASHLEY DRIVE(S)"/>
    <n v="3"/>
    <s v="CRACK"/>
    <n v="590"/>
    <x v="0"/>
    <n v="10"/>
    <n v="4"/>
    <n v="1.5"/>
    <n v="0"/>
  </r>
  <r>
    <s v=""/>
    <s v="ATTLEBURG DRIVE(N)"/>
    <s v="ATTLEBURG DRIVE(N)"/>
    <s v="Easton At Stansbury"/>
    <s v="660 W"/>
    <s v="600 N"/>
    <n v="2218"/>
    <n v="26"/>
    <s v="NC"/>
    <s v="BC"/>
    <n v="0"/>
    <n v="7"/>
    <n v="8"/>
    <n v="50"/>
    <n v="0"/>
    <s v="ATTLEBURG DRIVE(N)"/>
    <n v="2"/>
    <s v="CRACK"/>
    <n v="2478.4469696969695"/>
    <x v="5"/>
    <n v="12"/>
    <n v="4"/>
    <n v="1.5"/>
    <n v="3"/>
  </r>
  <r>
    <s v=""/>
    <s v="BALFER DRIVE EAST"/>
    <s v="BALFER DRIVE EAST"/>
    <s v="East Gate"/>
    <s v="100 W"/>
    <s v="1000 N"/>
    <n v="1267"/>
    <n v="26"/>
    <s v="NC"/>
    <s v="V"/>
    <n v="0"/>
    <n v="7"/>
    <n v="6"/>
    <n v="50"/>
    <n v="0"/>
    <s v="BALFER DRIVE EAST"/>
    <n v="4"/>
    <s v="CRACK"/>
    <n v="1415.7765151515152"/>
    <x v="5"/>
    <n v="8"/>
    <n v="4"/>
    <n v="2"/>
    <n v="4"/>
  </r>
  <r>
    <s v=""/>
    <s v="BALFER DRIVE WEST"/>
    <s v="BALFER DRIVE WEST"/>
    <s v="East Gate"/>
    <s v="100 W"/>
    <s v="1000 N"/>
    <n v="1267"/>
    <n v="26"/>
    <s v="NC"/>
    <s v="V"/>
    <n v="0"/>
    <n v="7"/>
    <n v="6"/>
    <n v="50"/>
    <n v="0"/>
    <s v="BALFER DRIVE WEST"/>
    <n v="4"/>
    <s v="CRACK"/>
    <n v="1415.7765151515152"/>
    <x v="5"/>
    <n v="8"/>
    <n v="4"/>
    <n v="2"/>
    <n v="4"/>
  </r>
  <r>
    <s v=""/>
    <s v="BANTON CIRCLE"/>
    <s v="BANTON CIRCLE"/>
    <s v="Fox Cove"/>
    <s v="740 W"/>
    <s v="200 S"/>
    <n v="634"/>
    <n v="26"/>
    <s v="NC"/>
    <s v="SC"/>
    <n v="0"/>
    <n v="7"/>
    <n v="7"/>
    <n v="50"/>
    <n v="0"/>
    <s v="BANTON CIRCLE"/>
    <n v="3"/>
    <s v="CRACK"/>
    <n v="708.44696969696975"/>
    <x v="5"/>
    <n v="10"/>
    <n v="4"/>
    <n v="1.5"/>
    <n v="3"/>
  </r>
  <r>
    <s v="G50"/>
    <s v="BARNARD RD./1000N"/>
    <s v="BARNARD RD./1000N"/>
    <m/>
    <s v="900N"/>
    <s v="1000N"/>
    <n v="6593"/>
    <n v="20"/>
    <s v="CS"/>
    <s v="G"/>
    <n v="0"/>
    <n v="7"/>
    <n v="7"/>
    <n v="50"/>
    <n v="0"/>
    <s v="BARNARD RD."/>
    <n v="3"/>
    <s v="DS"/>
    <n v="31216.85606060606"/>
    <x v="3"/>
    <n v="10"/>
    <n v="7"/>
    <n v="1.5"/>
    <n v="9"/>
  </r>
  <r>
    <s v="G51"/>
    <s v="BARNARD RD./1100N"/>
    <s v="BARNARD RD./1100N"/>
    <m/>
    <s v="1000N"/>
    <s v="1100N"/>
    <n v="5610"/>
    <n v="20"/>
    <s v="AC"/>
    <s v="G"/>
    <n v="0"/>
    <n v="7"/>
    <n v="7"/>
    <n v="50"/>
    <n v="0"/>
    <s v="BARNARD RD."/>
    <n v="3"/>
    <s v="CS"/>
    <n v="15937.5"/>
    <x v="3"/>
    <n v="10"/>
    <n v="7"/>
    <n v="1.5"/>
    <n v="9"/>
  </r>
  <r>
    <s v=""/>
    <s v="BARNWOOD DRIVE(W)"/>
    <s v="BARNWOOD DRIVE(W)"/>
    <s v="Countryside"/>
    <s v="500 W"/>
    <s v="375 S"/>
    <n v="1056"/>
    <n v="26"/>
    <s v="NC"/>
    <s v="SC"/>
    <n v="0"/>
    <n v="7"/>
    <n v="8"/>
    <n v="50"/>
    <n v="0"/>
    <s v="BARNWOOD DRIVE(W)"/>
    <n v="2"/>
    <s v="CRACK"/>
    <n v="1180"/>
    <x v="4"/>
    <n v="12"/>
    <n v="4"/>
    <n v="1.5"/>
    <n v="1.5"/>
  </r>
  <r>
    <s v=""/>
    <s v="BAYWOOD DR (W)"/>
    <s v="BAYWOOD DR (W)"/>
    <s v="Stinemyer Crossing"/>
    <s v="570 W"/>
    <s v="STINEMEYER ROAD"/>
    <n v="1056"/>
    <n v="26"/>
    <s v="NC"/>
    <s v="SC"/>
    <n v="0"/>
    <n v="7"/>
    <n v="8"/>
    <n v="50"/>
    <n v="0"/>
    <s v="BAYWOOD DR (W)"/>
    <n v="2"/>
    <s v="CRACK"/>
    <n v="1180"/>
    <x v="4"/>
    <n v="12"/>
    <n v="4"/>
    <n v="1.5"/>
    <n v="1.5"/>
  </r>
  <r>
    <s v=""/>
    <s v="BEECH TREE (N)"/>
    <s v="BEECH TREE (N)"/>
    <s v="Stinemyer Crossing"/>
    <s v="SR 9"/>
    <s v="570 N"/>
    <n v="634"/>
    <n v="26"/>
    <s v="NC"/>
    <s v="C"/>
    <n v="0"/>
    <n v="7"/>
    <n v="7"/>
    <n v="50"/>
    <n v="0"/>
    <s v="BEECH TREE (N)"/>
    <n v="3"/>
    <s v="CRACK"/>
    <n v="708.44696969696975"/>
    <x v="4"/>
    <n v="10"/>
    <n v="4"/>
    <n v="1.5"/>
    <n v="1.5"/>
  </r>
  <r>
    <s v="BC37"/>
    <s v="500N/400W"/>
    <s v="500N/400W"/>
    <m/>
    <s v="400W"/>
    <s v="500W"/>
    <n v="5491"/>
    <n v="20"/>
    <s v="AC"/>
    <s v="BC"/>
    <n v="0"/>
    <n v="5"/>
    <n v="6"/>
    <n v="655"/>
    <n v="0.5"/>
    <s v="500N"/>
    <n v="4.5"/>
    <s v="CS"/>
    <n v="15599.431818181818"/>
    <x v="3"/>
    <n v="8"/>
    <n v="7"/>
    <n v="2"/>
    <n v="12"/>
  </r>
  <r>
    <s v=""/>
    <s v="BENJAMIN PLACE (N)"/>
    <s v="BENJAMIN PLACE (N)"/>
    <s v="Stansbury"/>
    <s v="680 W"/>
    <s v="600 N"/>
    <n v="1267"/>
    <n v="26"/>
    <s v="NC"/>
    <s v="C"/>
    <n v="0"/>
    <n v="7"/>
    <n v="8"/>
    <n v="50"/>
    <n v="0"/>
    <s v="BENJAMIN PLACE (N)"/>
    <n v="2"/>
    <s v="CRACK"/>
    <n v="1415.7765151515152"/>
    <x v="1"/>
    <n v="12"/>
    <n v="4"/>
    <n v="1.5"/>
    <n v="6"/>
  </r>
  <r>
    <s v=""/>
    <s v="BERLANDER ROAD"/>
    <s v="BERLANDER ROAD"/>
    <s v="New Palestine Village"/>
    <s v="550 W"/>
    <s v="300 S"/>
    <n v="898"/>
    <n v="26"/>
    <s v="NC"/>
    <s v="SC"/>
    <n v="0"/>
    <n v="7"/>
    <n v="6"/>
    <n v="50"/>
    <n v="0"/>
    <s v="BERLANDER ROAD"/>
    <n v="4"/>
    <s v="P"/>
    <n v="11905.30303030303"/>
    <x v="0"/>
    <n v="8"/>
    <n v="15"/>
    <n v="2"/>
    <n v="0"/>
  </r>
  <r>
    <s v="C40"/>
    <s v="500N/FORTVILLE PK"/>
    <s v="500N/FORTVILLE PK"/>
    <m/>
    <s v="200W"/>
    <s v="FORTVILLE PK."/>
    <n v="4530"/>
    <n v="20"/>
    <s v="AC"/>
    <s v="C"/>
    <n v="0"/>
    <n v="5"/>
    <n v="6"/>
    <n v="560"/>
    <n v="0.5"/>
    <s v="500N"/>
    <n v="4.5"/>
    <s v="CS"/>
    <n v="12869.318181818182"/>
    <x v="3"/>
    <n v="8"/>
    <n v="7"/>
    <n v="2"/>
    <n v="12"/>
  </r>
  <r>
    <s v=""/>
    <s v="BIRDSONG COURT"/>
    <s v="BIRDSONG COURT"/>
    <s v="Ridgewood"/>
    <s v="JACOBI ROAD"/>
    <s v="150 S"/>
    <n v="422"/>
    <n v="26"/>
    <s v="NC"/>
    <s v="SC"/>
    <n v="0"/>
    <n v="7"/>
    <n v="7"/>
    <n v="50"/>
    <n v="0"/>
    <s v="BIRDSONG COURT"/>
    <n v="3"/>
    <s v="CRACK"/>
    <n v="471.55303030303031"/>
    <x v="1"/>
    <n v="10"/>
    <n v="4"/>
    <n v="1.5"/>
    <n v="6"/>
  </r>
  <r>
    <s v=""/>
    <s v="BIRDSONG DRIVE"/>
    <s v="BIRDSONG DRIVE"/>
    <s v="Ridgewood"/>
    <s v="JACOBI ROAD"/>
    <s v="150 S"/>
    <n v="1003"/>
    <n v="26"/>
    <s v="NC"/>
    <s v="SC"/>
    <n v="0"/>
    <n v="7"/>
    <n v="7"/>
    <n v="50"/>
    <n v="0"/>
    <s v="BIRDSONG DRIVE"/>
    <n v="3"/>
    <s v="CRACK"/>
    <n v="1120.7765151515152"/>
    <x v="1"/>
    <n v="10"/>
    <n v="4"/>
    <n v="1.5"/>
    <n v="6"/>
  </r>
  <r>
    <s v=""/>
    <s v="BITTNER LANE"/>
    <s v="BITTNER LANE"/>
    <s v="Bittner Woods"/>
    <s v="450 W"/>
    <s v="560 S"/>
    <n v="1320"/>
    <n v="26"/>
    <s v="NC"/>
    <s v="SC"/>
    <n v="0"/>
    <n v="7"/>
    <n v="8"/>
    <n v="50"/>
    <n v="0"/>
    <s v="BITTNER LANE"/>
    <n v="2"/>
    <s v="CRACK"/>
    <n v="1475"/>
    <x v="0"/>
    <n v="12"/>
    <n v="4"/>
    <n v="1.5"/>
    <n v="0"/>
  </r>
  <r>
    <s v=""/>
    <s v="BLACKBERRY CT(S)"/>
    <s v="BLACKBERRY CT(S)"/>
    <s v="Stinemyer Crossing"/>
    <s v="570 W"/>
    <s v="STINEMEYER ROAD"/>
    <n v="1795"/>
    <n v="26"/>
    <s v="NC"/>
    <s v="SC"/>
    <n v="0"/>
    <n v="7"/>
    <n v="8"/>
    <n v="50"/>
    <n v="0"/>
    <s v="BLACKBERRY CT(S)"/>
    <n v="2"/>
    <s v="CRACK"/>
    <n v="2005.7765151515152"/>
    <x v="4"/>
    <n v="12"/>
    <n v="4"/>
    <n v="1.5"/>
    <n v="1.5"/>
  </r>
  <r>
    <s v=""/>
    <s v="BLUE BELL DRIVE"/>
    <s v="BLUE BELL DRIVE"/>
    <s v="Wood Dale"/>
    <s v="560 W"/>
    <s v="100 S"/>
    <n v="422"/>
    <n v="26"/>
    <s v="NC"/>
    <s v="SC"/>
    <n v="0"/>
    <n v="7"/>
    <n v="8"/>
    <n v="50"/>
    <n v="0"/>
    <s v="BLUE BELL DRIVE"/>
    <n v="2"/>
    <s v="CRACK"/>
    <n v="471.55303030303031"/>
    <x v="5"/>
    <n v="12"/>
    <n v="4"/>
    <n v="1.5"/>
    <n v="3"/>
  </r>
  <r>
    <s v=""/>
    <s v="BLUE SPRUCE CT (N)"/>
    <s v="BLUE SPRUCE CT (N)"/>
    <s v="Sugar Creek Valley Estates"/>
    <s v="275 W"/>
    <s v="100 N"/>
    <n v="370"/>
    <n v="26"/>
    <s v="NC"/>
    <s v="BC"/>
    <n v="0"/>
    <n v="7"/>
    <n v="7"/>
    <n v="50"/>
    <n v="0"/>
    <s v="BLUE SPRUCE CT (N)"/>
    <n v="3"/>
    <s v="CRACK"/>
    <n v="413.44696969696969"/>
    <x v="0"/>
    <n v="10"/>
    <n v="4"/>
    <n v="1.5"/>
    <n v="0"/>
  </r>
  <r>
    <s v=""/>
    <s v="BLUEBELL DRIVE"/>
    <s v="BLUEBELL DRIVE"/>
    <s v="Gem Meadows"/>
    <s v="500 W"/>
    <s v="525 S"/>
    <n v="1373"/>
    <n v="26"/>
    <s v="NC"/>
    <s v="SC"/>
    <n v="0"/>
    <n v="7"/>
    <n v="7"/>
    <n v="50"/>
    <n v="0"/>
    <s v="BLUEBELL DRIVE"/>
    <n v="3"/>
    <s v="CRACK"/>
    <n v="1534.2234848484848"/>
    <x v="1"/>
    <n v="10"/>
    <n v="4"/>
    <n v="1.5"/>
    <n v="6"/>
  </r>
  <r>
    <s v="V99"/>
    <s v="50W/1100N"/>
    <s v="50W/1100N"/>
    <m/>
    <s v="1050N"/>
    <s v="1100N"/>
    <n v="2693"/>
    <n v="20"/>
    <s v="AC"/>
    <s v="V"/>
    <n v="0"/>
    <n v="5"/>
    <n v="6"/>
    <n v="535"/>
    <n v="0.5"/>
    <s v="50W"/>
    <n v="4.5"/>
    <s v="CS"/>
    <n v="7650.568181818182"/>
    <x v="3"/>
    <n v="8"/>
    <n v="7"/>
    <n v="2"/>
    <n v="12"/>
  </r>
  <r>
    <s v=""/>
    <s v="BOMAR CIRCLE"/>
    <s v="BOMAR CIRCLE"/>
    <s v="BoMar Manor"/>
    <s v="SR 9"/>
    <s v="250 S"/>
    <n v="317"/>
    <n v="26"/>
    <s v="NC"/>
    <s v="BW"/>
    <n v="0"/>
    <n v="7"/>
    <n v="7"/>
    <n v="50"/>
    <n v="0"/>
    <s v="BOMAR CIRCLE"/>
    <n v="3"/>
    <s v="CRACK"/>
    <n v="354.22348484848487"/>
    <x v="0"/>
    <n v="10"/>
    <n v="4"/>
    <n v="1.5"/>
    <n v="0"/>
  </r>
  <r>
    <s v="B07"/>
    <s v="650N/THOMAS RD."/>
    <s v="650N/THOMAS RD."/>
    <m/>
    <s v="600E"/>
    <s v="THOMAS RD."/>
    <n v="1076"/>
    <n v="20"/>
    <s v="AC"/>
    <s v="B"/>
    <n v="0"/>
    <n v="5"/>
    <n v="6"/>
    <n v="478"/>
    <n v="0"/>
    <s v="650N"/>
    <n v="4"/>
    <s v="CS"/>
    <n v="3056.818181818182"/>
    <x v="3"/>
    <n v="8"/>
    <n v="7"/>
    <n v="2"/>
    <n v="12"/>
  </r>
  <r>
    <s v=""/>
    <s v="BOULDER CREEK COURT(W)"/>
    <s v="BOULDER CREEK COURT(W)"/>
    <s v="Boulder Creek"/>
    <s v="600 W"/>
    <s v="300 S"/>
    <n v="475"/>
    <n v="26"/>
    <s v="NC"/>
    <s v="SC"/>
    <n v="0"/>
    <n v="7"/>
    <n v="8"/>
    <n v="50"/>
    <n v="0"/>
    <s v="BOULDER CREEK COURT(W)"/>
    <n v="2"/>
    <s v="CRACK"/>
    <n v="530.77651515151513"/>
    <x v="0"/>
    <n v="12"/>
    <n v="4"/>
    <n v="1.5"/>
    <n v="0"/>
  </r>
  <r>
    <s v=""/>
    <s v="BOULDER CREEK DRIVE(W)"/>
    <s v="BOULDER CREEK DRIVE(W)"/>
    <s v="Boulder Creek"/>
    <s v="600 W"/>
    <s v="300 S"/>
    <n v="1214"/>
    <n v="26"/>
    <s v="NC"/>
    <s v="SC"/>
    <n v="0"/>
    <n v="7"/>
    <n v="8"/>
    <n v="50"/>
    <n v="0"/>
    <s v="BOULDER CREEK DRIVE(W)"/>
    <n v="2"/>
    <s v="CRACK"/>
    <n v="1356.5530303030303"/>
    <x v="0"/>
    <n v="12"/>
    <n v="4"/>
    <n v="1.5"/>
    <n v="0"/>
  </r>
  <r>
    <s v=""/>
    <s v="BOULDER CREEK LANE(S)"/>
    <s v="BOULDER CREEK LANE(S)"/>
    <s v="Boulder Creek"/>
    <s v="600 W"/>
    <s v="300 S"/>
    <n v="739"/>
    <n v="26"/>
    <s v="NC"/>
    <s v="SC"/>
    <n v="0"/>
    <n v="7"/>
    <n v="8"/>
    <n v="50"/>
    <n v="0"/>
    <s v="BOULDER CREEK LANE(S)"/>
    <n v="2"/>
    <s v="CRACK"/>
    <n v="825.77651515151513"/>
    <x v="0"/>
    <n v="12"/>
    <n v="4"/>
    <n v="1.5"/>
    <n v="0"/>
  </r>
  <r>
    <s v="B09"/>
    <s v="650N/700E"/>
    <s v="650N/700E"/>
    <m/>
    <s v="MAIN ST."/>
    <s v="700E"/>
    <n v="3340"/>
    <n v="20"/>
    <s v="AC"/>
    <s v="B"/>
    <n v="0"/>
    <n v="5"/>
    <n v="7"/>
    <n v="456"/>
    <n v="0"/>
    <s v="650N"/>
    <n v="3"/>
    <s v="CS"/>
    <n v="9488.636363636364"/>
    <x v="3"/>
    <n v="10"/>
    <n v="7"/>
    <n v="1.5"/>
    <n v="9"/>
  </r>
  <r>
    <s v="C81"/>
    <s v="450E/400N"/>
    <s v="450E/400N"/>
    <m/>
    <s v="400N"/>
    <s v="300N"/>
    <n v="5320"/>
    <n v="20"/>
    <s v="CS"/>
    <s v="C"/>
    <n v="0"/>
    <n v="4"/>
    <n v="4"/>
    <n v="447"/>
    <n v="0"/>
    <s v="450E"/>
    <n v="6"/>
    <s v="CS"/>
    <n v="15113.636363636364"/>
    <x v="3"/>
    <n v="3"/>
    <n v="7"/>
    <n v="2.5"/>
    <n v="15"/>
  </r>
  <r>
    <s v="G34"/>
    <s v="1000N/SR9"/>
    <s v="1000N/SR9"/>
    <m/>
    <s v="SR9"/>
    <s v="ALFORD RD."/>
    <n v="3062"/>
    <n v="20"/>
    <s v="AC"/>
    <s v="G"/>
    <n v="0"/>
    <n v="5"/>
    <n v="6"/>
    <n v="427"/>
    <n v="0"/>
    <s v="1000N"/>
    <n v="4"/>
    <s v="CS"/>
    <n v="8698.863636363636"/>
    <x v="3"/>
    <n v="8"/>
    <n v="7"/>
    <n v="2"/>
    <n v="12"/>
  </r>
  <r>
    <s v="BR26"/>
    <s v="300S/900E"/>
    <s v="300S/900E"/>
    <m/>
    <s v="800E"/>
    <s v="900E"/>
    <n v="5435"/>
    <n v="20"/>
    <s v="AC"/>
    <s v="BR"/>
    <n v="0"/>
    <n v="5"/>
    <n v="6"/>
    <n v="398"/>
    <n v="0"/>
    <s v="300S"/>
    <n v="4"/>
    <s v="CS"/>
    <n v="15440.34090909091"/>
    <x v="3"/>
    <n v="8"/>
    <n v="7"/>
    <n v="2"/>
    <n v="12"/>
  </r>
  <r>
    <s v=""/>
    <s v="BRIAR PARK VIEW(W)"/>
    <s v="BRIAR PARK VIEW(W)"/>
    <s v="Briarwood Trace"/>
    <s v="700 W"/>
    <s v="225 S"/>
    <n v="1478"/>
    <n v="26"/>
    <s v="NC"/>
    <s v="SC"/>
    <n v="0"/>
    <n v="7"/>
    <n v="7"/>
    <n v="50"/>
    <n v="0"/>
    <s v="BRIAR PARK VIEW(W)"/>
    <n v="3"/>
    <s v="CRACK"/>
    <n v="1651.5530303030303"/>
    <x v="0"/>
    <n v="10"/>
    <n v="4"/>
    <n v="1.5"/>
    <n v="0"/>
  </r>
  <r>
    <s v=""/>
    <s v="BRIARWOOD BLVD(W)"/>
    <s v="BRIARWOOD BLVD(W)"/>
    <s v="Briarwood Trace"/>
    <s v="700 W"/>
    <s v="225 S"/>
    <n v="792"/>
    <n v="26"/>
    <s v="NC"/>
    <s v="SC"/>
    <n v="0"/>
    <n v="7"/>
    <n v="7"/>
    <n v="50"/>
    <n v="0"/>
    <s v="BRIARWOOD BLVD(W)"/>
    <n v="3"/>
    <s v="CRACK"/>
    <n v="885"/>
    <x v="0"/>
    <n v="10"/>
    <n v="4"/>
    <n v="1.5"/>
    <n v="0"/>
  </r>
  <r>
    <s v=""/>
    <s v="BRIER CREEK COURT"/>
    <s v="BRIER CREEK COURT"/>
    <s v="Brier Creek"/>
    <s v="700 W"/>
    <s v="100 S"/>
    <n v="898"/>
    <n v="26"/>
    <s v="NC"/>
    <s v="SC"/>
    <n v="0"/>
    <n v="7"/>
    <n v="7"/>
    <n v="50"/>
    <n v="0"/>
    <s v="BRIER COURT"/>
    <n v="3"/>
    <s v="CRACK"/>
    <n v="1003.4469696969697"/>
    <x v="0"/>
    <n v="10"/>
    <n v="4"/>
    <n v="1.5"/>
    <n v="0"/>
  </r>
  <r>
    <s v=""/>
    <s v="BRIER CREEK DRIVE"/>
    <s v="BRIER CREEK DRIVE"/>
    <s v="Brier Creek"/>
    <s v="700 W"/>
    <s v="100 S"/>
    <n v="2534"/>
    <n v="26"/>
    <s v="NC"/>
    <s v="SC"/>
    <n v="0"/>
    <n v="7"/>
    <n v="7"/>
    <n v="50"/>
    <n v="0"/>
    <s v="BRIER CREEK DRIVE"/>
    <n v="3"/>
    <s v="CRACK"/>
    <n v="2831.5530303030305"/>
    <x v="0"/>
    <n v="10"/>
    <n v="4"/>
    <n v="1.5"/>
    <n v="0"/>
  </r>
  <r>
    <s v=""/>
    <s v="BRISTOL WAY"/>
    <s v="BRISTOL WAY"/>
    <s v="Bristol Ridge"/>
    <s v="800 W"/>
    <s v="250 S"/>
    <n v="1056"/>
    <n v="26"/>
    <s v="NC"/>
    <s v="SC"/>
    <n v="0"/>
    <n v="8"/>
    <n v="8"/>
    <n v="50"/>
    <n v="0"/>
    <s v="BRISTOL WAY"/>
    <n v="2"/>
    <s v="CRACK"/>
    <n v="1180"/>
    <x v="0"/>
    <n v="12"/>
    <n v="4"/>
    <n v="1.5"/>
    <n v="0"/>
  </r>
  <r>
    <s v="BR24"/>
    <s v="300S/BINFORD RD"/>
    <s v="300S/BINFORD RD"/>
    <m/>
    <s v="700E"/>
    <s v="BINFORD ROAD"/>
    <n v="1015"/>
    <n v="20"/>
    <s v="AC"/>
    <s v="BR"/>
    <n v="0"/>
    <n v="5"/>
    <n v="5"/>
    <n v="383"/>
    <n v="0"/>
    <s v="300S"/>
    <n v="5"/>
    <s v="CS"/>
    <n v="2883.5227272727275"/>
    <x v="3"/>
    <n v="6"/>
    <n v="7"/>
    <n v="2"/>
    <n v="12"/>
  </r>
  <r>
    <s v=""/>
    <s v="BROKEN ARROW DRIVE(S)"/>
    <s v="BROKEN ARROW DRIVE(S)"/>
    <m/>
    <s v="600 W"/>
    <s v="125 S"/>
    <n v="1656"/>
    <n v="20"/>
    <s v="C"/>
    <s v="SC"/>
    <n v="0"/>
    <n v="6"/>
    <n v="6"/>
    <n v="50"/>
    <n v="0"/>
    <s v="BROKEN ARROW DRIVE(S)"/>
    <n v="4"/>
    <s v="MICRO"/>
    <n v="15681.818181818182"/>
    <x v="4"/>
    <n v="8"/>
    <n v="10"/>
    <n v="2"/>
    <n v="2"/>
  </r>
  <r>
    <s v="BR05"/>
    <s v="550S/800E"/>
    <s v="550S/800E"/>
    <m/>
    <s v="575E"/>
    <s v="800E"/>
    <n v="11555"/>
    <n v="20"/>
    <s v="CS"/>
    <s v="BR"/>
    <n v="0"/>
    <n v="4"/>
    <n v="5"/>
    <n v="339"/>
    <n v="0"/>
    <s v="550S"/>
    <n v="5"/>
    <s v="CS"/>
    <n v="32826.704545454544"/>
    <x v="3"/>
    <n v="6"/>
    <n v="7"/>
    <n v="2"/>
    <n v="12"/>
  </r>
  <r>
    <s v=""/>
    <s v="BROOKLAWN DRIVE"/>
    <s v="BROOKLAWN DRIVE"/>
    <s v="Brookville Heights"/>
    <s v="560 W"/>
    <s v="US 52"/>
    <n v="2059"/>
    <n v="26"/>
    <s v="NC"/>
    <s v="SC"/>
    <n v="0"/>
    <n v="4"/>
    <n v="10"/>
    <n v="50"/>
    <n v="0"/>
    <s v="BROOKLAWN DRIVE"/>
    <n v="0"/>
    <s v="CRACK"/>
    <n v="2300.776515151515"/>
    <x v="3"/>
    <n v="16"/>
    <n v="4"/>
    <n v="0.5"/>
    <n v="3"/>
  </r>
  <r>
    <s v="B01"/>
    <s v="600N/MAIN ST."/>
    <s v="600N/MAIN ST."/>
    <m/>
    <s v="600E"/>
    <s v="MAIN ST."/>
    <n v="1620"/>
    <n v="20"/>
    <s v="AC"/>
    <s v="B"/>
    <n v="0"/>
    <n v="5"/>
    <n v="5"/>
    <n v="333"/>
    <n v="0"/>
    <s v="600N"/>
    <n v="5"/>
    <s v="CS"/>
    <n v="4602.272727272727"/>
    <x v="3"/>
    <n v="6"/>
    <n v="7"/>
    <n v="2"/>
    <n v="12"/>
  </r>
  <r>
    <s v=""/>
    <s v="BUCK CREEK COURT"/>
    <s v="BUCK CREEK COURT"/>
    <s v="Buck Creek Meadows"/>
    <s v="700 W"/>
    <s v="100 N"/>
    <n v="158"/>
    <n v="26"/>
    <s v="NC"/>
    <s v="BC"/>
    <n v="0"/>
    <n v="6"/>
    <n v="7"/>
    <n v="50"/>
    <n v="0"/>
    <s v="BUCK CREEK COURT"/>
    <n v="3"/>
    <s v="MICRO"/>
    <n v="1496.2121212121212"/>
    <x v="0"/>
    <n v="10"/>
    <n v="10"/>
    <n v="1.5"/>
    <n v="0"/>
  </r>
  <r>
    <s v="BC47"/>
    <s v="BUCK CREEK RD/200N"/>
    <s v="BUCK CREEK RD/200N"/>
    <m/>
    <s v="200N"/>
    <s v="SR70"/>
    <n v="530"/>
    <n v="20"/>
    <s v="AC"/>
    <s v="BC"/>
    <n v="0"/>
    <n v="7"/>
    <n v="9"/>
    <n v="50"/>
    <n v="0"/>
    <s v="BUCK CREEK RD/200N"/>
    <n v="1"/>
    <s v="CS"/>
    <n v="1505.6818181818182"/>
    <x v="3"/>
    <n v="14"/>
    <n v="7"/>
    <n v="1"/>
    <n v="6"/>
  </r>
  <r>
    <s v=""/>
    <s v="BUCKEYE DR (W)"/>
    <s v="BUCKEYE DR (W)"/>
    <s v="Sugar Creek Valley Estates"/>
    <s v="275 W"/>
    <s v="100 N"/>
    <n v="1214"/>
    <n v="26"/>
    <s v="NC"/>
    <s v="BC"/>
    <n v="0"/>
    <n v="7"/>
    <n v="7"/>
    <n v="50"/>
    <n v="0"/>
    <s v="BUCKEYE DR (W)"/>
    <n v="3"/>
    <s v="CRACK"/>
    <n v="1356.5530303030303"/>
    <x v="0"/>
    <n v="10"/>
    <n v="4"/>
    <n v="1.5"/>
    <n v="0"/>
  </r>
  <r>
    <m/>
    <s v="BUCKEYE LANE (N)"/>
    <s v="BUCKEYE LANE (N)"/>
    <s v="Sugar Creek Valley Estates"/>
    <s v="275 W"/>
    <s v="100 N"/>
    <n v="581"/>
    <n v="26"/>
    <s v="NC"/>
    <s v="BC"/>
    <n v="0"/>
    <n v="7"/>
    <n v="7"/>
    <n v="50"/>
    <n v="0"/>
    <s v="BUCKEYE LANE (N)"/>
    <n v="3"/>
    <s v="CRACK"/>
    <n v="649.22348484848487"/>
    <x v="0"/>
    <n v="10"/>
    <n v="4"/>
    <n v="1.5"/>
    <n v="0"/>
  </r>
  <r>
    <s v=""/>
    <s v="BUCKSKIN COURT"/>
    <s v="BUCKSKIN COURT"/>
    <s v="Doe Creek Estates"/>
    <s v="625 W"/>
    <s v="300 S"/>
    <n v="317"/>
    <n v="26"/>
    <s v="NC"/>
    <s v="SC"/>
    <n v="0"/>
    <n v="7"/>
    <n v="6"/>
    <n v="50"/>
    <n v="0"/>
    <s v="BUCKSKIN COURT"/>
    <n v="4"/>
    <s v="CRACK"/>
    <n v="354.22348484848487"/>
    <x v="4"/>
    <n v="8"/>
    <n v="4"/>
    <n v="2"/>
    <n v="2"/>
  </r>
  <r>
    <s v=""/>
    <s v="BURLINGTON DRIVE(W)"/>
    <s v="BURLINGTON DRIVE(W)"/>
    <s v="Stansbury"/>
    <s v="680 W"/>
    <s v="600 N"/>
    <n v="1056"/>
    <n v="26"/>
    <s v="NC"/>
    <s v="BC"/>
    <n v="0"/>
    <n v="8"/>
    <n v="8"/>
    <n v="50"/>
    <n v="0"/>
    <s v="BURLINGTON DRIVE(W)"/>
    <n v="2"/>
    <s v="CRACK"/>
    <n v="1180"/>
    <x v="1"/>
    <n v="12"/>
    <n v="4"/>
    <n v="1.5"/>
    <n v="6"/>
  </r>
  <r>
    <s v=""/>
    <s v="BURR OAK DRIVE"/>
    <s v="BURR OAK DRIVE"/>
    <s v="Twin Oaks"/>
    <s v="SR 9"/>
    <s v="570 N"/>
    <n v="370"/>
    <n v="26"/>
    <s v="NC"/>
    <s v="C"/>
    <n v="0"/>
    <n v="7"/>
    <n v="8"/>
    <n v="50"/>
    <n v="0"/>
    <s v="BUR OAK DRIVE"/>
    <n v="2"/>
    <s v="CRACK"/>
    <n v="413.44696969696969"/>
    <x v="4"/>
    <n v="12"/>
    <n v="4"/>
    <n v="1.5"/>
    <n v="1.5"/>
  </r>
  <r>
    <s v=""/>
    <s v="BUTTERCUP DRIVE"/>
    <s v="BUTTERCUP DRIVE"/>
    <s v="Gem Meadows"/>
    <s v="500 W"/>
    <s v="125 S"/>
    <n v="1531"/>
    <n v="26"/>
    <s v="NC"/>
    <s v="SC"/>
    <n v="0"/>
    <n v="7"/>
    <n v="8"/>
    <n v="50"/>
    <n v="0"/>
    <s v="BUTTERCUP DRIVE"/>
    <n v="2"/>
    <s v="CRACK"/>
    <n v="1710.7765151515152"/>
    <x v="1"/>
    <n v="12"/>
    <n v="4"/>
    <n v="1.5"/>
    <n v="6"/>
  </r>
  <r>
    <s v=""/>
    <s v="CAMERON LANE"/>
    <s v="CAMERON LANE"/>
    <s v="Cranberry Lake Estates"/>
    <s v="SR 9"/>
    <s v="350 N"/>
    <n v="422"/>
    <n v="26"/>
    <s v="NC"/>
    <s v="C"/>
    <n v="0"/>
    <n v="7"/>
    <n v="7"/>
    <n v="50"/>
    <n v="0"/>
    <s v="CAMERON LANE"/>
    <n v="3"/>
    <s v="CRACK"/>
    <n v="471.55303030303031"/>
    <x v="5"/>
    <n v="10"/>
    <n v="4"/>
    <n v="1.5"/>
    <n v="3"/>
  </r>
  <r>
    <s v=""/>
    <s v="CARIBOU CIRCLE"/>
    <s v="CARIBOU CIRCLE"/>
    <s v="Deer Run"/>
    <s v="600 W"/>
    <s v="350 S"/>
    <n v="264"/>
    <n v="26"/>
    <s v="NC"/>
    <s v="SC"/>
    <n v="0"/>
    <n v="5"/>
    <n v="6"/>
    <n v="50"/>
    <n v="0"/>
    <s v="DEER RUN DRIVE"/>
    <n v="4"/>
    <s v="MICRO"/>
    <n v="2500"/>
    <x v="0"/>
    <n v="8"/>
    <n v="10"/>
    <n v="2"/>
    <n v="0"/>
  </r>
  <r>
    <s v=""/>
    <s v="CARRIAGE DRIVE"/>
    <s v="CARRIAGE DRIVE"/>
    <s v="Southern Knoll"/>
    <s v="500 W"/>
    <s v="560 S"/>
    <n v="317"/>
    <n v="26"/>
    <s v="NC"/>
    <s v="SC"/>
    <n v="0"/>
    <n v="7"/>
    <n v="5"/>
    <n v="50"/>
    <n v="0"/>
    <s v="CARRIAGE DRIVE"/>
    <n v="5"/>
    <s v="P"/>
    <n v="4202.651515151515"/>
    <x v="0"/>
    <n v="6"/>
    <n v="15"/>
    <n v="2"/>
    <n v="0"/>
  </r>
  <r>
    <s v=""/>
    <s v="CARRIE DRIVE"/>
    <s v="CARRIE DRIVE"/>
    <s v="Schildmeier Woods"/>
    <s v="700 W"/>
    <s v="400 S"/>
    <n v="2904"/>
    <n v="26"/>
    <s v="NC"/>
    <s v="SC"/>
    <n v="0"/>
    <n v="6"/>
    <n v="6"/>
    <n v="50"/>
    <n v="0"/>
    <s v="CARRIE DRIVE"/>
    <n v="4"/>
    <s v="MICRO"/>
    <n v="27500"/>
    <x v="0"/>
    <n v="8"/>
    <n v="10"/>
    <n v="2"/>
    <n v="0"/>
  </r>
  <r>
    <s v=""/>
    <s v="CARTHAGE RD/US40"/>
    <s v="CARTHAGE RD/US40"/>
    <m/>
    <s v="US40"/>
    <s v="COUNTY LINE"/>
    <n v="1774"/>
    <n v="20"/>
    <s v="AC"/>
    <s v="J"/>
    <n v="0"/>
    <n v="6"/>
    <n v="4"/>
    <n v="50"/>
    <n v="0"/>
    <s v="CARTHAGE RD/US40"/>
    <n v="6"/>
    <s v="DS"/>
    <n v="8399.621212121212"/>
    <x v="3"/>
    <n v="3"/>
    <n v="7"/>
    <n v="2.5"/>
    <n v="15"/>
  </r>
  <r>
    <s v=""/>
    <s v="CASEY LANE(E)"/>
    <s v="CASEY LANE(E)"/>
    <s v="Cranberry Lake Estates"/>
    <s v="SR 9"/>
    <s v="350 N"/>
    <n v="2693"/>
    <n v="26"/>
    <s v="NC"/>
    <s v="C"/>
    <n v="0"/>
    <n v="7"/>
    <n v="7"/>
    <n v="50"/>
    <n v="0"/>
    <s v="CASEY LANE(E)"/>
    <n v="3"/>
    <s v="CRACK"/>
    <n v="3009.223484848485"/>
    <x v="5"/>
    <n v="10"/>
    <n v="4"/>
    <n v="1.5"/>
    <n v="3"/>
  </r>
  <r>
    <s v=""/>
    <s v="CATALINA DRIVE EAST"/>
    <s v="CATALINA DRIVE EAST"/>
    <s v="Charlamore Woods"/>
    <s v="480 W"/>
    <s v="100 S"/>
    <n v="686"/>
    <n v="26"/>
    <s v="NC"/>
    <s v="BC"/>
    <n v="0"/>
    <n v="7"/>
    <n v="7"/>
    <n v="50"/>
    <n v="0"/>
    <s v="CATALINA DRIVE EAST"/>
    <n v="3"/>
    <s v="CRACK"/>
    <n v="766.55303030303025"/>
    <x v="4"/>
    <n v="10"/>
    <n v="4"/>
    <n v="1.5"/>
    <n v="1.5"/>
  </r>
  <r>
    <s v=""/>
    <s v="CATALINA DRIVE SOUTH"/>
    <s v="CATALINA DRIVE SOUTH"/>
    <s v="Charlamore Woods"/>
    <s v="480 W"/>
    <s v="100 S"/>
    <n v="792"/>
    <n v="26"/>
    <s v="NC"/>
    <s v="BC"/>
    <n v="0"/>
    <n v="7"/>
    <n v="7"/>
    <n v="50"/>
    <n v="0"/>
    <s v="CATALINA DRIVE SOUTH"/>
    <n v="3"/>
    <s v="CRACK"/>
    <n v="885"/>
    <x v="4"/>
    <n v="10"/>
    <n v="4"/>
    <n v="1.5"/>
    <n v="1.5"/>
  </r>
  <r>
    <s v=""/>
    <s v="CATALINA DRIVE WEST"/>
    <s v="CATALINA DRIVE WEST"/>
    <s v="Charlamore Woods"/>
    <s v="480 W"/>
    <s v="100 S"/>
    <n v="528"/>
    <n v="26"/>
    <s v="NC"/>
    <s v="BC"/>
    <n v="0"/>
    <n v="7"/>
    <n v="7"/>
    <n v="50"/>
    <n v="0"/>
    <s v="CATALINA DRIVE WEST"/>
    <n v="3"/>
    <s v="CRACK"/>
    <n v="590"/>
    <x v="4"/>
    <n v="10"/>
    <n v="4"/>
    <n v="1.5"/>
    <n v="1.5"/>
  </r>
  <r>
    <s v=""/>
    <s v="CENTER (FIN)/100W"/>
    <s v="CENTER (FIN)/100W"/>
    <m/>
    <s v="GREENFIELD ST"/>
    <s v="100W"/>
    <n v="898"/>
    <n v="20"/>
    <s v="AC"/>
    <s v="BW"/>
    <n v="0"/>
    <n v="7"/>
    <n v="7"/>
    <n v="50"/>
    <n v="0"/>
    <s v="CENTER (FIN)/100W"/>
    <n v="3"/>
    <s v="CS"/>
    <n v="2551.1363636363635"/>
    <x v="3"/>
    <n v="10"/>
    <n v="7"/>
    <n v="1.5"/>
    <n v="9"/>
  </r>
  <r>
    <s v=""/>
    <s v="CENTER ST(MAX)JEFF"/>
    <s v="CENTER ST(MAX)JEFF"/>
    <m/>
    <s v="SOUTH ST"/>
    <s v="JEFFERSON ST"/>
    <n v="720"/>
    <n v="20"/>
    <s v="CS"/>
    <s v="C"/>
    <n v="0"/>
    <n v="7"/>
    <n v="6"/>
    <n v="50"/>
    <n v="0"/>
    <s v="CENTER ST(MAX)JEFF"/>
    <n v="4"/>
    <s v="DS"/>
    <n v="3409.090909090909"/>
    <x v="3"/>
    <n v="8"/>
    <n v="7"/>
    <n v="2"/>
    <n v="12"/>
  </r>
  <r>
    <s v=""/>
    <s v="CENTER ST(PHIL)/VI"/>
    <s v="CENTER ST(PHIL)/VI"/>
    <m/>
    <s v="VINE ST"/>
    <s v="ALLEY"/>
    <n v="264"/>
    <n v="20"/>
    <s v="AC"/>
    <s v="SC"/>
    <n v="0"/>
    <n v="7"/>
    <n v="6"/>
    <n v="50"/>
    <n v="0"/>
    <s v="CENTER ST(PHIL)/VI"/>
    <n v="4"/>
    <s v="CS"/>
    <n v="750"/>
    <x v="3"/>
    <n v="8"/>
    <n v="7"/>
    <n v="2"/>
    <n v="12"/>
  </r>
  <r>
    <s v=""/>
    <s v="CENTRAL DRIVE"/>
    <s v="CENTRAL DRIVE"/>
    <s v="East Gate"/>
    <s v="100 W"/>
    <s v="1000 N"/>
    <n v="370"/>
    <n v="26"/>
    <s v="NC"/>
    <s v="V"/>
    <n v="0"/>
    <n v="7"/>
    <n v="6"/>
    <n v="50"/>
    <n v="0"/>
    <s v="CENTRAL DRIVE"/>
    <n v="4"/>
    <s v="CRACK"/>
    <n v="413.44696969696969"/>
    <x v="5"/>
    <n v="8"/>
    <n v="4"/>
    <n v="2"/>
    <n v="4"/>
  </r>
  <r>
    <s v=""/>
    <s v="CHARLESTON WAY(W)"/>
    <s v="CHARLESTON WAY(W)"/>
    <s v="Stansbury"/>
    <s v="680 W"/>
    <s v="600 N"/>
    <n v="686"/>
    <n v="26"/>
    <s v="NC"/>
    <s v="BC"/>
    <n v="0"/>
    <n v="7"/>
    <n v="8"/>
    <n v="50"/>
    <n v="0"/>
    <s v="CHARLESTON WAY(W)"/>
    <n v="2"/>
    <s v="CRACK"/>
    <n v="766.55303030303025"/>
    <x v="1"/>
    <n v="12"/>
    <n v="4"/>
    <n v="1.5"/>
    <n v="6"/>
  </r>
  <r>
    <s v=""/>
    <s v="CHERRY TREE (N)"/>
    <s v="CHERRY TREE (N)"/>
    <s v="Twin Oaks"/>
    <s v="SR 9"/>
    <s v="570 N"/>
    <n v="264"/>
    <n v="26"/>
    <s v="NC"/>
    <s v="C"/>
    <n v="0"/>
    <n v="7"/>
    <n v="8"/>
    <n v="50"/>
    <n v="0"/>
    <s v="CHERRY TREE (N)"/>
    <n v="2"/>
    <s v="CRACK"/>
    <n v="295"/>
    <x v="4"/>
    <n v="12"/>
    <n v="4"/>
    <n v="1.5"/>
    <n v="1.5"/>
  </r>
  <r>
    <s v=""/>
    <s v="CHESTNUT ST(MOH)/E"/>
    <s v="CHESTNUT ST(MOH)/E"/>
    <m/>
    <s v="400N"/>
    <s v="END"/>
    <n v="588"/>
    <n v="20"/>
    <s v="AC"/>
    <s v="C"/>
    <n v="0"/>
    <n v="6"/>
    <n v="4"/>
    <n v="50"/>
    <n v="0"/>
    <s v="CHESTNUT ST(MOH)/E"/>
    <n v="6"/>
    <s v="DS"/>
    <n v="2784.090909090909"/>
    <x v="0"/>
    <n v="3"/>
    <n v="7"/>
    <n v="2.5"/>
    <n v="0"/>
  </r>
  <r>
    <s v=""/>
    <s v="CHRISTIAN DRIVE"/>
    <s v="CHRISTIAN DRIVE"/>
    <s v="Schildmeier Woods"/>
    <s v="700 W"/>
    <s v="400 S"/>
    <n v="1584"/>
    <n v="26"/>
    <s v="NC"/>
    <s v="SC"/>
    <n v="0"/>
    <n v="6"/>
    <n v="7"/>
    <n v="50"/>
    <n v="0"/>
    <s v="CHRISTIAN DRIVE"/>
    <n v="3"/>
    <s v="MICRO"/>
    <n v="15000"/>
    <x v="0"/>
    <n v="10"/>
    <n v="10"/>
    <n v="1.5"/>
    <n v="0"/>
  </r>
  <r>
    <s v=""/>
    <s v="CLUBHOUSE DRIVE"/>
    <s v="CLUBHOUSE DRIVE"/>
    <s v="Arrowhead"/>
    <s v="400 E"/>
    <s v="600 N"/>
    <n v="686"/>
    <n v="26"/>
    <s v="NC"/>
    <s v="C"/>
    <n v="0"/>
    <n v="7"/>
    <n v="7"/>
    <n v="50"/>
    <n v="0"/>
    <s v="CLUBHOUSE DRIVE"/>
    <n v="3"/>
    <s v="CRACK"/>
    <n v="766.55303030303025"/>
    <x v="0"/>
    <n v="10"/>
    <n v="4"/>
    <n v="1.5"/>
    <n v="0"/>
  </r>
  <r>
    <s v=""/>
    <s v="COLONIAL DRIVE"/>
    <s v="COLONIAL DRIVE"/>
    <s v="Colonial Heights"/>
    <s v="700 W"/>
    <s v="50 N"/>
    <n v="1531"/>
    <n v="26"/>
    <s v="NC"/>
    <s v="BC"/>
    <n v="0"/>
    <n v="4"/>
    <n v="7"/>
    <n v="50"/>
    <n v="0"/>
    <s v="COLONIAL DRIVE"/>
    <n v="3"/>
    <s v="P"/>
    <n v="20297.348484848484"/>
    <x v="4"/>
    <n v="10"/>
    <n v="15"/>
    <n v="1.5"/>
    <n v="1.5"/>
  </r>
  <r>
    <m/>
    <s v="COLTON COURT"/>
    <s v="COLTON COURT"/>
    <s v="Village Green"/>
    <m/>
    <m/>
    <n v="159"/>
    <n v="26"/>
    <s v="NC"/>
    <s v="SC"/>
    <n v="0"/>
    <m/>
    <n v="9"/>
    <n v="50"/>
    <n v="0"/>
    <s v="COLTON COURT"/>
    <n v="1"/>
    <s v="P"/>
    <n v="2107.9545454545455"/>
    <x v="2"/>
    <n v="14"/>
    <n v="15"/>
    <n v="1"/>
    <n v="5"/>
  </r>
  <r>
    <m/>
    <s v="COLTON RD"/>
    <s v="COLTON RD"/>
    <s v="Village Green"/>
    <m/>
    <m/>
    <n v="1246"/>
    <m/>
    <s v="NC"/>
    <s v="SC"/>
    <n v="0"/>
    <m/>
    <n v="9"/>
    <n v="50"/>
    <n v="0"/>
    <s v="COLTON RD"/>
    <n v="1"/>
    <s v="P"/>
    <n v="16518.939393939392"/>
    <x v="2"/>
    <n v="14"/>
    <n v="15"/>
    <n v="1"/>
    <n v="5"/>
  </r>
  <r>
    <s v=""/>
    <s v="COMMERCIAL PARKWAY"/>
    <s v="COMMERCIAL PARKWAY"/>
    <s v="Mt. Comfort Commercial Park"/>
    <s v="650 W"/>
    <s v="400 N"/>
    <n v="845"/>
    <n v="26"/>
    <s v="NC"/>
    <s v="BC"/>
    <n v="0"/>
    <n v="8"/>
    <n v="7"/>
    <n v="50"/>
    <n v="0"/>
    <s v="CHARLESTON WAY(W)"/>
    <n v="3"/>
    <s v="CRACK"/>
    <n v="944.22348484848487"/>
    <x v="6"/>
    <n v="10"/>
    <n v="4"/>
    <n v="1.5"/>
    <n v="4.5"/>
  </r>
  <r>
    <s v=""/>
    <s v="CORNERSTONE DRIVE(W)"/>
    <s v="CORNERSTONE DRIVE(W)"/>
    <s v="Cornerstone Village"/>
    <s v="450 W"/>
    <s v="400 S"/>
    <n v="898"/>
    <n v="26"/>
    <s v="NC"/>
    <s v="SC"/>
    <n v="0"/>
    <n v="7"/>
    <n v="8"/>
    <n v="50"/>
    <n v="0"/>
    <s v="CHARLESTON WAY(W)"/>
    <n v="2"/>
    <s v="CRACK"/>
    <n v="1003.4469696969697"/>
    <x v="4"/>
    <n v="12"/>
    <n v="4"/>
    <n v="1.5"/>
    <n v="1.5"/>
  </r>
  <r>
    <s v=""/>
    <s v="COTTONWOOD DR"/>
    <s v="COTTONWOOD DR"/>
    <s v="Creek Ridge Place"/>
    <s v="175 E"/>
    <s v="475 N"/>
    <n v="581"/>
    <n v="26"/>
    <s v="NC"/>
    <s v="C"/>
    <n v="0"/>
    <n v="6"/>
    <n v="6"/>
    <n v="50"/>
    <n v="0"/>
    <s v="COTTONWOOD DR"/>
    <n v="4"/>
    <s v="NHP"/>
    <n v="1815.625"/>
    <x v="5"/>
    <n v="8"/>
    <n v="6"/>
    <n v="2"/>
    <n v="4"/>
  </r>
  <r>
    <m/>
    <s v="COUNTRY LANE"/>
    <s v="COUNTRY LANE"/>
    <s v="Shady Creek"/>
    <s v="200W"/>
    <s v="US40"/>
    <n v="1162"/>
    <m/>
    <s v="NC"/>
    <s v="C"/>
    <n v="0"/>
    <m/>
    <n v="10"/>
    <n v="50"/>
    <n v="0"/>
    <s v="COUNTRY LANE"/>
    <n v="0"/>
    <s v="P"/>
    <n v="15405.30303030303"/>
    <x v="1"/>
    <n v="16"/>
    <n v="15"/>
    <n v="0.5"/>
    <n v="2"/>
  </r>
  <r>
    <s v=""/>
    <s v="COUNTRY LANE DRIVE"/>
    <s v="COUNTRY LANE DRIVE"/>
    <s v="Shady Creek"/>
    <s v="200 W"/>
    <s v="US 40"/>
    <n v="1267"/>
    <n v="26"/>
    <s v="NC"/>
    <s v="C"/>
    <n v="0"/>
    <n v="7"/>
    <n v="7"/>
    <n v="50"/>
    <n v="0"/>
    <s v="COUNTRY LANE DRIVE"/>
    <n v="3"/>
    <s v="CRACK"/>
    <n v="1415.7765151515152"/>
    <x v="1"/>
    <n v="10"/>
    <n v="4"/>
    <n v="1.5"/>
    <n v="6"/>
  </r>
  <r>
    <s v=""/>
    <s v="COUNTRY MILL DRIVE"/>
    <s v="COUNTRY MILL DRIVE"/>
    <s v="Country Mill"/>
    <s v="SR 9"/>
    <s v="470 N"/>
    <n v="950"/>
    <n v="26"/>
    <s v="NC"/>
    <s v="C"/>
    <n v="0"/>
    <n v="7"/>
    <n v="8"/>
    <n v="50"/>
    <n v="0"/>
    <s v="COUNTRY MILL DRIVE"/>
    <n v="2"/>
    <s v="CRACK"/>
    <n v="1061.5530303030303"/>
    <x v="4"/>
    <n v="12"/>
    <n v="4"/>
    <n v="1.5"/>
    <n v="1.5"/>
  </r>
  <r>
    <s v=""/>
    <s v="COUNTRY TRAIL(E)"/>
    <s v="COUNTRY TRAIL(E)"/>
    <s v="BoMar Manor"/>
    <s v="SR 9"/>
    <s v="250 S"/>
    <n v="369"/>
    <n v="26"/>
    <s v="NC"/>
    <s v="BW"/>
    <n v="0"/>
    <n v="7"/>
    <n v="7"/>
    <n v="50"/>
    <n v="0"/>
    <s v="COUNTRY TRAIL(E)"/>
    <n v="3"/>
    <s v="CRACK"/>
    <n v="412.32954545454544"/>
    <x v="0"/>
    <n v="10"/>
    <n v="4"/>
    <n v="1.5"/>
    <n v="0"/>
  </r>
  <r>
    <s v=""/>
    <s v="COUNTRY WAY"/>
    <s v="COUNTRY WAY"/>
    <s v="Countryside"/>
    <s v="500 W"/>
    <s v="375 S"/>
    <n v="1584"/>
    <n v="26"/>
    <s v="NC"/>
    <s v="SC"/>
    <n v="0"/>
    <n v="6"/>
    <n v="8"/>
    <n v="50"/>
    <n v="0"/>
    <s v="COUNTRY WAY"/>
    <n v="2"/>
    <s v="NHP"/>
    <n v="4950"/>
    <x v="4"/>
    <n v="12"/>
    <n v="6"/>
    <n v="1.5"/>
    <n v="1.5"/>
  </r>
  <r>
    <s v=""/>
    <s v="COUNTRYSIDE COURT"/>
    <s v="COUNTRYSIDE COURT"/>
    <s v="Countryside"/>
    <s v="500 W"/>
    <s v="375 S"/>
    <n v="686"/>
    <n v="26"/>
    <s v="NC"/>
    <s v="SC"/>
    <n v="0"/>
    <n v="6"/>
    <n v="8"/>
    <n v="50"/>
    <n v="0"/>
    <s v="COUNTRYSIDE COURT"/>
    <n v="2"/>
    <s v="NHP"/>
    <n v="2143.75"/>
    <x v="4"/>
    <n v="12"/>
    <n v="6"/>
    <n v="1.5"/>
    <n v="1.5"/>
  </r>
  <r>
    <s v=""/>
    <s v="COUNTRYSIDE DRIVE"/>
    <s v="COUNTRYSIDE DRIVE"/>
    <s v="Countryside"/>
    <s v="500 W"/>
    <s v="375 S"/>
    <n v="1162"/>
    <n v="26"/>
    <s v="NC"/>
    <s v="SC"/>
    <n v="0"/>
    <n v="6"/>
    <n v="8"/>
    <n v="50"/>
    <n v="0"/>
    <s v="COUNTRYSIDE DRIVE"/>
    <n v="2"/>
    <s v="NHP"/>
    <n v="3631.25"/>
    <x v="4"/>
    <n v="12"/>
    <n v="6"/>
    <n v="1.5"/>
    <n v="1.5"/>
  </r>
  <r>
    <s v=""/>
    <s v="CRANBERRY DRIVE"/>
    <s v="CRANBERRY DRIVE"/>
    <s v="Cranberry Lake Estates"/>
    <s v="175 E"/>
    <s v="350 N"/>
    <n v="7128"/>
    <n v="26"/>
    <s v="NC"/>
    <s v="C"/>
    <n v="0"/>
    <n v="6"/>
    <n v="7"/>
    <n v="50"/>
    <n v="0"/>
    <s v="CRANBERRY DRIVE"/>
    <n v="3"/>
    <s v="SP/CS"/>
    <n v="54000"/>
    <x v="5"/>
    <n v="10"/>
    <n v="10"/>
    <n v="1.5"/>
    <n v="3"/>
  </r>
  <r>
    <s v=""/>
    <s v="CREEK RIDGE DRIVE(W)"/>
    <s v="CREEK RIDGE DRIVE(W)"/>
    <s v="Cranberry Lake Estates"/>
    <s v="100 W"/>
    <s v="500 S"/>
    <n v="1056"/>
    <n v="26"/>
    <s v="NC"/>
    <s v="BW"/>
    <n v="0"/>
    <n v="7"/>
    <n v="9"/>
    <n v="50"/>
    <n v="0"/>
    <s v="CREEK RIDGE DRIVE(W)"/>
    <n v="1"/>
    <s v="CRACK"/>
    <n v="1180"/>
    <x v="5"/>
    <n v="14"/>
    <n v="4"/>
    <n v="1"/>
    <n v="2"/>
  </r>
  <r>
    <s v=""/>
    <s v="CREEKSIDE COURT"/>
    <s v="CREEKSIDE COURT"/>
    <s v="Schildmeier Woods"/>
    <s v="700 W"/>
    <s v="400 S"/>
    <n v="422"/>
    <n v="26"/>
    <s v="NC"/>
    <s v="SC"/>
    <n v="0"/>
    <n v="7"/>
    <n v="7"/>
    <n v="50"/>
    <n v="0"/>
    <s v="CREEKSIDE COURT"/>
    <n v="3"/>
    <s v="CRACK"/>
    <n v="471.55303030303031"/>
    <x v="1"/>
    <n v="10"/>
    <n v="4"/>
    <n v="1.5"/>
    <n v="6"/>
  </r>
  <r>
    <s v=""/>
    <s v="CREEKSIDE DR (N)"/>
    <s v="CREEKSIDE DR (N)"/>
    <s v="Schildmeier Woods"/>
    <s v="275 W"/>
    <s v="100 N"/>
    <n v="422"/>
    <n v="26"/>
    <s v="NC"/>
    <s v="BC"/>
    <n v="0"/>
    <n v="7"/>
    <n v="7"/>
    <n v="50"/>
    <n v="0"/>
    <s v="CREEKSIDE DR (N)"/>
    <n v="3"/>
    <s v="P"/>
    <n v="5594.69696969697"/>
    <x v="0"/>
    <n v="10"/>
    <n v="15"/>
    <n v="1.5"/>
    <n v="0"/>
  </r>
  <r>
    <s v=""/>
    <s v="CREEKSIDE DR (W)"/>
    <s v="CREEKSIDE DR (W)"/>
    <s v="Schildmeier Woods"/>
    <s v="275 W"/>
    <s v="100 N"/>
    <n v="2059"/>
    <n v="26"/>
    <s v="NC"/>
    <s v="BC"/>
    <n v="0"/>
    <n v="7"/>
    <n v="7"/>
    <n v="50"/>
    <n v="0"/>
    <s v="CREEKSIDE DR (W)"/>
    <n v="3"/>
    <s v="P"/>
    <n v="27297.348484848484"/>
    <x v="0"/>
    <n v="10"/>
    <n v="15"/>
    <n v="1.5"/>
    <n v="0"/>
  </r>
  <r>
    <s v=""/>
    <s v="CREEKSIDE DRIVE"/>
    <s v="CREEKSIDE DRIVE"/>
    <s v="Schildmeier Woods"/>
    <s v="700 W"/>
    <s v="400 S"/>
    <n v="5702"/>
    <n v="26"/>
    <s v="NC"/>
    <s v="SC"/>
    <n v="0"/>
    <n v="7"/>
    <n v="7"/>
    <n v="50"/>
    <n v="0"/>
    <s v="CREEKSIDE DRIVE"/>
    <n v="3"/>
    <s v="P"/>
    <n v="75594.696969696975"/>
    <x v="0"/>
    <n v="10"/>
    <n v="15"/>
    <n v="1.5"/>
    <n v="0"/>
  </r>
  <r>
    <s v=""/>
    <s v="CREEKVIEW DRIVE"/>
    <s v="CREEKVIEW DRIVE"/>
    <s v="Sugar Creek Valley Estates"/>
    <s v="275 W"/>
    <s v="100 N"/>
    <n v="2087"/>
    <m/>
    <s v="NC"/>
    <s v="BC"/>
    <n v="0"/>
    <m/>
    <n v="7"/>
    <n v="50"/>
    <n v="0"/>
    <m/>
    <m/>
    <s v="CRACK"/>
    <n v="2332.064393939394"/>
    <x v="0"/>
    <n v="10"/>
    <n v="4"/>
    <n v="1.5"/>
    <n v="0"/>
  </r>
  <r>
    <s v=""/>
    <s v="CROSS TRAIL (W)"/>
    <s v="CROSS TRAIL (W)"/>
    <s v="Willow Grove"/>
    <s v="700 W"/>
    <s v="350 S"/>
    <n v="528"/>
    <n v="26"/>
    <s v="NC"/>
    <s v="SC"/>
    <n v="0"/>
    <n v="7"/>
    <n v="7"/>
    <n v="50"/>
    <n v="0"/>
    <s v="CROSS TRAIL (W)"/>
    <n v="3"/>
    <s v="CRACK"/>
    <n v="590"/>
    <x v="6"/>
    <n v="10"/>
    <n v="4"/>
    <n v="1.5"/>
    <n v="4.5"/>
  </r>
  <r>
    <s v=""/>
    <s v="CUB BOULEVARD"/>
    <s v="CUB BOULEVARD"/>
    <s v="Fox Cove"/>
    <s v="700 W"/>
    <s v="140 S"/>
    <n v="1109"/>
    <n v="26"/>
    <s v="NC"/>
    <s v="SC"/>
    <n v="0"/>
    <n v="7"/>
    <n v="7"/>
    <n v="50"/>
    <n v="0"/>
    <s v="CUB BOULEVARD"/>
    <n v="3"/>
    <s v="CRACK"/>
    <n v="1239.2234848484848"/>
    <x v="5"/>
    <n v="10"/>
    <n v="4"/>
    <n v="1.5"/>
    <n v="3"/>
  </r>
  <r>
    <s v=""/>
    <s v="DAISY LANE"/>
    <s v="DAISY LANE"/>
    <s v="Gem Meadows"/>
    <s v="500 W"/>
    <s v="100 S"/>
    <n v="3168"/>
    <n v="26"/>
    <s v="NC"/>
    <s v="SC"/>
    <n v="0"/>
    <n v="7"/>
    <n v="8"/>
    <n v="50"/>
    <n v="0"/>
    <s v="DAISY LANE"/>
    <n v="2"/>
    <s v="CRACK"/>
    <n v="3540"/>
    <x v="1"/>
    <n v="12"/>
    <n v="4"/>
    <n v="1.5"/>
    <n v="6"/>
  </r>
  <r>
    <s v=""/>
    <s v="DECKSHIRE LANE"/>
    <s v="DECKSHIRE LANE"/>
    <s v="Deckshire"/>
    <s v="1200 E"/>
    <s v="310 N"/>
    <n v="1031"/>
    <n v="26"/>
    <s v="NC"/>
    <s v="B"/>
    <n v="0"/>
    <n v="7"/>
    <n v="6"/>
    <n v="50"/>
    <n v="0"/>
    <s v="DECKSHIRE LANE"/>
    <n v="4"/>
    <s v="CRACK"/>
    <n v="1152.064393939394"/>
    <x v="5"/>
    <n v="8"/>
    <n v="4"/>
    <n v="2"/>
    <n v="4"/>
  </r>
  <r>
    <m/>
    <s v="DEER LANE (N)"/>
    <s v="DEER LANE (N)"/>
    <s v="Sugar Creek Valley Estates"/>
    <s v="275 W"/>
    <s v="100 N"/>
    <n v="475"/>
    <n v="26"/>
    <s v="NC"/>
    <s v="BC"/>
    <n v="0"/>
    <n v="7"/>
    <n v="7"/>
    <n v="50"/>
    <n v="0"/>
    <s v="DEER LANE (N)"/>
    <n v="3"/>
    <s v="CRACK"/>
    <n v="530.77651515151513"/>
    <x v="0"/>
    <n v="10"/>
    <n v="4"/>
    <n v="1.5"/>
    <n v="0"/>
  </r>
  <r>
    <s v=""/>
    <s v="DEER RUN DRIVE"/>
    <s v="DEER RUN DRIVE"/>
    <s v="Deer Run"/>
    <s v="600 W"/>
    <s v="350 S"/>
    <n v="1426"/>
    <n v="26"/>
    <s v="NC"/>
    <s v="SC"/>
    <n v="0"/>
    <n v="5"/>
    <n v="6"/>
    <n v="50"/>
    <n v="0"/>
    <s v="DEER RUN DRIVE"/>
    <n v="4"/>
    <s v="MICRO"/>
    <n v="13503.787878787878"/>
    <x v="0"/>
    <n v="8"/>
    <n v="10"/>
    <n v="2"/>
    <n v="0"/>
  </r>
  <r>
    <s v=""/>
    <s v="DEERFIELD DRIVE"/>
    <s v="DEERFIELD DRIVE"/>
    <s v="Hunters Chase"/>
    <s v="300 N"/>
    <s v="775 W"/>
    <n v="2534"/>
    <n v="26"/>
    <s v="NC"/>
    <s v="BC"/>
    <n v="0"/>
    <n v="6"/>
    <n v="6"/>
    <n v="50"/>
    <n v="0"/>
    <s v="DEERFIELD DRIVE"/>
    <n v="4"/>
    <s v="NHP"/>
    <n v="7918.75"/>
    <x v="6"/>
    <n v="8"/>
    <n v="6"/>
    <n v="2"/>
    <n v="6"/>
  </r>
  <r>
    <s v=""/>
    <s v="DELEGATE WAY (N)"/>
    <s v="DELEGATE WAY (N)"/>
    <s v="Stansbury"/>
    <s v="680 W"/>
    <s v="600 N"/>
    <n v="475"/>
    <n v="26"/>
    <s v="NC"/>
    <s v="BC"/>
    <n v="0"/>
    <n v="7"/>
    <n v="7"/>
    <n v="50"/>
    <n v="0"/>
    <s v="DELEGATE WAY (N)"/>
    <n v="3"/>
    <s v="CRACK"/>
    <n v="530.77651515151513"/>
    <x v="1"/>
    <n v="10"/>
    <n v="4"/>
    <n v="1.5"/>
    <n v="6"/>
  </r>
  <r>
    <s v=""/>
    <s v="DOE CT (N)"/>
    <s v="DOE CT (N)"/>
    <s v="Sugar Creek Valley Estates"/>
    <s v="275 W"/>
    <s v="100 N"/>
    <n v="317"/>
    <n v="26"/>
    <s v="NC"/>
    <s v="BC"/>
    <n v="0"/>
    <n v="7"/>
    <n v="7"/>
    <n v="50"/>
    <n v="0"/>
    <s v="DOE CT (N)"/>
    <n v="3"/>
    <s v="CRACK"/>
    <n v="354.22348484848487"/>
    <x v="0"/>
    <n v="10"/>
    <n v="4"/>
    <n v="1.5"/>
    <n v="0"/>
  </r>
  <r>
    <s v=""/>
    <s v="DOGWOOD WAY (N)"/>
    <s v="DOGWOOD WAY (N)"/>
    <s v="Sugar Creek Valley Estates"/>
    <s v="275 W"/>
    <s v="100 N"/>
    <n v="528"/>
    <n v="26"/>
    <s v="NC"/>
    <s v="BC"/>
    <n v="0"/>
    <n v="7"/>
    <n v="7"/>
    <n v="50"/>
    <n v="0"/>
    <s v="DOGWOOD WAY (N)"/>
    <n v="3"/>
    <s v="CRACK"/>
    <n v="590"/>
    <x v="0"/>
    <n v="10"/>
    <n v="4"/>
    <n v="1.5"/>
    <n v="0"/>
  </r>
  <r>
    <s v=""/>
    <s v="DOVER PLACE(W)"/>
    <s v="DOVER PLACE(W)"/>
    <s v="Stansbury"/>
    <s v="680 W"/>
    <s v="600 N"/>
    <n v="950"/>
    <n v="26"/>
    <s v="NC"/>
    <s v="BC"/>
    <n v="0"/>
    <n v="7"/>
    <n v="8"/>
    <n v="50"/>
    <n v="0"/>
    <s v="DOVER PLACE(W)"/>
    <n v="2"/>
    <s v="CRACK"/>
    <n v="1061.5530303030303"/>
    <x v="1"/>
    <n v="12"/>
    <n v="4"/>
    <n v="1.5"/>
    <n v="6"/>
  </r>
  <r>
    <s v=""/>
    <s v="EAST ST(CHAR)/25N"/>
    <s v="EAST ST(CHAR)/25N"/>
    <m/>
    <s v="US40"/>
    <s v="25N"/>
    <n v="1049"/>
    <n v="20"/>
    <s v="AC"/>
    <s v="C"/>
    <n v="0"/>
    <n v="8"/>
    <n v="3"/>
    <n v="50"/>
    <n v="0"/>
    <s v="EAST ST(CHAR)/25N"/>
    <n v="7"/>
    <s v="DS"/>
    <n v="4966.856060606061"/>
    <x v="0"/>
    <n v="1"/>
    <n v="7"/>
    <n v="3"/>
    <n v="0"/>
  </r>
  <r>
    <s v=""/>
    <s v="EAST ST(CHAR)/US40"/>
    <s v="EAST ST(CHAR)/US40"/>
    <m/>
    <s v="US40"/>
    <s v="CARTHAGE RD"/>
    <n v="1992"/>
    <n v="20"/>
    <s v="AC"/>
    <s v="J"/>
    <n v="0"/>
    <n v="8"/>
    <n v="6"/>
    <n v="50"/>
    <n v="0"/>
    <s v="EAST ST(CHAR)/US40"/>
    <n v="4"/>
    <s v="DS"/>
    <n v="9431.818181818182"/>
    <x v="0"/>
    <n v="8"/>
    <n v="7"/>
    <n v="2"/>
    <n v="0"/>
  </r>
  <r>
    <s v=""/>
    <s v="EAST ST(MAX)/END"/>
    <s v="EAST ST(MAX)/END"/>
    <m/>
    <s v="500N"/>
    <s v="END"/>
    <n v="874"/>
    <n v="20"/>
    <s v="CS"/>
    <s v="C"/>
    <n v="0"/>
    <n v="7"/>
    <n v="6"/>
    <n v="50"/>
    <n v="0"/>
    <s v="EAST ST(MAX)/END"/>
    <n v="4"/>
    <s v="DS"/>
    <n v="4138.257575757576"/>
    <x v="3"/>
    <n v="8"/>
    <n v="7"/>
    <n v="2"/>
    <n v="12"/>
  </r>
  <r>
    <s v=""/>
    <s v="EASY ST."/>
    <s v="EASY ST."/>
    <s v="Meadow Lake Village"/>
    <s v="430 W"/>
    <s v="100 S"/>
    <n v="1608"/>
    <m/>
    <s v="NC"/>
    <s v="SC"/>
    <n v="0"/>
    <m/>
    <n v="7"/>
    <n v="50"/>
    <n v="0"/>
    <m/>
    <m/>
    <s v="CRACK"/>
    <n v="1796.8181818181818"/>
    <x v="0"/>
    <n v="10"/>
    <n v="4"/>
    <n v="1.5"/>
    <n v="0"/>
  </r>
  <r>
    <s v=""/>
    <s v="EASY STREET(W)"/>
    <s v="EASY STREET(W)"/>
    <s v="Windhaven"/>
    <s v="440 W"/>
    <s v="100 S"/>
    <n v="1601"/>
    <n v="26"/>
    <s v="NC"/>
    <s v="SC"/>
    <n v="0"/>
    <n v="7"/>
    <n v="8"/>
    <n v="50"/>
    <n v="0"/>
    <s v="EASY STREET(W)"/>
    <n v="2"/>
    <s v="CRACK"/>
    <n v="1788.996212121212"/>
    <x v="0"/>
    <n v="12"/>
    <n v="4"/>
    <n v="1.5"/>
    <n v="0"/>
  </r>
  <r>
    <s v=""/>
    <s v="ELAND DRIVE"/>
    <s v="ELAND DRIVE"/>
    <s v="Deer Run"/>
    <s v="600 W"/>
    <s v="350 S"/>
    <n v="2482"/>
    <n v="26"/>
    <s v="NC"/>
    <s v="SC"/>
    <n v="0"/>
    <n v="5"/>
    <n v="6"/>
    <n v="50"/>
    <n v="0"/>
    <s v="ELAND DRIVE"/>
    <n v="4"/>
    <s v="MICRO"/>
    <n v="23503.78787878788"/>
    <x v="0"/>
    <n v="8"/>
    <n v="10"/>
    <n v="2"/>
    <n v="0"/>
  </r>
  <r>
    <s v=""/>
    <s v="ELISE COURT"/>
    <s v="ELISE COURT"/>
    <s v="Country Mill"/>
    <s v="SR 9"/>
    <s v="470 N"/>
    <n v="634"/>
    <n v="26"/>
    <s v="NC"/>
    <s v="C"/>
    <n v="0"/>
    <n v="7"/>
    <n v="8"/>
    <n v="50"/>
    <n v="0"/>
    <s v="ELISE COURT"/>
    <n v="2"/>
    <s v="CRACK"/>
    <n v="708.44696969696975"/>
    <x v="4"/>
    <n v="12"/>
    <n v="4"/>
    <n v="1.5"/>
    <n v="1.5"/>
  </r>
  <r>
    <s v=""/>
    <s v="ESSEX CIRCLE"/>
    <s v="ESSEX CIRCLE"/>
    <s v="Easton At Stansbury"/>
    <s v="660 W"/>
    <s v="600 N"/>
    <n v="158"/>
    <n v="26"/>
    <s v="NC"/>
    <s v="BC"/>
    <n v="0"/>
    <n v="7"/>
    <n v="8"/>
    <n v="50"/>
    <n v="0"/>
    <s v="ESSEX CIRCLE"/>
    <n v="2"/>
    <s v="CRACK"/>
    <n v="176.55303030303031"/>
    <x v="5"/>
    <n v="12"/>
    <n v="4"/>
    <n v="1.5"/>
    <n v="3"/>
  </r>
  <r>
    <s v=""/>
    <s v="FAIRWAY VILLAGE BOULEVARD(S)"/>
    <s v="FAIRWAY VILLAGE BOULEVARD(S)"/>
    <s v="Fairway Village"/>
    <s v="MORRISTOWN PIKE"/>
    <s v="100 S"/>
    <n v="739"/>
    <n v="26"/>
    <s v="NC"/>
    <s v="C"/>
    <n v="0"/>
    <n v="7"/>
    <n v="8"/>
    <n v="50"/>
    <n v="0"/>
    <s v="FAIRWAY VILLAGE BOULEVARD(S)"/>
    <n v="2"/>
    <s v="CRACK"/>
    <n v="825.77651515151513"/>
    <x v="4"/>
    <n v="12"/>
    <n v="4"/>
    <n v="1.5"/>
    <n v="1.5"/>
  </r>
  <r>
    <s v=""/>
    <s v="FAIRWAY VILLAGE COURT(S)"/>
    <s v="FAIRWAY VILLAGE COURT(S)"/>
    <s v="Fairway Village"/>
    <s v="MORRISTOWN PIKE"/>
    <s v="100 S"/>
    <n v="317"/>
    <n v="26"/>
    <s v="NC"/>
    <s v="C"/>
    <n v="0"/>
    <n v="7"/>
    <n v="8"/>
    <n v="50"/>
    <n v="0"/>
    <s v="FAIRWAY VILLAGE COURT(S)"/>
    <n v="2"/>
    <s v="CRACK"/>
    <n v="354.22348484848487"/>
    <x v="4"/>
    <n v="12"/>
    <n v="4"/>
    <n v="1.5"/>
    <n v="1.5"/>
  </r>
  <r>
    <s v=""/>
    <s v="FAIRWAY VILLAGE DRIVE(E)"/>
    <s v="FAIRWAY VILLAGE DRIVE(E)"/>
    <s v="Fairway Village"/>
    <s v="MORRISTOWN PIKE"/>
    <s v="100 S"/>
    <n v="1584"/>
    <n v="26"/>
    <s v="NC"/>
    <s v="C"/>
    <n v="0"/>
    <n v="7"/>
    <n v="8"/>
    <n v="50"/>
    <n v="0"/>
    <s v="FAIRWAY VILLAGE DRIVE€"/>
    <n v="2"/>
    <s v="CRACK"/>
    <n v="1770"/>
    <x v="4"/>
    <n v="12"/>
    <n v="4"/>
    <n v="1.5"/>
    <n v="1.5"/>
  </r>
  <r>
    <m/>
    <s v="FALLOW TRAIL"/>
    <s v="FALLOW TRAIL"/>
    <s v="Deer Run"/>
    <s v="600 W"/>
    <s v="350 S"/>
    <n v="1584"/>
    <n v="26"/>
    <s v="NC"/>
    <s v="SC"/>
    <n v="0"/>
    <n v="6"/>
    <n v="6"/>
    <n v="50"/>
    <n v="0"/>
    <s v="FALLOW TRAIL"/>
    <n v="4"/>
    <s v="MICRO"/>
    <n v="15000"/>
    <x v="0"/>
    <n v="8"/>
    <n v="10"/>
    <n v="2"/>
    <n v="0"/>
  </r>
  <r>
    <s v=""/>
    <s v="FARM STONE CIRCLE(S)"/>
    <s v="FARM STONE CIRCLE(S)"/>
    <s v="Countryside"/>
    <s v="500 W"/>
    <s v="375 S"/>
    <n v="342"/>
    <n v="26"/>
    <s v="NC"/>
    <s v="SC"/>
    <n v="0"/>
    <n v="6"/>
    <n v="8"/>
    <n v="50"/>
    <n v="0"/>
    <s v="FARM STONE CIRCLE(S)"/>
    <n v="2"/>
    <s v="NHP"/>
    <n v="1068.75"/>
    <x v="4"/>
    <n v="12"/>
    <n v="6"/>
    <n v="1.5"/>
    <n v="1.5"/>
  </r>
  <r>
    <s v=""/>
    <s v="FIELDING ROAD"/>
    <s v="FIELDING ROAD"/>
    <s v="New Palestine Village"/>
    <s v="550 W"/>
    <s v="300 S"/>
    <n v="1109"/>
    <n v="26"/>
    <s v="NC"/>
    <s v="SC"/>
    <n v="0"/>
    <n v="6"/>
    <n v="7"/>
    <n v="50"/>
    <n v="0"/>
    <s v="FIELDING ROAD"/>
    <n v="3"/>
    <s v="P"/>
    <n v="14702.651515151516"/>
    <x v="0"/>
    <n v="10"/>
    <n v="15"/>
    <n v="1.5"/>
    <n v="0"/>
  </r>
  <r>
    <s v=""/>
    <s v="FOREST COURT"/>
    <s v="FOREST COURT"/>
    <s v="Cranberry Lake Estates"/>
    <s v="175 E"/>
    <s v="350 N"/>
    <n v="317"/>
    <n v="26"/>
    <s v="NC"/>
    <s v="C"/>
    <n v="0"/>
    <n v="6"/>
    <n v="7"/>
    <n v="50"/>
    <n v="0"/>
    <s v="FOREST COURT"/>
    <n v="3"/>
    <s v="NHP"/>
    <n v="990.625"/>
    <x v="5"/>
    <n v="10"/>
    <n v="6"/>
    <n v="1.5"/>
    <n v="3"/>
  </r>
  <r>
    <s v=""/>
    <s v="FOREST LANE"/>
    <s v="FOREST LANE"/>
    <s v="Cranberry Lake Estates"/>
    <s v="175 E"/>
    <s v="350 N"/>
    <n v="1742"/>
    <n v="26"/>
    <s v="NC"/>
    <s v="C"/>
    <n v="0"/>
    <n v="7"/>
    <n v="7"/>
    <n v="50"/>
    <n v="0"/>
    <s v="FOREST LANE"/>
    <n v="3"/>
    <s v="CRACK"/>
    <n v="1946.5530303030303"/>
    <x v="5"/>
    <n v="10"/>
    <n v="4"/>
    <n v="1.5"/>
    <n v="3"/>
  </r>
  <r>
    <s v=""/>
    <s v="FORTVILLE PK./200N"/>
    <s v="FORTVILLE PK./200N"/>
    <m/>
    <s v="100N"/>
    <s v="200N"/>
    <n v="5590"/>
    <n v="20"/>
    <s v="AC"/>
    <s v="C"/>
    <n v="0"/>
    <n v="6"/>
    <n v="8"/>
    <n v="50"/>
    <n v="0"/>
    <s v="FORTVILLE PK."/>
    <n v="2"/>
    <s v="CRACK"/>
    <n v="6246.401515151515"/>
    <x v="3"/>
    <n v="12"/>
    <n v="4"/>
    <n v="1.5"/>
    <n v="9"/>
  </r>
  <r>
    <s v=""/>
    <s v="FORTVILLE PK./300N"/>
    <s v="FORTVILLE PK./300N"/>
    <m/>
    <s v="I70"/>
    <s v="300N"/>
    <n v="5174"/>
    <n v="20"/>
    <s v="AC"/>
    <s v="C"/>
    <n v="0"/>
    <n v="6"/>
    <n v="8"/>
    <n v="50"/>
    <n v="0"/>
    <s v="FORTVILLE PK."/>
    <n v="2"/>
    <s v="CRACK"/>
    <n v="5781.55303030303"/>
    <x v="3"/>
    <n v="12"/>
    <n v="4"/>
    <n v="1.5"/>
    <n v="9"/>
  </r>
  <r>
    <s v=""/>
    <s v="FOX COVE BOULEVARD"/>
    <s v="FOX COVE BOULEVARD"/>
    <s v="Fox Cove"/>
    <s v="740 W"/>
    <s v="200 S"/>
    <n v="3590"/>
    <n v="26"/>
    <s v="NC"/>
    <s v="SC"/>
    <n v="0"/>
    <n v="7"/>
    <n v="7"/>
    <n v="50"/>
    <n v="0"/>
    <s v="FOX COVE BOULEVARD"/>
    <n v="3"/>
    <s v="CRACK"/>
    <n v="4011.5530303030305"/>
    <x v="5"/>
    <n v="10"/>
    <n v="4"/>
    <n v="1.5"/>
    <n v="3"/>
  </r>
  <r>
    <s v=""/>
    <s v="FOX DEN BOULEVARD"/>
    <s v="FOX DEN BOULEVARD"/>
    <s v="Fox Cove"/>
    <s v="700 W"/>
    <s v="140 S"/>
    <n v="581"/>
    <n v="26"/>
    <s v="NC"/>
    <s v="SC"/>
    <n v="0"/>
    <n v="7"/>
    <n v="7"/>
    <n v="50"/>
    <n v="0"/>
    <s v="FOX DEN BOULEVARD"/>
    <n v="3"/>
    <s v="CRACK"/>
    <n v="649.22348484848487"/>
    <x v="5"/>
    <n v="10"/>
    <n v="4"/>
    <n v="1.5"/>
    <n v="3"/>
  </r>
  <r>
    <s v=""/>
    <s v="FOX PAW DRIVE"/>
    <s v="FOX PAW DRIVE"/>
    <s v="Fox Cove"/>
    <s v="740 W"/>
    <s v="200 S"/>
    <n v="1426"/>
    <n v="26"/>
    <s v="NC"/>
    <s v="SC"/>
    <n v="0"/>
    <n v="7"/>
    <n v="7"/>
    <n v="50"/>
    <n v="0"/>
    <s v="FOX PAW DRIVE"/>
    <n v="3"/>
    <s v="CRACK"/>
    <n v="1593.4469696969697"/>
    <x v="5"/>
    <n v="10"/>
    <n v="4"/>
    <n v="1.5"/>
    <n v="3"/>
  </r>
  <r>
    <s v=""/>
    <s v="FOX RUN DRIVE"/>
    <s v="FOX RUN DRIVE"/>
    <s v="Hunters Chase"/>
    <s v="300 N"/>
    <s v="775 W"/>
    <n v="581"/>
    <n v="26"/>
    <s v="NC"/>
    <s v="BC"/>
    <n v="0"/>
    <n v="6"/>
    <n v="6"/>
    <n v="50"/>
    <n v="0"/>
    <s v="FOX RUN DRIVE"/>
    <n v="4"/>
    <s v="NHP"/>
    <n v="1815.625"/>
    <x v="6"/>
    <n v="8"/>
    <n v="6"/>
    <n v="2"/>
    <n v="6"/>
  </r>
  <r>
    <s v=""/>
    <s v="FOX TAIL PASS"/>
    <s v="FOX TAIL PASS"/>
    <s v="Fox Cove"/>
    <s v="700 W"/>
    <s v="140 S"/>
    <n v="581"/>
    <n v="26"/>
    <s v="NC"/>
    <s v="SC"/>
    <n v="0"/>
    <n v="7"/>
    <n v="7"/>
    <n v="50"/>
    <n v="0"/>
    <s v="FOX TAIL PASS"/>
    <n v="3"/>
    <s v="CRACK"/>
    <n v="649.22348484848487"/>
    <x v="5"/>
    <n v="10"/>
    <n v="4"/>
    <n v="1.5"/>
    <n v="3"/>
  </r>
  <r>
    <m/>
    <s v="FOX TRAIL DRIVE"/>
    <s v="FOX TRAIL DRIVE"/>
    <s v="Brier Creek"/>
    <s v="700 W"/>
    <s v="100 S"/>
    <n v="2482"/>
    <n v="26"/>
    <s v="NC"/>
    <s v="SC"/>
    <n v="0"/>
    <n v="7"/>
    <n v="7"/>
    <n v="50"/>
    <n v="0"/>
    <s v="FOX TRAIL DRIVE"/>
    <n v="3"/>
    <s v="CRACK"/>
    <n v="2773.4469696969695"/>
    <x v="0"/>
    <n v="10"/>
    <n v="4"/>
    <n v="1.5"/>
    <n v="0"/>
  </r>
  <r>
    <s v=""/>
    <s v="FOX VIEW TRAIL"/>
    <s v="FOX VIEW TRAIL"/>
    <s v="Fox Cove"/>
    <s v="700 W"/>
    <s v="140 S"/>
    <n v="1373"/>
    <n v="26"/>
    <s v="NC"/>
    <s v="SC"/>
    <n v="0"/>
    <n v="6"/>
    <n v="7"/>
    <n v="50"/>
    <n v="0"/>
    <s v="FOX VIEW TRAIL"/>
    <n v="3"/>
    <s v="NHP"/>
    <n v="4290.625"/>
    <x v="5"/>
    <n v="10"/>
    <n v="6"/>
    <n v="1.5"/>
    <n v="3"/>
  </r>
  <r>
    <s v=""/>
    <s v="FROG POND COURT"/>
    <s v="FROG POND COURT"/>
    <s v="Morning Walk"/>
    <s v="150 W"/>
    <s v="150 S"/>
    <n v="317"/>
    <n v="26"/>
    <s v="NC"/>
    <s v="C"/>
    <n v="0"/>
    <n v="7"/>
    <n v="7"/>
    <n v="50"/>
    <n v="0"/>
    <s v="FROG POND COURT"/>
    <n v="3"/>
    <s v="CRACK"/>
    <n v="354.22348484848487"/>
    <x v="6"/>
    <n v="10"/>
    <n v="4"/>
    <n v="1.5"/>
    <n v="4.5"/>
  </r>
  <r>
    <s v=""/>
    <s v="GLENDALE LANE"/>
    <s v="GLENDALE LANE"/>
    <s v="Huntington Heights"/>
    <s v="700 W"/>
    <s v="100 N"/>
    <n v="3485"/>
    <n v="26"/>
    <s v="NC"/>
    <s v="BC"/>
    <n v="0"/>
    <n v="6"/>
    <n v="5"/>
    <n v="50"/>
    <n v="0"/>
    <s v="GLENDALE LANE"/>
    <n v="5"/>
    <s v="P"/>
    <n v="46202.651515151512"/>
    <x v="6"/>
    <n v="6"/>
    <n v="15"/>
    <n v="2"/>
    <n v="6"/>
  </r>
  <r>
    <s v="J83"/>
    <s v="GRANDISON RD./300N"/>
    <s v="GRANDISON RD./300N"/>
    <m/>
    <s v="I70"/>
    <s v="300N"/>
    <n v="190"/>
    <n v="20"/>
    <s v="G"/>
    <s v="J"/>
    <n v="0"/>
    <n v="3"/>
    <n v="6"/>
    <n v="50"/>
    <n v="0"/>
    <s v="GRANDISON RD."/>
    <n v="4"/>
    <s v="CS"/>
    <n v="539.77272727272725"/>
    <x v="0"/>
    <n v="8"/>
    <n v="7"/>
    <n v="2"/>
    <n v="0"/>
  </r>
  <r>
    <s v=""/>
    <s v="GRANITE COURT(W)"/>
    <s v="GRANITE COURT(W)"/>
    <s v="Countryside"/>
    <s v="500 W"/>
    <s v="375 S"/>
    <n v="1056"/>
    <n v="26"/>
    <s v="NC"/>
    <s v="SC"/>
    <n v="0"/>
    <n v="6"/>
    <n v="7"/>
    <n v="50"/>
    <n v="0"/>
    <s v="GRANITE COURT(W)"/>
    <n v="3"/>
    <s v="NHP"/>
    <n v="3300"/>
    <x v="4"/>
    <n v="10"/>
    <n v="6"/>
    <n v="1.5"/>
    <n v="1.5"/>
  </r>
  <r>
    <s v=""/>
    <s v="GRASSY CT (S)"/>
    <s v="GRASSY CT (S)"/>
    <s v="Stinemyer Crossing"/>
    <s v="570 W"/>
    <s v="STINEMEYER ROAD"/>
    <n v="1373"/>
    <n v="26"/>
    <s v="NC"/>
    <s v="SC"/>
    <n v="0"/>
    <n v="7"/>
    <n v="8"/>
    <n v="50"/>
    <n v="0"/>
    <s v="GRASSY CT (S)"/>
    <n v="2"/>
    <s v="CRACK"/>
    <n v="1534.2234848484848"/>
    <x v="4"/>
    <n v="12"/>
    <n v="4"/>
    <n v="1.5"/>
    <n v="1.5"/>
  </r>
  <r>
    <s v=""/>
    <s v="GREENFIELD (FIN)/1"/>
    <s v="GREENFIELD (FIN)/1"/>
    <m/>
    <s v="US52"/>
    <s v="100W"/>
    <n v="1426"/>
    <n v="20"/>
    <s v="AC"/>
    <s v="BW"/>
    <n v="0"/>
    <n v="7"/>
    <n v="7"/>
    <n v="50"/>
    <n v="0"/>
    <s v="GREENFIELD (FIN)/1"/>
    <n v="3"/>
    <s v="CS"/>
    <n v="4051.1363636363635"/>
    <x v="3"/>
    <n v="10"/>
    <n v="7"/>
    <n v="1.5"/>
    <n v="9"/>
  </r>
  <r>
    <s v="B16"/>
    <s v="650N/1050E"/>
    <s v="650N/1050E"/>
    <m/>
    <s v="1000E"/>
    <s v="1050E"/>
    <n v="3482"/>
    <n v="20"/>
    <s v="AC"/>
    <s v="B"/>
    <n v="0"/>
    <n v="5"/>
    <n v="6"/>
    <n v="330"/>
    <n v="0"/>
    <s v="650N"/>
    <n v="4"/>
    <s v="CS"/>
    <n v="9892.045454545454"/>
    <x v="3"/>
    <n v="8"/>
    <n v="7"/>
    <n v="2"/>
    <n v="12"/>
  </r>
  <r>
    <s v=""/>
    <s v="GREYHAWK LANE"/>
    <s v="GREYHAWK LANE"/>
    <s v="Greyhawk Woods"/>
    <s v="SR 9"/>
    <s v="460 S"/>
    <n v="1003"/>
    <n v="26"/>
    <s v="NC"/>
    <s v="BW"/>
    <n v="0"/>
    <n v="7"/>
    <n v="8"/>
    <n v="50"/>
    <n v="0"/>
    <s v="GREYHAWK LANE"/>
    <n v="2"/>
    <s v="F"/>
    <n v="379.92424242424244"/>
    <x v="0"/>
    <n v="12"/>
    <n v="2"/>
    <n v="1.5"/>
    <n v="0"/>
  </r>
  <r>
    <s v=""/>
    <s v="GREYHAWK WAY"/>
    <s v="GREYHAWK WAY"/>
    <s v="Greyhawk Woods"/>
    <s v="SR 9"/>
    <s v="460 S"/>
    <n v="2218"/>
    <n v="26"/>
    <s v="NC"/>
    <s v="BW"/>
    <n v="0"/>
    <n v="7"/>
    <n v="8"/>
    <n v="50"/>
    <n v="0"/>
    <s v="GREYHAWK WAY"/>
    <n v="2"/>
    <s v="F"/>
    <n v="840.15151515151513"/>
    <x v="0"/>
    <n v="12"/>
    <n v="2"/>
    <n v="1.5"/>
    <n v="0"/>
  </r>
  <r>
    <s v=""/>
    <s v="HACKBERRY TRL (W)"/>
    <s v="HACKBERRY TRL (W)"/>
    <s v="Stinemyer Crossing"/>
    <s v="570 W"/>
    <s v="STINEMEYER ROAD"/>
    <n v="1003"/>
    <n v="26"/>
    <s v="NC"/>
    <s v="SC"/>
    <n v="0"/>
    <n v="7"/>
    <n v="9"/>
    <n v="50"/>
    <n v="0"/>
    <s v="HACKBERRY TRL (W)"/>
    <n v="1"/>
    <s v="CRACK"/>
    <n v="1120.7765151515152"/>
    <x v="4"/>
    <n v="14"/>
    <n v="4"/>
    <n v="1"/>
    <n v="1"/>
  </r>
  <r>
    <s v=""/>
    <s v="HARMONY TRAIL(W)"/>
    <s v="HARMONY TRAIL(W)"/>
    <s v="Ridgewood"/>
    <s v="JACOBI ROAD"/>
    <s v="150 S"/>
    <n v="2904"/>
    <n v="26"/>
    <s v="NC"/>
    <s v="SC"/>
    <n v="0"/>
    <n v="7"/>
    <n v="7"/>
    <n v="50"/>
    <n v="0"/>
    <s v="HARMONY TRAIL(W)"/>
    <n v="3"/>
    <s v="CRACK"/>
    <n v="3245"/>
    <x v="1"/>
    <n v="10"/>
    <n v="4"/>
    <n v="1.5"/>
    <n v="6"/>
  </r>
  <r>
    <s v=""/>
    <s v="HARVEST WAY(W)"/>
    <s v="HARVEST WAY(W)"/>
    <s v="Meadow Lake Village"/>
    <s v="430 W"/>
    <s v="100 S"/>
    <n v="581"/>
    <n v="26"/>
    <s v="NC"/>
    <s v="SC"/>
    <n v="0"/>
    <n v="8"/>
    <n v="7"/>
    <n v="50"/>
    <n v="0"/>
    <s v="HARVEST WAY(W)"/>
    <n v="3"/>
    <s v="CRACK"/>
    <n v="649.22348484848487"/>
    <x v="0"/>
    <n v="10"/>
    <n v="4"/>
    <n v="1.5"/>
    <n v="0"/>
  </r>
  <r>
    <s v=""/>
    <s v="HAVENS DRIVE(S)"/>
    <s v="HAVENS DRIVE(S)"/>
    <s v="Windhaven"/>
    <s v="440 W"/>
    <s v="100 S"/>
    <n v="1584"/>
    <n v="26"/>
    <s v="NC"/>
    <s v="SC"/>
    <n v="0"/>
    <n v="7"/>
    <n v="7"/>
    <n v="50"/>
    <n v="0"/>
    <s v="HAVENS DRIVE(S)"/>
    <n v="3"/>
    <s v="CRACK"/>
    <n v="1770"/>
    <x v="0"/>
    <n v="10"/>
    <n v="4"/>
    <n v="1.5"/>
    <n v="0"/>
  </r>
  <r>
    <s v=""/>
    <s v="HEARTH STONE COURT"/>
    <s v="HEARTH STONE COURT"/>
    <s v="Countryside"/>
    <s v="500 W"/>
    <s v="375 S"/>
    <n v="264"/>
    <n v="26"/>
    <s v="NC"/>
    <s v="SC"/>
    <n v="0"/>
    <n v="6"/>
    <n v="8"/>
    <n v="50"/>
    <n v="0"/>
    <s v="HEARTH STONE COURT"/>
    <n v="2"/>
    <s v="SP/CS"/>
    <n v="2000"/>
    <x v="4"/>
    <n v="12"/>
    <n v="10"/>
    <n v="1.5"/>
    <n v="1.5"/>
  </r>
  <r>
    <s v=""/>
    <s v="HERITAGE COURT"/>
    <s v="HERITAGE COURT"/>
    <s v="Schildmeier Woods"/>
    <s v="700 W"/>
    <s v="400 S"/>
    <n v="1109"/>
    <n v="26"/>
    <s v="NC"/>
    <s v="SC"/>
    <n v="0"/>
    <n v="7"/>
    <n v="8"/>
    <n v="50"/>
    <n v="0"/>
    <s v="HERITAGE COURT"/>
    <n v="2"/>
    <s v="CRACK"/>
    <n v="1239.2234848484848"/>
    <x v="1"/>
    <n v="12"/>
    <n v="4"/>
    <n v="1.5"/>
    <n v="6"/>
  </r>
  <r>
    <s v=""/>
    <s v="HERITAGE DRIVE"/>
    <s v="HERITAGE DRIVE"/>
    <s v="Schildmeier Woods"/>
    <s v="700 W"/>
    <s v="400 S"/>
    <n v="422"/>
    <n v="26"/>
    <s v="NC"/>
    <s v="SC"/>
    <n v="0"/>
    <n v="7"/>
    <n v="8"/>
    <n v="50"/>
    <n v="0"/>
    <s v="HERITAGE DRIVE"/>
    <n v="2"/>
    <s v="CRACK"/>
    <n v="471.55303030303031"/>
    <x v="1"/>
    <n v="12"/>
    <n v="4"/>
    <n v="1.5"/>
    <n v="6"/>
  </r>
  <r>
    <s v=""/>
    <s v="HERITAGE DRIVE EAST"/>
    <s v="HERITAGE DRIVE EAST"/>
    <s v="Heritage Estates"/>
    <s v="175 E"/>
    <s v="340 N"/>
    <n v="792"/>
    <n v="26"/>
    <s v="NC"/>
    <s v="C"/>
    <n v="0"/>
    <n v="6"/>
    <n v="7"/>
    <n v="50"/>
    <n v="0"/>
    <s v="HERITAGE DRIVE EAST"/>
    <n v="3"/>
    <s v="SP/CS"/>
    <n v="6000"/>
    <x v="6"/>
    <n v="10"/>
    <n v="10"/>
    <n v="1.5"/>
    <n v="4.5"/>
  </r>
  <r>
    <s v=""/>
    <s v="HERITAGE DRIVE NORTH"/>
    <s v="HERITAGE DRIVE NORTH"/>
    <s v="Heritage Estates"/>
    <s v="175 E"/>
    <s v="340 N"/>
    <n v="634"/>
    <n v="26"/>
    <s v="NC"/>
    <s v="C"/>
    <n v="0"/>
    <n v="6"/>
    <n v="7"/>
    <n v="50"/>
    <n v="0"/>
    <s v="HERITAGE DRIVE NORTH"/>
    <n v="3"/>
    <s v="SP/CS"/>
    <n v="4803.030303030303"/>
    <x v="6"/>
    <n v="10"/>
    <n v="10"/>
    <n v="1.5"/>
    <n v="4.5"/>
  </r>
  <r>
    <s v=""/>
    <s v="HERITAGE DRIVE SOUTH"/>
    <s v="HERITAGE DRIVE SOUTH"/>
    <s v="Heritage Estates"/>
    <s v="175 E"/>
    <s v="340 N"/>
    <n v="581"/>
    <n v="26"/>
    <s v="NC"/>
    <s v="C"/>
    <n v="0"/>
    <n v="6"/>
    <n v="7"/>
    <n v="50"/>
    <n v="0"/>
    <s v="HERITAGE DRIVE SOUTH"/>
    <n v="3"/>
    <s v="SP/CS"/>
    <n v="4401.515151515152"/>
    <x v="6"/>
    <n v="10"/>
    <n v="10"/>
    <n v="1.5"/>
    <n v="4.5"/>
  </r>
  <r>
    <s v=""/>
    <s v="HERITAGE DRIVE WEST"/>
    <s v="HERITAGE DRIVE WEST"/>
    <s v="Heritage Estates"/>
    <s v="175 E"/>
    <s v="340 N"/>
    <n v="422"/>
    <n v="26"/>
    <s v="NC"/>
    <s v="C"/>
    <n v="0"/>
    <n v="6"/>
    <n v="7"/>
    <n v="50"/>
    <n v="0"/>
    <s v="HERITAGE DRIVE WEST"/>
    <n v="3"/>
    <s v="SP/CS"/>
    <n v="3196.969696969697"/>
    <x v="6"/>
    <n v="10"/>
    <n v="10"/>
    <n v="1.5"/>
    <n v="4.5"/>
  </r>
  <r>
    <s v=""/>
    <s v="HERON COURT"/>
    <s v="HERON COURT"/>
    <s v="Spring Meadows"/>
    <s v="500 W"/>
    <s v="120 S"/>
    <n v="581"/>
    <n v="26"/>
    <s v="NC"/>
    <s v="SC"/>
    <n v="0"/>
    <n v="7"/>
    <n v="8"/>
    <n v="50"/>
    <n v="0"/>
    <s v="HERON COURT"/>
    <n v="2"/>
    <s v="CRACK"/>
    <n v="649.22348484848487"/>
    <x v="1"/>
    <n v="12"/>
    <n v="4"/>
    <n v="1.5"/>
    <n v="6"/>
  </r>
  <r>
    <s v=""/>
    <s v="HERON DRIVE EAST"/>
    <s v="HERON DRIVE EAST"/>
    <s v="Spring Meadows"/>
    <s v="500 W"/>
    <s v="120 S"/>
    <n v="581"/>
    <n v="26"/>
    <s v="NC"/>
    <s v="SC"/>
    <n v="0"/>
    <n v="7"/>
    <n v="8"/>
    <n v="50"/>
    <n v="0"/>
    <s v="HERON DRIVE EAST"/>
    <n v="2"/>
    <s v="CRACK"/>
    <n v="649.22348484848487"/>
    <x v="1"/>
    <n v="12"/>
    <n v="4"/>
    <n v="1.5"/>
    <n v="6"/>
  </r>
  <r>
    <s v=""/>
    <s v="HERON DRIVE SOUTH"/>
    <s v="HERON DRIVE SOUTH"/>
    <s v="Spring Meadows"/>
    <s v="500 W"/>
    <s v="120 S"/>
    <n v="739"/>
    <n v="26"/>
    <s v="NC"/>
    <s v="SC"/>
    <n v="0"/>
    <n v="7"/>
    <n v="8"/>
    <n v="50"/>
    <n v="0"/>
    <s v="HERON DRIVE SOUTH"/>
    <n v="2"/>
    <s v="CRACK"/>
    <n v="825.77651515151513"/>
    <x v="1"/>
    <n v="12"/>
    <n v="4"/>
    <n v="1.5"/>
    <n v="6"/>
  </r>
  <r>
    <s v=""/>
    <s v="HERON DRIVE WEST"/>
    <s v="HERON DRIVE WEST"/>
    <s v="Spring Meadows"/>
    <s v="500 W"/>
    <s v="120 S"/>
    <n v="581"/>
    <n v="26"/>
    <s v="NC"/>
    <s v="SC"/>
    <n v="0"/>
    <n v="7"/>
    <n v="8"/>
    <n v="50"/>
    <n v="0"/>
    <s v="HERON DRIVE WEST"/>
    <n v="2"/>
    <s v="CRACK"/>
    <n v="649.22348484848487"/>
    <x v="1"/>
    <n v="12"/>
    <n v="4"/>
    <n v="1.5"/>
    <n v="6"/>
  </r>
  <r>
    <s v=""/>
    <s v="HICKORY BOULEVARD"/>
    <s v="HICKORY BOULEVARD"/>
    <s v="Hickory Hill"/>
    <s v="200 N"/>
    <s v="250 E"/>
    <n v="3379"/>
    <n v="26"/>
    <s v="NC"/>
    <s v="C"/>
    <n v="0"/>
    <n v="6"/>
    <n v="7"/>
    <n v="50"/>
    <n v="0"/>
    <s v="HICKORY BOULEVARD"/>
    <n v="3"/>
    <s v="SP/CS"/>
    <n v="25598.484848484848"/>
    <x v="6"/>
    <n v="10"/>
    <n v="10"/>
    <n v="1.5"/>
    <n v="4.5"/>
  </r>
  <r>
    <s v=""/>
    <s v="HICKORY DRIVE (W)"/>
    <s v="HICKORY DRIVE (W)"/>
    <s v="Meridian Acres"/>
    <s v="MERIDIAN ROAD"/>
    <s v="150 S"/>
    <n v="950"/>
    <n v="26"/>
    <s v="NC"/>
    <s v="C"/>
    <n v="0"/>
    <n v="7"/>
    <n v="7"/>
    <n v="50"/>
    <n v="0"/>
    <s v="HICKORY DRIVE"/>
    <n v="3"/>
    <s v="CRACK"/>
    <n v="1061.5530303030303"/>
    <x v="6"/>
    <n v="10"/>
    <n v="4"/>
    <n v="1.5"/>
    <n v="4.5"/>
  </r>
  <r>
    <s v=""/>
    <s v="HICKORY WOODS LANE"/>
    <s v="HICKORY WOODS LANE"/>
    <s v="Hickory Woods"/>
    <s v="200 N"/>
    <s v="250 E"/>
    <n v="1320"/>
    <n v="26"/>
    <s v="NC"/>
    <s v="C"/>
    <n v="0"/>
    <n v="6"/>
    <n v="7"/>
    <n v="50"/>
    <n v="0"/>
    <s v="HICKORY LANE"/>
    <n v="3"/>
    <s v="SP/CS"/>
    <n v="10000"/>
    <x v="6"/>
    <n v="10"/>
    <n v="10"/>
    <n v="1.5"/>
    <n v="4.5"/>
  </r>
  <r>
    <s v=""/>
    <s v="HIDDEN LAKE CT (W)"/>
    <s v="HIDDEN LAKE CT (W)"/>
    <s v="Summerfield"/>
    <s v="350 W"/>
    <s v="30 N"/>
    <n v="475"/>
    <n v="26"/>
    <s v="NC"/>
    <s v="BC"/>
    <n v="0"/>
    <n v="7"/>
    <n v="8"/>
    <n v="50"/>
    <n v="0"/>
    <s v="HIDDEN LAKE CT (W)"/>
    <n v="2"/>
    <s v="CRACK"/>
    <n v="530.77651515151513"/>
    <x v="4"/>
    <n v="12"/>
    <n v="4"/>
    <n v="1.5"/>
    <n v="1.5"/>
  </r>
  <r>
    <s v=""/>
    <s v="HIGH ACRES EAST DR"/>
    <s v="HIGH ACRES EAST DR"/>
    <s v="High Acres"/>
    <s v="575 W"/>
    <s v="300 S"/>
    <n v="1267"/>
    <n v="26"/>
    <s v="NC"/>
    <s v="SC"/>
    <n v="0"/>
    <n v="7"/>
    <n v="6"/>
    <n v="50"/>
    <n v="0"/>
    <s v="EAST DRIVE"/>
    <n v="4"/>
    <s v="CRACK"/>
    <n v="1415.7765151515152"/>
    <x v="6"/>
    <n v="8"/>
    <n v="4"/>
    <n v="2"/>
    <n v="6"/>
  </r>
  <r>
    <s v=""/>
    <s v="HIGH ACRES NORTH COURT"/>
    <s v="HIGH ACRES NORTH COURT"/>
    <s v="High Acres"/>
    <s v="575 W"/>
    <s v="300 S"/>
    <n v="370"/>
    <n v="26"/>
    <s v="NC"/>
    <s v="SC"/>
    <n v="0"/>
    <n v="7"/>
    <n v="7"/>
    <n v="50"/>
    <n v="0"/>
    <s v="NORTH COURT"/>
    <n v="3"/>
    <s v="CRACK"/>
    <n v="413.44696969696969"/>
    <x v="6"/>
    <n v="10"/>
    <n v="4"/>
    <n v="1.5"/>
    <n v="4.5"/>
  </r>
  <r>
    <s v=""/>
    <s v="HIGH ACRES SOUTH COURT"/>
    <s v="HIGH ACRES SOUTH COURT"/>
    <s v="High Acres"/>
    <s v="575 W"/>
    <s v="300 S"/>
    <n v="370"/>
    <n v="26"/>
    <s v="NC"/>
    <s v="SC"/>
    <n v="0"/>
    <n v="7"/>
    <n v="7"/>
    <n v="50"/>
    <n v="0"/>
    <s v="SOUTH COURT"/>
    <n v="3"/>
    <s v="CRACK"/>
    <n v="413.44696969696969"/>
    <x v="6"/>
    <n v="10"/>
    <n v="4"/>
    <n v="1.5"/>
    <n v="4.5"/>
  </r>
  <r>
    <s v=""/>
    <s v="HIGH ACRES WEST COURT"/>
    <s v="HIGH ACRES WEST COURT"/>
    <s v="High Acres"/>
    <s v="575 W"/>
    <s v="300 S"/>
    <n v="317"/>
    <n v="26"/>
    <s v="NC"/>
    <s v="SC"/>
    <n v="0"/>
    <n v="7"/>
    <n v="7"/>
    <n v="50"/>
    <n v="0"/>
    <s v="WEST COURT"/>
    <n v="3"/>
    <s v="CRACK"/>
    <n v="354.22348484848487"/>
    <x v="6"/>
    <n v="10"/>
    <n v="4"/>
    <n v="1.5"/>
    <n v="4.5"/>
  </r>
  <r>
    <s v=""/>
    <s v="HIGH ACRES WEST DR"/>
    <s v="HIGH ACRES WEST DR"/>
    <s v="High Acres"/>
    <s v="575 W"/>
    <s v="300 S"/>
    <n v="1214"/>
    <n v="26"/>
    <s v="NC"/>
    <s v="SC"/>
    <n v="0"/>
    <n v="7"/>
    <n v="7"/>
    <n v="50"/>
    <n v="0"/>
    <s v="WEST ST"/>
    <n v="3"/>
    <s v="CRACK"/>
    <n v="1356.5530303030303"/>
    <x v="6"/>
    <n v="10"/>
    <n v="4"/>
    <n v="1.5"/>
    <n v="4.5"/>
  </r>
  <r>
    <s v=""/>
    <s v="HILL DRIVE"/>
    <s v="HILL DRIVE"/>
    <s v="Hickory Hill"/>
    <s v="200 N"/>
    <s v="250 E"/>
    <n v="528"/>
    <n v="26"/>
    <s v="NC"/>
    <s v="C"/>
    <n v="0"/>
    <n v="6"/>
    <n v="7"/>
    <n v="50"/>
    <n v="0"/>
    <s v="HILL DRIVE"/>
    <n v="3"/>
    <s v="SP/CS"/>
    <n v="4000"/>
    <x v="6"/>
    <n v="10"/>
    <n v="10"/>
    <n v="1.5"/>
    <n v="4.5"/>
  </r>
  <r>
    <m/>
    <s v="HILLVIEW DRIVE(S)"/>
    <s v="HILLVIEW DRIVE(S)"/>
    <s v="Bristol Ridge"/>
    <s v="800 W"/>
    <s v="250 S"/>
    <n v="792"/>
    <n v="26"/>
    <s v="NC"/>
    <s v="SC"/>
    <n v="0"/>
    <n v="8"/>
    <n v="8"/>
    <n v="50"/>
    <n v="0"/>
    <s v="HILLVIEW DRIVE(S)"/>
    <n v="2"/>
    <s v="CRACK"/>
    <n v="885"/>
    <x v="0"/>
    <n v="12"/>
    <n v="4"/>
    <n v="1.5"/>
    <n v="0"/>
  </r>
  <r>
    <s v=""/>
    <s v="HOLLYHOCK COURT"/>
    <s v="HOLLYHOCK COURT"/>
    <s v="Doe Creek Estates"/>
    <s v="625 W"/>
    <s v="300 S"/>
    <n v="317"/>
    <n v="26"/>
    <s v="NC"/>
    <s v="SC"/>
    <n v="0"/>
    <n v="8"/>
    <n v="7"/>
    <n v="50"/>
    <n v="0"/>
    <s v="HOLLYHOCK COURT"/>
    <n v="3"/>
    <s v="CRACK"/>
    <n v="354.22348484848487"/>
    <x v="4"/>
    <n v="10"/>
    <n v="4"/>
    <n v="1.5"/>
    <n v="1.5"/>
  </r>
  <r>
    <s v=""/>
    <s v="HOLMES COURT"/>
    <s v="HOLMES COURT"/>
    <s v="Cranberry Lake Estates"/>
    <s v="175 E"/>
    <s v="350 N"/>
    <n v="422"/>
    <n v="26"/>
    <s v="NC"/>
    <s v="C"/>
    <n v="0"/>
    <n v="7"/>
    <n v="7"/>
    <n v="50"/>
    <n v="0"/>
    <s v="HOLMES COURT"/>
    <n v="3"/>
    <s v="CRACK"/>
    <n v="471.55303030303031"/>
    <x v="5"/>
    <n v="10"/>
    <n v="4"/>
    <n v="1.5"/>
    <n v="3"/>
  </r>
  <r>
    <s v=""/>
    <s v="HOMESTEAD COURT"/>
    <s v="HOMESTEAD COURT"/>
    <s v="Doe Creek Estates"/>
    <s v="625 W"/>
    <s v="300 S"/>
    <n v="317"/>
    <n v="26"/>
    <s v="NC"/>
    <s v="SC"/>
    <n v="0"/>
    <n v="8"/>
    <n v="8"/>
    <n v="50"/>
    <n v="0"/>
    <s v="HOMESTEAD COURT"/>
    <n v="2"/>
    <s v="CRACK"/>
    <n v="354.22348484848487"/>
    <x v="4"/>
    <n v="12"/>
    <n v="4"/>
    <n v="1.5"/>
    <n v="1.5"/>
  </r>
  <r>
    <s v=""/>
    <s v="HOMESTEAD DRIVE"/>
    <s v="HOMESTEAD DRIVE"/>
    <s v="Countryside"/>
    <s v="500 W"/>
    <s v="375 S"/>
    <n v="1637"/>
    <n v="26"/>
    <s v="NC"/>
    <s v="SC"/>
    <n v="0"/>
    <n v="6"/>
    <n v="8"/>
    <n v="50"/>
    <n v="0"/>
    <s v="HOMESTEAD DRIVE"/>
    <n v="2"/>
    <s v="SP/CS"/>
    <n v="12401.515151515152"/>
    <x v="4"/>
    <n v="12"/>
    <n v="10"/>
    <n v="1.5"/>
    <n v="1.5"/>
  </r>
  <r>
    <s v=""/>
    <s v="HONEYSUCKLE COURT"/>
    <s v="HONEYSUCKLE COURT"/>
    <s v="Morning Walk"/>
    <s v="150 W"/>
    <s v="150 S"/>
    <n v="264"/>
    <n v="26"/>
    <s v="NC"/>
    <s v="C"/>
    <n v="0"/>
    <n v="7"/>
    <n v="7"/>
    <n v="50"/>
    <n v="0"/>
    <s v="HONEYSUCKLE COURT"/>
    <n v="3"/>
    <s v="CRACK"/>
    <n v="295"/>
    <x v="6"/>
    <n v="10"/>
    <n v="4"/>
    <n v="1.5"/>
    <n v="4.5"/>
  </r>
  <r>
    <s v=""/>
    <s v="HUNTERS COURT(N)"/>
    <s v="HUNTERS COURT(N)"/>
    <s v="Cranberry Lake Estates"/>
    <s v="175 E"/>
    <s v="350 N"/>
    <n v="264"/>
    <n v="26"/>
    <s v="NC"/>
    <s v="C"/>
    <n v="0"/>
    <n v="7"/>
    <n v="7"/>
    <n v="50"/>
    <n v="0"/>
    <s v="HUNTERS COURT(N)"/>
    <n v="3"/>
    <s v="CRACK"/>
    <n v="295"/>
    <x v="5"/>
    <n v="10"/>
    <n v="4"/>
    <n v="1.5"/>
    <n v="3"/>
  </r>
  <r>
    <s v=""/>
    <s v="IVY COURT"/>
    <s v="IVY COURT"/>
    <s v="Ivy Dale"/>
    <s v="250 S"/>
    <s v="700 W"/>
    <n v="1584"/>
    <n v="26"/>
    <s v="NC"/>
    <s v="SC"/>
    <n v="0"/>
    <n v="7"/>
    <n v="7"/>
    <n v="50"/>
    <n v="0"/>
    <s v="IVY COURT"/>
    <n v="3"/>
    <s v="CRACK"/>
    <n v="1770"/>
    <x v="6"/>
    <n v="10"/>
    <n v="4"/>
    <n v="1.5"/>
    <n v="4.5"/>
  </r>
  <r>
    <s v=""/>
    <s v="IVY LANE"/>
    <s v="IVY LANE"/>
    <s v="Ivy Dale"/>
    <s v="250 S"/>
    <s v="700 W"/>
    <n v="3062"/>
    <n v="26"/>
    <s v="NC"/>
    <s v="SC"/>
    <n v="0"/>
    <n v="7"/>
    <n v="7"/>
    <n v="50"/>
    <n v="0"/>
    <s v="IVY LANE"/>
    <n v="3"/>
    <s v="CRACK"/>
    <n v="3421.5530303030305"/>
    <x v="6"/>
    <n v="10"/>
    <n v="4"/>
    <n v="1.5"/>
    <n v="4.5"/>
  </r>
  <r>
    <s v=""/>
    <s v="JACKSON (MAX)/COTT"/>
    <s v="JACKSON (MAX)/COTT"/>
    <m/>
    <s v="SR9"/>
    <s v="COTTONWOOD"/>
    <n v="694"/>
    <n v="20"/>
    <s v="CS"/>
    <s v="C"/>
    <n v="0"/>
    <n v="7"/>
    <n v="6"/>
    <n v="50"/>
    <n v="0"/>
    <s v="JACKSON (MAX)/COTT"/>
    <n v="4"/>
    <s v="DS"/>
    <n v="3285.9848484848485"/>
    <x v="3"/>
    <n v="8"/>
    <n v="7"/>
    <n v="2"/>
    <n v="12"/>
  </r>
  <r>
    <s v=""/>
    <s v="JACKSON STREET"/>
    <s v="JACKSON STREET"/>
    <s v="Apple's Maxwell"/>
    <s v="175 E"/>
    <s v="475 N"/>
    <n v="581"/>
    <n v="26"/>
    <s v="NC"/>
    <s v="C"/>
    <n v="0"/>
    <n v="7"/>
    <n v="6"/>
    <n v="50"/>
    <n v="0"/>
    <s v="JACKSON STREET"/>
    <n v="4"/>
    <s v="CRACK"/>
    <n v="649.22348484848487"/>
    <x v="4"/>
    <n v="8"/>
    <n v="4"/>
    <n v="2"/>
    <n v="2"/>
  </r>
  <r>
    <s v=""/>
    <s v="JAMESTOWN DR(N)"/>
    <s v="JAMESTOWN DR(N)"/>
    <s v="Stansbury"/>
    <s v="680 W"/>
    <s v="600 N"/>
    <n v="911"/>
    <n v="26"/>
    <s v="NC"/>
    <s v="BC"/>
    <n v="0"/>
    <n v="8"/>
    <n v="8"/>
    <n v="50"/>
    <n v="0"/>
    <s v="JAMESTOWN DR(N)"/>
    <n v="2"/>
    <s v="CRACK"/>
    <n v="1017.9734848484849"/>
    <x v="1"/>
    <n v="12"/>
    <n v="4"/>
    <n v="1.5"/>
    <n v="6"/>
  </r>
  <r>
    <s v=""/>
    <s v="JAMESTOWN DRIVE (W)"/>
    <s v="JAMESTOWN DRIVE (W)"/>
    <s v="Stansbury"/>
    <s v="600 N"/>
    <s v="700 W"/>
    <n v="539"/>
    <n v="26"/>
    <s v="NC"/>
    <s v="BC"/>
    <n v="0"/>
    <n v="7"/>
    <n v="8"/>
    <n v="50"/>
    <n v="0"/>
    <s v="JAMESTOWN DRIVE (W"/>
    <n v="2"/>
    <s v="CRACK"/>
    <n v="602.29166666666663"/>
    <x v="1"/>
    <n v="12"/>
    <n v="4"/>
    <n v="1.5"/>
    <n v="6"/>
  </r>
  <r>
    <s v=""/>
    <s v="JEANNE COURT"/>
    <s v="JEANNE COURT"/>
    <s v="Fox Cove"/>
    <s v="740 W"/>
    <s v="200 S"/>
    <n v="422"/>
    <n v="26"/>
    <s v="NC"/>
    <s v="SC"/>
    <n v="0"/>
    <n v="7"/>
    <n v="7"/>
    <n v="50"/>
    <n v="0"/>
    <s v="JEANNE COURT"/>
    <n v="3"/>
    <s v="CRACK"/>
    <n v="471.55303030303031"/>
    <x v="5"/>
    <n v="10"/>
    <n v="4"/>
    <n v="1.5"/>
    <n v="3"/>
  </r>
  <r>
    <s v=""/>
    <s v="JEFFERSON (MAX)/EA"/>
    <s v="JEFFERSON (MAX)/EA"/>
    <m/>
    <s v="SR9"/>
    <s v="EAST ST"/>
    <n v="612"/>
    <n v="20"/>
    <s v="CS"/>
    <s v="C"/>
    <n v="0"/>
    <n v="7"/>
    <n v="7"/>
    <n v="50"/>
    <n v="0"/>
    <s v="JEFFERSON (MAX)/EA"/>
    <n v="3"/>
    <s v="DS"/>
    <n v="2897.7272727272725"/>
    <x v="3"/>
    <n v="10"/>
    <n v="7"/>
    <n v="1.5"/>
    <n v="9"/>
  </r>
  <r>
    <s v=""/>
    <s v="JEFFERSON CT (W)"/>
    <s v="JEFFERSON CT (W)"/>
    <s v="Stansbury"/>
    <s v="600 N"/>
    <s v="700 W"/>
    <n v="416"/>
    <n v="26"/>
    <s v="NC"/>
    <s v="BC"/>
    <n v="0"/>
    <n v="7"/>
    <n v="8"/>
    <n v="50"/>
    <n v="0"/>
    <s v="JEFFERSON CT (W)"/>
    <n v="2"/>
    <s v="CRACK"/>
    <n v="464.84848484848487"/>
    <x v="1"/>
    <n v="12"/>
    <n v="4"/>
    <n v="1.5"/>
    <n v="6"/>
  </r>
  <r>
    <s v=""/>
    <s v="JEFFERSON CT(N)"/>
    <s v="JEFFERSON CT(N)"/>
    <s v="Stansbury"/>
    <s v="680 W"/>
    <s v="600 N"/>
    <n v="634"/>
    <n v="26"/>
    <s v="NC"/>
    <s v="BC"/>
    <n v="0"/>
    <n v="7"/>
    <n v="8"/>
    <n v="50"/>
    <n v="0"/>
    <s v="JEFFERSON CT(N)"/>
    <n v="2"/>
    <s v="CRACK"/>
    <n v="708.44696969696975"/>
    <x v="1"/>
    <n v="12"/>
    <n v="4"/>
    <n v="1.5"/>
    <n v="6"/>
  </r>
  <r>
    <s v=""/>
    <s v="JEFFERSON DRIVE"/>
    <s v="JEFFERSON DRIVE"/>
    <s v="Stansbury"/>
    <s v="680 W"/>
    <s v="600 N"/>
    <n v="1003"/>
    <n v="26"/>
    <s v="NC"/>
    <s v="BC"/>
    <n v="0"/>
    <n v="7"/>
    <n v="8"/>
    <n v="50"/>
    <n v="0"/>
    <s v="JEFFERSON DRIVE"/>
    <n v="2"/>
    <s v="CRACK"/>
    <n v="1120.7765151515152"/>
    <x v="1"/>
    <n v="12"/>
    <n v="4"/>
    <n v="1.5"/>
    <n v="6"/>
  </r>
  <r>
    <s v=""/>
    <s v="JENNIFER COURT"/>
    <s v="JENNIFER COURT"/>
    <s v="Buck Creek Meadows"/>
    <s v="700 W"/>
    <s v="100 N"/>
    <n v="211"/>
    <n v="26"/>
    <s v="NC"/>
    <s v="BC"/>
    <n v="0"/>
    <n v="5"/>
    <n v="6"/>
    <n v="50"/>
    <n v="0"/>
    <s v="JENNIFER COURT"/>
    <n v="4"/>
    <s v="MICRO"/>
    <n v="1998.1060606060605"/>
    <x v="0"/>
    <n v="8"/>
    <n v="10"/>
    <n v="2"/>
    <n v="0"/>
  </r>
  <r>
    <s v=""/>
    <s v="JENNIFER DRIVE"/>
    <s v="JENNIFER DRIVE"/>
    <s v="Buck Creek Meadows"/>
    <s v="700 W"/>
    <s v="100 N"/>
    <n v="2323"/>
    <n v="26"/>
    <s v="NC"/>
    <s v="BC"/>
    <n v="0"/>
    <n v="6"/>
    <n v="6"/>
    <n v="50"/>
    <n v="0"/>
    <s v="JENNIFER DRIVE"/>
    <n v="4"/>
    <s v="MICRO"/>
    <n v="21998.10606060606"/>
    <x v="0"/>
    <n v="8"/>
    <n v="10"/>
    <n v="2"/>
    <n v="0"/>
  </r>
  <r>
    <s v=""/>
    <s v="JENNIFER LANE"/>
    <s v="JENNIFER LANE"/>
    <s v="Buck Creek Meadows"/>
    <s v="700 W"/>
    <s v="100 N"/>
    <n v="422"/>
    <n v="26"/>
    <s v="NC"/>
    <s v="BC"/>
    <n v="0"/>
    <n v="5"/>
    <n v="5"/>
    <n v="50"/>
    <n v="0"/>
    <s v="JENNIFER LANE"/>
    <n v="5"/>
    <s v="MICRO"/>
    <n v="3996.212121212121"/>
    <x v="0"/>
    <n v="6"/>
    <n v="10"/>
    <n v="2"/>
    <n v="0"/>
  </r>
  <r>
    <m/>
    <s v="KAITLIN COURT"/>
    <s v="KAITLIN COURT"/>
    <s v="Village Green"/>
    <s v="600W"/>
    <s v="300S"/>
    <n v="168"/>
    <n v="26"/>
    <s v="NC"/>
    <s v="SC"/>
    <n v="0"/>
    <m/>
    <n v="8"/>
    <n v="50"/>
    <n v="0"/>
    <s v="KAITLIN COURT"/>
    <n v="2"/>
    <s v="P"/>
    <n v="2227.2727272727275"/>
    <x v="2"/>
    <n v="12"/>
    <n v="15"/>
    <n v="1.5"/>
    <n v="7.5"/>
  </r>
  <r>
    <m/>
    <s v="KAITLIN RD"/>
    <s v="KAITLIN RD"/>
    <s v="Village Green"/>
    <s v="600W"/>
    <s v="300S"/>
    <n v="442"/>
    <n v="26"/>
    <s v="NC"/>
    <s v="SC"/>
    <n v="0"/>
    <m/>
    <n v="8"/>
    <n v="50"/>
    <n v="0"/>
    <s v="KAITLIN RD"/>
    <n v="2"/>
    <s v="P"/>
    <n v="5859.848484848485"/>
    <x v="2"/>
    <n v="12"/>
    <n v="15"/>
    <n v="1.5"/>
    <n v="7.5"/>
  </r>
  <r>
    <s v=""/>
    <s v="KATHLEEN COURT"/>
    <s v="KATHLEEN COURT"/>
    <s v="Pleasant Acres"/>
    <s v="600 W"/>
    <s v="500 N"/>
    <n v="898"/>
    <n v="26"/>
    <s v="NC"/>
    <s v="BC"/>
    <n v="0"/>
    <n v="5"/>
    <n v="5"/>
    <n v="50"/>
    <n v="0"/>
    <s v="KATHLEEN COURT"/>
    <n v="5"/>
    <s v="P"/>
    <n v="11905.30303030303"/>
    <x v="4"/>
    <n v="6"/>
    <n v="15"/>
    <n v="2"/>
    <n v="2"/>
  </r>
  <r>
    <s v=""/>
    <s v="KELLY DRIVE(N)"/>
    <s v="KELLY DRIVE(N)"/>
    <s v="Cranberry Lake Estates"/>
    <s v="175 E"/>
    <s v="350 N"/>
    <n v="1056"/>
    <n v="26"/>
    <s v="NC"/>
    <s v="C"/>
    <n v="0"/>
    <n v="7"/>
    <n v="7"/>
    <n v="50"/>
    <n v="0"/>
    <s v="KELLY DRIVE(N)"/>
    <n v="3"/>
    <s v="CRACK"/>
    <n v="1180"/>
    <x v="5"/>
    <n v="10"/>
    <n v="4"/>
    <n v="1.5"/>
    <n v="3"/>
  </r>
  <r>
    <s v=""/>
    <s v="KEN LANE"/>
    <s v="KEN LANE"/>
    <s v="Sycamore Hills"/>
    <s v="4100 W"/>
    <s v="3200 S"/>
    <n v="317"/>
    <n v="26"/>
    <s v="NC"/>
    <s v="SC"/>
    <n v="0"/>
    <n v="6"/>
    <n v="7"/>
    <n v="50"/>
    <n v="0"/>
    <s v="KEN LANE"/>
    <n v="3"/>
    <s v="SP/CS"/>
    <n v="2401.5151515151515"/>
    <x v="1"/>
    <n v="10"/>
    <n v="10"/>
    <n v="1.5"/>
    <n v="6"/>
  </r>
  <r>
    <s v=""/>
    <s v="KINGBIRD COURT"/>
    <s v="KINGBIRD COURT"/>
    <s v="Vernon Woods"/>
    <s v="MERIDIAN ROAD"/>
    <s v="950 N"/>
    <n v="422"/>
    <n v="26"/>
    <s v="NC"/>
    <s v="V"/>
    <n v="0"/>
    <n v="8"/>
    <n v="8"/>
    <n v="50"/>
    <n v="0"/>
    <s v="KINGBIRD COURT"/>
    <n v="2"/>
    <s v="CRACK"/>
    <n v="471.55303030303031"/>
    <x v="2"/>
    <n v="12"/>
    <n v="4"/>
    <n v="1.5"/>
    <n v="7.5"/>
  </r>
  <r>
    <s v=""/>
    <s v="KINGBIRD DRIVE"/>
    <s v="KINGBIRD DRIVE"/>
    <s v="Vernon Woods"/>
    <s v="MERIDIAN ROAD"/>
    <s v="950 N"/>
    <n v="1109"/>
    <n v="26"/>
    <s v="NC"/>
    <s v="V"/>
    <n v="0"/>
    <n v="8"/>
    <n v="8"/>
    <n v="50"/>
    <n v="0"/>
    <s v="KINGBIRD DRIVE"/>
    <n v="2"/>
    <s v="CRACK"/>
    <n v="1239.2234848484848"/>
    <x v="2"/>
    <n v="12"/>
    <n v="4"/>
    <n v="1.5"/>
    <n v="7.5"/>
  </r>
  <r>
    <s v=""/>
    <s v="KINGSTON DRIVE(W)"/>
    <s v="KINGSTON DRIVE(W)"/>
    <s v="Stansbury"/>
    <s v="680 W"/>
    <s v="600 N"/>
    <n v="898"/>
    <n v="26"/>
    <s v="NC"/>
    <s v="BC"/>
    <n v="0"/>
    <n v="7"/>
    <n v="8"/>
    <n v="50"/>
    <n v="0"/>
    <s v="KINGSTON DRIVE(W)"/>
    <n v="2"/>
    <s v="CRACK"/>
    <n v="1003.4469696969697"/>
    <x v="1"/>
    <n v="12"/>
    <n v="4"/>
    <n v="1.5"/>
    <n v="6"/>
  </r>
  <r>
    <s v=""/>
    <s v="LAKESIDE COURT"/>
    <s v="LAKESIDE COURT"/>
    <s v="Cranberry Lake Estates"/>
    <s v="175 E"/>
    <s v="350 N"/>
    <n v="264"/>
    <n v="26"/>
    <s v="NC"/>
    <s v="C"/>
    <n v="0"/>
    <n v="7"/>
    <n v="7"/>
    <n v="50"/>
    <n v="0"/>
    <s v="LAKESIDE COURT"/>
    <n v="3"/>
    <s v="CRACK"/>
    <n v="295"/>
    <x v="5"/>
    <n v="10"/>
    <n v="4"/>
    <n v="1.5"/>
    <n v="3"/>
  </r>
  <r>
    <s v=""/>
    <s v="LAKEWOOD DRIVE"/>
    <s v="LAKEWOOD DRIVE"/>
    <s v="Cranberry Lake Estates"/>
    <s v="175 E"/>
    <s v="350 N"/>
    <n v="1742"/>
    <n v="26"/>
    <s v="NC"/>
    <s v="C"/>
    <n v="0"/>
    <n v="8"/>
    <n v="7"/>
    <n v="50"/>
    <n v="0"/>
    <s v="LAKEWOOD DRIVE"/>
    <n v="3"/>
    <s v="CRACK"/>
    <n v="1946.5530303030303"/>
    <x v="5"/>
    <n v="10"/>
    <n v="4"/>
    <n v="1.5"/>
    <n v="3"/>
  </r>
  <r>
    <s v=""/>
    <s v="LANA COURT EAST"/>
    <s v="LANA COURT EAST"/>
    <s v="Brier Creek"/>
    <s v="700 W"/>
    <s v="100 S"/>
    <n v="581"/>
    <n v="26"/>
    <s v="NC"/>
    <s v="SC"/>
    <n v="0"/>
    <n v="7"/>
    <n v="7"/>
    <n v="50"/>
    <n v="0"/>
    <s v="LANA COURT EAST"/>
    <n v="3"/>
    <s v="CRACK"/>
    <n v="649.22348484848487"/>
    <x v="0"/>
    <n v="10"/>
    <n v="4"/>
    <n v="1.5"/>
    <n v="0"/>
  </r>
  <r>
    <s v=""/>
    <s v="LANA COURT WEST"/>
    <s v="LANA COURT WEST"/>
    <s v="Brier Creek"/>
    <s v="700 W"/>
    <s v="100 S"/>
    <n v="581"/>
    <n v="26"/>
    <s v="NC"/>
    <s v="SC"/>
    <n v="0"/>
    <n v="7"/>
    <n v="7"/>
    <n v="50"/>
    <n v="0"/>
    <s v="LANA COURT WEST"/>
    <n v="3"/>
    <s v="CRACK"/>
    <n v="649.22348484848487"/>
    <x v="0"/>
    <n v="10"/>
    <n v="4"/>
    <n v="1.5"/>
    <n v="0"/>
  </r>
  <r>
    <s v="BC33"/>
    <s v="LANE RD./700W"/>
    <s v="LANE RD./700W"/>
    <m/>
    <s v="800W"/>
    <s v="700W"/>
    <n v="7105"/>
    <n v="20"/>
    <s v="AC"/>
    <s v="BC"/>
    <n v="0"/>
    <n v="6"/>
    <n v="7"/>
    <n v="50"/>
    <n v="0"/>
    <s v="LANE RD./700W"/>
    <n v="3"/>
    <s v="DS"/>
    <n v="33641.098484848488"/>
    <x v="3"/>
    <n v="10"/>
    <n v="7"/>
    <n v="1.5"/>
    <n v="9"/>
  </r>
  <r>
    <s v=""/>
    <s v="LEE MAR DRIVE"/>
    <s v="LEE MAR DRIVE"/>
    <s v="Glad Acres"/>
    <s v="500 W"/>
    <s v="325 S"/>
    <n v="422"/>
    <n v="26"/>
    <s v="NC"/>
    <s v="SC"/>
    <n v="0"/>
    <n v="7"/>
    <n v="8"/>
    <n v="50"/>
    <n v="0"/>
    <s v="LEE MAR DRIVE"/>
    <n v="2"/>
    <s v="CRACK"/>
    <n v="471.55303030303031"/>
    <x v="4"/>
    <n v="12"/>
    <n v="4"/>
    <n v="1.5"/>
    <n v="1.5"/>
  </r>
  <r>
    <s v=""/>
    <s v="LEONARD ROAD"/>
    <s v="LEONARD ROAD"/>
    <s v="Glad Acres"/>
    <s v="500 W"/>
    <s v="325 S"/>
    <n v="1584"/>
    <n v="26"/>
    <s v="NC"/>
    <s v="SC"/>
    <n v="0"/>
    <n v="7"/>
    <n v="8"/>
    <n v="50"/>
    <n v="0"/>
    <s v="LEONARD ROAD"/>
    <n v="2"/>
    <s v="CRACK"/>
    <n v="1770"/>
    <x v="4"/>
    <n v="12"/>
    <n v="4"/>
    <n v="1.5"/>
    <n v="1.5"/>
  </r>
  <r>
    <s v=""/>
    <s v="LILAC LANE"/>
    <s v="LILAC LANE"/>
    <s v="Gem Meadows"/>
    <s v="525 W"/>
    <s v="125 S"/>
    <n v="1214"/>
    <n v="26"/>
    <s v="NC"/>
    <s v="SC"/>
    <n v="0"/>
    <n v="8"/>
    <n v="8"/>
    <n v="50"/>
    <n v="0"/>
    <s v="LILAC LANE"/>
    <n v="2"/>
    <s v="CRACK"/>
    <n v="1356.5530303030303"/>
    <x v="1"/>
    <n v="12"/>
    <n v="4"/>
    <n v="1.5"/>
    <n v="6"/>
  </r>
  <r>
    <s v=""/>
    <s v="LILLIAN COURT"/>
    <s v="LILLIAN COURT"/>
    <s v="Schildmeier Woods"/>
    <s v="700 W"/>
    <s v="400 S"/>
    <n v="317"/>
    <n v="26"/>
    <s v="NC"/>
    <s v="SC"/>
    <n v="0"/>
    <n v="9"/>
    <n v="8"/>
    <n v="50"/>
    <n v="0"/>
    <s v="LILLIAN COURT"/>
    <n v="2"/>
    <s v="CRACK"/>
    <n v="354.22348484848487"/>
    <x v="1"/>
    <n v="12"/>
    <n v="4"/>
    <n v="1.5"/>
    <n v="6"/>
  </r>
  <r>
    <s v=""/>
    <s v="LILY COURT"/>
    <s v="LILY COURT"/>
    <s v="Morning Walk"/>
    <s v="150 W"/>
    <s v="150 S"/>
    <n v="211"/>
    <n v="26"/>
    <s v="NC"/>
    <s v="C"/>
    <n v="0"/>
    <n v="7"/>
    <n v="7"/>
    <n v="50"/>
    <n v="0"/>
    <s v="LILY COURT"/>
    <n v="3"/>
    <s v="CRACK"/>
    <n v="235.77651515151516"/>
    <x v="6"/>
    <n v="10"/>
    <n v="4"/>
    <n v="1.5"/>
    <n v="4.5"/>
  </r>
  <r>
    <s v=""/>
    <s v="LITTLETON DRIVE"/>
    <s v="LITTLETON DRIVE"/>
    <s v="Stansbury"/>
    <s v="680 W"/>
    <s v="600 N"/>
    <n v="898"/>
    <n v="26"/>
    <s v="NC"/>
    <s v="BC"/>
    <n v="0"/>
    <n v="7"/>
    <n v="8"/>
    <n v="50"/>
    <n v="0"/>
    <s v="LITTLETON DRIVE"/>
    <n v="2"/>
    <s v="CRACK"/>
    <n v="1003.4469696969697"/>
    <x v="1"/>
    <n v="12"/>
    <n v="4"/>
    <n v="1.5"/>
    <n v="6"/>
  </r>
  <r>
    <s v=""/>
    <s v="LOGAN DR (S)"/>
    <s v="LOGAN DR (S)"/>
    <s v="Briarwood Trace"/>
    <s v="700 W"/>
    <s v="225 S"/>
    <n v="1262"/>
    <n v="26"/>
    <s v="NC"/>
    <s v="SC"/>
    <n v="0"/>
    <n v="7"/>
    <n v="7"/>
    <n v="50"/>
    <n v="0"/>
    <s v="LOGAN DR (S)"/>
    <n v="3"/>
    <s v="CRACK"/>
    <n v="1410.189393939394"/>
    <x v="0"/>
    <n v="10"/>
    <n v="4"/>
    <n v="1.5"/>
    <n v="0"/>
  </r>
  <r>
    <s v=""/>
    <s v="MAIELLEN DRIVE"/>
    <s v="MAIELLEN DRIVE"/>
    <s v="Buck Creek Meadows"/>
    <s v="700 W"/>
    <s v="100 N"/>
    <n v="1933"/>
    <n v="26"/>
    <s v="NC"/>
    <s v="BC"/>
    <n v="0"/>
    <n v="7"/>
    <n v="7"/>
    <n v="50"/>
    <n v="0"/>
    <s v="MAIELLEN DRIVE"/>
    <n v="3"/>
    <s v="CRACK"/>
    <n v="2159.9810606060605"/>
    <x v="6"/>
    <n v="10"/>
    <n v="4"/>
    <n v="1.5"/>
    <n v="4.5"/>
  </r>
  <r>
    <s v=""/>
    <s v="MAIN CROSS(PHILY)"/>
    <s v="MAIN CROSS(PHILY)"/>
    <m/>
    <s v="US40"/>
    <s v="WALNUT/VINE"/>
    <n v="612"/>
    <n v="20"/>
    <s v="AC"/>
    <s v="SC"/>
    <n v="0"/>
    <n v="5"/>
    <n v="5"/>
    <n v="50"/>
    <n v="0"/>
    <s v="MAIN CROSS(PHILY)"/>
    <n v="5"/>
    <s v="SP/CS"/>
    <n v="4636.363636363636"/>
    <x v="0"/>
    <n v="6"/>
    <n v="10"/>
    <n v="2"/>
    <n v="0"/>
  </r>
  <r>
    <s v=""/>
    <s v="MAIN ST(CHAR)/25N"/>
    <s v="MAIN ST(CHAR)/25N"/>
    <m/>
    <s v="US40"/>
    <s v="25N"/>
    <n v="1077"/>
    <n v="20"/>
    <s v="AC"/>
    <s v="J"/>
    <n v="0"/>
    <n v="6"/>
    <n v="6"/>
    <n v="50"/>
    <n v="0"/>
    <s v="MAIN ST"/>
    <n v="4"/>
    <s v="DS"/>
    <n v="5099.431818181818"/>
    <x v="3"/>
    <n v="8"/>
    <n v="7"/>
    <n v="2"/>
    <n v="12"/>
  </r>
  <r>
    <s v=""/>
    <s v="MAIN ST(FINLY)/GR"/>
    <s v="MAIN ST(FINLY)/GR"/>
    <m/>
    <s v="US52"/>
    <s v="GREENFIELD ST"/>
    <n v="634"/>
    <n v="20"/>
    <s v="AC"/>
    <s v="BW"/>
    <n v="0"/>
    <n v="7"/>
    <n v="7"/>
    <n v="50"/>
    <n v="0"/>
    <s v="MAIN ST"/>
    <n v="3"/>
    <s v="CS"/>
    <n v="1801.1363636363637"/>
    <x v="2"/>
    <n v="10"/>
    <n v="7"/>
    <n v="1.5"/>
    <n v="7.5"/>
  </r>
  <r>
    <s v="B41"/>
    <s v="MAIN ST.(WILL BR)"/>
    <s v="MAIN ST.(WILL BR)"/>
    <m/>
    <s v="650N"/>
    <s v="600N"/>
    <n v="2620"/>
    <n v="20"/>
    <s v="AC"/>
    <s v="B"/>
    <n v="0"/>
    <n v="6"/>
    <n v="6"/>
    <n v="50"/>
    <n v="0"/>
    <s v="MAIN ST"/>
    <n v="4"/>
    <s v="DS"/>
    <n v="12405.30303030303"/>
    <x v="2"/>
    <n v="8"/>
    <n v="7"/>
    <n v="2"/>
    <n v="10"/>
  </r>
  <r>
    <s v=""/>
    <s v="MEADOW LAKE DRIVE"/>
    <s v="MEADOW LAKE DRIVE"/>
    <s v="Meadow Lake Estates"/>
    <s v="500 W"/>
    <s v="60 S"/>
    <n v="1795"/>
    <n v="26"/>
    <s v="NC"/>
    <s v="SC"/>
    <n v="0"/>
    <n v="7"/>
    <n v="8"/>
    <n v="50"/>
    <n v="0"/>
    <s v="MEADOW LAKE DRIVE"/>
    <n v="2"/>
    <s v="CRACK"/>
    <n v="2005.7765151515152"/>
    <x v="0"/>
    <n v="12"/>
    <n v="4"/>
    <n v="1.5"/>
    <n v="0"/>
  </r>
  <r>
    <s v=""/>
    <s v="MEADOW SONG CT S"/>
    <s v="MEADOW SONG CT S"/>
    <s v="Meadow Lake Estates"/>
    <s v="500 W"/>
    <s v="60 S"/>
    <n v="739"/>
    <n v="26"/>
    <s v="NC"/>
    <s v="SC"/>
    <n v="0"/>
    <n v="7"/>
    <n v="8"/>
    <n v="50"/>
    <n v="0"/>
    <s v="MEADOW SONG CT S"/>
    <n v="2"/>
    <s v="CRACK"/>
    <n v="825.77651515151513"/>
    <x v="0"/>
    <n v="12"/>
    <n v="4"/>
    <n v="1.5"/>
    <n v="0"/>
  </r>
  <r>
    <s v=""/>
    <s v="MEADOWS CIRCLE"/>
    <s v="MEADOWS CIRCLE"/>
    <s v="Buck Creek Meadows"/>
    <s v="700 W"/>
    <s v="100 N"/>
    <n v="739"/>
    <n v="26"/>
    <s v="NC"/>
    <s v="BC"/>
    <n v="0"/>
    <n v="7"/>
    <n v="7"/>
    <n v="50"/>
    <n v="0"/>
    <s v="MEADOWS CIRCLE"/>
    <n v="3"/>
    <s v="CRACK"/>
    <n v="825.77651515151513"/>
    <x v="6"/>
    <n v="10"/>
    <n v="4"/>
    <n v="1.5"/>
    <n v="4.5"/>
  </r>
  <r>
    <s v=""/>
    <s v="MEADOWS LANE"/>
    <s v="MEADOWS LANE"/>
    <s v="Buck Creek Meadows"/>
    <s v="700 W"/>
    <s v="100 N"/>
    <n v="2059"/>
    <n v="26"/>
    <s v="NC"/>
    <s v="BC"/>
    <n v="0"/>
    <n v="7"/>
    <n v="7"/>
    <n v="50"/>
    <n v="0"/>
    <s v="MEADOWS LANE"/>
    <n v="3"/>
    <s v="CRACK"/>
    <n v="2300.776515151515"/>
    <x v="6"/>
    <n v="10"/>
    <n v="4"/>
    <n v="1.5"/>
    <n v="4.5"/>
  </r>
  <r>
    <s v=""/>
    <s v="MEADOWVIEW DR"/>
    <s v="MEADOWVIEW DR"/>
    <s v="Summerfield"/>
    <s v="350 W"/>
    <s v="30 N"/>
    <n v="1320"/>
    <n v="26"/>
    <s v="NC"/>
    <s v="BC"/>
    <n v="0"/>
    <n v="7"/>
    <n v="6"/>
    <n v="50"/>
    <n v="0"/>
    <s v="MEADOWVIEW DR"/>
    <n v="4"/>
    <s v="CRACK"/>
    <n v="1475"/>
    <x v="4"/>
    <n v="8"/>
    <n v="4"/>
    <n v="2"/>
    <n v="2"/>
  </r>
  <r>
    <m/>
    <s v="MEDFORD COURT"/>
    <s v="MEDFORD COURT"/>
    <s v="Easton at Stansbury"/>
    <s v="660 W"/>
    <s v="600 N"/>
    <n v="158"/>
    <n v="26"/>
    <s v="NC"/>
    <s v="BC"/>
    <n v="0"/>
    <m/>
    <n v="7"/>
    <n v="50"/>
    <n v="0"/>
    <s v="MEDFORD COURT"/>
    <n v="3"/>
    <s v="P"/>
    <n v="2094.6969696969695"/>
    <x v="5"/>
    <n v="10"/>
    <n v="15"/>
    <n v="1.5"/>
    <n v="3"/>
  </r>
  <r>
    <s v=""/>
    <s v="MELODY LANE"/>
    <s v="MELODY LANE"/>
    <s v="Wildwood Estates"/>
    <s v="200 W"/>
    <s v="50 N"/>
    <n v="1003"/>
    <n v="26"/>
    <s v="NC"/>
    <s v="BC"/>
    <n v="0"/>
    <n v="7"/>
    <n v="7"/>
    <n v="50"/>
    <n v="0"/>
    <s v="MELODY LANE"/>
    <n v="3"/>
    <s v="CRACK"/>
    <n v="1120.7765151515152"/>
    <x v="5"/>
    <n v="10"/>
    <n v="4"/>
    <n v="1.5"/>
    <n v="3"/>
  </r>
  <r>
    <s v=""/>
    <s v="MEMORY LANE"/>
    <s v="MEMORY LANE"/>
    <s v="Time Capsule Park"/>
    <s v="600 W"/>
    <s v="20 S"/>
    <n v="634"/>
    <n v="26"/>
    <s v="NC"/>
    <s v="SC"/>
    <n v="0"/>
    <n v="8"/>
    <n v="7"/>
    <n v="50"/>
    <n v="0"/>
    <s v="MEMORY LANE"/>
    <n v="3"/>
    <s v="CRACK"/>
    <n v="708.44696969696975"/>
    <x v="2"/>
    <n v="10"/>
    <n v="4"/>
    <n v="1.5"/>
    <n v="7.5"/>
  </r>
  <r>
    <s v="BR52"/>
    <s v="500E/100S"/>
    <s v="500E/100S"/>
    <m/>
    <s v="200S"/>
    <s v="100S"/>
    <n v="5374"/>
    <n v="20"/>
    <s v="AC"/>
    <s v="BR"/>
    <n v="0"/>
    <n v="5"/>
    <n v="6"/>
    <n v="300"/>
    <n v="0"/>
    <s v="500E"/>
    <n v="4"/>
    <s v="CS"/>
    <n v="15267.045454545454"/>
    <x v="3"/>
    <n v="8"/>
    <n v="7"/>
    <n v="2"/>
    <n v="12"/>
  </r>
  <r>
    <s v=""/>
    <s v="MILL BOULEVARD"/>
    <s v="MILL BOULEVARD"/>
    <s v="Country Mill"/>
    <s v="SR 9"/>
    <s v="470 W"/>
    <n v="950"/>
    <n v="26"/>
    <s v="NC"/>
    <s v="C"/>
    <n v="0"/>
    <n v="7"/>
    <n v="8"/>
    <n v="50"/>
    <n v="0"/>
    <s v="MILL BOULEVARD"/>
    <n v="2"/>
    <s v="CRACK"/>
    <n v="1061.5530303030303"/>
    <x v="4"/>
    <n v="12"/>
    <n v="4"/>
    <n v="1.5"/>
    <n v="1.5"/>
  </r>
  <r>
    <s v=""/>
    <s v="MILL COURT"/>
    <s v="MILL COURT"/>
    <s v="Country Mill"/>
    <s v="SR 9"/>
    <s v="470 W"/>
    <n v="264"/>
    <n v="26"/>
    <s v="NC"/>
    <s v="C"/>
    <n v="0"/>
    <n v="6"/>
    <n v="8"/>
    <n v="50"/>
    <n v="0"/>
    <s v="MILL COURT"/>
    <n v="2"/>
    <s v="SP/CS"/>
    <n v="2000"/>
    <x v="4"/>
    <n v="12"/>
    <n v="10"/>
    <n v="1.5"/>
    <n v="1.5"/>
  </r>
  <r>
    <s v=""/>
    <s v="MILL STREAM DRIVE"/>
    <s v="MILL STREAM DRIVE"/>
    <s v="Country Mill"/>
    <s v="SR 9"/>
    <s v="470 N"/>
    <n v="1267"/>
    <n v="26"/>
    <s v="NC"/>
    <s v="C"/>
    <n v="0"/>
    <n v="6"/>
    <n v="8"/>
    <n v="50"/>
    <n v="0"/>
    <s v="MILL STREAM DRIVE"/>
    <n v="2"/>
    <s v="SP/CS"/>
    <n v="9598.484848484848"/>
    <x v="4"/>
    <n v="12"/>
    <n v="10"/>
    <n v="1.5"/>
    <n v="1.5"/>
  </r>
  <r>
    <s v=""/>
    <s v="MOELLER CIR (S)"/>
    <s v="MOELLER CIR (S)"/>
    <s v="Briarwood Trace"/>
    <s v="700 W"/>
    <s v="225 S"/>
    <n v="663.5"/>
    <n v="26"/>
    <s v="NC"/>
    <s v="SC"/>
    <n v="0"/>
    <n v="7"/>
    <n v="7"/>
    <n v="50"/>
    <n v="0"/>
    <s v="MOELLER CIR (S)"/>
    <n v="3"/>
    <s v="CRACK"/>
    <n v="741.41098484848487"/>
    <x v="0"/>
    <n v="10"/>
    <n v="4"/>
    <n v="1.5"/>
    <n v="0"/>
  </r>
  <r>
    <s v=""/>
    <s v="MOELLER CIR(N)"/>
    <s v="MOELLER CIR(N)"/>
    <s v="Briarwood Trace"/>
    <s v="700 W"/>
    <s v="225 S"/>
    <n v="663.5"/>
    <n v="26"/>
    <s v="NC"/>
    <s v="SC"/>
    <n v="0"/>
    <n v="7"/>
    <n v="7"/>
    <n v="50"/>
    <n v="0"/>
    <s v="MOELLER CIR(N)"/>
    <n v="3"/>
    <s v="CRACK"/>
    <n v="741.41098484848487"/>
    <x v="0"/>
    <n v="10"/>
    <n v="4"/>
    <n v="1.5"/>
    <n v="0"/>
  </r>
  <r>
    <s v=""/>
    <s v="MOHAWK LN(MOH)/NEW"/>
    <s v="MOHAWK LN(MOH)/NEW"/>
    <m/>
    <s v="200W"/>
    <s v="NEW ST"/>
    <n v="294"/>
    <n v="20"/>
    <s v="AC"/>
    <s v="C"/>
    <n v="0"/>
    <n v="6"/>
    <n v="4"/>
    <n v="50"/>
    <n v="0"/>
    <s v="MOHAWK LN(MOH)/NEW"/>
    <n v="6"/>
    <s v="DS"/>
    <n v="1392.0454545454545"/>
    <x v="0"/>
    <n v="3"/>
    <n v="7"/>
    <n v="2.5"/>
    <n v="0"/>
  </r>
  <r>
    <s v=""/>
    <s v="MOHR ESTATES MIDDLE DRIVE"/>
    <s v="MOHR ESTATES MIDDLE DRIVE"/>
    <s v="Mohr Estates"/>
    <s v="470 W"/>
    <s v="600 S"/>
    <n v="1320"/>
    <n v="26"/>
    <s v="NC"/>
    <s v="SC"/>
    <n v="0"/>
    <n v="8"/>
    <n v="7"/>
    <n v="50"/>
    <n v="0"/>
    <s v="MIDDLE DRIVE"/>
    <n v="3"/>
    <s v="CRACK"/>
    <n v="1475"/>
    <x v="4"/>
    <n v="10"/>
    <n v="4"/>
    <n v="1.5"/>
    <n v="1.5"/>
  </r>
  <r>
    <s v=""/>
    <s v="MOHR ESTATES SOUTH DRIVE"/>
    <s v="MOHR ESTATES SOUTH DRIVE"/>
    <s v="Mohr Estates"/>
    <s v="470 W"/>
    <s v="600 S"/>
    <n v="1267"/>
    <n v="26"/>
    <s v="NC"/>
    <s v="SC"/>
    <n v="0"/>
    <n v="6"/>
    <n v="6"/>
    <n v="50"/>
    <n v="0"/>
    <s v="SOUTH DRIVE"/>
    <n v="4"/>
    <s v="SP/CS"/>
    <n v="9598.484848484848"/>
    <x v="6"/>
    <n v="8"/>
    <n v="10"/>
    <n v="2"/>
    <n v="6"/>
  </r>
  <r>
    <s v=""/>
    <s v="MOHR ROAD(E)"/>
    <s v="MOHR ROAD(E)"/>
    <s v="Cranberry Lake Estates"/>
    <s v="175 E"/>
    <s v="350 N"/>
    <n v="2376"/>
    <n v="26"/>
    <s v="NC"/>
    <s v="C"/>
    <n v="0"/>
    <n v="7"/>
    <n v="7"/>
    <n v="50"/>
    <n v="0"/>
    <s v="MOHR ROAD(E)"/>
    <n v="3"/>
    <s v="CRACK"/>
    <n v="2655"/>
    <x v="5"/>
    <n v="10"/>
    <n v="4"/>
    <n v="1.5"/>
    <n v="3"/>
  </r>
  <r>
    <s v=""/>
    <s v="MOHR ROAD(N)"/>
    <s v="MOHR ROAD(N)"/>
    <s v="Cranberry Lake Estates"/>
    <s v="175 E"/>
    <s v="350 N"/>
    <n v="1531"/>
    <n v="26"/>
    <s v="NC"/>
    <s v="C"/>
    <n v="0"/>
    <n v="7"/>
    <n v="7"/>
    <n v="50"/>
    <n v="0"/>
    <s v="MOHR ROAD(N)"/>
    <n v="3"/>
    <s v="CRACK"/>
    <n v="1710.7765151515152"/>
    <x v="5"/>
    <n v="10"/>
    <n v="4"/>
    <n v="1.5"/>
    <n v="3"/>
  </r>
  <r>
    <s v=""/>
    <s v="MORGAN COURT(W)"/>
    <s v="MORGAN COURT(W)"/>
    <s v="Village Green"/>
    <s v="610 W"/>
    <s v="300 S"/>
    <n v="638"/>
    <n v="26"/>
    <s v="NC"/>
    <s v="SC"/>
    <n v="0"/>
    <n v="7"/>
    <n v="7"/>
    <n v="50"/>
    <n v="0"/>
    <s v="MORGAN COURT(W)"/>
    <n v="3"/>
    <s v="CRACK"/>
    <n v="712.91666666666663"/>
    <x v="2"/>
    <n v="10"/>
    <n v="4"/>
    <n v="1.5"/>
    <n v="7.5"/>
  </r>
  <r>
    <s v=""/>
    <s v="MORGAN CT (E)"/>
    <s v="MORGAN CT (E)"/>
    <s v="Village Green"/>
    <s v="300 S"/>
    <s v="600 W"/>
    <n v="331"/>
    <n v="26"/>
    <s v="NC"/>
    <s v="SC"/>
    <n v="0"/>
    <n v="7"/>
    <n v="7"/>
    <n v="50"/>
    <n v="0"/>
    <s v="MORGAN CT (E)"/>
    <n v="3"/>
    <s v="CRACK"/>
    <n v="369.86742424242425"/>
    <x v="2"/>
    <n v="10"/>
    <n v="4"/>
    <n v="1.5"/>
    <n v="7.5"/>
  </r>
  <r>
    <s v=""/>
    <s v="MORNING GLORY CIRCLE"/>
    <s v="MORNING GLORY CIRCLE"/>
    <s v="Morning Walk"/>
    <s v="150 W"/>
    <s v="150 S"/>
    <n v="370"/>
    <n v="26"/>
    <s v="NC"/>
    <s v="C"/>
    <n v="0"/>
    <n v="7"/>
    <n v="6"/>
    <n v="50"/>
    <n v="0"/>
    <s v="JAMESTOWN DRIVE (W"/>
    <n v="4"/>
    <s v="CRACK"/>
    <n v="413.44696969696969"/>
    <x v="6"/>
    <n v="8"/>
    <n v="4"/>
    <n v="2"/>
    <n v="6"/>
  </r>
  <r>
    <s v=""/>
    <s v="MORNING WALK DRIVE"/>
    <s v="MORNING WALK DRIVE"/>
    <s v="Morning Walk"/>
    <s v="150 W"/>
    <s v="150 S"/>
    <n v="2904"/>
    <n v="26"/>
    <s v="NC"/>
    <s v="C"/>
    <n v="0"/>
    <n v="7"/>
    <n v="7"/>
    <n v="50"/>
    <n v="0"/>
    <s v="MORNING WALK DRIVE"/>
    <n v="3"/>
    <s v="CRACK"/>
    <n v="3245"/>
    <x v="6"/>
    <n v="10"/>
    <n v="4"/>
    <n v="1.5"/>
    <n v="4.5"/>
  </r>
  <r>
    <s v=""/>
    <s v="MT VERNON COURT"/>
    <s v="MT VERNON COURT"/>
    <s v="Mt. Vernon Pointe"/>
    <s v="SR 234"/>
    <s v="140 W"/>
    <n v="370"/>
    <n v="26"/>
    <s v="NC"/>
    <s v="V"/>
    <n v="0"/>
    <n v="7"/>
    <n v="8"/>
    <n v="50"/>
    <n v="0"/>
    <s v="MT VERNON COURT"/>
    <n v="2"/>
    <s v="CRACK"/>
    <n v="413.44696969696969"/>
    <x v="6"/>
    <n v="12"/>
    <n v="4"/>
    <n v="1.5"/>
    <n v="4.5"/>
  </r>
  <r>
    <s v=""/>
    <s v="MT VERNON WAY"/>
    <s v="MT VERNON WAY"/>
    <s v="Mt. Vernon Pointe"/>
    <s v="SR 234"/>
    <s v="140 W"/>
    <n v="2534"/>
    <n v="26"/>
    <s v="NC"/>
    <s v="V"/>
    <n v="0"/>
    <n v="7"/>
    <n v="8"/>
    <n v="50"/>
    <n v="0"/>
    <s v="MT VERNON WAY"/>
    <n v="2"/>
    <s v="CRACK"/>
    <n v="2831.5530303030305"/>
    <x v="6"/>
    <n v="12"/>
    <n v="4"/>
    <n v="1.5"/>
    <n v="4.5"/>
  </r>
  <r>
    <s v=""/>
    <s v="MUD CREEK CT (S)"/>
    <s v="MUD CREEK CT (S)"/>
    <s v="Stinemyer Crossing"/>
    <s v="570 W"/>
    <s v="STINEMEYER ROAD"/>
    <n v="950"/>
    <n v="26"/>
    <s v="NC"/>
    <s v="SC"/>
    <n v="0"/>
    <n v="7"/>
    <n v="8"/>
    <n v="50"/>
    <n v="0"/>
    <s v="MUD CREEK CT (S)"/>
    <n v="2"/>
    <s v="CRACK"/>
    <n v="1061.5530303030303"/>
    <x v="4"/>
    <n v="12"/>
    <n v="4"/>
    <n v="1.5"/>
    <n v="1.5"/>
  </r>
  <r>
    <s v=""/>
    <s v="NEW ST(MOH)/MOH LN"/>
    <s v="NEW ST(MOH)/MOH LN"/>
    <m/>
    <s v="400N"/>
    <s v="MOHAWK LANE"/>
    <n v="622"/>
    <n v="20"/>
    <s v="AC"/>
    <s v="C"/>
    <n v="0"/>
    <n v="5"/>
    <n v="4"/>
    <n v="50"/>
    <n v="0"/>
    <s v="NEW ST."/>
    <n v="6"/>
    <s v="SP/CS"/>
    <n v="4712.121212121212"/>
    <x v="0"/>
    <n v="3"/>
    <n v="10"/>
    <n v="2.5"/>
    <n v="0"/>
  </r>
  <r>
    <s v=""/>
    <s v="NORTH ST(CHAR)/END"/>
    <s v="NORTH ST(CHAR)/END"/>
    <m/>
    <s v="MAIN ST"/>
    <s v="END"/>
    <n v="1007"/>
    <n v="20"/>
    <s v="AC"/>
    <s v="J"/>
    <n v="0"/>
    <n v="6"/>
    <n v="6"/>
    <n v="50"/>
    <n v="0"/>
    <s v="NORTH ST."/>
    <n v="4"/>
    <s v="DS"/>
    <n v="4767.992424242424"/>
    <x v="2"/>
    <n v="8"/>
    <n v="7"/>
    <n v="2"/>
    <n v="10"/>
  </r>
  <r>
    <s v=""/>
    <s v="NORTH/EAST ST"/>
    <s v="NORTH/EAST ST"/>
    <m/>
    <s v="MT COMFORT"/>
    <m/>
    <n v="835"/>
    <n v="20"/>
    <s v="G"/>
    <s v="BC"/>
    <n v="0"/>
    <n v="7"/>
    <n v="7"/>
    <n v="50"/>
    <n v="0"/>
    <s v="NORTH ST."/>
    <n v="3"/>
    <s v="GG"/>
    <n v="2214.0151515151515"/>
    <x v="4"/>
    <n v="10"/>
    <n v="1"/>
    <n v="1.5"/>
    <n v="1.5"/>
  </r>
  <r>
    <s v=""/>
    <s v="OAK DRIVE"/>
    <s v="OAK DRIVE"/>
    <s v="Lantern Woods"/>
    <s v="500 W"/>
    <s v="150 S"/>
    <n v="1267"/>
    <n v="26"/>
    <s v="NC"/>
    <s v="SC"/>
    <n v="0"/>
    <n v="7"/>
    <n v="7"/>
    <n v="50"/>
    <n v="0"/>
    <s v="OAK DRIVE"/>
    <n v="3"/>
    <s v="CRACK"/>
    <n v="1415.7765151515152"/>
    <x v="6"/>
    <n v="10"/>
    <n v="4"/>
    <n v="1.5"/>
    <n v="4.5"/>
  </r>
  <r>
    <s v=""/>
    <s v="OAK DRIVE"/>
    <s v="OAK DRIVE"/>
    <s v="Hamilton Heights"/>
    <s v="275 W"/>
    <s v="100 S"/>
    <n v="792"/>
    <n v="26"/>
    <s v="NC"/>
    <s v="SC"/>
    <n v="0"/>
    <n v="7"/>
    <n v="7"/>
    <n v="50"/>
    <n v="0"/>
    <s v="OAK STREET"/>
    <n v="3"/>
    <s v="CRACK"/>
    <n v="885"/>
    <x v="1"/>
    <n v="10"/>
    <n v="4"/>
    <n v="1.5"/>
    <n v="6"/>
  </r>
  <r>
    <s v=""/>
    <s v="OAKWOOD COURT"/>
    <s v="OAKWOOD COURT"/>
    <s v="Oakwood"/>
    <s v="200 S"/>
    <s v="750 W"/>
    <n v="581"/>
    <n v="26"/>
    <s v="NC"/>
    <s v="SC"/>
    <n v="0"/>
    <n v="9"/>
    <n v="8"/>
    <n v="50"/>
    <n v="0"/>
    <s v="OAKWOOD COURT"/>
    <n v="2"/>
    <s v="CRACK"/>
    <n v="649.22348484848487"/>
    <x v="6"/>
    <n v="12"/>
    <n v="4"/>
    <n v="1.5"/>
    <n v="4.5"/>
  </r>
  <r>
    <s v=""/>
    <s v="OAKWOOD DRIVE"/>
    <s v="OAKWOOD DRIVE"/>
    <s v="Oakwood"/>
    <s v="200 S"/>
    <s v="750 W"/>
    <n v="2165"/>
    <n v="26"/>
    <s v="NC"/>
    <s v="SC"/>
    <n v="0"/>
    <n v="9"/>
    <n v="8"/>
    <n v="50"/>
    <n v="0"/>
    <s v="OAKWOOD DRIVE"/>
    <n v="2"/>
    <s v="CRACK"/>
    <n v="2419.223484848485"/>
    <x v="6"/>
    <n v="12"/>
    <n v="4"/>
    <n v="1.5"/>
    <n v="4.5"/>
  </r>
  <r>
    <s v=""/>
    <s v="ODEN ROAD"/>
    <s v="ODEN ROAD"/>
    <s v="North Brandywine Heights"/>
    <s v="300 E"/>
    <s v="100 S"/>
    <n v="1056"/>
    <n v="26"/>
    <s v="NC"/>
    <s v="C"/>
    <n v="0"/>
    <n v="6"/>
    <n v="6"/>
    <n v="50"/>
    <n v="0"/>
    <s v="ODEN ROAD"/>
    <n v="4"/>
    <s v="SP/CS"/>
    <n v="8000"/>
    <x v="6"/>
    <n v="8"/>
    <n v="10"/>
    <n v="2"/>
    <n v="6"/>
  </r>
  <r>
    <s v=""/>
    <s v="OLD 1200E/NEW1200E"/>
    <s v="OLD 1200E/NEW1200E"/>
    <m/>
    <s v="NEW 1200E"/>
    <s v="NEW 1200E"/>
    <n v="1645"/>
    <n v="20"/>
    <s v="AC"/>
    <s v="B"/>
    <n v="0"/>
    <n v="8"/>
    <n v="7"/>
    <n v="50"/>
    <n v="0"/>
    <s v="OLD 1200E"/>
    <n v="3"/>
    <s v="CRACK"/>
    <n v="1838.1628787878788"/>
    <x v="3"/>
    <n v="10"/>
    <n v="4"/>
    <n v="1.5"/>
    <n v="9"/>
  </r>
  <r>
    <s v=""/>
    <s v="OLD COLONY DR WEST"/>
    <s v="OLD COLONY DR WEST"/>
    <s v="Schildmeier Village"/>
    <s v="700 W"/>
    <s v="400 S"/>
    <n v="1056"/>
    <n v="26"/>
    <s v="NC"/>
    <s v="SC"/>
    <n v="0"/>
    <n v="7"/>
    <n v="8"/>
    <n v="50"/>
    <n v="0"/>
    <s v="OLD COLONEY DR WEST"/>
    <n v="2"/>
    <s v="CRACK"/>
    <n v="1180"/>
    <x v="1"/>
    <n v="12"/>
    <n v="4"/>
    <n v="1.5"/>
    <n v="6"/>
  </r>
  <r>
    <m/>
    <s v="ORCHARD DRIVE"/>
    <s v="ORCHARD DRIVE"/>
    <s v="Alfords"/>
    <s v="900 N"/>
    <s v="200 W"/>
    <n v="1056"/>
    <n v="26"/>
    <s v="NC"/>
    <s v="V"/>
    <n v="0"/>
    <n v="7"/>
    <n v="8"/>
    <n v="50"/>
    <n v="0"/>
    <s v="ORCHARD DRIVE"/>
    <n v="2"/>
    <s v="CRACK"/>
    <n v="1180"/>
    <x v="5"/>
    <n v="12"/>
    <n v="4"/>
    <n v="1.5"/>
    <n v="3"/>
  </r>
  <r>
    <s v="C31"/>
    <s v="400N/100W"/>
    <s v="400N/100W"/>
    <m/>
    <s v="100W"/>
    <s v="200W"/>
    <n v="5302"/>
    <n v="20"/>
    <s v="AC"/>
    <s v="C"/>
    <n v="0"/>
    <n v="5"/>
    <n v="6"/>
    <n v="299"/>
    <n v="0"/>
    <s v="400N"/>
    <n v="4"/>
    <s v="CS"/>
    <n v="15062.5"/>
    <x v="3"/>
    <n v="8"/>
    <n v="7"/>
    <n v="2"/>
    <n v="12"/>
  </r>
  <r>
    <s v=""/>
    <s v="OSPREY DR"/>
    <s v="OSPREY DR"/>
    <s v="Greyhawk Woods"/>
    <s v="SR 9"/>
    <s v="460 S"/>
    <n v="317"/>
    <n v="26"/>
    <s v="NC"/>
    <s v="BW"/>
    <n v="0"/>
    <n v="7"/>
    <n v="8"/>
    <n v="50"/>
    <n v="0"/>
    <s v="OSPREY"/>
    <n v="2"/>
    <s v="F"/>
    <n v="120.07575757575758"/>
    <x v="0"/>
    <n v="12"/>
    <n v="2"/>
    <n v="1.5"/>
    <n v="0"/>
  </r>
  <r>
    <s v=""/>
    <s v="PARKER LANE (S)"/>
    <s v="PARKER LANE (S)"/>
    <s v="Village Green"/>
    <s v="610 W"/>
    <s v="300 S"/>
    <n v="1478"/>
    <n v="26"/>
    <s v="NC"/>
    <s v="SC"/>
    <n v="0"/>
    <n v="7"/>
    <n v="7"/>
    <n v="50"/>
    <n v="0"/>
    <s v="PARKER LANE (S)"/>
    <n v="3"/>
    <s v="CRACK"/>
    <n v="1651.5530303030303"/>
    <x v="2"/>
    <n v="10"/>
    <n v="4"/>
    <n v="1.5"/>
    <n v="7.5"/>
  </r>
  <r>
    <s v=""/>
    <s v="PARKSIDE DRIVE"/>
    <s v="PARKSIDE DRIVE"/>
    <s v="Countryside"/>
    <s v="500 W"/>
    <s v="375 S"/>
    <n v="1003"/>
    <n v="26"/>
    <s v="NC"/>
    <s v="SC"/>
    <n v="0"/>
    <n v="7"/>
    <n v="8"/>
    <n v="50"/>
    <n v="0"/>
    <s v="PARKSIDE DRIVE(CO)(S)"/>
    <n v="2"/>
    <s v="CRACK"/>
    <n v="1120.7765151515152"/>
    <x v="4"/>
    <n v="12"/>
    <n v="4"/>
    <n v="1.5"/>
    <n v="1.5"/>
  </r>
  <r>
    <s v=""/>
    <s v="PARKWAY AVE(S)"/>
    <s v="PARKWAY AVE(S)"/>
    <s v="Windhaven"/>
    <s v="440 W"/>
    <s v="100 S"/>
    <n v="520"/>
    <n v="26"/>
    <s v="NC"/>
    <s v="SC"/>
    <n v="0"/>
    <n v="8"/>
    <n v="10"/>
    <n v="50"/>
    <n v="0"/>
    <s v="PARKWAY AVE(S)"/>
    <n v="0"/>
    <s v="CRACK"/>
    <n v="581.06060606060601"/>
    <x v="6"/>
    <n v="16"/>
    <n v="4"/>
    <n v="0.5"/>
    <n v="1.5"/>
  </r>
  <r>
    <s v=""/>
    <s v="PARKWAY COURT"/>
    <s v="PARKWAY COURT"/>
    <s v="Windhaven"/>
    <s v="440 W"/>
    <s v="100 S"/>
    <n v="517.4"/>
    <m/>
    <s v="NC"/>
    <s v="SC"/>
    <n v="0"/>
    <m/>
    <n v="7"/>
    <n v="50"/>
    <n v="0"/>
    <m/>
    <n v="3"/>
    <s v="CRACK"/>
    <n v="578.155303030303"/>
    <x v="0"/>
    <n v="10"/>
    <n v="4"/>
    <n v="1.5"/>
    <n v="0"/>
  </r>
  <r>
    <s v=""/>
    <s v="PEACE STREET"/>
    <s v="PEACE STREET"/>
    <s v="Ridgewood"/>
    <s v="JACOBI ROAD"/>
    <s v="150 S"/>
    <n v="1162"/>
    <n v="26"/>
    <s v="NC"/>
    <s v="SC"/>
    <n v="0"/>
    <n v="7"/>
    <n v="7"/>
    <n v="50"/>
    <n v="0"/>
    <s v="PEACE STREET"/>
    <n v="3"/>
    <s v="CRACK"/>
    <n v="1298.4469696969697"/>
    <x v="1"/>
    <n v="10"/>
    <n v="4"/>
    <n v="1.5"/>
    <n v="6"/>
  </r>
  <r>
    <s v=""/>
    <s v="PEARL ST(PHILY)"/>
    <s v="PEARL ST(PHILY)"/>
    <m/>
    <s v="US40"/>
    <s v="END"/>
    <n v="634"/>
    <n v="20"/>
    <s v="AC"/>
    <s v="C"/>
    <n v="0"/>
    <n v="7"/>
    <n v="7"/>
    <n v="50"/>
    <n v="0"/>
    <s v="PEARL ST(PHILY)"/>
    <n v="3"/>
    <s v="CS"/>
    <n v="1801.1363636363637"/>
    <x v="2"/>
    <n v="10"/>
    <n v="7"/>
    <n v="1.5"/>
    <n v="7.5"/>
  </r>
  <r>
    <s v=""/>
    <s v="PEPPEREEL WAY(N)"/>
    <s v="PEPPEREEL WAY(N)"/>
    <s v="Stansbury"/>
    <s v="680 W"/>
    <s v="600 N"/>
    <n v="1742"/>
    <n v="26"/>
    <s v="NC"/>
    <s v="BC"/>
    <n v="0"/>
    <n v="7"/>
    <n v="8"/>
    <n v="50"/>
    <n v="0"/>
    <s v="PEPPEREEL WAY(N)"/>
    <n v="2"/>
    <s v="CRACK"/>
    <n v="1946.5530303030303"/>
    <x v="1"/>
    <n v="12"/>
    <n v="4"/>
    <n v="1.5"/>
    <n v="6"/>
  </r>
  <r>
    <m/>
    <s v="PHILADELPHIA DRIVE"/>
    <s v="PHILADELPHIA DRIVE"/>
    <s v="Stansbury"/>
    <s v="680 W"/>
    <s v="600 N"/>
    <n v="1373"/>
    <n v="26"/>
    <s v="NC"/>
    <s v="BC"/>
    <n v="0"/>
    <n v="7"/>
    <n v="8"/>
    <n v="50"/>
    <n v="0"/>
    <s v="PHILADELPHIA DR(W)"/>
    <n v="2"/>
    <s v="CRACK"/>
    <n v="1534.2234848484848"/>
    <x v="1"/>
    <n v="12"/>
    <n v="4"/>
    <n v="1.5"/>
    <n v="6"/>
  </r>
  <r>
    <s v=""/>
    <s v="PINE BLUFF DRIVE(W)"/>
    <s v="PINE BLUFF DRIVE(W)"/>
    <s v="Countryside"/>
    <s v="500 W"/>
    <s v="375 S"/>
    <n v="1109"/>
    <n v="26"/>
    <s v="NC"/>
    <s v="SC"/>
    <n v="0"/>
    <n v="7"/>
    <n v="6"/>
    <n v="50"/>
    <n v="0"/>
    <s v="PINE BLUFF DRIVE(W)"/>
    <n v="4"/>
    <s v="CRACK"/>
    <n v="1239.2234848484848"/>
    <x v="4"/>
    <n v="8"/>
    <n v="4"/>
    <n v="2"/>
    <n v="2"/>
  </r>
  <r>
    <s v="BC85"/>
    <s v="300W/400N"/>
    <s v="300W/400N"/>
    <m/>
    <s v="400N"/>
    <s v="300N"/>
    <n v="5288"/>
    <n v="20"/>
    <s v="CS"/>
    <s v="BC"/>
    <n v="0"/>
    <n v="4"/>
    <n v="4"/>
    <n v="159"/>
    <n v="0"/>
    <s v="300W"/>
    <n v="6"/>
    <s v="CS"/>
    <n v="15022.727272727272"/>
    <x v="3"/>
    <n v="3"/>
    <n v="7"/>
    <n v="2.5"/>
    <n v="15"/>
  </r>
  <r>
    <s v=""/>
    <s v="PINE ST(CHAR)/1050"/>
    <s v="PINE ST(CHAR)/1050"/>
    <m/>
    <s v="MAIN ST"/>
    <s v="1050E"/>
    <n v="793"/>
    <n v="20"/>
    <s v="AC"/>
    <s v="J"/>
    <n v="0"/>
    <n v="6"/>
    <n v="7"/>
    <n v="50"/>
    <n v="0"/>
    <s v="PINE ST(CHAR)/1050"/>
    <n v="3"/>
    <s v="DS"/>
    <n v="3754.7348484848485"/>
    <x v="2"/>
    <n v="10"/>
    <n v="7"/>
    <n v="1.5"/>
    <n v="7.5"/>
  </r>
  <r>
    <s v=""/>
    <s v="PLANTATION ROW (W)"/>
    <s v="PLANTATION ROW (W)"/>
    <s v="Valley View Plantation"/>
    <s v="200 W"/>
    <s v="180 N"/>
    <n v="1056"/>
    <n v="26"/>
    <s v="NC"/>
    <s v="BC"/>
    <n v="0"/>
    <n v="7"/>
    <n v="7"/>
    <n v="50"/>
    <n v="0"/>
    <s v="PLANTATION ROW (W)"/>
    <n v="3"/>
    <s v="CRACK"/>
    <n v="1180"/>
    <x v="2"/>
    <n v="10"/>
    <n v="4"/>
    <n v="1.5"/>
    <n v="7.5"/>
  </r>
  <r>
    <s v=""/>
    <s v="PLEASANT DRIVE"/>
    <s v="PLEASANT DRIVE"/>
    <s v="Ridgewood"/>
    <s v="JACOBI ROAD"/>
    <s v="150 S"/>
    <n v="581"/>
    <n v="26"/>
    <s v="NC"/>
    <s v="SC"/>
    <n v="0"/>
    <n v="7"/>
    <n v="8"/>
    <n v="50"/>
    <n v="0"/>
    <s v="PLEASANT DRIVE"/>
    <n v="2"/>
    <s v="CRACK"/>
    <n v="649.22348484848487"/>
    <x v="1"/>
    <n v="12"/>
    <n v="4"/>
    <n v="1.5"/>
    <n v="6"/>
  </r>
  <r>
    <s v=""/>
    <s v="PLYMOUTH CT (N)"/>
    <s v="PLYMOUTH CT (N)"/>
    <s v="Stansbury"/>
    <s v="680 W"/>
    <s v="600 N"/>
    <n v="792"/>
    <n v="26"/>
    <s v="NC"/>
    <s v="BC"/>
    <n v="0"/>
    <n v="7"/>
    <n v="5"/>
    <n v="50"/>
    <n v="0"/>
    <s v="PLYMOUTH CT (N)"/>
    <n v="5"/>
    <s v="P"/>
    <n v="10500"/>
    <x v="1"/>
    <n v="6"/>
    <n v="15"/>
    <n v="2"/>
    <n v="8"/>
  </r>
  <r>
    <s v=""/>
    <s v="PORTALAN DRIVE"/>
    <s v="PORTALAN DRIVE"/>
    <s v="Portalan Pleasant Plains"/>
    <s v="600 W"/>
    <s v="100 N"/>
    <n v="1320"/>
    <n v="26"/>
    <s v="NC"/>
    <s v="BC"/>
    <n v="0"/>
    <n v="6"/>
    <n v="5"/>
    <n v="50"/>
    <n v="0"/>
    <s v="PORTALAN DRIVE"/>
    <n v="5"/>
    <s v="P"/>
    <n v="17500"/>
    <x v="1"/>
    <n v="6"/>
    <n v="15"/>
    <n v="2"/>
    <n v="8"/>
  </r>
  <r>
    <s v=""/>
    <s v="PORTIA DRIVE"/>
    <s v="PORTIA DRIVE"/>
    <s v="Portalan Pleasant Plains"/>
    <s v="600 W"/>
    <s v="500 N"/>
    <n v="634"/>
    <n v="26"/>
    <s v="NC"/>
    <s v="BC"/>
    <n v="0"/>
    <n v="6"/>
    <n v="7"/>
    <n v="50"/>
    <n v="0"/>
    <s v="PORTIA DRIVE"/>
    <n v="3"/>
    <s v="SP/CS"/>
    <n v="4803.030303030303"/>
    <x v="1"/>
    <n v="10"/>
    <n v="10"/>
    <n v="1.5"/>
    <n v="6"/>
  </r>
  <r>
    <s v=""/>
    <s v="POSTMASTER LANE"/>
    <s v="POSTMASTER LANE"/>
    <s v="Wildwood North"/>
    <s v="200 W"/>
    <s v="50 N"/>
    <n v="1954"/>
    <n v="26"/>
    <s v="NC"/>
    <s v="BC"/>
    <n v="0"/>
    <n v="7"/>
    <n v="7"/>
    <n v="50"/>
    <n v="0"/>
    <s v="POSTMASTER LANE"/>
    <n v="3"/>
    <s v="CRACK"/>
    <n v="2183.4469696969695"/>
    <x v="0"/>
    <n v="10"/>
    <n v="4"/>
    <n v="1.5"/>
    <n v="0"/>
  </r>
  <r>
    <s v=""/>
    <s v="PRAIRIE COURT"/>
    <s v="PRAIRIE COURT"/>
    <s v="Doe Creek Estates"/>
    <s v="625 W"/>
    <s v="300 S"/>
    <n v="317"/>
    <n v="26"/>
    <s v="NC"/>
    <s v="SC"/>
    <n v="0"/>
    <n v="7"/>
    <n v="8"/>
    <n v="50"/>
    <n v="0"/>
    <s v="PRAIRIE COURT"/>
    <n v="2"/>
    <s v="CRACK"/>
    <n v="354.22348484848487"/>
    <x v="4"/>
    <n v="12"/>
    <n v="4"/>
    <n v="1.5"/>
    <n v="1.5"/>
  </r>
  <r>
    <s v=""/>
    <s v="QUAIL COURT"/>
    <s v="QUAIL COURT"/>
    <s v="Spring Meadows"/>
    <s v="500 W"/>
    <s v="120 S"/>
    <n v="581"/>
    <n v="26"/>
    <s v="NC"/>
    <s v="SC"/>
    <n v="0"/>
    <n v="7"/>
    <n v="8"/>
    <n v="50"/>
    <n v="0"/>
    <s v="QUAIL COURT"/>
    <n v="2"/>
    <s v="CRACK"/>
    <n v="649.22348484848487"/>
    <x v="1"/>
    <n v="12"/>
    <n v="4"/>
    <n v="1.5"/>
    <n v="6"/>
  </r>
  <r>
    <s v=""/>
    <s v="QUAIL RUN DRIVE"/>
    <s v="QUAIL RUN DRIVE"/>
    <s v="Spring Meadows"/>
    <s v="500 W"/>
    <s v="120 S"/>
    <n v="2429"/>
    <n v="26"/>
    <s v="NC"/>
    <s v="SC"/>
    <n v="0"/>
    <n v="7"/>
    <n v="8"/>
    <n v="50"/>
    <n v="0"/>
    <s v="QUAIL RUN DRIVE"/>
    <n v="2"/>
    <s v="CRACK"/>
    <n v="2714.223484848485"/>
    <x v="1"/>
    <n v="12"/>
    <n v="4"/>
    <n v="1.5"/>
    <n v="6"/>
  </r>
  <r>
    <s v=""/>
    <s v="QUINCY DRIVE(N)"/>
    <s v="QUINCY DRIVE(N)"/>
    <s v="Stansbury"/>
    <s v="680 W"/>
    <s v="600 N"/>
    <n v="1320"/>
    <n v="26"/>
    <s v="NC"/>
    <s v="BC"/>
    <n v="0"/>
    <n v="7"/>
    <n v="8"/>
    <n v="50"/>
    <n v="0"/>
    <s v="QUINCY DRIVE(N)"/>
    <n v="2"/>
    <s v="CRACK"/>
    <n v="1475"/>
    <x v="1"/>
    <n v="12"/>
    <n v="4"/>
    <n v="1.5"/>
    <n v="6"/>
  </r>
  <r>
    <s v=""/>
    <s v="RAESNER NORTH DR"/>
    <s v="RAESNER NORTH DR"/>
    <s v="Raesner-Johnson"/>
    <s v="500 W"/>
    <s v="325 S"/>
    <n v="1162"/>
    <n v="26"/>
    <s v="NC"/>
    <s v="SC"/>
    <n v="0"/>
    <n v="6"/>
    <n v="10"/>
    <n v="50"/>
    <n v="0"/>
    <s v="RAESNER NORTH DR"/>
    <n v="0"/>
    <s v="CRACK"/>
    <n v="1298.4469696969697"/>
    <x v="3"/>
    <n v="16"/>
    <n v="4"/>
    <n v="0.5"/>
    <n v="3"/>
  </r>
  <r>
    <s v=""/>
    <s v="RAESNER SOUTH DR"/>
    <s v="RAESNER SOUTH DR"/>
    <s v="Raesner-Johnson"/>
    <s v="500 W"/>
    <s v="325 S"/>
    <n v="581"/>
    <n v="26"/>
    <s v="NC"/>
    <s v="SC"/>
    <n v="0"/>
    <n v="4"/>
    <n v="10"/>
    <n v="50"/>
    <n v="0"/>
    <s v="RAESNER SOUTH DR"/>
    <n v="0"/>
    <s v="CRACK"/>
    <n v="649.22348484848487"/>
    <x v="3"/>
    <n v="16"/>
    <n v="4"/>
    <n v="0.5"/>
    <n v="3"/>
  </r>
  <r>
    <s v=""/>
    <s v="RALEIGH DRIVE(W)"/>
    <s v="RALEIGH DRIVE(W)"/>
    <s v="Stansbury"/>
    <s v="680 W"/>
    <s v="600 N"/>
    <n v="1162"/>
    <n v="26"/>
    <s v="NC"/>
    <s v="BC"/>
    <n v="0"/>
    <n v="8"/>
    <n v="8"/>
    <n v="50"/>
    <n v="0"/>
    <s v="RALEIGH DRIVE(W)"/>
    <n v="2"/>
    <s v="CRACK"/>
    <n v="1298.4469696969697"/>
    <x v="1"/>
    <n v="12"/>
    <n v="4"/>
    <n v="1.5"/>
    <n v="6"/>
  </r>
  <r>
    <s v=""/>
    <s v="RAVEN FIELD BLVD(W)"/>
    <s v="RAVEN FIELD BLVD(W)"/>
    <s v="Raven Field"/>
    <s v="350 W"/>
    <s v="50 N"/>
    <n v="1267"/>
    <n v="26"/>
    <s v="NC"/>
    <s v="BC"/>
    <n v="0"/>
    <n v="7"/>
    <n v="7"/>
    <n v="50"/>
    <n v="0"/>
    <s v="RAVEN FIELD BLVD(W)"/>
    <n v="3"/>
    <s v="CRACK"/>
    <n v="1415.7765151515152"/>
    <x v="1"/>
    <n v="10"/>
    <n v="4"/>
    <n v="1.5"/>
    <n v="6"/>
  </r>
  <r>
    <s v=""/>
    <s v="RAVENFIELD CRT(N)"/>
    <s v="RAVENFIELD CRT(N)"/>
    <s v="Raven Field"/>
    <s v="350 W"/>
    <s v="50 N"/>
    <n v="686"/>
    <n v="26"/>
    <s v="NC"/>
    <s v="BC"/>
    <n v="0"/>
    <n v="7"/>
    <n v="7"/>
    <n v="50"/>
    <n v="0"/>
    <s v="RAVEN FIELD CRT(N)"/>
    <n v="3"/>
    <s v="CRACK"/>
    <n v="766.55303030303025"/>
    <x v="1"/>
    <n v="10"/>
    <n v="4"/>
    <n v="1.5"/>
    <n v="6"/>
  </r>
  <r>
    <s v=""/>
    <s v="RAYLEE GARDEN DR(S)"/>
    <s v="RAYLEE GARDEN DR(S)"/>
    <s v="Meadow Lake Village"/>
    <s v="430 W"/>
    <s v="100 S"/>
    <n v="1716"/>
    <n v="26"/>
    <s v="NC"/>
    <s v="SC"/>
    <n v="0"/>
    <n v="8"/>
    <n v="8"/>
    <n v="50"/>
    <n v="0"/>
    <s v="RAYLEE GARDEN DR(S)"/>
    <n v="2"/>
    <s v="CRACK"/>
    <n v="1917.5"/>
    <x v="0"/>
    <n v="12"/>
    <n v="4"/>
    <n v="1.5"/>
    <n v="0"/>
  </r>
  <r>
    <s v=""/>
    <s v="RED FOX TRAIL (N)"/>
    <s v="RED FOX TRAIL (N)"/>
    <s v="Fox Cove"/>
    <s v="740 W"/>
    <s v="200 S"/>
    <n v="475"/>
    <n v="26"/>
    <s v="NC"/>
    <s v="SC"/>
    <n v="0"/>
    <n v="7"/>
    <n v="7"/>
    <n v="50"/>
    <n v="0"/>
    <s v="RED FOX TRAIL (N)"/>
    <n v="3"/>
    <s v="CRACK"/>
    <n v="530.77651515151513"/>
    <x v="5"/>
    <n v="10"/>
    <n v="4"/>
    <n v="1.5"/>
    <n v="3"/>
  </r>
  <r>
    <s v=""/>
    <s v="RED OAK DRIVE"/>
    <s v="RED OAK DRIVE"/>
    <s v="Twin Oaks"/>
    <s v="SR 9"/>
    <s v="570 N"/>
    <n v="2640"/>
    <n v="26"/>
    <s v="NC"/>
    <s v="C"/>
    <n v="0"/>
    <n v="7"/>
    <n v="8"/>
    <n v="50"/>
    <n v="0"/>
    <s v="RED OAK DRIVE"/>
    <n v="2"/>
    <s v="CRACK"/>
    <n v="2950"/>
    <x v="4"/>
    <n v="12"/>
    <n v="4"/>
    <n v="1.5"/>
    <n v="1.5"/>
  </r>
  <r>
    <s v=""/>
    <s v="REDBUD CIRCLE"/>
    <s v="REDBUD CIRCLE"/>
    <s v="Sugar Creek Valley Estates"/>
    <s v="275 W"/>
    <s v="100 N"/>
    <n v="193"/>
    <n v="26"/>
    <s v="NC"/>
    <s v="BC"/>
    <n v="0"/>
    <n v="7"/>
    <n v="7"/>
    <n v="50"/>
    <n v="0"/>
    <s v="REDBUD CIRCLE"/>
    <n v="3"/>
    <s v="CRACK"/>
    <n v="215.66287878787878"/>
    <x v="0"/>
    <n v="10"/>
    <n v="4"/>
    <n v="1.5"/>
    <n v="0"/>
  </r>
  <r>
    <s v=""/>
    <s v="REMBRANT COURT"/>
    <s v="REMBRANT COURT"/>
    <s v="Schildmeier Woods"/>
    <s v="700 W"/>
    <s v="400 S"/>
    <n v="158"/>
    <n v="26"/>
    <s v="NC"/>
    <s v="SC"/>
    <n v="0"/>
    <n v="7"/>
    <n v="7"/>
    <n v="50"/>
    <n v="0"/>
    <s v="REMBRANT COURT"/>
    <n v="3"/>
    <s v="CRACK"/>
    <n v="176.55303030303031"/>
    <x v="1"/>
    <n v="10"/>
    <n v="4"/>
    <n v="1.5"/>
    <n v="6"/>
  </r>
  <r>
    <s v=""/>
    <s v="REX RIDGE ROAD"/>
    <s v="REX RIDGE ROAD"/>
    <s v="Fox Cove"/>
    <s v="740 W"/>
    <s v="200 S"/>
    <n v="528"/>
    <n v="26"/>
    <s v="NC"/>
    <s v="SC"/>
    <n v="0"/>
    <n v="7"/>
    <n v="7"/>
    <n v="50"/>
    <n v="0"/>
    <s v="REX RIDGE ROAD"/>
    <n v="3"/>
    <s v="CRACK"/>
    <n v="590"/>
    <x v="5"/>
    <n v="10"/>
    <n v="4"/>
    <n v="1.5"/>
    <n v="3"/>
  </r>
  <r>
    <s v=""/>
    <s v="RICHMAN BLVD"/>
    <s v="RICHMAN BLVD"/>
    <s v="Richman Platz"/>
    <s v="600 W"/>
    <s v="240 S"/>
    <n v="264"/>
    <n v="26"/>
    <s v="NC"/>
    <s v="SC"/>
    <n v="0"/>
    <n v="8"/>
    <n v="9"/>
    <n v="50"/>
    <n v="0"/>
    <s v="RICHMAN BLVD"/>
    <n v="1"/>
    <s v="CRACK"/>
    <n v="295"/>
    <x v="1"/>
    <n v="14"/>
    <n v="4"/>
    <n v="1"/>
    <n v="4"/>
  </r>
  <r>
    <s v=""/>
    <s v="RICHMAN COURT"/>
    <s v="RICHMAN COURT"/>
    <s v="Richman Platz"/>
    <s v="600 W"/>
    <s v="240 S"/>
    <n v="317"/>
    <n v="26"/>
    <s v="NC"/>
    <s v="SC"/>
    <n v="0"/>
    <n v="8"/>
    <n v="9"/>
    <n v="50"/>
    <n v="0"/>
    <s v="RICHMAN COURT"/>
    <n v="1"/>
    <s v="CRACK"/>
    <n v="354.22348484848487"/>
    <x v="1"/>
    <n v="14"/>
    <n v="4"/>
    <n v="1"/>
    <n v="4"/>
  </r>
  <r>
    <s v=""/>
    <s v="RICHMAN DRIVE(S)"/>
    <s v="RICHMAN DRIVE(S)"/>
    <s v="Richman Platz"/>
    <s v="600 W"/>
    <s v="240 S"/>
    <n v="845"/>
    <n v="26"/>
    <s v="NC"/>
    <s v="SC"/>
    <n v="0"/>
    <n v="8"/>
    <n v="9"/>
    <n v="50"/>
    <n v="0"/>
    <s v="RICHMAN DRIVE(S)"/>
    <n v="1"/>
    <s v="CRACK"/>
    <n v="944.22348484848487"/>
    <x v="1"/>
    <n v="14"/>
    <n v="4"/>
    <n v="1"/>
    <n v="4"/>
  </r>
  <r>
    <s v=""/>
    <s v="RICHMAN LANE(W)"/>
    <s v="RICHMAN LANE(W)"/>
    <s v="Richman Platz"/>
    <s v="600 W"/>
    <s v="240 S"/>
    <n v="1056"/>
    <n v="26"/>
    <s v="NC"/>
    <s v="SC"/>
    <n v="0"/>
    <n v="8"/>
    <n v="9"/>
    <n v="50"/>
    <n v="0"/>
    <s v="RICHMAN LANE(W)"/>
    <n v="1"/>
    <s v="CRACK"/>
    <n v="1180"/>
    <x v="1"/>
    <n v="14"/>
    <n v="4"/>
    <n v="1"/>
    <n v="4"/>
  </r>
  <r>
    <s v=""/>
    <s v="RICHMAN WAY(S)"/>
    <s v="RICHMAN WAY(S)"/>
    <s v="Richman Platz"/>
    <s v="600 W"/>
    <s v="240 S"/>
    <n v="1531"/>
    <n v="26"/>
    <s v="NC"/>
    <s v="SC"/>
    <n v="0"/>
    <n v="8"/>
    <n v="9"/>
    <n v="50"/>
    <n v="0"/>
    <s v="RICHMAN WAY(S)"/>
    <n v="1"/>
    <s v="CRACK"/>
    <n v="1710.7765151515152"/>
    <x v="1"/>
    <n v="14"/>
    <n v="4"/>
    <n v="1"/>
    <n v="4"/>
  </r>
  <r>
    <s v=""/>
    <s v="RICKS DRIVE EAST"/>
    <s v="RICKS DRIVE EAST"/>
    <s v="Woodbury Manor"/>
    <s v="450 W"/>
    <s v="875 N"/>
    <n v="1531"/>
    <n v="26"/>
    <s v="NC"/>
    <s v="V"/>
    <n v="0"/>
    <n v="7"/>
    <n v="7"/>
    <n v="50"/>
    <n v="0"/>
    <s v="RICKS DRIVE EAST"/>
    <n v="3"/>
    <s v="CRACK"/>
    <n v="1710.7765151515152"/>
    <x v="4"/>
    <n v="10"/>
    <n v="4"/>
    <n v="1.5"/>
    <n v="1.5"/>
  </r>
  <r>
    <s v=""/>
    <s v="RICKS DRIVE SOUTH"/>
    <s v="RICKS DRIVE SOUTH"/>
    <s v="Woodbury Manor"/>
    <s v="450 W"/>
    <s v="875 N"/>
    <n v="422"/>
    <n v="26"/>
    <s v="NC"/>
    <s v="V"/>
    <n v="0"/>
    <n v="7"/>
    <n v="7"/>
    <n v="50"/>
    <n v="0"/>
    <s v="RICKS DRIVE SOUTH"/>
    <n v="3"/>
    <s v="CRACK"/>
    <n v="471.55303030303031"/>
    <x v="4"/>
    <n v="10"/>
    <n v="4"/>
    <n v="1.5"/>
    <n v="1.5"/>
  </r>
  <r>
    <s v=""/>
    <s v="RICKS DRIVE WEST"/>
    <s v="RICKS DRIVE WEST"/>
    <s v="Woodbury Manor"/>
    <s v="450 W"/>
    <s v="875 N"/>
    <n v="1267"/>
    <n v="26"/>
    <s v="NC"/>
    <s v="V"/>
    <n v="0"/>
    <n v="7"/>
    <n v="7"/>
    <n v="50"/>
    <n v="0"/>
    <s v="RICKS DRIVE WEST"/>
    <n v="3"/>
    <s v="CRACK"/>
    <n v="1415.7765151515152"/>
    <x v="4"/>
    <n v="10"/>
    <n v="4"/>
    <n v="1.5"/>
    <n v="1.5"/>
  </r>
  <r>
    <s v=""/>
    <s v="RIDGE DRIVE"/>
    <s v="RIDGE DRIVE"/>
    <s v="Walnut Ridge"/>
    <s v="250 E"/>
    <s v="150 N"/>
    <n v="1320"/>
    <n v="26"/>
    <s v="NC"/>
    <s v="C"/>
    <n v="0"/>
    <n v="7"/>
    <n v="8"/>
    <n v="50"/>
    <n v="0"/>
    <s v="RIDGE DRIVE"/>
    <n v="2"/>
    <s v="CRACK"/>
    <n v="1475"/>
    <x v="2"/>
    <n v="12"/>
    <n v="4"/>
    <n v="1.5"/>
    <n v="7.5"/>
  </r>
  <r>
    <s v=""/>
    <s v="RIDGEVIEW"/>
    <s v="RIDGEVIEW"/>
    <s v="Greyhawk Woods"/>
    <s v="SR 9"/>
    <s v="460 S"/>
    <n v="1109"/>
    <n v="26"/>
    <s v="NC"/>
    <s v="BW"/>
    <n v="0"/>
    <n v="7"/>
    <n v="6"/>
    <n v="50"/>
    <n v="0"/>
    <s v="RIDGEVIEW"/>
    <n v="4"/>
    <s v="F"/>
    <n v="420.07575757575756"/>
    <x v="0"/>
    <n v="8"/>
    <n v="2"/>
    <n v="2"/>
    <n v="0"/>
  </r>
  <r>
    <s v=""/>
    <s v="ROCKINGHAM LANE(N)"/>
    <s v="ROCKINGHAM LANE(N)"/>
    <s v="Easton At Stansbury"/>
    <s v="660 W"/>
    <s v="600 N"/>
    <n v="2376"/>
    <n v="26"/>
    <s v="NC"/>
    <s v="BC"/>
    <n v="0"/>
    <n v="7"/>
    <n v="8"/>
    <n v="50"/>
    <n v="0"/>
    <s v="ROCKINGHAM LANE(N)"/>
    <n v="2"/>
    <s v="CRACK"/>
    <n v="2655"/>
    <x v="5"/>
    <n v="12"/>
    <n v="4"/>
    <n v="1.5"/>
    <n v="3"/>
  </r>
  <r>
    <s v=""/>
    <s v="ROCKWAY DRIVE(W)"/>
    <s v="ROCKWAY DRIVE(W)"/>
    <s v="Countryside"/>
    <s v="500 W"/>
    <s v="375 S"/>
    <n v="1320"/>
    <n v="26"/>
    <s v="NC"/>
    <s v="SC"/>
    <n v="0"/>
    <n v="7"/>
    <n v="8"/>
    <n v="50"/>
    <n v="0"/>
    <s v="ROCKWAY DRIVE(W)"/>
    <n v="2"/>
    <s v="CRACK"/>
    <n v="1475"/>
    <x v="4"/>
    <n v="12"/>
    <n v="4"/>
    <n v="1.5"/>
    <n v="1.5"/>
  </r>
  <r>
    <s v=""/>
    <s v="ROCKWOOD LN (W)"/>
    <s v="ROCKWOOD LN (W)"/>
    <s v="Rockwood"/>
    <s v="700 W"/>
    <s v="425 S"/>
    <n v="1162"/>
    <n v="26"/>
    <s v="NC"/>
    <s v="SC"/>
    <n v="0"/>
    <n v="7"/>
    <n v="7"/>
    <n v="50"/>
    <n v="0"/>
    <s v="ROCKWOOD LN (W)"/>
    <n v="3"/>
    <s v="CRACK"/>
    <n v="1298.4469696969697"/>
    <x v="1"/>
    <n v="10"/>
    <n v="4"/>
    <n v="1.5"/>
    <n v="6"/>
  </r>
  <r>
    <s v=""/>
    <s v="ROSEWIND DR (S)"/>
    <s v="ROSEWIND DR (S)"/>
    <s v="Willow Grove"/>
    <s v="700 W"/>
    <s v="350 S"/>
    <n v="1320"/>
    <n v="26"/>
    <s v="NC"/>
    <s v="SC"/>
    <n v="0"/>
    <n v="7"/>
    <n v="7"/>
    <n v="50"/>
    <n v="0"/>
    <s v="ROSEWIND DR (S)"/>
    <n v="3"/>
    <s v="CRACK"/>
    <n v="1475"/>
    <x v="6"/>
    <n v="10"/>
    <n v="4"/>
    <n v="1.5"/>
    <n v="4.5"/>
  </r>
  <r>
    <s v=""/>
    <s v="SACREMENTO DRIVE"/>
    <s v="SACREMENTO DRIVE"/>
    <s v="Huntington Heights"/>
    <s v="700 W"/>
    <s v="100 N"/>
    <n v="2693"/>
    <n v="26"/>
    <s v="NC"/>
    <s v="BC"/>
    <n v="0"/>
    <n v="7"/>
    <n v="7"/>
    <n v="50"/>
    <n v="0"/>
    <s v="SACREMENTO DRIVE"/>
    <n v="3"/>
    <s v="CRACK"/>
    <n v="3009.223484848485"/>
    <x v="6"/>
    <n v="10"/>
    <n v="4"/>
    <n v="1.5"/>
    <n v="4.5"/>
  </r>
  <r>
    <s v=""/>
    <s v="SAW MILL COURT"/>
    <s v="SAW MILL COURT"/>
    <s v="Cornerstone Village"/>
    <s v="450 W"/>
    <s v="400 S"/>
    <n v="317"/>
    <n v="26"/>
    <s v="NC"/>
    <s v="SC"/>
    <n v="0"/>
    <n v="7"/>
    <n v="8"/>
    <n v="50"/>
    <n v="0"/>
    <s v="SAW MILL COURT"/>
    <n v="2"/>
    <s v="CRACK"/>
    <n v="354.22348484848487"/>
    <x v="4"/>
    <n v="12"/>
    <n v="4"/>
    <n v="1.5"/>
    <n v="1.5"/>
  </r>
  <r>
    <s v=""/>
    <s v="SCHOOL ST(MAX)/END"/>
    <s v="SCHOOL ST(MAX)/END"/>
    <m/>
    <s v="SR9"/>
    <s v="END"/>
    <n v="337"/>
    <n v="20"/>
    <s v="CS"/>
    <s v="C"/>
    <n v="0"/>
    <n v="7"/>
    <n v="5"/>
    <n v="50"/>
    <n v="0"/>
    <s v="SCHOOL ST(MAX)/END"/>
    <n v="5"/>
    <s v="DS"/>
    <n v="1595.6439393939395"/>
    <x v="3"/>
    <n v="6"/>
    <n v="7"/>
    <n v="2"/>
    <n v="12"/>
  </r>
  <r>
    <s v=""/>
    <s v="SECOND (CHAR)/CART"/>
    <s v="SECOND (CHAR)/CART"/>
    <m/>
    <s v="CARTHAGE RD"/>
    <s v="CARTHAGE RD"/>
    <n v="759"/>
    <n v="20"/>
    <s v="CS"/>
    <s v="J"/>
    <n v="0"/>
    <n v="6"/>
    <n v="5"/>
    <n v="50"/>
    <n v="0"/>
    <s v="SECOND ST."/>
    <n v="5"/>
    <s v="DS"/>
    <n v="3593.75"/>
    <x v="2"/>
    <n v="6"/>
    <n v="7"/>
    <n v="2"/>
    <n v="10"/>
  </r>
  <r>
    <s v=""/>
    <s v="SECOND ST(CHAR)/EA"/>
    <s v="SECOND ST(CHAR)/EA"/>
    <m/>
    <s v="CARTHAGE RD"/>
    <s v="EAST ST"/>
    <n v="360"/>
    <n v="20"/>
    <s v="AC"/>
    <s v="J"/>
    <n v="0"/>
    <n v="6"/>
    <n v="3"/>
    <n v="50"/>
    <n v="0"/>
    <s v="SECOND ST."/>
    <n v="7"/>
    <s v="DS"/>
    <n v="1704.5454545454545"/>
    <x v="0"/>
    <n v="1"/>
    <n v="7"/>
    <n v="3"/>
    <n v="0"/>
  </r>
  <r>
    <s v=""/>
    <s v="SECOND ST(WIL BRA)"/>
    <s v="SECOND ST(WIL BRA)"/>
    <m/>
    <s v="MAIN ST"/>
    <s v="THOMAS ST"/>
    <n v="280"/>
    <n v="20"/>
    <s v="AC"/>
    <s v="C"/>
    <n v="0"/>
    <n v="6"/>
    <n v="6"/>
    <n v="50"/>
    <n v="0"/>
    <s v="SECOND ST."/>
    <n v="4"/>
    <s v="DS"/>
    <n v="1325.7575757575758"/>
    <x v="2"/>
    <n v="8"/>
    <n v="7"/>
    <n v="2"/>
    <n v="10"/>
  </r>
  <r>
    <s v=""/>
    <s v="SHADELAND DRIVE"/>
    <s v="SHADELAND DRIVE"/>
    <s v="Lynnwood"/>
    <s v="150 E"/>
    <s v="200 S"/>
    <n v="528"/>
    <n v="26"/>
    <s v="NC"/>
    <s v="C"/>
    <n v="0"/>
    <n v="6"/>
    <n v="6"/>
    <n v="50"/>
    <n v="0"/>
    <s v="SHADELAND DRIVE"/>
    <n v="4"/>
    <s v="SP/CS"/>
    <n v="4000"/>
    <x v="6"/>
    <n v="8"/>
    <n v="10"/>
    <n v="2"/>
    <n v="6"/>
  </r>
  <r>
    <s v=""/>
    <s v="SHADOW CREEK WAY WEST"/>
    <s v="SHADOW CREEK WAY WEST"/>
    <s v="Shadow Creek"/>
    <s v="BUCK CREEK ROAD"/>
    <s v="260 N"/>
    <n v="898"/>
    <n v="26"/>
    <s v="NC"/>
    <s v="BC"/>
    <n v="0"/>
    <n v="7"/>
    <n v="8"/>
    <n v="50"/>
    <n v="0"/>
    <s v="SHADOW CREEK WAY WEST"/>
    <n v="2"/>
    <s v="CRACK"/>
    <n v="1003.4469696969697"/>
    <x v="1"/>
    <n v="12"/>
    <n v="4"/>
    <n v="1.5"/>
    <n v="6"/>
  </r>
  <r>
    <s v=""/>
    <s v="SHADY CREEK DRIVE"/>
    <s v="SHADY CREEK DRIVE"/>
    <s v="Shady Creek"/>
    <s v="100 S"/>
    <s v="380 W"/>
    <n v="950"/>
    <n v="26"/>
    <s v="NC"/>
    <s v="SC"/>
    <n v="0"/>
    <n v="6"/>
    <n v="6"/>
    <n v="50"/>
    <n v="0"/>
    <s v="SHADY CREEK DRIVE"/>
    <n v="4"/>
    <s v="SP/CS"/>
    <n v="7196.969696969697"/>
    <x v="1"/>
    <n v="8"/>
    <n v="10"/>
    <n v="2"/>
    <n v="8"/>
  </r>
  <r>
    <s v=""/>
    <s v="SHARON DRIVE"/>
    <s v="SHARON DRIVE"/>
    <s v="Sugar Creek Estates"/>
    <s v="300 W"/>
    <s v="25 N"/>
    <n v="1320"/>
    <n v="26"/>
    <s v="NC"/>
    <s v="SC"/>
    <n v="0"/>
    <n v="7"/>
    <n v="7"/>
    <n v="50"/>
    <n v="0"/>
    <s v="SHARON DRIVE"/>
    <n v="3"/>
    <s v="CRACK"/>
    <n v="1475"/>
    <x v="4"/>
    <n v="10"/>
    <n v="4"/>
    <n v="1.5"/>
    <n v="1.5"/>
  </r>
  <r>
    <s v=""/>
    <s v="SHEL-LYN COURT"/>
    <s v="SHEL-LYN COURT"/>
    <s v="Shel-Lyn Estates"/>
    <s v="60 W"/>
    <s v="500 S"/>
    <n v="1162"/>
    <n v="26"/>
    <s v="NC"/>
    <s v="BW"/>
    <n v="0"/>
    <n v="7"/>
    <n v="7"/>
    <n v="50"/>
    <n v="0"/>
    <s v="SHEL-LYN COURT"/>
    <n v="3"/>
    <s v="CRACK"/>
    <n v="1298.4469696969697"/>
    <x v="1"/>
    <n v="10"/>
    <n v="4"/>
    <n v="1.5"/>
    <n v="6"/>
  </r>
  <r>
    <s v=""/>
    <s v="SHEL-LYN DRIVE"/>
    <s v="SHEL-LYN DRIVE"/>
    <s v="Shel-Lyn Estates"/>
    <s v="60 W"/>
    <s v="500 S"/>
    <n v="422"/>
    <n v="26"/>
    <s v="NC"/>
    <s v="BW"/>
    <n v="0"/>
    <n v="7"/>
    <n v="7"/>
    <n v="50"/>
    <n v="0"/>
    <s v="SHEL-LYN DRIVE"/>
    <n v="3"/>
    <s v="CRACK"/>
    <n v="471.55303030303031"/>
    <x v="1"/>
    <n v="10"/>
    <n v="4"/>
    <n v="1.5"/>
    <n v="6"/>
  </r>
  <r>
    <s v=""/>
    <s v="SOUTH ST(CHAR)/EAS"/>
    <s v="SOUTH ST(CHAR)/EAS"/>
    <m/>
    <s v="CARTHAGE RD"/>
    <s v="EAST ST"/>
    <n v="382"/>
    <n v="20"/>
    <s v="CS"/>
    <s v="J"/>
    <n v="0"/>
    <n v="6"/>
    <n v="3"/>
    <n v="50"/>
    <n v="0"/>
    <s v="SOUTH ST."/>
    <n v="7"/>
    <s v="DS"/>
    <n v="1808.7121212121212"/>
    <x v="0"/>
    <n v="1"/>
    <n v="7"/>
    <n v="3"/>
    <n v="0"/>
  </r>
  <r>
    <s v=""/>
    <s v="SOUTH ST(MAX)/CENT"/>
    <s v="SOUTH ST(MAX)/CENT"/>
    <m/>
    <s v="SR9"/>
    <s v="CENTER ST"/>
    <n v="283"/>
    <n v="20"/>
    <s v="G"/>
    <s v="C"/>
    <n v="0"/>
    <n v="6"/>
    <n v="7"/>
    <n v="50"/>
    <n v="0"/>
    <s v="SOUTH ST."/>
    <n v="3"/>
    <s v="GG"/>
    <n v="750.37878787878788"/>
    <x v="4"/>
    <n v="10"/>
    <n v="1"/>
    <n v="1.5"/>
    <n v="1.5"/>
  </r>
  <r>
    <s v=""/>
    <s v="SOUTH ST/END"/>
    <s v="SOUTH ST/END"/>
    <m/>
    <s v="MORRISTOWN PK"/>
    <s v="END"/>
    <n v="451"/>
    <n v="20"/>
    <s v="AC"/>
    <s v="C"/>
    <n v="0"/>
    <n v="7"/>
    <n v="6"/>
    <n v="50"/>
    <n v="0"/>
    <s v="SOUTH ST."/>
    <n v="4"/>
    <s v="CS"/>
    <n v="1281.25"/>
    <x v="2"/>
    <n v="8"/>
    <n v="7"/>
    <n v="2"/>
    <n v="10"/>
  </r>
  <r>
    <s v=""/>
    <s v="SOUTHWAY DR (S)"/>
    <s v="SOUTHWAY DR (S)"/>
    <s v="Willow Grove"/>
    <s v="700 W"/>
    <s v="350 S"/>
    <n v="1954"/>
    <n v="26"/>
    <s v="NC"/>
    <s v="SC"/>
    <n v="0"/>
    <n v="8"/>
    <n v="7"/>
    <n v="50"/>
    <n v="0"/>
    <s v="SOUTHWAY DR (S)"/>
    <n v="3"/>
    <s v="CRACK"/>
    <n v="2183.4469696969695"/>
    <x v="6"/>
    <n v="10"/>
    <n v="4"/>
    <n v="1.5"/>
    <n v="4.5"/>
  </r>
  <r>
    <s v=""/>
    <s v="SPARKS RD./300N"/>
    <s v="SPARKS RD./300N"/>
    <m/>
    <s v="300N"/>
    <s v="END"/>
    <n v="2160"/>
    <n v="20"/>
    <s v="CS"/>
    <s v="BC"/>
    <n v="0"/>
    <n v="7"/>
    <n v="7"/>
    <n v="50"/>
    <n v="0"/>
    <s v="SPARKS RD."/>
    <n v="3"/>
    <s v="DS"/>
    <n v="10227.272727272728"/>
    <x v="3"/>
    <n v="10"/>
    <n v="7"/>
    <n v="1.5"/>
    <n v="9"/>
  </r>
  <r>
    <s v=""/>
    <s v="STANSBURY BLVD"/>
    <s v="STANSBURY BLVD"/>
    <s v="Stansbury"/>
    <s v="680 W"/>
    <s v="600 N"/>
    <n v="2587"/>
    <n v="26"/>
    <s v="NC"/>
    <s v="BC"/>
    <n v="0"/>
    <n v="6"/>
    <n v="8"/>
    <n v="50"/>
    <n v="0"/>
    <s v="STANSBURY BLVD(W)"/>
    <n v="2"/>
    <s v="SP/CS"/>
    <n v="19598.484848484848"/>
    <x v="1"/>
    <n v="12"/>
    <n v="10"/>
    <n v="1.5"/>
    <n v="6"/>
  </r>
  <r>
    <s v=""/>
    <s v="STAYLEY AVE"/>
    <s v="STAYLEY AVE"/>
    <s v="Price Park"/>
    <s v="650 N"/>
    <s v="1025 E"/>
    <n v="392"/>
    <n v="26"/>
    <s v="NC"/>
    <s v="B"/>
    <n v="0"/>
    <n v="8"/>
    <n v="6"/>
    <n v="50"/>
    <n v="0"/>
    <s v="STAYLEY AVE"/>
    <n v="4"/>
    <s v="CRACK"/>
    <n v="438.030303030303"/>
    <x v="1"/>
    <n v="8"/>
    <n v="4"/>
    <n v="2"/>
    <n v="8"/>
  </r>
  <r>
    <s v=""/>
    <s v="STEELEFORD RD/END"/>
    <s v="STEELEFORD RD/END"/>
    <m/>
    <s v="END"/>
    <s v="SR9"/>
    <n v="2116"/>
    <n v="20"/>
    <s v="CS"/>
    <s v="C"/>
    <n v="0"/>
    <n v="5"/>
    <n v="6"/>
    <n v="50"/>
    <n v="0"/>
    <s v="STEELFORD"/>
    <n v="4"/>
    <s v="SP/CS"/>
    <n v="16030.30303030303"/>
    <x v="4"/>
    <n v="8"/>
    <n v="10"/>
    <n v="2"/>
    <n v="2"/>
  </r>
  <r>
    <s v="C97"/>
    <s v="STEELEFORD RD/MORR"/>
    <s v="STEELEFORD RD/MORR"/>
    <m/>
    <s v="TWP LINE"/>
    <s v="MORRISTOWN PIKE"/>
    <n v="2506"/>
    <n v="20"/>
    <s v="CS"/>
    <s v="C"/>
    <n v="0"/>
    <n v="6"/>
    <n v="6"/>
    <n v="50"/>
    <n v="0"/>
    <s v="STEELFORD"/>
    <n v="4"/>
    <s v="DS"/>
    <n v="11865.530303030304"/>
    <x v="2"/>
    <n v="8"/>
    <n v="7"/>
    <n v="2"/>
    <n v="10"/>
  </r>
  <r>
    <s v=""/>
    <s v="STINEMEYER CT (W)"/>
    <s v="STINEMEYER CT (W)"/>
    <s v="Stinemyer Crossing"/>
    <s v="570 W"/>
    <s v="STINEMEYER ROAD"/>
    <n v="475"/>
    <n v="26"/>
    <s v="NC"/>
    <s v="SC"/>
    <n v="0"/>
    <n v="6"/>
    <n v="8"/>
    <n v="50"/>
    <n v="0"/>
    <s v="STINEMEYER CT (W)"/>
    <n v="2"/>
    <s v="SP/CS"/>
    <n v="3598.4848484848485"/>
    <x v="4"/>
    <n v="12"/>
    <n v="10"/>
    <n v="1.5"/>
    <n v="1.5"/>
  </r>
  <r>
    <s v=""/>
    <s v="STONE WAY(S)"/>
    <s v="STONE WAY(S)"/>
    <s v="Countryside"/>
    <s v="500 W"/>
    <s v="375 S"/>
    <n v="441"/>
    <n v="26"/>
    <s v="NC"/>
    <s v="SC"/>
    <n v="0"/>
    <n v="7"/>
    <n v="8"/>
    <n v="50"/>
    <n v="0"/>
    <s v="STONE WAY(S)"/>
    <n v="2"/>
    <s v="CRACK"/>
    <n v="492.78409090909093"/>
    <x v="4"/>
    <n v="12"/>
    <n v="4"/>
    <n v="1.5"/>
    <n v="1.5"/>
  </r>
  <r>
    <s v=""/>
    <s v="STONE WAY(W)"/>
    <s v="STONE WAY(W)"/>
    <s v="Countryside"/>
    <s v="500 W"/>
    <s v="375 S"/>
    <n v="932"/>
    <n v="26"/>
    <s v="NC"/>
    <s v="SC"/>
    <n v="0"/>
    <n v="7"/>
    <n v="8"/>
    <n v="50"/>
    <n v="0"/>
    <s v="STONE WAY(W)"/>
    <n v="2"/>
    <s v="CRACK"/>
    <n v="1041.439393939394"/>
    <x v="4"/>
    <n v="12"/>
    <n v="4"/>
    <n v="1.5"/>
    <n v="1.5"/>
  </r>
  <r>
    <s v=""/>
    <s v="STONEHAVEN LANE(W)"/>
    <s v="STONEHAVEN LANE(W)"/>
    <s v="Countryside"/>
    <s v="500 W"/>
    <s v="375 S"/>
    <n v="3010"/>
    <n v="26"/>
    <s v="NC"/>
    <s v="SC"/>
    <n v="0"/>
    <n v="7"/>
    <n v="8"/>
    <n v="50"/>
    <n v="0"/>
    <s v="STONEHAVEN LANE"/>
    <n v="2"/>
    <s v="CRACK"/>
    <n v="3363.4469696969695"/>
    <x v="4"/>
    <n v="12"/>
    <n v="4"/>
    <n v="1.5"/>
    <n v="1.5"/>
  </r>
  <r>
    <s v=""/>
    <s v="STONER DRIVE(W)"/>
    <s v="STONER DRIVE(W)"/>
    <s v="Mt. Comfort Commercial Park"/>
    <s v="600 W"/>
    <s v="375 N"/>
    <n v="1901"/>
    <n v="26"/>
    <s v="NC"/>
    <s v="BC"/>
    <n v="0"/>
    <n v="7"/>
    <n v="7"/>
    <n v="50"/>
    <n v="0"/>
    <s v="STONER DRIVE(W)"/>
    <n v="3"/>
    <s v="CRACK"/>
    <n v="2124.223484848485"/>
    <x v="6"/>
    <n v="10"/>
    <n v="4"/>
    <n v="1.5"/>
    <n v="4.5"/>
  </r>
  <r>
    <s v=""/>
    <s v="STONY RIDGE COURT"/>
    <s v="STONY RIDGE COURT"/>
    <s v="Countryside"/>
    <s v="500 W"/>
    <s v="375 S"/>
    <n v="264"/>
    <n v="26"/>
    <s v="NC"/>
    <s v="SC"/>
    <n v="0"/>
    <n v="7"/>
    <n v="8"/>
    <n v="50"/>
    <n v="0"/>
    <s v="STONY RIDGE COURT"/>
    <n v="2"/>
    <s v="CRACK"/>
    <n v="295"/>
    <x v="4"/>
    <n v="12"/>
    <n v="4"/>
    <n v="1.5"/>
    <n v="1.5"/>
  </r>
  <r>
    <s v=""/>
    <s v="STRAHL DRIVE(N)"/>
    <s v="STRAHL DRIVE(N)"/>
    <s v="Cranberry Lake Estates"/>
    <s v="175 E"/>
    <s v="350 N"/>
    <n v="1478"/>
    <n v="26"/>
    <s v="NC"/>
    <s v="C"/>
    <n v="0"/>
    <n v="7"/>
    <n v="7"/>
    <n v="50"/>
    <n v="0"/>
    <s v="STRAHL DRIVE(N)"/>
    <n v="3"/>
    <s v="CRACK"/>
    <n v="1651.5530303030303"/>
    <x v="5"/>
    <n v="10"/>
    <n v="4"/>
    <n v="1.5"/>
    <n v="3"/>
  </r>
  <r>
    <s v=""/>
    <s v="SUGAR BEND RUN (N)"/>
    <s v="SUGAR BEND RUN (N)"/>
    <s v="Sugar Creek Valley Estates"/>
    <s v="275 W"/>
    <s v="100 N"/>
    <n v="1056"/>
    <n v="26"/>
    <s v="NC"/>
    <s v="BC"/>
    <n v="0"/>
    <n v="7"/>
    <n v="7"/>
    <n v="50"/>
    <n v="0"/>
    <s v="SUGAR BEND RUN (N)"/>
    <n v="3"/>
    <s v="CRACK"/>
    <n v="1180"/>
    <x v="0"/>
    <n v="10"/>
    <n v="4"/>
    <n v="1.5"/>
    <n v="0"/>
  </r>
  <r>
    <s v=""/>
    <s v="SUGAR CREEK TRAIL"/>
    <s v="SUGAR CREEK TRAIL"/>
    <s v="Valley Green"/>
    <s v="150 W"/>
    <s v="200 N"/>
    <n v="1690"/>
    <n v="26"/>
    <s v="NC"/>
    <s v="C"/>
    <n v="0"/>
    <n v="7"/>
    <n v="7"/>
    <n v="50"/>
    <n v="0"/>
    <s v="SUGAR CREEK TRAIL"/>
    <n v="3"/>
    <s v="CRACK"/>
    <n v="1888.4469696969697"/>
    <x v="2"/>
    <n v="10"/>
    <n v="4"/>
    <n v="1.5"/>
    <n v="7.5"/>
  </r>
  <r>
    <s v=""/>
    <s v="SUGAR HILLS CT"/>
    <s v="SUGAR HILLS CT"/>
    <s v="Sugar Hills"/>
    <s v="100 W"/>
    <s v="550 N"/>
    <n v="475"/>
    <n v="26"/>
    <s v="NC"/>
    <s v="C"/>
    <n v="0"/>
    <n v="7"/>
    <n v="7"/>
    <n v="50"/>
    <n v="0"/>
    <s v="SUGAR HILLS CT"/>
    <n v="3"/>
    <s v="CRACK"/>
    <n v="530.77651515151513"/>
    <x v="2"/>
    <n v="10"/>
    <n v="4"/>
    <n v="1.5"/>
    <n v="7.5"/>
  </r>
  <r>
    <s v=""/>
    <s v="SUGAR HILLS DR"/>
    <s v="SUGAR HILLS DR"/>
    <s v="Sugar Hills"/>
    <s v="100 W"/>
    <s v="550 N"/>
    <n v="4224"/>
    <n v="26"/>
    <s v="NC"/>
    <s v="C"/>
    <n v="0"/>
    <n v="7"/>
    <n v="8"/>
    <n v="50"/>
    <n v="0"/>
    <s v="SUGAR HILLS DR"/>
    <n v="2"/>
    <s v="CRACK"/>
    <n v="4720"/>
    <x v="2"/>
    <n v="12"/>
    <n v="4"/>
    <n v="1.5"/>
    <n v="7.5"/>
  </r>
  <r>
    <s v=""/>
    <s v="SUMMERFIELD DR(N)"/>
    <s v="SUMMERFIELD DR(N)"/>
    <s v="Summerfield"/>
    <s v="350 W"/>
    <s v="30 N"/>
    <n v="1003"/>
    <n v="26"/>
    <s v="NC"/>
    <s v="BC"/>
    <n v="0"/>
    <n v="8"/>
    <n v="8"/>
    <n v="50"/>
    <n v="0"/>
    <s v="SUMMERFIELD DR(N)"/>
    <n v="2"/>
    <s v="CRACK"/>
    <n v="1120.7765151515152"/>
    <x v="4"/>
    <n v="12"/>
    <n v="4"/>
    <n v="1.5"/>
    <n v="1.5"/>
  </r>
  <r>
    <s v=""/>
    <s v="SUMMERHAVEN COURT"/>
    <s v="SUMMERHAVEN COURT"/>
    <s v="Summerhaven"/>
    <s v="440 W"/>
    <s v="100 S"/>
    <n v="528"/>
    <n v="26"/>
    <s v="NC"/>
    <s v="SC"/>
    <n v="0"/>
    <n v="8"/>
    <n v="8"/>
    <n v="50"/>
    <n v="0"/>
    <s v="SUMMERHAVEN COURT"/>
    <n v="2"/>
    <s v="CRACK"/>
    <n v="590"/>
    <x v="0"/>
    <n v="12"/>
    <n v="4"/>
    <n v="1.5"/>
    <n v="0"/>
  </r>
  <r>
    <m/>
    <s v="SUMMERHAVEN DRIVE"/>
    <s v="SUMMERHAVEN DRIVE"/>
    <s v="Summerhaven"/>
    <s v="440 W"/>
    <s v="100 S"/>
    <n v="1003"/>
    <n v="26"/>
    <s v="NC"/>
    <s v="SC"/>
    <n v="0"/>
    <m/>
    <n v="7"/>
    <n v="50"/>
    <n v="0"/>
    <s v="SUMMERHAVEN DRIVE"/>
    <n v="3"/>
    <s v="MICRO"/>
    <n v="9498.1060606060601"/>
    <x v="0"/>
    <n v="10"/>
    <n v="10"/>
    <n v="1.5"/>
    <n v="0"/>
  </r>
  <r>
    <s v=""/>
    <s v="SUN CLOUD DR (W)"/>
    <s v="SUN CLOUD DR (W)"/>
    <s v="Willow Grove"/>
    <s v="700 W"/>
    <s v="350 S"/>
    <n v="845"/>
    <n v="26"/>
    <s v="NC"/>
    <s v="SC"/>
    <n v="0"/>
    <n v="8"/>
    <n v="7"/>
    <n v="50"/>
    <n v="0"/>
    <s v="SUN CLOUD DR (W)"/>
    <n v="3"/>
    <s v="CRACK"/>
    <n v="944.22348484848487"/>
    <x v="6"/>
    <n v="10"/>
    <n v="4"/>
    <n v="1.5"/>
    <n v="4.5"/>
  </r>
  <r>
    <s v=""/>
    <s v="SUN RISE CT"/>
    <s v="SUN RISE CT"/>
    <s v="Sun Ridge Estates"/>
    <s v="300 S"/>
    <s v="775 W"/>
    <n v="739"/>
    <n v="26"/>
    <s v="NC"/>
    <s v="SC"/>
    <n v="0"/>
    <n v="7"/>
    <n v="7"/>
    <n v="50"/>
    <n v="0"/>
    <s v="SUN RISE CT"/>
    <n v="3"/>
    <s v="CRACK"/>
    <n v="825.77651515151513"/>
    <x v="2"/>
    <n v="10"/>
    <n v="4"/>
    <n v="1.5"/>
    <n v="7.5"/>
  </r>
  <r>
    <s v=""/>
    <s v="SUN RISE DR"/>
    <s v="SUN RISE DR"/>
    <s v="Sun Ridge Estates"/>
    <s v="300 S"/>
    <s v="775 W"/>
    <n v="2957"/>
    <n v="26"/>
    <s v="NC"/>
    <s v="SC"/>
    <n v="0"/>
    <n v="7"/>
    <n v="7"/>
    <n v="50"/>
    <n v="0"/>
    <s v="SUN RISE DR"/>
    <n v="3"/>
    <s v="CRACK"/>
    <n v="3304.223484848485"/>
    <x v="2"/>
    <n v="10"/>
    <n v="4"/>
    <n v="1.5"/>
    <n v="7.5"/>
  </r>
  <r>
    <s v=""/>
    <s v="SUNSET COURT"/>
    <s v="SUNSET COURT"/>
    <s v="Sunset Manor"/>
    <s v="350 W"/>
    <s v="50 N"/>
    <n v="211"/>
    <n v="26"/>
    <s v="NC"/>
    <s v="BC"/>
    <n v="0"/>
    <n v="7"/>
    <n v="6"/>
    <n v="50"/>
    <n v="0"/>
    <s v="SUNSET COURT"/>
    <n v="4"/>
    <s v="CRACK"/>
    <n v="235.77651515151516"/>
    <x v="2"/>
    <n v="8"/>
    <n v="4"/>
    <n v="2"/>
    <n v="10"/>
  </r>
  <r>
    <s v=""/>
    <s v="SUNSET DRIVE NORTH"/>
    <s v="SUNSET DRIVE NORTH"/>
    <s v="Sunset Manor"/>
    <s v="350 W"/>
    <s v="50 N"/>
    <n v="1531"/>
    <n v="26"/>
    <s v="NC"/>
    <s v="BC"/>
    <n v="0"/>
    <n v="7"/>
    <n v="6"/>
    <n v="50"/>
    <n v="0"/>
    <s v="SUNSET DRIVE NORTH"/>
    <n v="4"/>
    <s v="CRACK"/>
    <n v="1710.7765151515152"/>
    <x v="2"/>
    <n v="8"/>
    <n v="4"/>
    <n v="2"/>
    <n v="10"/>
  </r>
  <r>
    <s v=""/>
    <s v="SUNSET DRIVE SOUTH"/>
    <s v="SUNSET DRIVE SOUTH"/>
    <s v="Sunset Manor"/>
    <s v="350 W"/>
    <s v="50 N"/>
    <n v="1584"/>
    <n v="26"/>
    <s v="NC"/>
    <s v="BC"/>
    <n v="0"/>
    <n v="7"/>
    <n v="7"/>
    <n v="50"/>
    <n v="0"/>
    <s v="SUNSET DRIVE SOUTH"/>
    <n v="3"/>
    <s v="CRACK"/>
    <n v="1770"/>
    <x v="2"/>
    <n v="10"/>
    <n v="4"/>
    <n v="1.5"/>
    <n v="7.5"/>
  </r>
  <r>
    <s v=""/>
    <s v="SUNSHINE DRIVE"/>
    <s v="SUNSHINE DRIVE"/>
    <s v="Philly Estates"/>
    <s v="200 W"/>
    <s v="25 N"/>
    <n v="528"/>
    <n v="26"/>
    <s v="NC"/>
    <s v="BC"/>
    <n v="0"/>
    <n v="7"/>
    <n v="8"/>
    <n v="50"/>
    <n v="0"/>
    <s v="SUNSHINE DRIVE"/>
    <n v="2"/>
    <s v="CRACK"/>
    <n v="590"/>
    <x v="6"/>
    <n v="12"/>
    <n v="4"/>
    <n v="1.5"/>
    <n v="4.5"/>
  </r>
  <r>
    <s v=""/>
    <s v="SURREY CT WEST"/>
    <s v="SURREY CT WEST"/>
    <s v="Schildmeier Village"/>
    <s v="700 W"/>
    <s v="400 S"/>
    <n v="317"/>
    <n v="26"/>
    <s v="NC"/>
    <s v="SC"/>
    <n v="0"/>
    <n v="7"/>
    <n v="8"/>
    <n v="50"/>
    <n v="0"/>
    <s v="SURREY CT WEST"/>
    <n v="2"/>
    <s v="CRACK"/>
    <n v="354.22348484848487"/>
    <x v="1"/>
    <n v="12"/>
    <n v="4"/>
    <n v="1.5"/>
    <n v="6"/>
  </r>
  <r>
    <s v=""/>
    <s v="SURREY LANE SOUTH"/>
    <s v="SURREY LANE SOUTH"/>
    <s v="Schildmeier Village"/>
    <s v="700 W"/>
    <s v="400 S"/>
    <n v="528"/>
    <n v="26"/>
    <s v="NC"/>
    <s v="SC"/>
    <n v="0"/>
    <n v="7"/>
    <n v="8"/>
    <n v="50"/>
    <n v="0"/>
    <s v="SURREY LANE SOUTH"/>
    <n v="2"/>
    <s v="CRACK"/>
    <n v="590"/>
    <x v="1"/>
    <n v="12"/>
    <n v="4"/>
    <n v="1.5"/>
    <n v="6"/>
  </r>
  <r>
    <s v=""/>
    <s v="SWEET CREEK DRIVE"/>
    <s v="SWEET CREEK DRIVE"/>
    <s v="Sweet Creek Woods"/>
    <s v="650 W"/>
    <s v="450 S"/>
    <n v="2746"/>
    <n v="26"/>
    <s v="NC"/>
    <s v="SC"/>
    <n v="0"/>
    <n v="6"/>
    <n v="5"/>
    <n v="50"/>
    <n v="0"/>
    <s v="SWEET CREEK DRIVE"/>
    <n v="5"/>
    <s v="P"/>
    <n v="36405.303030303032"/>
    <x v="2"/>
    <n v="6"/>
    <n v="15"/>
    <n v="2"/>
    <n v="10"/>
  </r>
  <r>
    <s v=""/>
    <s v="SYCAMORE CT"/>
    <s v="SYCAMORE CT"/>
    <s v="Timberbrook Estates"/>
    <s v="300 W"/>
    <s v="50 N"/>
    <n v="528"/>
    <n v="26"/>
    <s v="NC"/>
    <s v="BC"/>
    <n v="0"/>
    <n v="7"/>
    <n v="5"/>
    <n v="50"/>
    <n v="0"/>
    <s v="SYCAMORE CT"/>
    <n v="5"/>
    <s v="P"/>
    <n v="7000"/>
    <x v="4"/>
    <n v="6"/>
    <n v="15"/>
    <n v="2"/>
    <n v="2"/>
  </r>
  <r>
    <s v=""/>
    <s v="SYCAMORE DRIVE"/>
    <s v="SYCAMORE DRIVE"/>
    <s v="Hamilton Heights"/>
    <s v="275 W"/>
    <s v="100 S"/>
    <n v="3221"/>
    <n v="26"/>
    <s v="NC"/>
    <s v="SC"/>
    <n v="0"/>
    <n v="7"/>
    <n v="7"/>
    <n v="50"/>
    <n v="0"/>
    <s v="SYCAMORE DRIVE"/>
    <n v="3"/>
    <s v="CRACK"/>
    <n v="3599.223484848485"/>
    <x v="1"/>
    <n v="10"/>
    <n v="4"/>
    <n v="1.5"/>
    <n v="6"/>
  </r>
  <r>
    <s v=""/>
    <s v="SYCAMORE HILLS DR"/>
    <s v="SYCAMORE HILLS DR"/>
    <s v="Sycamore Hills"/>
    <s v="420 W"/>
    <s v="300 S"/>
    <n v="475"/>
    <n v="26"/>
    <s v="NC"/>
    <s v="SC"/>
    <n v="0"/>
    <n v="8"/>
    <n v="7"/>
    <n v="50"/>
    <n v="0"/>
    <s v="SYCAMORE HILLS DR"/>
    <n v="3"/>
    <s v="CRACK"/>
    <n v="530.77651515151513"/>
    <x v="1"/>
    <n v="10"/>
    <n v="4"/>
    <n v="1.5"/>
    <n v="6"/>
  </r>
  <r>
    <s v=""/>
    <s v="THEODORE LANE"/>
    <s v="THEODORE LANE"/>
    <s v="New Palestine Village"/>
    <s v="550 W"/>
    <s v="300 S"/>
    <n v="264"/>
    <n v="26"/>
    <s v="NC"/>
    <s v="SC"/>
    <n v="0"/>
    <n v="7"/>
    <n v="6"/>
    <n v="50"/>
    <n v="0"/>
    <s v="THEODORE LANE"/>
    <n v="4"/>
    <s v="P"/>
    <n v="3500"/>
    <x v="0"/>
    <n v="8"/>
    <n v="15"/>
    <n v="2"/>
    <n v="0"/>
  </r>
  <r>
    <s v=""/>
    <s v="THIRD ST(WILL BRA)"/>
    <s v="THIRD ST(WILL BRA)"/>
    <m/>
    <s v="MAIN ST"/>
    <s v="THOMAS ST"/>
    <n v="288"/>
    <n v="20"/>
    <s v="AC"/>
    <s v="B"/>
    <n v="0"/>
    <n v="6"/>
    <n v="7"/>
    <n v="50"/>
    <n v="0"/>
    <s v="THIRD ST(WILL BRA)"/>
    <n v="3"/>
    <s v="DS"/>
    <n v="1363.6363636363637"/>
    <x v="2"/>
    <n v="10"/>
    <n v="7"/>
    <n v="1.5"/>
    <n v="7.5"/>
  </r>
  <r>
    <s v=""/>
    <s v="THOMAS COURT"/>
    <s v="THOMAS COURT"/>
    <s v="Little Brandywine"/>
    <s v="MORRISTOWN PIKE"/>
    <s v="150 S"/>
    <n v="419"/>
    <n v="26"/>
    <s v="NC"/>
    <s v="C"/>
    <n v="0"/>
    <n v="7"/>
    <n v="10"/>
    <n v="50"/>
    <n v="0"/>
    <s v="THOMAS COURT"/>
    <n v="0"/>
    <s v="CRACK"/>
    <n v="468.20075757575756"/>
    <x v="6"/>
    <n v="16"/>
    <n v="4"/>
    <n v="0.5"/>
    <n v="1.5"/>
  </r>
  <r>
    <s v="B42"/>
    <s v="THOMAS RD./SR234"/>
    <s v="THOMAS RD./SR234"/>
    <m/>
    <s v="SR234"/>
    <s v="650N"/>
    <n v="8725"/>
    <n v="20"/>
    <s v="AC"/>
    <s v="B"/>
    <n v="0"/>
    <n v="6"/>
    <n v="6"/>
    <n v="50"/>
    <n v="0"/>
    <s v="THOMAS RD."/>
    <n v="4"/>
    <s v="DS"/>
    <n v="41311.553030303032"/>
    <x v="2"/>
    <n v="8"/>
    <n v="7"/>
    <n v="2"/>
    <n v="10"/>
  </r>
  <r>
    <s v=""/>
    <s v="THOMAS ST(WILL BR)"/>
    <s v="THOMAS ST(WILL BR)"/>
    <m/>
    <s v="SECOND ST"/>
    <s v="THIRD ST"/>
    <n v="539"/>
    <n v="20"/>
    <s v="AC"/>
    <s v="B"/>
    <n v="0"/>
    <n v="6"/>
    <n v="6"/>
    <n v="50"/>
    <n v="0"/>
    <s v="THOMAS ST."/>
    <n v="4"/>
    <s v="DS"/>
    <n v="2552.0833333333335"/>
    <x v="2"/>
    <n v="8"/>
    <n v="7"/>
    <n v="2"/>
    <n v="10"/>
  </r>
  <r>
    <s v=""/>
    <s v="TIMBER DRIVE"/>
    <s v="TIMBER DRIVE"/>
    <s v="Doe Creek Manor"/>
    <s v="700 W"/>
    <s v="450 S"/>
    <n v="1267"/>
    <n v="26"/>
    <s v="NC"/>
    <s v="SC"/>
    <n v="0"/>
    <n v="6"/>
    <n v="6"/>
    <n v="50"/>
    <n v="0"/>
    <s v="TIMBER DRIVE"/>
    <n v="4"/>
    <s v="SP/CS"/>
    <n v="9598.484848484848"/>
    <x v="4"/>
    <n v="8"/>
    <n v="10"/>
    <n v="2"/>
    <n v="2"/>
  </r>
  <r>
    <s v=""/>
    <s v="TOMKE DRIVE"/>
    <s v="TOMKE DRIVE"/>
    <s v="Glad Acres"/>
    <s v="500 W"/>
    <s v="325 S"/>
    <n v="422"/>
    <n v="26"/>
    <s v="NC"/>
    <s v="SC"/>
    <n v="0"/>
    <n v="7"/>
    <n v="8"/>
    <n v="50"/>
    <n v="0"/>
    <s v="TOMKE DRIVE"/>
    <n v="2"/>
    <s v="CRACK"/>
    <n v="471.55303030303031"/>
    <x v="4"/>
    <n v="12"/>
    <n v="4"/>
    <n v="1.5"/>
    <n v="1.5"/>
  </r>
  <r>
    <s v="G57"/>
    <s v="TROY RD./900N"/>
    <s v="TROY RD./900N"/>
    <m/>
    <s v="EDEN RD."/>
    <s v="900N"/>
    <n v="5332"/>
    <n v="20"/>
    <s v="AC"/>
    <s v="G"/>
    <n v="0"/>
    <n v="7"/>
    <n v="4"/>
    <n v="50"/>
    <n v="0"/>
    <s v="TROY RD."/>
    <n v="6"/>
    <s v="CS"/>
    <n v="15147.727272727272"/>
    <x v="0"/>
    <n v="3"/>
    <n v="7"/>
    <n v="2.5"/>
    <n v="0"/>
  </r>
  <r>
    <s v="G56"/>
    <s v="TROY RD./EDEN RD"/>
    <s v="TROY RD./EDEN RD"/>
    <m/>
    <s v="SR234"/>
    <s v="EDEN RD."/>
    <n v="725"/>
    <n v="20"/>
    <s v="AC"/>
    <s v="G"/>
    <n v="0"/>
    <n v="8"/>
    <n v="6"/>
    <n v="50"/>
    <n v="0"/>
    <s v="TROY RD."/>
    <n v="4"/>
    <s v="CRACK"/>
    <n v="810.13257575757575"/>
    <x v="0"/>
    <n v="8"/>
    <n v="4"/>
    <n v="2"/>
    <n v="0"/>
  </r>
  <r>
    <s v="G55"/>
    <s v="TROY RD./SR234"/>
    <s v="TROY RD./SR234"/>
    <m/>
    <s v="SR234"/>
    <s v="700N"/>
    <n v="5300"/>
    <n v="20"/>
    <s v="CS"/>
    <s v="G"/>
    <n v="0"/>
    <n v="4"/>
    <n v="3"/>
    <n v="50"/>
    <n v="0"/>
    <s v="TROY RD."/>
    <n v="7"/>
    <s v="DS"/>
    <n v="25094.696969696968"/>
    <x v="0"/>
    <n v="1"/>
    <n v="7"/>
    <n v="3"/>
    <n v="0"/>
  </r>
  <r>
    <s v=""/>
    <s v="TULIP TREE DRIVE"/>
    <s v="TULIP TREE DRIVE"/>
    <s v="Hickory Woods"/>
    <s v="200 N"/>
    <s v="250 E"/>
    <n v="1320"/>
    <n v="26"/>
    <s v="NC"/>
    <s v="C"/>
    <n v="0"/>
    <n v="7"/>
    <n v="7"/>
    <n v="50"/>
    <n v="0"/>
    <s v="TULIP TREE DRIVE"/>
    <n v="3"/>
    <s v="CRACK"/>
    <n v="1475"/>
    <x v="6"/>
    <n v="10"/>
    <n v="4"/>
    <n v="1.5"/>
    <n v="4.5"/>
  </r>
  <r>
    <s v=""/>
    <s v="TUMBLEWEED COURT(W)"/>
    <s v="TUMBLEWEED COURT(W)"/>
    <s v="Countryside"/>
    <s v="500 W"/>
    <s v="375 S"/>
    <n v="438"/>
    <n v="26"/>
    <s v="NC"/>
    <s v="SC"/>
    <n v="0"/>
    <n v="7"/>
    <n v="8"/>
    <n v="50"/>
    <n v="0"/>
    <s v="TUMBLEWEED COURT(W)"/>
    <n v="2"/>
    <s v="CRACK"/>
    <n v="489.43181818181819"/>
    <x v="4"/>
    <n v="12"/>
    <n v="4"/>
    <n v="1.5"/>
    <n v="1.5"/>
  </r>
  <r>
    <s v=""/>
    <s v="TUMBLEWEED DRIVE(S)"/>
    <s v="TUMBLEWEED DRIVE(S)"/>
    <s v="Countryside"/>
    <s v="500 W"/>
    <s v="375 S"/>
    <n v="2376"/>
    <n v="26"/>
    <s v="NC"/>
    <s v="SC"/>
    <n v="0"/>
    <n v="7"/>
    <n v="8"/>
    <n v="50"/>
    <n v="0"/>
    <s v="TUMBLEWEED DRIVE(S)"/>
    <n v="2"/>
    <s v="CRACK"/>
    <n v="2655"/>
    <x v="4"/>
    <n v="12"/>
    <n v="4"/>
    <n v="1.5"/>
    <n v="1.5"/>
  </r>
  <r>
    <s v=""/>
    <s v="TWIN OAK BLVD (E)"/>
    <s v="TWIN OAK BLVD (E)"/>
    <s v="Twin Oaks"/>
    <s v="SR 9"/>
    <s v="570 N"/>
    <n v="528"/>
    <n v="26"/>
    <s v="NC"/>
    <s v="C"/>
    <n v="0"/>
    <n v="7"/>
    <n v="8"/>
    <n v="50"/>
    <n v="0"/>
    <s v="TWIN OAK BLVD (E)"/>
    <n v="2"/>
    <s v="CRACK"/>
    <n v="590"/>
    <x v="4"/>
    <n v="12"/>
    <n v="4"/>
    <n v="1.5"/>
    <n v="1.5"/>
  </r>
  <r>
    <s v=""/>
    <s v="VALLEY COURT"/>
    <s v="VALLEY COURT"/>
    <s v="Ridgeview Est."/>
    <s v="100 W"/>
    <s v="200 N"/>
    <n v="475"/>
    <n v="26"/>
    <s v="NC"/>
    <s v="C"/>
    <n v="0"/>
    <n v="7"/>
    <n v="7"/>
    <n v="50"/>
    <n v="0"/>
    <s v="VALLEY COURT"/>
    <n v="3"/>
    <s v="CRACK"/>
    <n v="530.77651515151513"/>
    <x v="1"/>
    <n v="10"/>
    <n v="4"/>
    <n v="1.5"/>
    <n v="6"/>
  </r>
  <r>
    <s v=""/>
    <s v="VALLEY LANE"/>
    <s v="VALLEY LANE"/>
    <s v="Ridgeview Est."/>
    <s v="100 W"/>
    <s v="200 N"/>
    <n v="1003"/>
    <n v="26"/>
    <s v="NC"/>
    <s v="C"/>
    <n v="0"/>
    <n v="6"/>
    <n v="5"/>
    <n v="50"/>
    <n v="0"/>
    <s v="VALLEY LANE"/>
    <n v="5"/>
    <s v="P"/>
    <n v="13297.348484848484"/>
    <x v="1"/>
    <n v="6"/>
    <n v="15"/>
    <n v="2"/>
    <n v="8"/>
  </r>
  <r>
    <s v=""/>
    <s v="VERA DRIVE"/>
    <s v="VERA DRIVE"/>
    <s v="Brier Creek"/>
    <s v="700 W"/>
    <s v="100 S"/>
    <n v="1109"/>
    <n v="26"/>
    <s v="NC"/>
    <s v="SC"/>
    <n v="0"/>
    <n v="7"/>
    <n v="7"/>
    <n v="50"/>
    <n v="0"/>
    <s v="VERA DRIVE"/>
    <n v="3"/>
    <s v="CRACK"/>
    <n v="1239.2234848484848"/>
    <x v="0"/>
    <n v="10"/>
    <n v="4"/>
    <n v="1.5"/>
    <n v="0"/>
  </r>
  <r>
    <s v=""/>
    <s v="VERNON LANE"/>
    <s v="VERNON LANE"/>
    <s v="Alfords"/>
    <s v="900 N"/>
    <s v="200 W"/>
    <n v="370"/>
    <n v="26"/>
    <s v="NC"/>
    <s v="V"/>
    <n v="0"/>
    <n v="6"/>
    <n v="8"/>
    <n v="50"/>
    <n v="0"/>
    <s v="VERNON LANE"/>
    <n v="2"/>
    <s v="CRACK"/>
    <n v="413.44696969696969"/>
    <x v="5"/>
    <n v="12"/>
    <n v="4"/>
    <n v="1.5"/>
    <n v="3"/>
  </r>
  <r>
    <s v=""/>
    <s v="VILLAGE DRIVE"/>
    <s v="VILLAGE DRIVE"/>
    <s v="New Palestine Village"/>
    <s v="550 W"/>
    <s v="300 S"/>
    <n v="1109"/>
    <n v="26"/>
    <s v="NC"/>
    <s v="SC"/>
    <n v="0"/>
    <n v="6"/>
    <n v="6"/>
    <n v="50"/>
    <n v="0"/>
    <s v="VILLAGE DRIVE"/>
    <n v="4"/>
    <s v="P"/>
    <n v="14702.651515151516"/>
    <x v="0"/>
    <n v="8"/>
    <n v="15"/>
    <n v="2"/>
    <n v="0"/>
  </r>
  <r>
    <s v=""/>
    <s v="VILLAGE ROW"/>
    <s v="VILLAGE ROW"/>
    <s v="Schildmeier Village"/>
    <s v="700 W"/>
    <s v="400 S"/>
    <n v="2006"/>
    <n v="26"/>
    <s v="NC"/>
    <s v="SC"/>
    <n v="0"/>
    <n v="7"/>
    <n v="7"/>
    <n v="50"/>
    <n v="0"/>
    <s v="VILLAGE ROW"/>
    <n v="3"/>
    <s v="CRACK"/>
    <n v="2241.5530303030305"/>
    <x v="1"/>
    <n v="10"/>
    <n v="4"/>
    <n v="1.5"/>
    <n v="6"/>
  </r>
  <r>
    <s v=""/>
    <s v="VILLAGE WAY WEST"/>
    <s v="VILLAGE WAY WEST"/>
    <s v="Schildmeier Village"/>
    <s v="700 W"/>
    <s v="400 S"/>
    <n v="845"/>
    <n v="26"/>
    <s v="NC"/>
    <s v="SC"/>
    <n v="0"/>
    <n v="7"/>
    <n v="6"/>
    <n v="50"/>
    <n v="0"/>
    <s v="VILLAGE WAY WEST"/>
    <n v="4"/>
    <s v="MICRO"/>
    <n v="8001.893939393939"/>
    <x v="1"/>
    <n v="8"/>
    <n v="10"/>
    <n v="2"/>
    <n v="8"/>
  </r>
  <r>
    <s v=""/>
    <s v="WALNUT CT"/>
    <s v="WALNUT CT"/>
    <s v="Timberbrook Estates"/>
    <s v="300 W"/>
    <s v="50 N"/>
    <n v="739"/>
    <n v="26"/>
    <s v="NC"/>
    <s v="BC"/>
    <n v="0"/>
    <n v="6"/>
    <n v="5"/>
    <n v="50"/>
    <n v="0"/>
    <s v="WALNUT CT"/>
    <n v="5"/>
    <s v="P"/>
    <n v="9797.3484848484841"/>
    <x v="4"/>
    <n v="6"/>
    <n v="15"/>
    <n v="2"/>
    <n v="2"/>
  </r>
  <r>
    <s v=""/>
    <s v="WALNUT DR(S)"/>
    <s v="WALNUT DR(S)"/>
    <s v="Hamilton Heights"/>
    <s v="275 W"/>
    <s v="100 S"/>
    <n v="1320"/>
    <n v="26"/>
    <s v="NC"/>
    <s v="SC"/>
    <n v="0"/>
    <n v="7"/>
    <n v="7"/>
    <n v="50"/>
    <n v="0"/>
    <s v="WALNUT DR(S)"/>
    <n v="3"/>
    <s v="CRACK"/>
    <n v="1475"/>
    <x v="1"/>
    <n v="10"/>
    <n v="4"/>
    <n v="1.5"/>
    <n v="6"/>
  </r>
  <r>
    <s v=""/>
    <s v="WALNUT/VINE(PHILY)"/>
    <s v="WALNUT/VINE(PHILY)"/>
    <m/>
    <s v="250W"/>
    <s v="US40"/>
    <n v="1797"/>
    <n v="20"/>
    <s v="AC"/>
    <s v="SC"/>
    <n v="0"/>
    <n v="8"/>
    <n v="6"/>
    <n v="50"/>
    <n v="0"/>
    <s v="WALNUT DRIVE"/>
    <n v="4"/>
    <s v="CRACK"/>
    <n v="2008.0113636363637"/>
    <x v="0"/>
    <n v="8"/>
    <n v="4"/>
    <n v="2"/>
    <n v="0"/>
  </r>
  <r>
    <s v=""/>
    <s v="WASHINGTON (MAX)/E"/>
    <s v="WASHINGTON (MAX)/E"/>
    <m/>
    <s v="SR9"/>
    <s v="EAST ST"/>
    <n v="614"/>
    <n v="20"/>
    <s v="CS"/>
    <s v="C"/>
    <n v="0"/>
    <n v="7"/>
    <n v="6"/>
    <n v="50"/>
    <n v="0"/>
    <s v="WASHINGTON"/>
    <n v="4"/>
    <s v="DS"/>
    <n v="2907.1969696969695"/>
    <x v="3"/>
    <n v="8"/>
    <n v="7"/>
    <n v="2"/>
    <n v="12"/>
  </r>
  <r>
    <s v=""/>
    <s v="WATER WHEEL DRIVE"/>
    <s v="WATER WHEEL DRIVE"/>
    <s v="Country Mill"/>
    <s v="SR 9"/>
    <s v="470 W"/>
    <n v="845"/>
    <n v="26"/>
    <s v="NC"/>
    <s v="C"/>
    <n v="0"/>
    <n v="7"/>
    <n v="8"/>
    <n v="50"/>
    <n v="0"/>
    <s v="WATER WHEEL DRIVE"/>
    <n v="2"/>
    <s v="CRACK"/>
    <n v="944.22348484848487"/>
    <x v="4"/>
    <n v="12"/>
    <n v="4"/>
    <n v="1.5"/>
    <n v="1.5"/>
  </r>
  <r>
    <s v=""/>
    <s v="WATERWAY DRIVE"/>
    <s v="WATERWAY DRIVE"/>
    <s v="Meadow Lake Estates"/>
    <s v="500 W"/>
    <s v="60 S"/>
    <n v="158"/>
    <n v="26"/>
    <s v="NC"/>
    <s v="SC"/>
    <n v="0"/>
    <n v="8"/>
    <n v="9"/>
    <n v="50"/>
    <n v="0"/>
    <s v="WATERWAY DRIVE"/>
    <n v="1"/>
    <s v="CRACK"/>
    <n v="176.55303030303031"/>
    <x v="4"/>
    <n v="14"/>
    <n v="4"/>
    <n v="1"/>
    <n v="1"/>
  </r>
  <r>
    <s v=""/>
    <s v="WAYNE DRIVE"/>
    <s v="WAYNE DRIVE"/>
    <s v="Wildwood Estates"/>
    <s v="200 W"/>
    <s v="50 N"/>
    <n v="2429"/>
    <n v="26"/>
    <s v="NC"/>
    <s v="C"/>
    <n v="0"/>
    <n v="6"/>
    <n v="6"/>
    <n v="50"/>
    <n v="0"/>
    <s v="WAYNE DRIVE"/>
    <n v="4"/>
    <s v="SP/CS"/>
    <n v="18401.515151515152"/>
    <x v="5"/>
    <n v="8"/>
    <n v="10"/>
    <n v="2"/>
    <n v="4"/>
  </r>
  <r>
    <s v=""/>
    <s v="WELKER DRIVE"/>
    <s v="WELKER DRIVE"/>
    <s v="Sugar Creek Heights"/>
    <s v="300 W"/>
    <s v="US 40"/>
    <n v="1267"/>
    <n v="26"/>
    <s v="NC"/>
    <s v="SC"/>
    <n v="0"/>
    <n v="7"/>
    <n v="5"/>
    <n v="50"/>
    <n v="0"/>
    <s v="WELKER DRIVE"/>
    <n v="5"/>
    <s v="P"/>
    <n v="16797.348484848484"/>
    <x v="4"/>
    <n v="6"/>
    <n v="15"/>
    <n v="2"/>
    <n v="2"/>
  </r>
  <r>
    <s v=""/>
    <s v="WEST ST(CHAR)/CART"/>
    <s v="WEST ST(CHAR)/CART"/>
    <m/>
    <s v="US40"/>
    <s v="CARTHAGE RD"/>
    <n v="538"/>
    <n v="20"/>
    <s v="G"/>
    <s v="J"/>
    <n v="0"/>
    <n v="6"/>
    <n v="3"/>
    <n v="50"/>
    <n v="0"/>
    <s v="WEST ST(CHAR)/CART"/>
    <n v="7"/>
    <s v="DS"/>
    <n v="2547.348484848485"/>
    <x v="0"/>
    <n v="1"/>
    <n v="7"/>
    <n v="3"/>
    <n v="0"/>
  </r>
  <r>
    <s v=""/>
    <s v="WEST ST(FINLY)"/>
    <s v="WEST ST(FINLY)"/>
    <m/>
    <s v="US52"/>
    <s v="GREENFIELD ST"/>
    <n v="396"/>
    <n v="20"/>
    <s v="AC"/>
    <s v="BW"/>
    <n v="0"/>
    <n v="7"/>
    <n v="7"/>
    <n v="50"/>
    <n v="0"/>
    <s v="WEST ST(FINLY)"/>
    <n v="3"/>
    <s v="CS"/>
    <n v="1125"/>
    <x v="2"/>
    <n v="10"/>
    <n v="7"/>
    <n v="1.5"/>
    <n v="7.5"/>
  </r>
  <r>
    <s v=""/>
    <s v="WESTERN CT (W)"/>
    <s v="WESTERN CT (W)"/>
    <s v="Willow Grove"/>
    <s v="700 W"/>
    <s v="350 S"/>
    <n v="475"/>
    <n v="26"/>
    <s v="NC"/>
    <s v="SC"/>
    <n v="0"/>
    <n v="7"/>
    <n v="7"/>
    <n v="50"/>
    <n v="0"/>
    <s v="WESTERN CT (W)"/>
    <n v="3"/>
    <s v="CRACK"/>
    <n v="530.77651515151513"/>
    <x v="6"/>
    <n v="10"/>
    <n v="4"/>
    <n v="1.5"/>
    <n v="4.5"/>
  </r>
  <r>
    <m/>
    <s v="WHISPERING WAY"/>
    <s v="WHISPERING WAY"/>
    <s v="Heron Creek"/>
    <s v="650 W"/>
    <s v="150 N"/>
    <n v="400"/>
    <n v="26"/>
    <s v="NC"/>
    <s v="BC"/>
    <n v="0"/>
    <m/>
    <n v="10"/>
    <n v="50"/>
    <n v="0"/>
    <s v="WHISPERING WAY"/>
    <n v="0"/>
    <s v="CRACK"/>
    <n v="446.969696969697"/>
    <x v="2"/>
    <n v="16"/>
    <n v="4"/>
    <n v="0.5"/>
    <n v="2.5"/>
  </r>
  <r>
    <s v=""/>
    <s v="WHITE OAK DRIVE"/>
    <s v="WHITE OAK DRIVE"/>
    <s v="Schildmeier Village"/>
    <s v="700 W"/>
    <s v="400 S"/>
    <n v="1373"/>
    <n v="26"/>
    <s v="NC"/>
    <s v="SC"/>
    <n v="0"/>
    <n v="7"/>
    <n v="7"/>
    <n v="50"/>
    <n v="0"/>
    <s v="WHITE OAK DRIVE"/>
    <n v="3"/>
    <s v="CRACK"/>
    <n v="1534.2234848484848"/>
    <x v="0"/>
    <n v="10"/>
    <n v="4"/>
    <n v="1.5"/>
    <n v="0"/>
  </r>
  <r>
    <s v=""/>
    <s v="WILDFLOWER LN"/>
    <s v="WILDFLOWER LN"/>
    <s v="Briarwood Trace"/>
    <s v="700 W"/>
    <s v="225 S"/>
    <n v="739"/>
    <n v="26"/>
    <s v="NC"/>
    <s v="SC"/>
    <n v="0"/>
    <n v="7"/>
    <n v="7"/>
    <n v="50"/>
    <n v="0"/>
    <s v="WILDFLOWER LN"/>
    <n v="3"/>
    <s v="CRACK"/>
    <n v="825.77651515151513"/>
    <x v="0"/>
    <n v="10"/>
    <n v="4"/>
    <n v="1.5"/>
    <n v="0"/>
  </r>
  <r>
    <s v=""/>
    <s v="WILDWOOD DRIVE"/>
    <s v="WILDWOOD DRIVE"/>
    <s v="Wildwood Estates"/>
    <s v="200 W"/>
    <s v="50 N"/>
    <n v="1373"/>
    <n v="26"/>
    <s v="NC"/>
    <s v="BC"/>
    <n v="0"/>
    <n v="7"/>
    <n v="7"/>
    <n v="50"/>
    <n v="0"/>
    <s v="WILDWOOD DRIVE"/>
    <n v="3"/>
    <s v="CRACK"/>
    <n v="1534.2234848484848"/>
    <x v="5"/>
    <n v="10"/>
    <n v="4"/>
    <n v="1.5"/>
    <n v="3"/>
  </r>
  <r>
    <s v=""/>
    <s v="WILLIAMSWOOD DRIVE"/>
    <s v="WILLIAMSWOOD DRIVE"/>
    <s v="Schildmeier Village"/>
    <s v="700 W"/>
    <s v="400 S"/>
    <n v="1056"/>
    <n v="26"/>
    <s v="NC"/>
    <s v="SC"/>
    <n v="0"/>
    <n v="7"/>
    <n v="8"/>
    <n v="50"/>
    <n v="0"/>
    <s v="WILLIAMSWOOD DRIVE"/>
    <n v="2"/>
    <s v="CRACK"/>
    <n v="1180"/>
    <x v="1"/>
    <n v="12"/>
    <n v="4"/>
    <n v="1.5"/>
    <n v="6"/>
  </r>
  <r>
    <s v=""/>
    <s v="WILLOW GROVE DR (S)"/>
    <s v="WILLOW GROVE DR (S)"/>
    <s v="Willow Grove"/>
    <s v="700 W"/>
    <s v="350 S"/>
    <n v="758"/>
    <n v="26"/>
    <s v="NC"/>
    <s v="SC"/>
    <n v="0"/>
    <n v="7"/>
    <n v="7"/>
    <n v="50"/>
    <n v="0"/>
    <s v="WILLOW GROVE DR (S)"/>
    <n v="3"/>
    <s v="CRACK"/>
    <n v="847.00757575757575"/>
    <x v="6"/>
    <n v="10"/>
    <n v="4"/>
    <n v="1.5"/>
    <n v="4.5"/>
  </r>
  <r>
    <s v=""/>
    <s v="WILLOW GROVE DR (W)"/>
    <s v="WILLOW GROVE DR (W)"/>
    <s v="Willow Grove"/>
    <s v="700 W"/>
    <s v="350 S"/>
    <n v="2002"/>
    <n v="26"/>
    <s v="NC"/>
    <s v="SC"/>
    <n v="0"/>
    <n v="7"/>
    <n v="7"/>
    <n v="50"/>
    <n v="0"/>
    <s v="WILLOW GROVE DR (W)"/>
    <n v="3"/>
    <s v="CRACK"/>
    <n v="2237.0833333333335"/>
    <x v="6"/>
    <n v="10"/>
    <n v="4"/>
    <n v="1.5"/>
    <n v="4.5"/>
  </r>
  <r>
    <s v=""/>
    <s v="WINDHAVEN COURT"/>
    <s v="WINDHAVEN COURT"/>
    <s v="Windhaven"/>
    <s v="440 W"/>
    <s v="100 S"/>
    <n v="686"/>
    <n v="26"/>
    <s v="NC"/>
    <s v="SC"/>
    <n v="0"/>
    <n v="8"/>
    <n v="8"/>
    <n v="50"/>
    <n v="0"/>
    <s v="WINDHAVEN COURT"/>
    <n v="2"/>
    <s v="CRACK"/>
    <n v="766.55303030303025"/>
    <x v="0"/>
    <n v="12"/>
    <n v="4"/>
    <n v="1.5"/>
    <n v="0"/>
  </r>
  <r>
    <s v=""/>
    <s v="WINDMILL WAY(W)"/>
    <s v="WINDMILL WAY(W)"/>
    <s v="Countryside"/>
    <s v="500 W"/>
    <s v="375 S"/>
    <n v="1003"/>
    <n v="26"/>
    <s v="NC"/>
    <s v="SC"/>
    <n v="0"/>
    <n v="7"/>
    <n v="8"/>
    <n v="50"/>
    <n v="0"/>
    <s v="WINDMILL WAY(W)"/>
    <n v="2"/>
    <s v="CRACK"/>
    <n v="1120.7765151515152"/>
    <x v="4"/>
    <n v="12"/>
    <n v="4"/>
    <n v="1.5"/>
    <n v="1.5"/>
  </r>
  <r>
    <s v=""/>
    <s v="WINDSONG COURT"/>
    <s v="WINDSONG COURT"/>
    <s v="Windhaven"/>
    <s v="440 W"/>
    <s v="100 S"/>
    <n v="528"/>
    <n v="26"/>
    <s v="NC"/>
    <s v="SC"/>
    <n v="0"/>
    <n v="8"/>
    <n v="8"/>
    <n v="50"/>
    <n v="0"/>
    <s v="WINDSONG COURT"/>
    <n v="2"/>
    <s v="CRACK"/>
    <n v="590"/>
    <x v="0"/>
    <n v="12"/>
    <n v="4"/>
    <n v="1.5"/>
    <n v="0"/>
  </r>
  <r>
    <s v=""/>
    <s v="WOLLENWEBER ROAD"/>
    <s v="WOLLENWEBER ROAD"/>
    <s v="Doe Creek Estates"/>
    <s v="625 W"/>
    <s v="300 S"/>
    <n v="2112"/>
    <n v="26"/>
    <s v="NC"/>
    <s v="SC"/>
    <n v="0"/>
    <n v="8"/>
    <n v="7"/>
    <n v="50"/>
    <n v="0"/>
    <s v="WOLLENWEBER ROAD"/>
    <n v="3"/>
    <s v="CRACK"/>
    <n v="2360"/>
    <x v="4"/>
    <n v="10"/>
    <n v="4"/>
    <n v="1.5"/>
    <n v="1.5"/>
  </r>
  <r>
    <s v=""/>
    <s v="WOODCREST DRIVE"/>
    <s v="WOODCREST DRIVE"/>
    <s v="Woodcrest"/>
    <s v="700 W"/>
    <s v="50 N"/>
    <n v="1267"/>
    <n v="26"/>
    <s v="NC"/>
    <s v="BC"/>
    <n v="0"/>
    <n v="6"/>
    <n v="6"/>
    <n v="50"/>
    <n v="0"/>
    <s v="WOODCREST DRIVE"/>
    <n v="4"/>
    <s v="SP/CS"/>
    <n v="9598.484848484848"/>
    <x v="8"/>
    <n v="8"/>
    <n v="10"/>
    <n v="2"/>
    <e v="#VALUE!"/>
  </r>
  <r>
    <s v=""/>
    <s v="WOODFIELD DRIVE"/>
    <s v="WOODFIELD DRIVE"/>
    <s v="Schildmeier Village"/>
    <s v="700 W"/>
    <s v="400 S"/>
    <n v="634"/>
    <n v="26"/>
    <s v="NC"/>
    <s v="SC"/>
    <n v="0"/>
    <n v="7"/>
    <n v="8"/>
    <n v="50"/>
    <n v="0"/>
    <s v="WOODFIELD DRIVE"/>
    <n v="2"/>
    <s v="CRACK"/>
    <n v="708.44696969696975"/>
    <x v="1"/>
    <n v="12"/>
    <n v="4"/>
    <n v="1.5"/>
    <n v="6"/>
  </r>
  <r>
    <s v=""/>
    <s v="WOODGROVE WAY(S)"/>
    <s v="WOODGROVE WAY(S)"/>
    <s v="Briarwood Trace"/>
    <s v="700 W"/>
    <s v="225 S"/>
    <n v="792"/>
    <n v="26"/>
    <s v="NC"/>
    <s v="SC"/>
    <n v="0"/>
    <n v="8"/>
    <n v="7"/>
    <n v="50"/>
    <n v="0"/>
    <s v="WOODGROVE WAY(S)"/>
    <n v="3"/>
    <s v="CRACK"/>
    <n v="885"/>
    <x v="0"/>
    <n v="10"/>
    <n v="4"/>
    <n v="1.5"/>
    <n v="0"/>
  </r>
  <r>
    <s v="SC98"/>
    <s v="JACOBI RD./200S"/>
    <s v="JACOBI RD./200S"/>
    <m/>
    <s v="200S"/>
    <s v="300S"/>
    <n v="6673"/>
    <n v="20"/>
    <s v="G"/>
    <s v="SC"/>
    <n v="0"/>
    <n v="8"/>
    <n v="6"/>
    <n v="49"/>
    <n v="0"/>
    <s v="JACOBI RD./200S"/>
    <n v="4"/>
    <s v="GG"/>
    <n v="17693.560606060608"/>
    <x v="3"/>
    <n v="8"/>
    <n v="1"/>
    <n v="2"/>
    <n v="12"/>
  </r>
  <r>
    <s v="V24"/>
    <s v="850N/50W"/>
    <s v="850N/50W"/>
    <m/>
    <s v="FORTVILLE PK."/>
    <s v="50W"/>
    <n v="5036"/>
    <n v="20"/>
    <s v="CS"/>
    <s v="V"/>
    <n v="0"/>
    <n v="7"/>
    <n v="7"/>
    <n v="47"/>
    <n v="0"/>
    <s v="850N"/>
    <n v="3"/>
    <s v="DS"/>
    <n v="23844.696969696968"/>
    <x v="3"/>
    <n v="10"/>
    <n v="7"/>
    <n v="1.5"/>
    <n v="9"/>
  </r>
  <r>
    <s v="B54"/>
    <s v="775E/1000N"/>
    <s v="775E/1000N"/>
    <m/>
    <s v="NASHVILLE RD."/>
    <s v="1000N"/>
    <n v="930"/>
    <n v="20"/>
    <s v="AC"/>
    <s v="B"/>
    <n v="0"/>
    <n v="7"/>
    <n v="7"/>
    <n v="28"/>
    <n v="0"/>
    <s v="775E"/>
    <n v="3"/>
    <s v="CS"/>
    <n v="2642.0454545454545"/>
    <x v="2"/>
    <n v="10"/>
    <n v="7"/>
    <n v="1.5"/>
    <n v="7.5"/>
  </r>
  <r>
    <s v="V68"/>
    <s v="475W/SR234"/>
    <s v="475W/SR234"/>
    <m/>
    <s v="SR234"/>
    <s v="700N"/>
    <n v="5287"/>
    <n v="20"/>
    <s v="CS"/>
    <s v="V"/>
    <n v="0"/>
    <n v="4"/>
    <n v="3"/>
    <n v="27"/>
    <n v="0"/>
    <s v="475W"/>
    <n v="7"/>
    <s v="DS"/>
    <n v="25033.14393939394"/>
    <x v="0"/>
    <n v="1"/>
    <n v="7"/>
    <n v="3"/>
    <n v="0"/>
  </r>
  <r>
    <s v="BR77"/>
    <s v="800E/300S"/>
    <s v="800E/300S"/>
    <m/>
    <s v="BINFORD RD."/>
    <s v="300S"/>
    <n v="3375"/>
    <n v="20"/>
    <s v="G"/>
    <s v="BR"/>
    <n v="0"/>
    <n v="7"/>
    <n v="6"/>
    <n v="18"/>
    <n v="0"/>
    <s v="800E"/>
    <n v="4"/>
    <s v="GG"/>
    <n v="8948.863636363636"/>
    <x v="2"/>
    <n v="8"/>
    <n v="1"/>
    <n v="2"/>
    <n v="10"/>
  </r>
  <r>
    <s v="SC15"/>
    <s v="FAUT ROAD/300W"/>
    <s v="FAUT ROAD/300W"/>
    <m/>
    <s v="400W"/>
    <s v="300W"/>
    <n v="6591"/>
    <n v="20"/>
    <s v="G"/>
    <s v="SC"/>
    <n v="0"/>
    <n v="6"/>
    <n v="8"/>
    <n v="18"/>
    <n v="0"/>
    <s v="FAUT ROAD/300W"/>
    <n v="2"/>
    <s v="DS"/>
    <n v="31207.386363636364"/>
    <x v="3"/>
    <n v="12"/>
    <n v="7"/>
    <n v="1.5"/>
    <n v="9"/>
  </r>
  <r>
    <s v="V74"/>
    <s v="350W/700N"/>
    <s v="350W/700N"/>
    <m/>
    <s v="600N"/>
    <s v="700N"/>
    <n v="5315"/>
    <n v="20"/>
    <s v="CS"/>
    <s v="V"/>
    <n v="0"/>
    <n v="8"/>
    <n v="7"/>
    <n v="17"/>
    <n v="0"/>
    <s v="350W"/>
    <n v="3"/>
    <s v="CS"/>
    <n v="15099.431818181818"/>
    <x v="2"/>
    <n v="10"/>
    <n v="7"/>
    <n v="1.5"/>
    <n v="7.5"/>
  </r>
  <r>
    <s v="G40"/>
    <s v="OLVEY RD./900N"/>
    <s v="OLVEY RD./900N"/>
    <m/>
    <s v="900N"/>
    <s v="MERIDIAN RD."/>
    <n v="3981"/>
    <n v="20"/>
    <s v="CS"/>
    <s v="G"/>
    <n v="0"/>
    <n v="7"/>
    <n v="6"/>
    <n v="15"/>
    <n v="0"/>
    <s v="OLVEY RD."/>
    <n v="4"/>
    <s v="DS"/>
    <n v="18849.43181818182"/>
    <x v="3"/>
    <n v="8"/>
    <n v="7"/>
    <n v="2"/>
    <n v="12"/>
  </r>
  <r>
    <m/>
    <s v="ACCESS DRIVE"/>
    <s v="ACCESS DRIVE"/>
    <s v="Apple's Maxwell"/>
    <s v="175 E"/>
    <s v="475 N"/>
    <n v="271"/>
    <m/>
    <s v="NC"/>
    <s v="C"/>
    <n v="0"/>
    <m/>
    <n v="6"/>
    <m/>
    <n v="0"/>
    <m/>
    <m/>
    <s v="NHP"/>
    <n v="846.875"/>
    <x v="4"/>
    <n v="8"/>
    <n v="6"/>
    <n v="2"/>
    <n v="2"/>
  </r>
  <r>
    <s v=""/>
    <s v="AMANDA COURT"/>
    <s v="AMANDA COURT"/>
    <s v="Buck Creek Meadows"/>
    <s v="700W"/>
    <s v="100N"/>
    <n v="88.69"/>
    <m/>
    <s v="NC"/>
    <s v="BC"/>
    <n v="0"/>
    <m/>
    <n v="7"/>
    <m/>
    <n v="0"/>
    <m/>
    <m/>
    <s v="CRACK"/>
    <n v="99.104356060606065"/>
    <x v="0"/>
    <n v="10"/>
    <n v="4"/>
    <n v="1.5"/>
    <n v="0"/>
  </r>
  <r>
    <m/>
    <s v="APPLE ST/200N"/>
    <s v="APPLE ST/200N"/>
    <m/>
    <s v="100 N"/>
    <s v="200 N"/>
    <n v="2420"/>
    <n v="20"/>
    <s v="AC"/>
    <s v="C"/>
    <n v="0"/>
    <m/>
    <m/>
    <m/>
    <n v="0"/>
    <s v="APPLE ST/200N"/>
    <m/>
    <s v="P"/>
    <n v="32083.333333333332"/>
    <x v="7"/>
    <e v="#N/A"/>
    <n v="15"/>
    <e v="#N/A"/>
    <e v="#N/A"/>
  </r>
  <r>
    <m/>
    <s v="BEECH TREE DR"/>
    <s v="BEECH TREE DR"/>
    <s v="Twin Oaks"/>
    <s v="SR 9"/>
    <s v="570 N"/>
    <n v="663.7"/>
    <m/>
    <s v="NC"/>
    <s v="C"/>
    <n v="0"/>
    <m/>
    <n v="8"/>
    <m/>
    <n v="0"/>
    <m/>
    <m/>
    <s v="CRACK"/>
    <n v="741.63446969696975"/>
    <x v="4"/>
    <n v="12"/>
    <n v="4"/>
    <n v="1.5"/>
    <n v="1.5"/>
  </r>
  <r>
    <m/>
    <s v="COTTONWOOD DRIVE"/>
    <s v="COTTONWOOD DRIVE"/>
    <s v="Apple's Maxwell"/>
    <s v="175 E"/>
    <s v="475 N"/>
    <n v="518.79999999999995"/>
    <m/>
    <s v="NC"/>
    <s v="C"/>
    <n v="0"/>
    <m/>
    <n v="6"/>
    <m/>
    <n v="0"/>
    <m/>
    <m/>
    <s v="NHP"/>
    <n v="1621.25"/>
    <x v="4"/>
    <n v="8"/>
    <n v="6"/>
    <n v="2"/>
    <n v="2"/>
  </r>
  <r>
    <m/>
    <s v="CREEK RIDGE DRIVE"/>
    <s v="CREEK RIDGE DRIVE"/>
    <s v="Creek Ridge Place"/>
    <s v="175 E"/>
    <s v="475 N"/>
    <n v="1040"/>
    <m/>
    <s v="NC"/>
    <s v="C"/>
    <n v="0"/>
    <m/>
    <n v="6"/>
    <m/>
    <n v="0"/>
    <m/>
    <m/>
    <s v="NHP"/>
    <n v="3250"/>
    <x v="5"/>
    <n v="8"/>
    <n v="6"/>
    <n v="2"/>
    <n v="4"/>
  </r>
  <r>
    <m/>
    <m/>
    <s v="CREEKWATER PASS"/>
    <s v="Heron Creek"/>
    <s v="650 W"/>
    <s v="150 N"/>
    <n v="1182"/>
    <m/>
    <s v="NC"/>
    <s v="BC"/>
    <n v="0"/>
    <m/>
    <n v="10"/>
    <m/>
    <n v="0"/>
    <m/>
    <m/>
    <s v="CRACK"/>
    <n v="1320.7954545454545"/>
    <x v="2"/>
    <n v="16"/>
    <n v="4"/>
    <n v="0.5"/>
    <n v="2.5"/>
  </r>
  <r>
    <m/>
    <s v="LAKEWOOD COURT"/>
    <s v="LAKEWOOD COURT"/>
    <s v="Cranberry Lake Estates"/>
    <s v="175 E"/>
    <s v="350 N"/>
    <n v="262.5"/>
    <m/>
    <s v="NC"/>
    <s v="C"/>
    <n v="0"/>
    <m/>
    <n v="7"/>
    <m/>
    <n v="0"/>
    <m/>
    <m/>
    <s v="CRACK"/>
    <n v="293.32386363636363"/>
    <x v="5"/>
    <n v="10"/>
    <n v="4"/>
    <n v="1.5"/>
    <n v="3"/>
  </r>
  <r>
    <s v=""/>
    <s v="MAIELLEN COURT"/>
    <s v="MAIELLEN COURT"/>
    <s v="Buck Creek Meadows"/>
    <s v="700W"/>
    <s v="100N"/>
    <n v="83.24"/>
    <m/>
    <s v="NC"/>
    <s v="BC"/>
    <n v="0"/>
    <m/>
    <n v="7"/>
    <m/>
    <n v="0"/>
    <m/>
    <m/>
    <s v="CRACK"/>
    <n v="93.014393939393926"/>
    <x v="0"/>
    <n v="10"/>
    <n v="4"/>
    <n v="1.5"/>
    <n v="0"/>
  </r>
  <r>
    <s v=""/>
    <s v="PARKVIEW DR"/>
    <s v="PARKVIEW DR"/>
    <s v="Bristol Ridge"/>
    <s v="800 W"/>
    <s v="250 S"/>
    <n v="965.4"/>
    <m/>
    <s v="NC"/>
    <s v="SC"/>
    <n v="0"/>
    <m/>
    <n v="8"/>
    <m/>
    <n v="0"/>
    <m/>
    <m/>
    <s v="CRACK"/>
    <n v="1078.7613636363637"/>
    <x v="0"/>
    <n v="12"/>
    <n v="4"/>
    <n v="1.5"/>
    <n v="0"/>
  </r>
  <r>
    <m/>
    <s v="RICHMAN CIRCLE"/>
    <s v="RICHMAN CIRCLE"/>
    <s v="Richman Platz"/>
    <m/>
    <s v="3S"/>
    <n v="264"/>
    <n v="26"/>
    <s v="NC"/>
    <s v="SC"/>
    <n v="0"/>
    <m/>
    <n v="9"/>
    <m/>
    <n v="0"/>
    <s v="RICHMAN CIRCLE"/>
    <m/>
    <s v="CRACK"/>
    <n v="295"/>
    <x v="1"/>
    <n v="14"/>
    <n v="4"/>
    <n v="1"/>
    <n v="4"/>
  </r>
  <r>
    <m/>
    <s v="STINEMYER RD/700W"/>
    <s v="STINEMYER RD/700W"/>
    <m/>
    <s v="700W"/>
    <s v="CO LINE."/>
    <n v="5325"/>
    <n v="20"/>
    <s v="AC"/>
    <m/>
    <n v="0"/>
    <m/>
    <n v="8"/>
    <m/>
    <n v="0"/>
    <s v="STINEMEYER RD"/>
    <m/>
    <s v="CS"/>
    <n v="15127.84090909091"/>
    <x v="1"/>
    <n v="12"/>
    <n v="7"/>
    <n v="1.5"/>
    <n v="6"/>
  </r>
  <r>
    <m/>
    <s v="VILLAGE DRIVE"/>
    <s v="VILLAGE DRIVE (S)"/>
    <s v="Schildmeier Village"/>
    <s v="700 W"/>
    <s v="400 S"/>
    <n v="1818"/>
    <m/>
    <s v="NC"/>
    <s v="SC"/>
    <n v="0"/>
    <m/>
    <n v="7"/>
    <m/>
    <n v="0"/>
    <m/>
    <m/>
    <s v="CRACK"/>
    <n v="2031.4772727272727"/>
    <x v="1"/>
    <n v="10"/>
    <n v="4"/>
    <n v="1.5"/>
    <n v="6"/>
  </r>
  <r>
    <m/>
    <m/>
    <s v="WATERS EDGE BLVD"/>
    <s v="Heron Creek"/>
    <s v="650 W"/>
    <s v="150 N"/>
    <n v="1072"/>
    <m/>
    <s v="NC"/>
    <s v="BC"/>
    <n v="0"/>
    <m/>
    <n v="10"/>
    <m/>
    <n v="0"/>
    <m/>
    <m/>
    <s v="CRACK"/>
    <n v="1197.878787878788"/>
    <x v="2"/>
    <n v="16"/>
    <n v="4"/>
    <n v="0.5"/>
    <n v="2.5"/>
  </r>
  <r>
    <m/>
    <m/>
    <s v="WATERS EDGE CT"/>
    <s v="Heron Creek"/>
    <s v="650 W"/>
    <s v="150 N"/>
    <n v="393.8"/>
    <m/>
    <s v="NC"/>
    <s v="BC"/>
    <n v="0"/>
    <m/>
    <n v="10"/>
    <m/>
    <n v="0"/>
    <m/>
    <m/>
    <s v="CRACK"/>
    <n v="440.04166666666669"/>
    <x v="2"/>
    <n v="16"/>
    <n v="4"/>
    <n v="0.5"/>
    <n v="2.5"/>
  </r>
  <r>
    <m/>
    <m/>
    <s v="WHITESIDE CT"/>
    <s v="Heron Creek"/>
    <s v="650 W"/>
    <s v="150 N"/>
    <n v="371"/>
    <m/>
    <s v="NC"/>
    <s v="BC"/>
    <n v="0"/>
    <m/>
    <n v="10"/>
    <m/>
    <n v="0"/>
    <m/>
    <m/>
    <s v="CRACK"/>
    <n v="414.56439393939394"/>
    <x v="2"/>
    <n v="16"/>
    <n v="4"/>
    <n v="0.5"/>
    <n v="2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1">
  <r>
    <s v="1000E/1000N"/>
    <x v="0"/>
    <s v="900 N"/>
    <s v="1000 N"/>
    <n v="5333"/>
    <n v="20"/>
    <x v="0"/>
    <x v="0"/>
    <n v="0"/>
  </r>
  <r>
    <s v="1000E/1100N"/>
    <x v="0"/>
    <s v="1000N"/>
    <s v="1100N"/>
    <n v="5345"/>
    <n v="20"/>
    <x v="1"/>
    <x v="0"/>
    <n v="0"/>
  </r>
  <r>
    <s v="1000E/500N"/>
    <x v="0"/>
    <s v="400N"/>
    <s v="500N"/>
    <n v="5320"/>
    <n v="20"/>
    <x v="2"/>
    <x v="1"/>
    <n v="0"/>
  </r>
  <r>
    <s v="1000E/550N"/>
    <x v="0"/>
    <s v="500N"/>
    <s v="550N"/>
    <n v="2693"/>
    <n v="20"/>
    <x v="1"/>
    <x v="1"/>
    <n v="0"/>
  </r>
  <r>
    <s v="1000E/650N"/>
    <x v="0"/>
    <s v="TWSP.2N.LINE"/>
    <s v="650N"/>
    <n v="2910"/>
    <n v="20"/>
    <x v="1"/>
    <x v="0"/>
    <n v="0"/>
  </r>
  <r>
    <s v="1000E/900N"/>
    <x v="0"/>
    <s v="900N"/>
    <s v="SR234"/>
    <n v="5290"/>
    <n v="20"/>
    <x v="0"/>
    <x v="0"/>
    <n v="0"/>
  </r>
  <r>
    <s v="1000E/N.TWP LINE"/>
    <x v="0"/>
    <s v="550N"/>
    <s v="TWNSP."/>
    <n v="2640"/>
    <n v="20"/>
    <x v="1"/>
    <x v="1"/>
    <n v="0"/>
  </r>
  <r>
    <s v="1000E/SR109"/>
    <x v="0"/>
    <s v="SR234"/>
    <s v="SR109"/>
    <n v="3854"/>
    <n v="20"/>
    <x v="1"/>
    <x v="0"/>
    <n v="0"/>
  </r>
  <r>
    <s v="1000N/1000E"/>
    <x v="0"/>
    <s v="1000E"/>
    <s v="SR109"/>
    <n v="5320"/>
    <n v="20"/>
    <x v="1"/>
    <x v="0"/>
    <n v="0"/>
  </r>
  <r>
    <s v="1000N/1100E"/>
    <x v="0"/>
    <s v="1000E"/>
    <s v="1100E"/>
    <n v="5470"/>
    <n v="20"/>
    <x v="1"/>
    <x v="0"/>
    <n v="0"/>
  </r>
  <r>
    <s v="1000N/1200E"/>
    <x v="0"/>
    <s v="1100E"/>
    <s v="1200E"/>
    <n v="5485"/>
    <n v="20"/>
    <x v="1"/>
    <x v="0"/>
    <n v="0"/>
  </r>
  <r>
    <s v="1000N/125W"/>
    <x v="0"/>
    <s v="125W"/>
    <s v="FORTVILLE LIMITS"/>
    <n v="2650"/>
    <n v="20"/>
    <x v="2"/>
    <x v="2"/>
    <n v="0"/>
  </r>
  <r>
    <s v="1000N/400E"/>
    <x v="0"/>
    <s v="400E"/>
    <s v="BARNARD RD."/>
    <n v="6697"/>
    <n v="20"/>
    <x v="1"/>
    <x v="3"/>
    <n v="0"/>
  </r>
  <r>
    <s v="1000N/500E"/>
    <x v="0"/>
    <s v="500E"/>
    <s v="400E"/>
    <n v="5438"/>
    <n v="20"/>
    <x v="1"/>
    <x v="3"/>
    <n v="0"/>
  </r>
  <r>
    <s v="1000N/50W"/>
    <x v="0"/>
    <s v="50W"/>
    <s v="125W"/>
    <n v="4013"/>
    <n v="20"/>
    <x v="2"/>
    <x v="2"/>
    <n v="0"/>
  </r>
  <r>
    <s v="1000N/550E"/>
    <x v="0"/>
    <s v="550E"/>
    <s v="500E"/>
    <n v="2693"/>
    <n v="20"/>
    <x v="1"/>
    <x v="3"/>
    <n v="0"/>
  </r>
  <r>
    <s v="1000N/600E"/>
    <x v="0"/>
    <s v="600E"/>
    <s v="550E"/>
    <n v="2638"/>
    <n v="20"/>
    <x v="1"/>
    <x v="3"/>
    <n v="0"/>
  </r>
  <r>
    <s v="1000N/625E"/>
    <x v="0"/>
    <s v="600E"/>
    <s v="625E"/>
    <n v="1336"/>
    <n v="20"/>
    <x v="1"/>
    <x v="0"/>
    <n v="0"/>
  </r>
  <r>
    <s v="1000N/675E"/>
    <x v="0"/>
    <s v="625E"/>
    <s v="675E"/>
    <n v="2798"/>
    <n v="20"/>
    <x v="1"/>
    <x v="0"/>
    <n v="0"/>
  </r>
  <r>
    <s v="1000N/ALFORD RD"/>
    <x v="0"/>
    <s v="ALFORD RD."/>
    <s v="MERIDIAN RD."/>
    <n v="6758"/>
    <n v="20"/>
    <x v="1"/>
    <x v="3"/>
    <n v="0"/>
  </r>
  <r>
    <s v="1000N/BARNARD RD"/>
    <x v="0"/>
    <s v="BARNARD RD."/>
    <s v="SR9"/>
    <n v="4963"/>
    <n v="20"/>
    <x v="1"/>
    <x v="3"/>
    <n v="0"/>
  </r>
  <r>
    <s v="1000N/MERIDIAN RD"/>
    <x v="0"/>
    <s v="MERIDIAN RD."/>
    <s v="50W"/>
    <n v="2693"/>
    <n v="20"/>
    <x v="1"/>
    <x v="2"/>
    <n v="0"/>
  </r>
  <r>
    <s v="1000N/NASHVILLE RD"/>
    <x v="0"/>
    <s v="NASHVILLE RD."/>
    <s v="675E"/>
    <n v="4270"/>
    <n v="20"/>
    <x v="1"/>
    <x v="0"/>
    <n v="0"/>
  </r>
  <r>
    <s v="1000N/SR109"/>
    <x v="0"/>
    <s v="SR109"/>
    <s v="775E"/>
    <n v="7025"/>
    <n v="20"/>
    <x v="1"/>
    <x v="0"/>
    <n v="0"/>
  </r>
  <r>
    <s v="1000N/SR9"/>
    <x v="0"/>
    <s v="SR9"/>
    <s v="ALFORD RD."/>
    <n v="3062"/>
    <n v="20"/>
    <x v="1"/>
    <x v="3"/>
    <n v="0"/>
  </r>
  <r>
    <s v="100E/100S"/>
    <x v="0"/>
    <s v="200S"/>
    <s v="100S"/>
    <n v="5330"/>
    <n v="20"/>
    <x v="1"/>
    <x v="4"/>
    <n v="0"/>
  </r>
  <r>
    <s v="100E/300S"/>
    <x v="0"/>
    <s v="300S"/>
    <s v="200S"/>
    <n v="5325"/>
    <n v="20"/>
    <x v="1"/>
    <x v="5"/>
    <n v="0"/>
  </r>
  <r>
    <s v="100E/400S"/>
    <x v="0"/>
    <s v="400S"/>
    <s v="300S"/>
    <n v="5350"/>
    <n v="20"/>
    <x v="1"/>
    <x v="5"/>
    <n v="0"/>
  </r>
  <r>
    <s v="100E/500S"/>
    <x v="0"/>
    <s v="500S"/>
    <s v="400S"/>
    <n v="5320"/>
    <n v="20"/>
    <x v="1"/>
    <x v="5"/>
    <n v="0"/>
  </r>
  <r>
    <s v="100E/S.CO. LINE"/>
    <x v="0"/>
    <s v="COUNTY LINE"/>
    <s v="500S"/>
    <n v="5645"/>
    <n v="20"/>
    <x v="1"/>
    <x v="5"/>
    <n v="0"/>
  </r>
  <r>
    <s v="100N/100W"/>
    <x v="0"/>
    <s v="100W"/>
    <s v="150W"/>
    <n v="2691"/>
    <n v="20"/>
    <x v="1"/>
    <x v="4"/>
    <n v="0"/>
  </r>
  <r>
    <s v="100N/150W"/>
    <x v="0"/>
    <s v="150W"/>
    <s v="200W"/>
    <n v="2683"/>
    <n v="20"/>
    <x v="1"/>
    <x v="4"/>
    <n v="0"/>
  </r>
  <r>
    <s v="100N/200W"/>
    <x v="0"/>
    <s v="200W"/>
    <s v="300W"/>
    <n v="5337"/>
    <n v="20"/>
    <x v="1"/>
    <x v="6"/>
    <n v="0"/>
  </r>
  <r>
    <s v="100N/300W"/>
    <x v="0"/>
    <s v="300W"/>
    <s v="350W"/>
    <n v="2697"/>
    <n v="20"/>
    <x v="1"/>
    <x v="6"/>
    <n v="0"/>
  </r>
  <r>
    <s v="100N/350W"/>
    <x v="0"/>
    <s v="350W"/>
    <s v="400W"/>
    <n v="2698"/>
    <n v="20"/>
    <x v="1"/>
    <x v="6"/>
    <n v="0"/>
  </r>
  <r>
    <s v="100N/400W"/>
    <x v="0"/>
    <s v="400W"/>
    <s v="525W"/>
    <n v="6720"/>
    <n v="20"/>
    <x v="1"/>
    <x v="6"/>
    <n v="0"/>
  </r>
  <r>
    <s v="100N/500E"/>
    <x v="0"/>
    <s v="400E"/>
    <s v="500E"/>
    <n v="5438"/>
    <n v="20"/>
    <x v="1"/>
    <x v="4"/>
    <n v="0"/>
  </r>
  <r>
    <s v="100N/525W"/>
    <x v="0"/>
    <s v="525W"/>
    <s v="600W"/>
    <n v="3639"/>
    <n v="20"/>
    <x v="1"/>
    <x v="6"/>
    <n v="0"/>
  </r>
  <r>
    <s v="100N/600E"/>
    <x v="0"/>
    <s v="500E"/>
    <s v="600E"/>
    <n v="5386"/>
    <n v="20"/>
    <x v="1"/>
    <x v="1"/>
    <n v="0"/>
  </r>
  <r>
    <s v="100N/600W"/>
    <x v="0"/>
    <s v="700W"/>
    <s v="600W"/>
    <n v="5350"/>
    <n v="20"/>
    <x v="1"/>
    <x v="6"/>
    <n v="0"/>
  </r>
  <r>
    <s v="100N/700E"/>
    <x v="0"/>
    <s v="700E"/>
    <s v="600E"/>
    <n v="4360"/>
    <n v="20"/>
    <x v="1"/>
    <x v="1"/>
    <n v="0"/>
  </r>
  <r>
    <s v="100N/700W"/>
    <x v="0"/>
    <s v="700W"/>
    <s v="BUCK CREEK RD"/>
    <n v="2643"/>
    <n v="20"/>
    <x v="1"/>
    <x v="6"/>
    <n v="0"/>
  </r>
  <r>
    <s v="100N/75W"/>
    <x v="0"/>
    <s v="75W"/>
    <s v="100W"/>
    <n v="1334"/>
    <n v="20"/>
    <x v="1"/>
    <x v="4"/>
    <n v="0"/>
  </r>
  <r>
    <s v="100N/800E"/>
    <x v="0"/>
    <s v="700E"/>
    <s v="800E"/>
    <n v="5403"/>
    <n v="20"/>
    <x v="0"/>
    <x v="1"/>
    <n v="0"/>
  </r>
  <r>
    <s v="100N/850E"/>
    <x v="0"/>
    <s v="800E"/>
    <s v="850E"/>
    <n v="2532"/>
    <n v="20"/>
    <x v="0"/>
    <x v="1"/>
    <n v="0"/>
  </r>
  <r>
    <s v="100N/BUCK CR RD"/>
    <x v="0"/>
    <s v="BUCK CREEK RD"/>
    <s v="W. CO. LINE"/>
    <n v="2636"/>
    <n v="20"/>
    <x v="1"/>
    <x v="6"/>
    <n v="0"/>
  </r>
  <r>
    <s v="100N/GRANISON RD"/>
    <x v="0"/>
    <s v="850E"/>
    <s v="GRANDISON RD."/>
    <n v="7320"/>
    <n v="20"/>
    <x v="2"/>
    <x v="1"/>
    <n v="0"/>
  </r>
  <r>
    <s v="100S/100E"/>
    <x v="0"/>
    <s v="100E"/>
    <s v="MERIDIAN ROAD"/>
    <n v="5090"/>
    <n v="20"/>
    <x v="1"/>
    <x v="4"/>
    <n v="0"/>
  </r>
  <r>
    <s v="100S/150W"/>
    <x v="0"/>
    <s v="150W"/>
    <s v="200W"/>
    <n v="3310"/>
    <n v="20"/>
    <x v="1"/>
    <x v="4"/>
    <n v="0"/>
  </r>
  <r>
    <s v="100S/200W"/>
    <x v="0"/>
    <s v="200W"/>
    <s v="250W"/>
    <n v="2590"/>
    <n v="20"/>
    <x v="1"/>
    <x v="7"/>
    <n v="0"/>
  </r>
  <r>
    <s v="100S/250W"/>
    <x v="0"/>
    <s v="250W"/>
    <s v="JACOBI ROAD"/>
    <n v="2650"/>
    <n v="20"/>
    <x v="1"/>
    <x v="7"/>
    <n v="0"/>
  </r>
  <r>
    <s v="100S/400E"/>
    <x v="0"/>
    <s v="400E"/>
    <s v="MORRISTOWN PIKE"/>
    <n v="7215"/>
    <n v="20"/>
    <x v="1"/>
    <x v="4"/>
    <n v="0"/>
  </r>
  <r>
    <s v="100S/400W"/>
    <x v="0"/>
    <s v="400W"/>
    <s v="500W"/>
    <n v="5340"/>
    <n v="20"/>
    <x v="1"/>
    <x v="7"/>
    <n v="0"/>
  </r>
  <r>
    <s v="100S/500E"/>
    <x v="0"/>
    <s v="500E"/>
    <s v="400E"/>
    <n v="5325"/>
    <n v="20"/>
    <x v="1"/>
    <x v="8"/>
    <n v="0"/>
  </r>
  <r>
    <s v="100S/600E"/>
    <x v="0"/>
    <s v="600E"/>
    <s v="500E"/>
    <n v="5310"/>
    <n v="20"/>
    <x v="1"/>
    <x v="8"/>
    <n v="0"/>
  </r>
  <r>
    <s v="100S/600W"/>
    <x v="0"/>
    <s v="600W"/>
    <s v="700W"/>
    <n v="5330"/>
    <n v="20"/>
    <x v="1"/>
    <x v="7"/>
    <n v="0"/>
  </r>
  <r>
    <s v="100S/675E"/>
    <x v="0"/>
    <s v="675E"/>
    <s v="600E"/>
    <n v="3410"/>
    <n v="20"/>
    <x v="1"/>
    <x v="8"/>
    <n v="0"/>
  </r>
  <r>
    <s v="100S/750E"/>
    <x v="0"/>
    <s v="750E"/>
    <s v="675E"/>
    <n v="4070"/>
    <n v="20"/>
    <x v="1"/>
    <x v="8"/>
    <n v="0"/>
  </r>
  <r>
    <s v="100S/775E"/>
    <x v="0"/>
    <s v="775E"/>
    <s v="750E"/>
    <n v="2240"/>
    <n v="20"/>
    <x v="1"/>
    <x v="8"/>
    <n v="0"/>
  </r>
  <r>
    <s v="100S/850E"/>
    <x v="0"/>
    <s v="850E"/>
    <s v="775E"/>
    <n v="3255"/>
    <n v="20"/>
    <x v="1"/>
    <x v="8"/>
    <n v="0"/>
  </r>
  <r>
    <s v="100S/E. CO. LINE"/>
    <x v="0"/>
    <s v="COUNTY LINE"/>
    <s v="850E"/>
    <n v="2720"/>
    <n v="20"/>
    <x v="1"/>
    <x v="8"/>
    <n v="0"/>
  </r>
  <r>
    <s v="100S/JACOBI RD"/>
    <x v="0"/>
    <s v="JACOBI Iroad"/>
    <s v="400W"/>
    <n v="5370"/>
    <n v="20"/>
    <x v="1"/>
    <x v="7"/>
    <n v="0"/>
  </r>
  <r>
    <s v="100S/MERIDIAN RD"/>
    <x v="0"/>
    <s v="MERIDIAN ROAD"/>
    <s v="150W"/>
    <n v="7340"/>
    <n v="20"/>
    <x v="1"/>
    <x v="4"/>
    <n v="0"/>
  </r>
  <r>
    <s v="100W/125W"/>
    <x v="0"/>
    <s v="125W"/>
    <s v="400S"/>
    <n v="2225"/>
    <n v="20"/>
    <x v="0"/>
    <x v="5"/>
    <n v="0"/>
  </r>
  <r>
    <s v="100W/200N"/>
    <x v="0"/>
    <s v="100N"/>
    <s v="200N"/>
    <n v="5310"/>
    <n v="20"/>
    <x v="1"/>
    <x v="4"/>
    <n v="0"/>
  </r>
  <r>
    <s v="100W/300N"/>
    <x v="0"/>
    <s v="I70"/>
    <s v="300N"/>
    <n v="2560"/>
    <n v="20"/>
    <x v="1"/>
    <x v="4"/>
    <n v="0"/>
  </r>
  <r>
    <s v="100W/400N"/>
    <x v="0"/>
    <s v="300N"/>
    <s v="400N"/>
    <n v="5280"/>
    <n v="20"/>
    <x v="1"/>
    <x v="4"/>
    <n v="0"/>
  </r>
  <r>
    <s v="100W/400S"/>
    <x v="0"/>
    <s v="400S"/>
    <s v="500S"/>
    <n v="5350"/>
    <n v="20"/>
    <x v="1"/>
    <x v="5"/>
    <n v="0"/>
  </r>
  <r>
    <s v="100W/500S"/>
    <x v="0"/>
    <s v="500S"/>
    <s v="SR52"/>
    <n v="3365"/>
    <n v="20"/>
    <x v="1"/>
    <x v="5"/>
    <n v="0"/>
  </r>
  <r>
    <s v="100W/I70"/>
    <x v="0"/>
    <s v="200N"/>
    <s v="I70"/>
    <n v="2400"/>
    <n v="20"/>
    <x v="0"/>
    <x v="4"/>
    <n v="0"/>
  </r>
  <r>
    <s v="100W/US52"/>
    <x v="0"/>
    <s v="US52"/>
    <s v="600S"/>
    <n v="1890"/>
    <n v="20"/>
    <x v="1"/>
    <x v="5"/>
    <n v="0"/>
  </r>
  <r>
    <s v="1025E/700N"/>
    <x v="0"/>
    <s v="700N"/>
    <s v="650N"/>
    <n v="2615"/>
    <n v="20"/>
    <x v="1"/>
    <x v="0"/>
    <n v="0"/>
  </r>
  <r>
    <s v="1050E/150N"/>
    <x v="0"/>
    <s v="25N"/>
    <s v="150N"/>
    <n v="5138"/>
    <n v="20"/>
    <x v="1"/>
    <x v="1"/>
    <n v="0"/>
  </r>
  <r>
    <s v="1050E/200N"/>
    <x v="0"/>
    <s v="150N"/>
    <s v="200N"/>
    <n v="2688"/>
    <n v="20"/>
    <x v="1"/>
    <x v="1"/>
    <n v="0"/>
  </r>
  <r>
    <s v="1050E/250N"/>
    <x v="0"/>
    <s v="200N"/>
    <s v="250N"/>
    <n v="2665"/>
    <n v="20"/>
    <x v="1"/>
    <x v="1"/>
    <n v="0"/>
  </r>
  <r>
    <s v="1050E/25N"/>
    <x v="0"/>
    <s v="SR40"/>
    <s v="25N"/>
    <n v="1043"/>
    <n v="20"/>
    <x v="1"/>
    <x v="1"/>
    <n v="0"/>
  </r>
  <r>
    <s v="1050E/325N"/>
    <x v="0"/>
    <s v="250N"/>
    <s v="325N"/>
    <n v="3937"/>
    <n v="20"/>
    <x v="1"/>
    <x v="1"/>
    <n v="0"/>
  </r>
  <r>
    <s v="1050E/350N"/>
    <x v="0"/>
    <s v="325N"/>
    <s v="350N"/>
    <n v="1316"/>
    <n v="20"/>
    <x v="1"/>
    <x v="1"/>
    <n v="0"/>
  </r>
  <r>
    <s v="1050E/450N"/>
    <x v="0"/>
    <s v="350N"/>
    <s v="450N"/>
    <n v="5290"/>
    <n v="20"/>
    <x v="1"/>
    <x v="1"/>
    <n v="0"/>
  </r>
  <r>
    <s v="1050E/500N"/>
    <x v="0"/>
    <s v="450N"/>
    <s v="500N"/>
    <n v="2669"/>
    <n v="20"/>
    <x v="1"/>
    <x v="1"/>
    <n v="0"/>
  </r>
  <r>
    <s v="1050E/550N"/>
    <x v="0"/>
    <s v="500N"/>
    <s v="550N"/>
    <n v="2644"/>
    <n v="20"/>
    <x v="1"/>
    <x v="1"/>
    <n v="0"/>
  </r>
  <r>
    <s v="1050E/650N"/>
    <x v="0"/>
    <s v="TWP. LINE"/>
    <s v="650N"/>
    <n v="2505"/>
    <n v="20"/>
    <x v="1"/>
    <x v="0"/>
    <n v="0"/>
  </r>
  <r>
    <s v="1050E/N. TWP LINE"/>
    <x v="0"/>
    <s v="TWP. LINE"/>
    <s v="550N"/>
    <n v="2505"/>
    <n v="20"/>
    <x v="1"/>
    <x v="1"/>
    <n v="0"/>
  </r>
  <r>
    <s v="1050N/50W"/>
    <x v="0"/>
    <s v="50W"/>
    <s v="FORTVILLE LIMITS"/>
    <n v="3976"/>
    <n v="20"/>
    <x v="0"/>
    <x v="2"/>
    <n v="0"/>
  </r>
  <r>
    <s v="1050N/FORT.LIM W"/>
    <x v="0"/>
    <s v="SR238"/>
    <s v="HANCOCK CO. LINE"/>
    <n v="2376"/>
    <n v="20"/>
    <x v="1"/>
    <x v="2"/>
    <n v="0"/>
  </r>
  <r>
    <s v="1100E/1000N"/>
    <x v="0"/>
    <s v="900N"/>
    <s v="1000N"/>
    <n v="5300"/>
    <n v="20"/>
    <x v="1"/>
    <x v="0"/>
    <n v="0"/>
  </r>
  <r>
    <s v="1100E/1100N"/>
    <x v="0"/>
    <s v="1000N"/>
    <s v="1100N"/>
    <n v="5290"/>
    <n v="20"/>
    <x v="0"/>
    <x v="0"/>
    <n v="0"/>
  </r>
  <r>
    <s v="1125E/650N"/>
    <x v="0"/>
    <s v="CO. LINE"/>
    <s v="650N"/>
    <n v="3080"/>
    <n v="20"/>
    <x v="1"/>
    <x v="0"/>
    <n v="0"/>
  </r>
  <r>
    <s v="1125E/700N"/>
    <x v="0"/>
    <s v="650N"/>
    <s v="700N"/>
    <n v="2655"/>
    <n v="20"/>
    <x v="1"/>
    <x v="0"/>
    <n v="0"/>
  </r>
  <r>
    <s v="1125E/900N"/>
    <x v="0"/>
    <s v="SR234"/>
    <s v="900N"/>
    <n v="5230"/>
    <n v="20"/>
    <x v="1"/>
    <x v="0"/>
    <n v="0"/>
  </r>
  <r>
    <s v="1125E/SR234"/>
    <x v="0"/>
    <s v="700N"/>
    <s v="SR234"/>
    <n v="5275"/>
    <n v="20"/>
    <x v="1"/>
    <x v="0"/>
    <n v="0"/>
  </r>
  <r>
    <s v="1175E PENN. ST/END"/>
    <x v="0"/>
    <s v="RAILROAD ST."/>
    <s v="END"/>
    <n v="1389"/>
    <n v="20"/>
    <x v="1"/>
    <x v="0"/>
    <n v="0"/>
  </r>
  <r>
    <s v="1200E/1000N"/>
    <x v="0"/>
    <s v="900N"/>
    <s v="1000N"/>
    <n v="5325"/>
    <n v="20"/>
    <x v="1"/>
    <x v="0"/>
    <n v="0"/>
  </r>
  <r>
    <s v="1200E/1100N"/>
    <x v="0"/>
    <s v="1000N"/>
    <s v="1100N"/>
    <n v="5250"/>
    <n v="20"/>
    <x v="1"/>
    <x v="0"/>
    <n v="0"/>
  </r>
  <r>
    <s v="1200E/650N"/>
    <x v="0"/>
    <s v="CO.LINE"/>
    <s v="650N"/>
    <n v="2775"/>
    <n v="20"/>
    <x v="1"/>
    <x v="0"/>
    <n v="0"/>
  </r>
  <r>
    <s v="1200E/700N"/>
    <x v="0"/>
    <s v="650N"/>
    <s v="700N"/>
    <n v="2640"/>
    <n v="20"/>
    <x v="1"/>
    <x v="0"/>
    <n v="0"/>
  </r>
  <r>
    <s v="1200E/900N"/>
    <x v="0"/>
    <s v="SR234"/>
    <s v="900N"/>
    <n v="5490"/>
    <n v="20"/>
    <x v="1"/>
    <x v="0"/>
    <n v="0"/>
  </r>
  <r>
    <s v="1200E/SR234"/>
    <x v="0"/>
    <s v="700N"/>
    <s v="SR234"/>
    <n v="2100"/>
    <n v="20"/>
    <x v="1"/>
    <x v="0"/>
    <n v="0"/>
  </r>
  <r>
    <s v="125W/1000N"/>
    <x v="0"/>
    <s v="950N"/>
    <s v="1000N"/>
    <n v="2650"/>
    <n v="20"/>
    <x v="1"/>
    <x v="2"/>
    <n v="0"/>
  </r>
  <r>
    <s v="125W/300N"/>
    <x v="0"/>
    <s v="300N"/>
    <s v="I70"/>
    <n v="2240"/>
    <n v="20"/>
    <x v="0"/>
    <x v="4"/>
    <n v="0"/>
  </r>
  <r>
    <s v="125W/300S"/>
    <x v="0"/>
    <s v="300S"/>
    <s v="100W"/>
    <n v="4002"/>
    <n v="20"/>
    <x v="0"/>
    <x v="5"/>
    <n v="0"/>
  </r>
  <r>
    <s v="125W/I70"/>
    <x v="0"/>
    <s v="200N"/>
    <s v="END"/>
    <n v="1310"/>
    <n v="20"/>
    <x v="0"/>
    <x v="4"/>
    <n v="0"/>
  </r>
  <r>
    <s v="150N/1050E"/>
    <x v="0"/>
    <s v="1050E"/>
    <s v="GRANDISON RD."/>
    <n v="5350"/>
    <n v="20"/>
    <x v="0"/>
    <x v="1"/>
    <n v="0"/>
  </r>
  <r>
    <s v="150N/400W"/>
    <x v="0"/>
    <s v="525W"/>
    <s v="400W"/>
    <n v="6690"/>
    <n v="20"/>
    <x v="0"/>
    <x v="6"/>
    <n v="0"/>
  </r>
  <r>
    <s v="150N/700W"/>
    <x v="0"/>
    <s v="BUCK CREEK RD."/>
    <s v="700W"/>
    <n v="2620"/>
    <n v="20"/>
    <x v="0"/>
    <x v="6"/>
    <n v="0"/>
  </r>
  <r>
    <s v="150N/800E"/>
    <x v="0"/>
    <s v="800E"/>
    <s v="700E"/>
    <n v="5380"/>
    <n v="20"/>
    <x v="2"/>
    <x v="1"/>
    <n v="0"/>
  </r>
  <r>
    <s v="150N/E. CO. LINE"/>
    <x v="0"/>
    <s v="1050E"/>
    <s v="E.CO.LINE"/>
    <n v="2680"/>
    <n v="20"/>
    <x v="0"/>
    <x v="1"/>
    <n v="0"/>
  </r>
  <r>
    <s v="150S/900E"/>
    <x v="0"/>
    <s v="900E"/>
    <s v="850E"/>
    <n v="2715"/>
    <n v="20"/>
    <x v="0"/>
    <x v="8"/>
    <n v="0"/>
  </r>
  <r>
    <s v="150W/100N"/>
    <x v="0"/>
    <s v="SR40"/>
    <s v="100N"/>
    <n v="5930"/>
    <n v="20"/>
    <x v="0"/>
    <x v="4"/>
    <n v="0"/>
  </r>
  <r>
    <s v="150W/100S"/>
    <x v="0"/>
    <s v="100S"/>
    <s v="200S"/>
    <n v="5320"/>
    <n v="20"/>
    <x v="0"/>
    <x v="4"/>
    <n v="0"/>
  </r>
  <r>
    <s v="150W/200S"/>
    <x v="0"/>
    <s v="200S"/>
    <s v="300S"/>
    <n v="5335"/>
    <n v="20"/>
    <x v="2"/>
    <x v="5"/>
    <n v="0"/>
  </r>
  <r>
    <s v="150W/US40"/>
    <x v="0"/>
    <s v="US40"/>
    <s v="100S"/>
    <n v="3845"/>
    <n v="20"/>
    <x v="0"/>
    <x v="4"/>
    <n v="0"/>
  </r>
  <r>
    <s v="150W/US52"/>
    <x v="0"/>
    <s v="600S"/>
    <s v="US52"/>
    <n v="2820"/>
    <n v="20"/>
    <x v="1"/>
    <x v="5"/>
    <n v="0"/>
  </r>
  <r>
    <s v="200E/500S"/>
    <x v="0"/>
    <s v="500S"/>
    <s v="600S"/>
    <n v="5340"/>
    <n v="20"/>
    <x v="1"/>
    <x v="5"/>
    <n v="0"/>
  </r>
  <r>
    <s v="200N/100W"/>
    <x v="0"/>
    <s v="100W"/>
    <s v="125W"/>
    <n v="1088"/>
    <n v="20"/>
    <x v="1"/>
    <x v="4"/>
    <n v="0"/>
  </r>
  <r>
    <s v="200N/200W"/>
    <x v="0"/>
    <s v="200W"/>
    <s v="300W"/>
    <n v="5324"/>
    <n v="20"/>
    <x v="1"/>
    <x v="6"/>
    <n v="0"/>
  </r>
  <r>
    <s v="200N/300W"/>
    <x v="0"/>
    <s v="300W"/>
    <s v="350W"/>
    <n v="2680"/>
    <n v="20"/>
    <x v="1"/>
    <x v="6"/>
    <n v="0"/>
  </r>
  <r>
    <s v="200N/350W"/>
    <x v="0"/>
    <s v="350W"/>
    <s v="400W"/>
    <n v="2664"/>
    <n v="20"/>
    <x v="1"/>
    <x v="6"/>
    <n v="0"/>
  </r>
  <r>
    <s v="200N/400E"/>
    <x v="0"/>
    <s v="GR. CITY LIMITS"/>
    <s v="400E"/>
    <n v="4003"/>
    <n v="20"/>
    <x v="1"/>
    <x v="4"/>
    <n v="0"/>
  </r>
  <r>
    <s v="200N/400W"/>
    <x v="0"/>
    <s v="400W"/>
    <s v="525W"/>
    <n v="6729"/>
    <n v="20"/>
    <x v="1"/>
    <x v="6"/>
    <n v="0"/>
  </r>
  <r>
    <s v="200N/500E"/>
    <x v="0"/>
    <s v="500E"/>
    <s v="400E"/>
    <n v="5390"/>
    <n v="20"/>
    <x v="1"/>
    <x v="4"/>
    <n v="0"/>
  </r>
  <r>
    <s v="200N/525W"/>
    <x v="0"/>
    <s v="525W"/>
    <s v="600W"/>
    <n v="3545"/>
    <n v="20"/>
    <x v="1"/>
    <x v="6"/>
    <n v="0"/>
  </r>
  <r>
    <s v="200N/600E"/>
    <x v="0"/>
    <s v="600E"/>
    <s v="500E"/>
    <n v="5330"/>
    <n v="20"/>
    <x v="1"/>
    <x v="1"/>
    <n v="0"/>
  </r>
  <r>
    <s v="200N/600W"/>
    <x v="0"/>
    <s v="600W"/>
    <s v="700W"/>
    <n v="5616"/>
    <n v="20"/>
    <x v="1"/>
    <x v="6"/>
    <n v="0"/>
  </r>
  <r>
    <s v="200N/700E"/>
    <x v="0"/>
    <s v="700E"/>
    <s v="600E"/>
    <n v="4365"/>
    <n v="20"/>
    <x v="1"/>
    <x v="1"/>
    <n v="0"/>
  </r>
  <r>
    <s v="200N/700W"/>
    <x v="0"/>
    <s v="700W"/>
    <s v="BUCK CREEK RD"/>
    <n v="3674"/>
    <n v="20"/>
    <x v="1"/>
    <x v="6"/>
    <n v="0"/>
  </r>
  <r>
    <s v="200N/BUCK CREEK RD"/>
    <x v="0"/>
    <s v="BUCK CREEK RD"/>
    <s v="800W"/>
    <n v="2624"/>
    <n v="20"/>
    <x v="1"/>
    <x v="6"/>
    <n v="0"/>
  </r>
  <r>
    <s v="200N/E. CO. LINE"/>
    <x v="0"/>
    <s v="1050E"/>
    <s v="E.CO.LINE"/>
    <n v="2710"/>
    <n v="20"/>
    <x v="0"/>
    <x v="1"/>
    <n v="0"/>
  </r>
  <r>
    <s v="200S/100E"/>
    <x v="0"/>
    <s v="MERIDIAN ROAD"/>
    <s v="100E"/>
    <n v="5046"/>
    <n v="20"/>
    <x v="1"/>
    <x v="4"/>
    <n v="0"/>
  </r>
  <r>
    <s v="200S/150W"/>
    <x v="0"/>
    <s v="200W"/>
    <s v="150W"/>
    <n v="3250"/>
    <n v="20"/>
    <x v="1"/>
    <x v="4"/>
    <n v="0"/>
  </r>
  <r>
    <s v="200S/200W"/>
    <x v="0"/>
    <s v="250W"/>
    <s v="200W"/>
    <n v="2640"/>
    <n v="20"/>
    <x v="1"/>
    <x v="7"/>
    <n v="0"/>
  </r>
  <r>
    <s v="200S/250W"/>
    <x v="0"/>
    <s v="250W"/>
    <s v="300W"/>
    <n v="2693"/>
    <n v="20"/>
    <x v="1"/>
    <x v="7"/>
    <n v="0"/>
  </r>
  <r>
    <s v="200S/300W"/>
    <x v="0"/>
    <s v="JACOBI ROAD"/>
    <s v="300W"/>
    <n v="1373"/>
    <n v="20"/>
    <x v="1"/>
    <x v="7"/>
    <n v="0"/>
  </r>
  <r>
    <s v="200S/400E"/>
    <x v="0"/>
    <s v="MORRISTOWN PIKE"/>
    <s v="400E"/>
    <n v="4000"/>
    <n v="20"/>
    <x v="1"/>
    <x v="4"/>
    <n v="0"/>
  </r>
  <r>
    <s v="200S/400W"/>
    <x v="0"/>
    <s v="400W"/>
    <s v="425W"/>
    <n v="1326"/>
    <n v="20"/>
    <x v="1"/>
    <x v="7"/>
    <n v="0"/>
  </r>
  <r>
    <s v="200S/425W"/>
    <x v="0"/>
    <s v="425W"/>
    <s v="500W"/>
    <n v="1426"/>
    <n v="20"/>
    <x v="1"/>
    <x v="7"/>
    <n v="0"/>
  </r>
  <r>
    <s v="200S/500E"/>
    <x v="0"/>
    <s v="400E"/>
    <s v="500E"/>
    <n v="5360"/>
    <n v="20"/>
    <x v="1"/>
    <x v="8"/>
    <n v="0"/>
  </r>
  <r>
    <s v="200S/500W"/>
    <x v="0"/>
    <s v="600W"/>
    <s v="500W"/>
    <n v="5125"/>
    <n v="20"/>
    <x v="1"/>
    <x v="7"/>
    <n v="0"/>
  </r>
  <r>
    <s v="200S/600E"/>
    <x v="0"/>
    <s v="500E"/>
    <s v="600E"/>
    <n v="5310"/>
    <n v="20"/>
    <x v="0"/>
    <x v="8"/>
    <n v="0"/>
  </r>
  <r>
    <s v="200S/600W"/>
    <x v="0"/>
    <s v="700W"/>
    <s v="600W"/>
    <n v="5340"/>
    <n v="20"/>
    <x v="1"/>
    <x v="7"/>
    <n v="0"/>
  </r>
  <r>
    <s v="200S/675E"/>
    <x v="0"/>
    <s v="600E"/>
    <s v="675E"/>
    <n v="3660"/>
    <n v="20"/>
    <x v="0"/>
    <x v="8"/>
    <n v="0"/>
  </r>
  <r>
    <s v="200S/700E"/>
    <x v="0"/>
    <s v="675E"/>
    <s v="700E"/>
    <n v="1320"/>
    <n v="20"/>
    <x v="0"/>
    <x v="8"/>
    <n v="0"/>
  </r>
  <r>
    <s v="200S/700W"/>
    <x v="0"/>
    <s v="800W"/>
    <s v="700W"/>
    <n v="5375"/>
    <n v="20"/>
    <x v="1"/>
    <x v="7"/>
    <n v="0"/>
  </r>
  <r>
    <s v="200S/750E"/>
    <x v="0"/>
    <s v="700E"/>
    <s v="750E"/>
    <n v="2750"/>
    <n v="20"/>
    <x v="1"/>
    <x v="8"/>
    <n v="0"/>
  </r>
  <r>
    <s v="200S/800E"/>
    <x v="0"/>
    <s v="750E"/>
    <s v="800E"/>
    <n v="2740"/>
    <n v="20"/>
    <x v="0"/>
    <x v="8"/>
    <n v="0"/>
  </r>
  <r>
    <s v="200S/900E"/>
    <x v="0"/>
    <s v="800E"/>
    <s v="900E"/>
    <n v="5470"/>
    <n v="20"/>
    <x v="1"/>
    <x v="8"/>
    <n v="0"/>
  </r>
  <r>
    <s v="200S/JACOBI RD"/>
    <x v="0"/>
    <s v="400W"/>
    <s v="JACOBI ROAD"/>
    <n v="4010"/>
    <n v="20"/>
    <x v="1"/>
    <x v="7"/>
    <n v="0"/>
  </r>
  <r>
    <s v="200S/MERIDIAN RD"/>
    <x v="0"/>
    <s v="150W"/>
    <s v="MERIDIAN ROAD"/>
    <n v="7335"/>
    <n v="20"/>
    <x v="1"/>
    <x v="4"/>
    <n v="0"/>
  </r>
  <r>
    <s v="200S/SR9"/>
    <x v="0"/>
    <s v="100E"/>
    <s v="SR 9"/>
    <n v="1335"/>
    <n v="20"/>
    <x v="1"/>
    <x v="4"/>
    <n v="0"/>
  </r>
  <r>
    <s v="200W/100N"/>
    <x v="0"/>
    <s v="100N"/>
    <s v="TWP. LINE"/>
    <n v="5982"/>
    <n v="20"/>
    <x v="1"/>
    <x v="6"/>
    <n v="0"/>
  </r>
  <r>
    <s v="200W/100S"/>
    <x v="0"/>
    <s v="200S"/>
    <s v="100S"/>
    <n v="5330"/>
    <n v="20"/>
    <x v="1"/>
    <x v="7"/>
    <n v="0"/>
  </r>
  <r>
    <s v="200W/200N"/>
    <x v="0"/>
    <s v="200N"/>
    <s v="100N"/>
    <n v="5300"/>
    <n v="20"/>
    <x v="1"/>
    <x v="6"/>
    <n v="0"/>
  </r>
  <r>
    <s v="200W/200S"/>
    <x v="0"/>
    <s v="300S"/>
    <s v="200S"/>
    <n v="5330"/>
    <n v="20"/>
    <x v="1"/>
    <x v="7"/>
    <n v="0"/>
  </r>
  <r>
    <s v="200W/300N"/>
    <x v="0"/>
    <s v="300N"/>
    <s v="200N"/>
    <n v="5300"/>
    <n v="20"/>
    <x v="1"/>
    <x v="6"/>
    <n v="0"/>
  </r>
  <r>
    <s v="200W/300S"/>
    <x v="0"/>
    <s v="400S"/>
    <s v="300S"/>
    <n v="5350"/>
    <n v="20"/>
    <x v="1"/>
    <x v="7"/>
    <n v="0"/>
  </r>
  <r>
    <s v="200W/400N"/>
    <x v="0"/>
    <s v="400N"/>
    <s v="300N"/>
    <n v="5300"/>
    <n v="20"/>
    <x v="1"/>
    <x v="6"/>
    <n v="0"/>
  </r>
  <r>
    <s v="200W/400S"/>
    <x v="0"/>
    <s v="400S"/>
    <s v="FURRY ROAD"/>
    <n v="4488"/>
    <n v="20"/>
    <x v="1"/>
    <x v="7"/>
    <n v="0"/>
  </r>
  <r>
    <s v="200W/500N"/>
    <x v="0"/>
    <s v="500N"/>
    <s v="400N"/>
    <n v="5300"/>
    <n v="20"/>
    <x v="1"/>
    <x v="6"/>
    <n v="0"/>
  </r>
  <r>
    <s v="200W/600N"/>
    <x v="0"/>
    <s v="600N"/>
    <s v="500N"/>
    <n v="5170"/>
    <n v="20"/>
    <x v="1"/>
    <x v="6"/>
    <n v="0"/>
  </r>
  <r>
    <s v="200W/700N"/>
    <x v="0"/>
    <s v="600N"/>
    <s v="700N"/>
    <n v="5296"/>
    <n v="20"/>
    <x v="1"/>
    <x v="2"/>
    <n v="0"/>
  </r>
  <r>
    <s v="200W/FURRY RD"/>
    <x v="0"/>
    <s v="FURRY ROAD"/>
    <s v="US52"/>
    <n v="2587"/>
    <n v="20"/>
    <x v="1"/>
    <x v="7"/>
    <n v="0"/>
  </r>
  <r>
    <s v="200W/SR234"/>
    <x v="0"/>
    <s v="700N"/>
    <s v="SR234"/>
    <n v="5386"/>
    <n v="20"/>
    <x v="1"/>
    <x v="2"/>
    <n v="0"/>
  </r>
  <r>
    <s v="200W/US40"/>
    <x v="0"/>
    <s v="100S"/>
    <s v="US40"/>
    <n v="3650"/>
    <n v="20"/>
    <x v="1"/>
    <x v="7"/>
    <n v="0"/>
  </r>
  <r>
    <s v="225N/END"/>
    <x v="0"/>
    <s v="600W"/>
    <s v="END"/>
    <n v="850"/>
    <n v="20"/>
    <x v="1"/>
    <x v="6"/>
    <n v="0"/>
  </r>
  <r>
    <s v="250E/625N"/>
    <x v="0"/>
    <s v="600N"/>
    <s v="625N"/>
    <n v="1318"/>
    <n v="20"/>
    <x v="1"/>
    <x v="3"/>
    <n v="0"/>
  </r>
  <r>
    <s v="250E/700N"/>
    <x v="0"/>
    <s v="625N"/>
    <s v="700N"/>
    <n v="4013"/>
    <n v="20"/>
    <x v="1"/>
    <x v="3"/>
    <n v="0"/>
  </r>
  <r>
    <s v="250E/EDEN RD"/>
    <x v="0"/>
    <s v="SR234"/>
    <s v="EDEN RD."/>
    <n v="1795"/>
    <n v="20"/>
    <x v="1"/>
    <x v="3"/>
    <n v="0"/>
  </r>
  <r>
    <s v="250E/SR234"/>
    <x v="0"/>
    <s v="700N"/>
    <s v="SR234"/>
    <n v="5438"/>
    <n v="20"/>
    <x v="1"/>
    <x v="3"/>
    <n v="0"/>
  </r>
  <r>
    <s v="250N/1050E"/>
    <x v="0"/>
    <s v="GRANDISON RD."/>
    <s v="1050E"/>
    <n v="5420"/>
    <n v="20"/>
    <x v="1"/>
    <x v="1"/>
    <n v="0"/>
  </r>
  <r>
    <s v="250N/600E"/>
    <x v="0"/>
    <s v="500E"/>
    <s v="600E"/>
    <n v="5420"/>
    <n v="20"/>
    <x v="0"/>
    <x v="1"/>
    <n v="0"/>
  </r>
  <r>
    <s v="250N/700E"/>
    <x v="0"/>
    <s v="600E"/>
    <s v="700E"/>
    <n v="4400"/>
    <n v="20"/>
    <x v="1"/>
    <x v="1"/>
    <n v="0"/>
  </r>
  <r>
    <s v="250N/800E"/>
    <x v="0"/>
    <s v="700E"/>
    <s v="800E"/>
    <n v="5438"/>
    <n v="20"/>
    <x v="1"/>
    <x v="1"/>
    <n v="0"/>
  </r>
  <r>
    <s v="250N/850E"/>
    <x v="0"/>
    <s v="800E"/>
    <s v="850E"/>
    <n v="2746"/>
    <n v="20"/>
    <x v="1"/>
    <x v="1"/>
    <n v="0"/>
  </r>
  <r>
    <s v="250N/GRANDISON RD"/>
    <x v="0"/>
    <s v="850E"/>
    <s v="GRANDISON RD."/>
    <n v="5380"/>
    <n v="20"/>
    <x v="1"/>
    <x v="1"/>
    <n v="0"/>
  </r>
  <r>
    <s v="250S/700E"/>
    <x v="0"/>
    <s v="700E"/>
    <s v="600E"/>
    <n v="4790"/>
    <n v="20"/>
    <x v="0"/>
    <x v="8"/>
    <n v="0"/>
  </r>
  <r>
    <s v="250W/100S"/>
    <x v="0"/>
    <s v="200S"/>
    <s v="100S"/>
    <n v="5350"/>
    <n v="20"/>
    <x v="1"/>
    <x v="7"/>
    <n v="0"/>
  </r>
  <r>
    <s v="250W/200S"/>
    <x v="0"/>
    <s v="300S"/>
    <s v="200S"/>
    <n v="5350"/>
    <n v="20"/>
    <x v="1"/>
    <x v="7"/>
    <n v="0"/>
  </r>
  <r>
    <s v="250W/US40"/>
    <x v="0"/>
    <s v="100S"/>
    <s v="US40"/>
    <n v="4000"/>
    <n v="20"/>
    <x v="1"/>
    <x v="7"/>
    <n v="0"/>
  </r>
  <r>
    <s v="25N/1050E"/>
    <x v="0"/>
    <s v="1050E"/>
    <s v="GRANDISON RD."/>
    <n v="1730"/>
    <n v="20"/>
    <x v="1"/>
    <x v="1"/>
    <n v="0"/>
  </r>
  <r>
    <s v="25W/500N"/>
    <x v="0"/>
    <s v="500N"/>
    <s v="FORTVILLE PK."/>
    <n v="5600"/>
    <n v="20"/>
    <x v="0"/>
    <x v="4"/>
    <n v="0"/>
  </r>
  <r>
    <s v="25W/600N"/>
    <x v="0"/>
    <s v="600N"/>
    <s v="500N"/>
    <n v="5370"/>
    <n v="20"/>
    <x v="1"/>
    <x v="4"/>
    <n v="0"/>
  </r>
  <r>
    <s v="275E/300S"/>
    <x v="0"/>
    <s v="300S"/>
    <s v="350S"/>
    <n v="2620"/>
    <n v="20"/>
    <x v="0"/>
    <x v="5"/>
    <n v="0"/>
  </r>
  <r>
    <s v="275E/STEELE FORD"/>
    <x v="0"/>
    <s v="300S"/>
    <s v="STEELEFORD RD."/>
    <n v="5630"/>
    <n v="20"/>
    <x v="0"/>
    <x v="5"/>
    <n v="0"/>
  </r>
  <r>
    <s v="300E/300N"/>
    <x v="0"/>
    <s v="300N"/>
    <s v="I70"/>
    <n v="2610"/>
    <n v="20"/>
    <x v="1"/>
    <x v="4"/>
    <n v="0"/>
  </r>
  <r>
    <s v="300E/350S"/>
    <x v="0"/>
    <s v="350S"/>
    <s v="400S"/>
    <n v="2620"/>
    <n v="20"/>
    <x v="0"/>
    <x v="5"/>
    <n v="0"/>
  </r>
  <r>
    <s v="300E/400N"/>
    <x v="0"/>
    <s v="400N"/>
    <s v="300N"/>
    <n v="5300"/>
    <n v="20"/>
    <x v="1"/>
    <x v="4"/>
    <n v="0"/>
  </r>
  <r>
    <s v="300E/400S"/>
    <x v="0"/>
    <s v="400S"/>
    <s v="500S"/>
    <n v="5386"/>
    <n v="20"/>
    <x v="0"/>
    <x v="5"/>
    <n v="0"/>
  </r>
  <r>
    <s v="300E/500N"/>
    <x v="0"/>
    <s v="400N"/>
    <s v="500N"/>
    <n v="5620"/>
    <n v="20"/>
    <x v="0"/>
    <x v="4"/>
    <n v="0"/>
  </r>
  <r>
    <s v="300E/500S"/>
    <x v="0"/>
    <s v="500S"/>
    <s v="600S"/>
    <n v="5300"/>
    <n v="20"/>
    <x v="0"/>
    <x v="5"/>
    <n v="0"/>
  </r>
  <r>
    <s v="300E/600N"/>
    <x v="0"/>
    <s v="600N"/>
    <s v="500N"/>
    <n v="5110"/>
    <n v="20"/>
    <x v="0"/>
    <x v="4"/>
    <n v="0"/>
  </r>
  <r>
    <s v="300E/625N"/>
    <x v="0"/>
    <s v="625N"/>
    <s v="600N"/>
    <n v="1320"/>
    <n v="20"/>
    <x v="0"/>
    <x v="3"/>
    <n v="0"/>
  </r>
  <r>
    <s v="300E/700N"/>
    <x v="0"/>
    <s v="700N"/>
    <s v="625N"/>
    <n v="3987"/>
    <n v="20"/>
    <x v="0"/>
    <x v="3"/>
    <n v="0"/>
  </r>
  <r>
    <s v="300E/I70"/>
    <x v="0"/>
    <s v="200N"/>
    <s v="I70"/>
    <n v="2400"/>
    <n v="20"/>
    <x v="1"/>
    <x v="4"/>
    <n v="0"/>
  </r>
  <r>
    <s v="300N/100W"/>
    <x v="0"/>
    <s v="100W"/>
    <s v="125W"/>
    <n v="1332"/>
    <n v="20"/>
    <x v="1"/>
    <x v="4"/>
    <n v="0"/>
  </r>
  <r>
    <s v="300N/125W"/>
    <x v="0"/>
    <s v="125W"/>
    <s v="200W"/>
    <n v="3978"/>
    <n v="20"/>
    <x v="1"/>
    <x v="4"/>
    <n v="0"/>
  </r>
  <r>
    <s v="300N/200W"/>
    <x v="0"/>
    <s v="200W"/>
    <s v="300W"/>
    <n v="5315"/>
    <n v="20"/>
    <x v="1"/>
    <x v="6"/>
    <n v="0"/>
  </r>
  <r>
    <s v="300N/300E"/>
    <x v="0"/>
    <s v="GREENFLD.CORP."/>
    <s v="300 E"/>
    <n v="6335"/>
    <n v="20"/>
    <x v="1"/>
    <x v="4"/>
    <n v="0"/>
  </r>
  <r>
    <s v="300N/300W"/>
    <x v="0"/>
    <s v="300W"/>
    <s v="400W"/>
    <n v="5361"/>
    <n v="20"/>
    <x v="1"/>
    <x v="6"/>
    <n v="0"/>
  </r>
  <r>
    <s v="300N/375E"/>
    <x v="0"/>
    <s v="300E"/>
    <s v="375E"/>
    <n v="4060"/>
    <n v="20"/>
    <x v="1"/>
    <x v="4"/>
    <n v="0"/>
  </r>
  <r>
    <s v="300N/400E"/>
    <x v="0"/>
    <s v="375E"/>
    <s v="400E"/>
    <n v="1353"/>
    <n v="20"/>
    <x v="1"/>
    <x v="4"/>
    <n v="0"/>
  </r>
  <r>
    <s v="300N/400W"/>
    <x v="0"/>
    <s v="400W"/>
    <s v="500W"/>
    <n v="5387"/>
    <n v="20"/>
    <x v="1"/>
    <x v="6"/>
    <n v="0"/>
  </r>
  <r>
    <s v="300N/450E"/>
    <x v="0"/>
    <s v="400E"/>
    <s v="450E"/>
    <n v="2680"/>
    <n v="20"/>
    <x v="1"/>
    <x v="4"/>
    <n v="0"/>
  </r>
  <r>
    <s v="300N/500W"/>
    <x v="0"/>
    <s v="500W"/>
    <s v="600W"/>
    <n v="4972"/>
    <n v="20"/>
    <x v="1"/>
    <x v="6"/>
    <n v="0"/>
  </r>
  <r>
    <s v="300N/50E"/>
    <x v="0"/>
    <s v="50E"/>
    <s v="FORTVILLE PK."/>
    <n v="500"/>
    <n v="20"/>
    <x v="1"/>
    <x v="4"/>
    <n v="0"/>
  </r>
  <r>
    <s v="300N/525E"/>
    <x v="0"/>
    <s v="450E"/>
    <s v="525E"/>
    <n v="4046"/>
    <n v="20"/>
    <x v="1"/>
    <x v="4"/>
    <n v="0"/>
  </r>
  <r>
    <s v="300N/600E"/>
    <x v="0"/>
    <s v="525E"/>
    <s v="600E"/>
    <n v="3938"/>
    <n v="20"/>
    <x v="1"/>
    <x v="1"/>
    <n v="0"/>
  </r>
  <r>
    <s v="300N/600W"/>
    <x v="0"/>
    <s v="600W"/>
    <s v="700W"/>
    <n v="5360"/>
    <n v="20"/>
    <x v="1"/>
    <x v="6"/>
    <n v="0"/>
  </r>
  <r>
    <s v="300N/700E"/>
    <x v="0"/>
    <s v="600E"/>
    <s v="700E"/>
    <n v="4432"/>
    <n v="20"/>
    <x v="2"/>
    <x v="1"/>
    <n v="0"/>
  </r>
  <r>
    <s v="300N/700W"/>
    <x v="0"/>
    <s v="700W"/>
    <s v="800W"/>
    <n v="5320"/>
    <n v="20"/>
    <x v="1"/>
    <x v="6"/>
    <n v="0"/>
  </r>
  <r>
    <s v="300N/800E"/>
    <x v="0"/>
    <s v="700E"/>
    <s v="800E"/>
    <n v="5420"/>
    <n v="20"/>
    <x v="2"/>
    <x v="1"/>
    <n v="0"/>
  </r>
  <r>
    <s v="300N/850E"/>
    <x v="0"/>
    <s v="800E"/>
    <s v="850E"/>
    <n v="2640"/>
    <n v="20"/>
    <x v="2"/>
    <x v="1"/>
    <n v="0"/>
  </r>
  <r>
    <s v="300N/FORTVILLE PK"/>
    <x v="0"/>
    <s v="FORTVILLE PK."/>
    <s v="100W"/>
    <n v="4663"/>
    <n v="20"/>
    <x v="1"/>
    <x v="4"/>
    <n v="0"/>
  </r>
  <r>
    <s v="300N/GRANDISON RD"/>
    <x v="0"/>
    <s v="GRANDISON RD."/>
    <s v="850E"/>
    <n v="5410"/>
    <n v="20"/>
    <x v="2"/>
    <x v="1"/>
    <n v="0"/>
  </r>
  <r>
    <s v="300N/SR9"/>
    <x v="0"/>
    <s v="SR9"/>
    <s v="50E"/>
    <n v="6860"/>
    <n v="20"/>
    <x v="1"/>
    <x v="4"/>
    <n v="0"/>
  </r>
  <r>
    <s v="300S/100E"/>
    <x v="0"/>
    <s v="MERIDIAN ROAD"/>
    <s v="100E"/>
    <n v="5080"/>
    <n v="20"/>
    <x v="1"/>
    <x v="5"/>
    <n v="0"/>
  </r>
  <r>
    <s v="300S/125W"/>
    <x v="0"/>
    <s v="150W"/>
    <s v="125W"/>
    <n v="1325"/>
    <n v="20"/>
    <x v="1"/>
    <x v="5"/>
    <n v="0"/>
  </r>
  <r>
    <s v="300S/150W"/>
    <x v="0"/>
    <s v="200W"/>
    <s v="150W"/>
    <n v="2685"/>
    <n v="20"/>
    <x v="1"/>
    <x v="5"/>
    <n v="0"/>
  </r>
  <r>
    <s v="300S/200W"/>
    <x v="0"/>
    <s v="250W"/>
    <s v="200W"/>
    <n v="2645"/>
    <n v="20"/>
    <x v="1"/>
    <x v="7"/>
    <n v="0"/>
  </r>
  <r>
    <s v="300S/250W"/>
    <x v="0"/>
    <s v="300W"/>
    <s v="250W"/>
    <n v="2645"/>
    <n v="20"/>
    <x v="1"/>
    <x v="7"/>
    <n v="0"/>
  </r>
  <r>
    <s v="300S/275E"/>
    <x v="0"/>
    <s v="SR 9"/>
    <s v="275E"/>
    <n v="4000"/>
    <n v="20"/>
    <x v="1"/>
    <x v="5"/>
    <n v="0"/>
  </r>
  <r>
    <s v="300S/300W"/>
    <x v="0"/>
    <s v="JACOBI ROAD"/>
    <s v="300W"/>
    <n v="2680"/>
    <n v="20"/>
    <x v="1"/>
    <x v="7"/>
    <n v="0"/>
  </r>
  <r>
    <s v="300S/400E"/>
    <x v="0"/>
    <s v="MORRISTOWN PIKE"/>
    <s v="400E"/>
    <n v="1750"/>
    <n v="20"/>
    <x v="0"/>
    <x v="5"/>
    <n v="0"/>
  </r>
  <r>
    <s v="300S/400W"/>
    <x v="0"/>
    <s v="425W"/>
    <s v="400W"/>
    <n v="1380"/>
    <n v="20"/>
    <x v="1"/>
    <x v="7"/>
    <n v="0"/>
  </r>
  <r>
    <s v="300S/425W"/>
    <x v="0"/>
    <s v="425W"/>
    <s v="450W"/>
    <n v="792"/>
    <n v="20"/>
    <x v="1"/>
    <x v="7"/>
    <n v="0"/>
  </r>
  <r>
    <s v="300S/450W"/>
    <x v="0"/>
    <s v="450W"/>
    <s v="500W"/>
    <n v="875"/>
    <n v="20"/>
    <x v="1"/>
    <x v="7"/>
    <n v="0"/>
  </r>
  <r>
    <s v="300S/500E"/>
    <x v="0"/>
    <s v="400E"/>
    <s v="500E"/>
    <n v="5350"/>
    <n v="20"/>
    <x v="0"/>
    <x v="8"/>
    <n v="0"/>
  </r>
  <r>
    <s v="300S/500W"/>
    <x v="0"/>
    <s v="600W"/>
    <s v="500W"/>
    <n v="5215"/>
    <n v="20"/>
    <x v="1"/>
    <x v="7"/>
    <n v="0"/>
  </r>
  <r>
    <s v="300S/50W"/>
    <x v="0"/>
    <s v="125W"/>
    <s v="50W"/>
    <n v="4000"/>
    <n v="20"/>
    <x v="1"/>
    <x v="5"/>
    <n v="0"/>
  </r>
  <r>
    <s v="300S/600E"/>
    <x v="0"/>
    <s v="500E"/>
    <s v="600E"/>
    <n v="5320"/>
    <n v="20"/>
    <x v="0"/>
    <x v="8"/>
    <n v="0"/>
  </r>
  <r>
    <s v="300S/600W"/>
    <x v="0"/>
    <s v="700W"/>
    <s v="600W"/>
    <n v="5300"/>
    <n v="20"/>
    <x v="1"/>
    <x v="7"/>
    <n v="0"/>
  </r>
  <r>
    <s v="300S/700E"/>
    <x v="0"/>
    <s v="600E"/>
    <s v="700E"/>
    <n v="4768"/>
    <n v="20"/>
    <x v="1"/>
    <x v="8"/>
    <n v="0"/>
  </r>
  <r>
    <s v="300S/700W"/>
    <x v="0"/>
    <s v="800W"/>
    <s v="700W"/>
    <n v="5370"/>
    <n v="20"/>
    <x v="1"/>
    <x v="7"/>
    <n v="0"/>
  </r>
  <r>
    <s v="300S/800E"/>
    <x v="0"/>
    <s v="BINFORD ROAD"/>
    <s v="800E"/>
    <n v="4440"/>
    <n v="20"/>
    <x v="1"/>
    <x v="8"/>
    <n v="0"/>
  </r>
  <r>
    <s v="300S/900E"/>
    <x v="0"/>
    <s v="800E"/>
    <s v="900E"/>
    <n v="5435"/>
    <n v="20"/>
    <x v="1"/>
    <x v="8"/>
    <n v="0"/>
  </r>
  <r>
    <s v="300S/BINFORD RD"/>
    <x v="0"/>
    <s v="700E"/>
    <s v="BINFORD ROAD"/>
    <n v="1015"/>
    <n v="20"/>
    <x v="1"/>
    <x v="8"/>
    <n v="0"/>
  </r>
  <r>
    <s v="300S/JACOBI RD"/>
    <x v="0"/>
    <s v="400W"/>
    <s v="JACOBI ROAD"/>
    <n v="2675"/>
    <n v="20"/>
    <x v="1"/>
    <x v="7"/>
    <n v="0"/>
  </r>
  <r>
    <s v="300S/MERIDIAN RD"/>
    <x v="0"/>
    <s v="50W"/>
    <s v="MERIDIAN ROAD"/>
    <n v="2580"/>
    <n v="20"/>
    <x v="1"/>
    <x v="5"/>
    <n v="0"/>
  </r>
  <r>
    <s v="300S/MORRISTOWN PK"/>
    <x v="0"/>
    <s v="275E"/>
    <s v="MORRISTOWN PIKE"/>
    <n v="4890"/>
    <n v="20"/>
    <x v="1"/>
    <x v="5"/>
    <n v="0"/>
  </r>
  <r>
    <s v="300S/SR9"/>
    <x v="0"/>
    <s v="100E"/>
    <s v="SR 9"/>
    <n v="5350"/>
    <n v="20"/>
    <x v="1"/>
    <x v="5"/>
    <n v="0"/>
  </r>
  <r>
    <s v="300W/100N"/>
    <x v="0"/>
    <s v="TWP. LINE"/>
    <s v="100N"/>
    <n v="6342"/>
    <n v="20"/>
    <x v="1"/>
    <x v="6"/>
    <n v="0"/>
  </r>
  <r>
    <s v="300W/200N"/>
    <x v="0"/>
    <s v="100N"/>
    <s v="200N"/>
    <n v="5300"/>
    <n v="20"/>
    <x v="1"/>
    <x v="6"/>
    <n v="0"/>
  </r>
  <r>
    <s v="300W/200S"/>
    <x v="0"/>
    <s v="200S"/>
    <s v="300S"/>
    <n v="5337"/>
    <n v="20"/>
    <x v="2"/>
    <x v="7"/>
    <n v="0"/>
  </r>
  <r>
    <s v="300W/300N"/>
    <x v="0"/>
    <s v="300N"/>
    <s v="I70"/>
    <n v="2624"/>
    <n v="20"/>
    <x v="0"/>
    <x v="6"/>
    <n v="0"/>
  </r>
  <r>
    <s v="300W/300S"/>
    <x v="0"/>
    <s v="300S"/>
    <s v="400S"/>
    <n v="5335"/>
    <n v="20"/>
    <x v="1"/>
    <x v="7"/>
    <n v="0"/>
  </r>
  <r>
    <s v="300W/400N"/>
    <x v="0"/>
    <s v="400N"/>
    <s v="300N"/>
    <n v="5288"/>
    <n v="20"/>
    <x v="0"/>
    <x v="6"/>
    <n v="0"/>
  </r>
  <r>
    <s v="300W/500N"/>
    <x v="0"/>
    <s v="500N"/>
    <s v="400N"/>
    <n v="5326"/>
    <n v="20"/>
    <x v="2"/>
    <x v="6"/>
    <n v="0"/>
  </r>
  <r>
    <s v="300W/600N"/>
    <x v="0"/>
    <s v="600N"/>
    <s v="500N"/>
    <n v="5070"/>
    <n v="20"/>
    <x v="1"/>
    <x v="6"/>
    <n v="0"/>
  </r>
  <r>
    <s v="300W/700N"/>
    <x v="0"/>
    <s v="600N"/>
    <s v="700N"/>
    <n v="5326"/>
    <n v="20"/>
    <x v="0"/>
    <x v="2"/>
    <n v="0"/>
  </r>
  <r>
    <s v="300W/900N"/>
    <x v="0"/>
    <s v="SR234"/>
    <s v="900N"/>
    <n v="5289"/>
    <n v="20"/>
    <x v="1"/>
    <x v="2"/>
    <n v="0"/>
  </r>
  <r>
    <s v="300W/925N"/>
    <x v="0"/>
    <s v="900N"/>
    <s v="925N"/>
    <n v="1373"/>
    <n v="20"/>
    <x v="1"/>
    <x v="2"/>
    <n v="0"/>
  </r>
  <r>
    <s v="300W/FAUT RD"/>
    <x v="0"/>
    <s v="FAUT ROAD"/>
    <s v="600S"/>
    <n v="3960"/>
    <n v="20"/>
    <x v="1"/>
    <x v="7"/>
    <n v="0"/>
  </r>
  <r>
    <s v="300W/I70"/>
    <x v="0"/>
    <s v="200N"/>
    <s v="END"/>
    <n v="1740"/>
    <n v="20"/>
    <x v="0"/>
    <x v="6"/>
    <n v="0"/>
  </r>
  <r>
    <s v="300W/SR234"/>
    <x v="0"/>
    <s v="700N"/>
    <s v="SR234"/>
    <n v="5438"/>
    <n v="20"/>
    <x v="2"/>
    <x v="2"/>
    <n v="0"/>
  </r>
  <r>
    <s v="300W/SR67"/>
    <x v="0"/>
    <s v="925N"/>
    <s v="SR67"/>
    <n v="2706"/>
    <n v="20"/>
    <x v="1"/>
    <x v="2"/>
    <n v="0"/>
  </r>
  <r>
    <s v="300W/US40"/>
    <x v="0"/>
    <s v="US40"/>
    <s v="END"/>
    <n v="5000"/>
    <n v="20"/>
    <x v="0"/>
    <x v="7"/>
    <n v="0"/>
  </r>
  <r>
    <s v="300W/US52"/>
    <x v="0"/>
    <s v="US52"/>
    <s v="FAUT ROAD"/>
    <n v="1478"/>
    <n v="20"/>
    <x v="1"/>
    <x v="7"/>
    <n v="0"/>
  </r>
  <r>
    <s v="325N/E. CO. LINE"/>
    <x v="0"/>
    <s v="1050E"/>
    <s v="E.CO.LINE"/>
    <n v="2720"/>
    <n v="20"/>
    <x v="1"/>
    <x v="1"/>
    <n v="0"/>
  </r>
  <r>
    <s v="350N/1000E"/>
    <x v="0"/>
    <s v="GRANDISON RD."/>
    <s v="1000E"/>
    <n v="2904"/>
    <n v="20"/>
    <x v="1"/>
    <x v="1"/>
    <n v="0"/>
  </r>
  <r>
    <s v="350N/1050E"/>
    <x v="0"/>
    <s v="1050E"/>
    <s v="1000E"/>
    <n v="2690"/>
    <n v="20"/>
    <x v="0"/>
    <x v="1"/>
    <n v="0"/>
  </r>
  <r>
    <s v="350N/600W"/>
    <x v="0"/>
    <s v="700W"/>
    <s v="600W"/>
    <n v="5410"/>
    <n v="20"/>
    <x v="1"/>
    <x v="6"/>
    <n v="0"/>
  </r>
  <r>
    <s v="350N/700W"/>
    <x v="0"/>
    <s v="700W"/>
    <s v="800W"/>
    <n v="5280"/>
    <n v="20"/>
    <x v="1"/>
    <x v="6"/>
    <n v="0"/>
  </r>
  <r>
    <s v="350N/GRANDISON RD"/>
    <x v="0"/>
    <s v="850E"/>
    <s v="GRANDISON RD."/>
    <n v="5491"/>
    <n v="20"/>
    <x v="0"/>
    <x v="1"/>
    <n v="0"/>
  </r>
  <r>
    <s v="350S/300E"/>
    <x v="0"/>
    <s v="275E"/>
    <s v="300E"/>
    <n v="1380"/>
    <n v="20"/>
    <x v="0"/>
    <x v="5"/>
    <n v="0"/>
  </r>
  <r>
    <s v="350W/100N"/>
    <x v="0"/>
    <s v="100N"/>
    <s v="US 40"/>
    <n v="7010"/>
    <n v="20"/>
    <x v="1"/>
    <x v="6"/>
    <n v="0"/>
  </r>
  <r>
    <s v="350W/200N"/>
    <x v="0"/>
    <s v="200N"/>
    <s v="100N"/>
    <n v="5330"/>
    <n v="20"/>
    <x v="1"/>
    <x v="6"/>
    <n v="0"/>
  </r>
  <r>
    <s v="350W/700N"/>
    <x v="0"/>
    <s v="600N"/>
    <s v="700N"/>
    <n v="5315"/>
    <n v="20"/>
    <x v="0"/>
    <x v="2"/>
    <n v="0"/>
  </r>
  <r>
    <s v="350W/US40"/>
    <x v="0"/>
    <s v="US40"/>
    <s v="END"/>
    <n v="1372"/>
    <n v="20"/>
    <x v="0"/>
    <x v="7"/>
    <n v="0"/>
  </r>
  <r>
    <s v="375E/400N"/>
    <x v="0"/>
    <s v="300N"/>
    <s v="400N"/>
    <n v="5300"/>
    <n v="20"/>
    <x v="0"/>
    <x v="4"/>
    <n v="0"/>
  </r>
  <r>
    <s v="375N/100W"/>
    <x v="0"/>
    <s v="Fortville Pike"/>
    <s v="100W"/>
    <n v="5190"/>
    <n v="20"/>
    <x v="1"/>
    <x v="4"/>
    <n v="0"/>
  </r>
  <r>
    <s v="400E/1000N"/>
    <x v="0"/>
    <s v="900N"/>
    <s v="1000N"/>
    <n v="5340"/>
    <n v="20"/>
    <x v="1"/>
    <x v="3"/>
    <n v="0"/>
  </r>
  <r>
    <s v="400E/100S"/>
    <x v="0"/>
    <s v="100S"/>
    <s v="200S"/>
    <n v="5320"/>
    <n v="20"/>
    <x v="2"/>
    <x v="4"/>
    <n v="0"/>
  </r>
  <r>
    <s v="400E/1100N"/>
    <x v="0"/>
    <s v="1000N"/>
    <s v="1100N"/>
    <n v="5333"/>
    <n v="20"/>
    <x v="1"/>
    <x v="3"/>
    <n v="0"/>
  </r>
  <r>
    <s v="400E/200N"/>
    <x v="0"/>
    <s v="100N"/>
    <s v="200N"/>
    <n v="5330"/>
    <n v="20"/>
    <x v="1"/>
    <x v="4"/>
    <n v="0"/>
  </r>
  <r>
    <s v="400E/200S"/>
    <x v="0"/>
    <s v="200S"/>
    <s v="300S"/>
    <n v="5319"/>
    <n v="20"/>
    <x v="2"/>
    <x v="5"/>
    <n v="0"/>
  </r>
  <r>
    <s v="400E/300N"/>
    <x v="0"/>
    <s v="200N"/>
    <s v="300N"/>
    <n v="5290"/>
    <n v="20"/>
    <x v="1"/>
    <x v="4"/>
    <n v="0"/>
  </r>
  <r>
    <s v="400E/400N"/>
    <x v="0"/>
    <s v="300N"/>
    <s v="400N"/>
    <n v="5300"/>
    <n v="20"/>
    <x v="1"/>
    <x v="4"/>
    <n v="0"/>
  </r>
  <r>
    <s v="400E/500N"/>
    <x v="0"/>
    <s v="400N"/>
    <s v="500N"/>
    <n v="5300"/>
    <n v="20"/>
    <x v="1"/>
    <x v="4"/>
    <n v="0"/>
  </r>
  <r>
    <s v="400E/500S"/>
    <x v="0"/>
    <s v="600S"/>
    <s v="500S"/>
    <n v="5315"/>
    <n v="20"/>
    <x v="1"/>
    <x v="5"/>
    <n v="0"/>
  </r>
  <r>
    <s v="400E/600N"/>
    <x v="0"/>
    <s v="500N"/>
    <s v="600N"/>
    <n v="5050"/>
    <n v="20"/>
    <x v="1"/>
    <x v="4"/>
    <n v="0"/>
  </r>
  <r>
    <s v="400E/650N"/>
    <x v="0"/>
    <s v="650N"/>
    <s v="600N"/>
    <n v="2645"/>
    <n v="20"/>
    <x v="1"/>
    <x v="3"/>
    <n v="0"/>
  </r>
  <r>
    <s v="400E/700N"/>
    <x v="0"/>
    <s v="650N"/>
    <s v="700N"/>
    <n v="2659"/>
    <n v="20"/>
    <x v="1"/>
    <x v="3"/>
    <n v="0"/>
  </r>
  <r>
    <s v="400E/900N"/>
    <x v="0"/>
    <s v="SR234"/>
    <s v="900N"/>
    <n v="5460"/>
    <n v="20"/>
    <x v="2"/>
    <x v="3"/>
    <n v="0"/>
  </r>
  <r>
    <s v="400E/SR234"/>
    <x v="0"/>
    <s v="700N"/>
    <s v="SR234"/>
    <n v="5544"/>
    <n v="20"/>
    <x v="1"/>
    <x v="3"/>
    <n v="0"/>
  </r>
  <r>
    <s v="400E/US40"/>
    <x v="0"/>
    <s v="100S"/>
    <s v="US40"/>
    <n v="4558"/>
    <n v="20"/>
    <x v="0"/>
    <x v="4"/>
    <n v="0"/>
  </r>
  <r>
    <s v="400N/1000E"/>
    <x v="0"/>
    <s v="1000E"/>
    <s v="900E"/>
    <n v="5411"/>
    <n v="20"/>
    <x v="2"/>
    <x v="1"/>
    <n v="0"/>
  </r>
  <r>
    <s v="400N/100W"/>
    <x v="0"/>
    <s v="100W"/>
    <s v="200W"/>
    <n v="5302"/>
    <n v="20"/>
    <x v="1"/>
    <x v="4"/>
    <n v="0"/>
  </r>
  <r>
    <s v="400N/200W"/>
    <x v="0"/>
    <s v="200W"/>
    <s v="300W"/>
    <n v="5320"/>
    <n v="20"/>
    <x v="1"/>
    <x v="6"/>
    <n v="0"/>
  </r>
  <r>
    <s v="400N/300E"/>
    <x v="0"/>
    <s v="300E"/>
    <s v="SR9"/>
    <n v="6370"/>
    <n v="20"/>
    <x v="1"/>
    <x v="4"/>
    <n v="0"/>
  </r>
  <r>
    <s v="400N/300W"/>
    <x v="0"/>
    <s v="400W"/>
    <s v="300W"/>
    <n v="5292"/>
    <n v="20"/>
    <x v="0"/>
    <x v="6"/>
    <n v="0"/>
  </r>
  <r>
    <s v="400N/375E"/>
    <x v="0"/>
    <s v="300E"/>
    <s v="375E"/>
    <n v="4540"/>
    <n v="20"/>
    <x v="1"/>
    <x v="4"/>
    <n v="0"/>
  </r>
  <r>
    <s v="400N/400E"/>
    <x v="0"/>
    <s v="375E"/>
    <s v="400E"/>
    <n v="1373"/>
    <n v="20"/>
    <x v="1"/>
    <x v="4"/>
    <n v="0"/>
  </r>
  <r>
    <s v="400N/400W"/>
    <x v="0"/>
    <s v="400W"/>
    <s v="END"/>
    <n v="2198"/>
    <n v="20"/>
    <x v="2"/>
    <x v="6"/>
    <n v="0"/>
  </r>
  <r>
    <s v="400N/450E"/>
    <x v="0"/>
    <s v="400E"/>
    <s v="450E"/>
    <n v="2746"/>
    <n v="20"/>
    <x v="1"/>
    <x v="4"/>
    <n v="0"/>
  </r>
  <r>
    <s v="400N/50E"/>
    <x v="0"/>
    <s v="50E"/>
    <s v="FORTVILLE PK."/>
    <n v="4360"/>
    <n v="20"/>
    <x v="1"/>
    <x v="4"/>
    <n v="0"/>
  </r>
  <r>
    <s v="400N/525E"/>
    <x v="0"/>
    <s v="450E"/>
    <s v="525E"/>
    <n v="4066"/>
    <n v="20"/>
    <x v="1"/>
    <x v="4"/>
    <n v="0"/>
  </r>
  <r>
    <s v="400N/600E"/>
    <x v="0"/>
    <s v="525E"/>
    <s v="600E"/>
    <n v="4066"/>
    <n v="20"/>
    <x v="1"/>
    <x v="1"/>
    <n v="0"/>
  </r>
  <r>
    <s v="400N/600W"/>
    <x v="0"/>
    <s v="700W"/>
    <s v="600W"/>
    <n v="5390"/>
    <n v="20"/>
    <x v="1"/>
    <x v="6"/>
    <n v="0"/>
  </r>
  <r>
    <s v="400N/700E"/>
    <x v="0"/>
    <s v="600E"/>
    <s v="700E"/>
    <n v="4488"/>
    <n v="20"/>
    <x v="1"/>
    <x v="1"/>
    <n v="0"/>
  </r>
  <r>
    <s v="400N/800E"/>
    <x v="0"/>
    <s v="700E"/>
    <s v="800E"/>
    <n v="5491"/>
    <n v="20"/>
    <x v="1"/>
    <x v="1"/>
    <n v="0"/>
  </r>
  <r>
    <s v="400N/850E"/>
    <x v="0"/>
    <s v="800E"/>
    <s v="850E"/>
    <n v="2746"/>
    <n v="20"/>
    <x v="1"/>
    <x v="1"/>
    <n v="0"/>
  </r>
  <r>
    <s v="400N/900E"/>
    <x v="0"/>
    <s v="850 E"/>
    <s v="900 E"/>
    <n v="2779"/>
    <n v="20"/>
    <x v="2"/>
    <x v="1"/>
    <n v="0"/>
  </r>
  <r>
    <s v="400N/SR9"/>
    <x v="0"/>
    <s v="SR9"/>
    <s v="50E"/>
    <n v="5790"/>
    <n v="20"/>
    <x v="1"/>
    <x v="4"/>
    <n v="0"/>
  </r>
  <r>
    <s v="400S/100E"/>
    <x v="0"/>
    <s v="100E"/>
    <s v="MERIDIAN ROAD"/>
    <n v="5115"/>
    <n v="20"/>
    <x v="1"/>
    <x v="5"/>
    <n v="0"/>
  </r>
  <r>
    <s v="400S/100W"/>
    <x v="0"/>
    <s v="100W"/>
    <s v="200W"/>
    <n v="5280"/>
    <n v="20"/>
    <x v="0"/>
    <x v="5"/>
    <n v="0"/>
  </r>
  <r>
    <s v="400S/200W"/>
    <x v="0"/>
    <s v="200W"/>
    <s v="300W"/>
    <n v="5290"/>
    <n v="20"/>
    <x v="1"/>
    <x v="7"/>
    <n v="0"/>
  </r>
  <r>
    <s v="400S/300E"/>
    <x v="0"/>
    <s v="300E"/>
    <s v="SR 9"/>
    <n v="5935"/>
    <n v="20"/>
    <x v="1"/>
    <x v="5"/>
    <n v="0"/>
  </r>
  <r>
    <s v="400S/300W"/>
    <x v="0"/>
    <s v="300W"/>
    <s v="400W"/>
    <n v="5350"/>
    <n v="20"/>
    <x v="1"/>
    <x v="7"/>
    <n v="0"/>
  </r>
  <r>
    <s v="400S/400W"/>
    <x v="0"/>
    <s v="400W"/>
    <s v="450W"/>
    <n v="2715"/>
    <n v="20"/>
    <x v="0"/>
    <x v="7"/>
    <n v="0"/>
  </r>
  <r>
    <s v="400S/500E"/>
    <x v="0"/>
    <s v="500E"/>
    <s v="MORRISTOWN PIKE"/>
    <n v="4470"/>
    <n v="20"/>
    <x v="0"/>
    <x v="8"/>
    <n v="0"/>
  </r>
  <r>
    <s v="400S/50W"/>
    <x v="0"/>
    <s v="50W"/>
    <s v="100W"/>
    <n v="2685"/>
    <n v="20"/>
    <x v="0"/>
    <x v="5"/>
    <n v="0"/>
  </r>
  <r>
    <s v="400S/600E"/>
    <x v="0"/>
    <s v="600E"/>
    <s v="500E"/>
    <n v="5310"/>
    <n v="20"/>
    <x v="0"/>
    <x v="8"/>
    <n v="0"/>
  </r>
  <r>
    <s v="400S/700E"/>
    <x v="0"/>
    <s v="700E"/>
    <s v="600E"/>
    <n v="4800"/>
    <n v="20"/>
    <x v="1"/>
    <x v="8"/>
    <n v="0"/>
  </r>
  <r>
    <s v="400S/800E"/>
    <x v="0"/>
    <s v="800E"/>
    <s v="700E"/>
    <n v="5400"/>
    <n v="20"/>
    <x v="1"/>
    <x v="8"/>
    <n v="0"/>
  </r>
  <r>
    <s v="400S/900E"/>
    <x v="0"/>
    <s v="900E"/>
    <s v="BINFORD ROAD"/>
    <n v="2975"/>
    <n v="20"/>
    <x v="1"/>
    <x v="8"/>
    <n v="0"/>
  </r>
  <r>
    <s v="400S/BINFORD RD"/>
    <x v="0"/>
    <s v="BINFORD ROAD"/>
    <s v="800E"/>
    <n v="2425"/>
    <n v="20"/>
    <x v="1"/>
    <x v="8"/>
    <n v="0"/>
  </r>
  <r>
    <s v="400S/MERIDIAN RD"/>
    <x v="0"/>
    <s v="MERIDIAN ROAD"/>
    <s v="50W"/>
    <n v="2675"/>
    <n v="20"/>
    <x v="0"/>
    <x v="5"/>
    <n v="0"/>
  </r>
  <r>
    <s v="400S/MORRISTOWN PK"/>
    <x v="0"/>
    <s v="MORRISTOWN PIKE"/>
    <s v="300E"/>
    <n v="6175"/>
    <n v="20"/>
    <x v="1"/>
    <x v="5"/>
    <n v="0"/>
  </r>
  <r>
    <s v="400S/SR9"/>
    <x v="0"/>
    <s v="SR 9"/>
    <s v="100E"/>
    <n v="4630"/>
    <n v="20"/>
    <x v="1"/>
    <x v="5"/>
    <n v="0"/>
  </r>
  <r>
    <s v="400W/1000N"/>
    <x v="0"/>
    <s v="SR67"/>
    <s v="1000N"/>
    <n v="4340"/>
    <n v="20"/>
    <x v="0"/>
    <x v="2"/>
    <n v="0"/>
  </r>
  <r>
    <s v="400W/100N"/>
    <x v="0"/>
    <s v="100N"/>
    <s v="S.TWP.LINE"/>
    <n v="6620"/>
    <n v="20"/>
    <x v="1"/>
    <x v="6"/>
    <n v="0"/>
  </r>
  <r>
    <s v="400W/100S"/>
    <x v="0"/>
    <s v="200S"/>
    <s v="100S"/>
    <n v="5340"/>
    <n v="20"/>
    <x v="1"/>
    <x v="7"/>
    <n v="0"/>
  </r>
  <r>
    <s v="400W/150N"/>
    <x v="0"/>
    <s v="100N"/>
    <s v="150N"/>
    <n v="2693"/>
    <n v="20"/>
    <x v="1"/>
    <x v="6"/>
    <n v="0"/>
  </r>
  <r>
    <s v="400W/200N"/>
    <x v="0"/>
    <s v="150N"/>
    <s v="200N"/>
    <n v="2693"/>
    <n v="20"/>
    <x v="1"/>
    <x v="6"/>
    <n v="0"/>
  </r>
  <r>
    <s v="400W/300N"/>
    <x v="0"/>
    <s v="200N"/>
    <s v="300N"/>
    <n v="5386"/>
    <n v="20"/>
    <x v="3"/>
    <x v="6"/>
    <n v="0"/>
  </r>
  <r>
    <s v="400W/300S"/>
    <x v="0"/>
    <s v="300S"/>
    <s v="400S"/>
    <n v="5345"/>
    <n v="20"/>
    <x v="0"/>
    <x v="7"/>
    <n v="0"/>
  </r>
  <r>
    <s v="400W/400N"/>
    <x v="0"/>
    <s v="400N"/>
    <s v="300N"/>
    <n v="5320"/>
    <n v="20"/>
    <x v="0"/>
    <x v="6"/>
    <n v="0"/>
  </r>
  <r>
    <s v="400W/400S"/>
    <x v="0"/>
    <s v="400S"/>
    <s v="SR52"/>
    <n v="3500"/>
    <n v="20"/>
    <x v="0"/>
    <x v="7"/>
    <n v="0"/>
  </r>
  <r>
    <s v="400W/500N"/>
    <x v="0"/>
    <s v="400N"/>
    <s v="500N"/>
    <n v="5290"/>
    <n v="20"/>
    <x v="0"/>
    <x v="6"/>
    <n v="0"/>
  </r>
  <r>
    <s v="400W/600N"/>
    <x v="0"/>
    <s v="600N"/>
    <s v="500N"/>
    <n v="5110"/>
    <n v="20"/>
    <x v="1"/>
    <x v="6"/>
    <n v="0"/>
  </r>
  <r>
    <s v="400W/700N"/>
    <x v="0"/>
    <s v="600N"/>
    <s v="700N"/>
    <n v="5330"/>
    <n v="20"/>
    <x v="2"/>
    <x v="2"/>
    <n v="0"/>
  </r>
  <r>
    <s v="400W/900N"/>
    <x v="0"/>
    <s v="SR234"/>
    <s v="900N"/>
    <n v="5285"/>
    <n v="20"/>
    <x v="0"/>
    <x v="2"/>
    <n v="0"/>
  </r>
  <r>
    <s v="400W/FAUT RD"/>
    <x v="0"/>
    <s v="FAUT ROAD"/>
    <s v="600S"/>
    <n v="2644"/>
    <n v="20"/>
    <x v="1"/>
    <x v="7"/>
    <n v="0"/>
  </r>
  <r>
    <s v="400W/SR234"/>
    <x v="0"/>
    <s v="700N"/>
    <s v="SR234"/>
    <n v="5386"/>
    <n v="20"/>
    <x v="2"/>
    <x v="2"/>
    <n v="0"/>
  </r>
  <r>
    <s v="400W/SR67"/>
    <x v="0"/>
    <s v="900N"/>
    <s v="SR67"/>
    <n v="785"/>
    <n v="20"/>
    <x v="1"/>
    <x v="2"/>
    <n v="0"/>
  </r>
  <r>
    <s v="400W/US40"/>
    <x v="0"/>
    <s v="100S"/>
    <s v="US40"/>
    <n v="3110"/>
    <n v="20"/>
    <x v="1"/>
    <x v="7"/>
    <n v="0"/>
  </r>
  <r>
    <s v="400W/US52"/>
    <x v="0"/>
    <s v="US52"/>
    <s v="FAUT ROAD"/>
    <n v="4468"/>
    <n v="20"/>
    <x v="1"/>
    <x v="7"/>
    <n v="0"/>
  </r>
  <r>
    <s v="425W/200S"/>
    <x v="0"/>
    <s v="300S"/>
    <s v="200S"/>
    <n v="5340"/>
    <n v="20"/>
    <x v="1"/>
    <x v="7"/>
    <n v="0"/>
  </r>
  <r>
    <s v="450E/400N"/>
    <x v="0"/>
    <s v="400N"/>
    <s v="300N"/>
    <n v="5320"/>
    <n v="20"/>
    <x v="0"/>
    <x v="4"/>
    <n v="0"/>
  </r>
  <r>
    <s v="450N/E. CO. LINE"/>
    <x v="0"/>
    <s v="1050E"/>
    <s v="E.CO.LINE"/>
    <n v="2950"/>
    <n v="20"/>
    <x v="1"/>
    <x v="1"/>
    <n v="0"/>
  </r>
  <r>
    <s v="450S/800E"/>
    <x v="0"/>
    <s v="800E"/>
    <s v="700E"/>
    <n v="5370"/>
    <n v="20"/>
    <x v="0"/>
    <x v="8"/>
    <n v="0"/>
  </r>
  <r>
    <s v="450S/900E"/>
    <x v="0"/>
    <s v="800E"/>
    <s v="900E"/>
    <n v="5430"/>
    <n v="20"/>
    <x v="0"/>
    <x v="8"/>
    <n v="0"/>
  </r>
  <r>
    <s v="450W/300S"/>
    <x v="0"/>
    <s v="400S"/>
    <s v="300S"/>
    <n v="2770"/>
    <n v="20"/>
    <x v="1"/>
    <x v="7"/>
    <n v="0"/>
  </r>
  <r>
    <s v="450W/S. NEW PAL"/>
    <x v="0"/>
    <s v="600S"/>
    <s v="NEW PAL"/>
    <n v="6470"/>
    <n v="20"/>
    <x v="1"/>
    <x v="7"/>
    <n v="0"/>
  </r>
  <r>
    <s v="475W/SR234"/>
    <x v="0"/>
    <s v="SR234"/>
    <s v="700N"/>
    <n v="5287"/>
    <n v="20"/>
    <x v="0"/>
    <x v="2"/>
    <n v="0"/>
  </r>
  <r>
    <s v="500E/1000N"/>
    <x v="0"/>
    <s v="900N"/>
    <s v="1000N"/>
    <n v="5280"/>
    <n v="20"/>
    <x v="0"/>
    <x v="3"/>
    <n v="0"/>
  </r>
  <r>
    <s v="500E/100N"/>
    <x v="0"/>
    <s v="US40"/>
    <s v="100N"/>
    <n v="4400"/>
    <n v="20"/>
    <x v="1"/>
    <x v="4"/>
    <n v="0"/>
  </r>
  <r>
    <s v="500E/100S"/>
    <x v="0"/>
    <s v="200S"/>
    <s v="100S"/>
    <n v="5374"/>
    <n v="20"/>
    <x v="1"/>
    <x v="8"/>
    <n v="0"/>
  </r>
  <r>
    <s v="500E/1100N"/>
    <x v="0"/>
    <s v="1100N"/>
    <s v="1000N"/>
    <n v="5280"/>
    <n v="20"/>
    <x v="0"/>
    <x v="3"/>
    <n v="0"/>
  </r>
  <r>
    <s v="500E/200N"/>
    <x v="0"/>
    <s v="100N"/>
    <s v="200N"/>
    <n v="5304"/>
    <n v="20"/>
    <x v="0"/>
    <x v="4"/>
    <n v="0"/>
  </r>
  <r>
    <s v="500E/200S"/>
    <x v="0"/>
    <s v="300S"/>
    <s v="200S"/>
    <n v="5300"/>
    <n v="20"/>
    <x v="1"/>
    <x v="8"/>
    <n v="0"/>
  </r>
  <r>
    <s v="500E/250N"/>
    <x v="0"/>
    <s v="200N"/>
    <s v="250N"/>
    <n v="1412"/>
    <n v="20"/>
    <x v="0"/>
    <x v="4"/>
    <n v="0"/>
  </r>
  <r>
    <s v="500E/300N"/>
    <x v="0"/>
    <s v="300N"/>
    <s v="I70"/>
    <n v="1307"/>
    <n v="20"/>
    <x v="0"/>
    <x v="4"/>
    <n v="0"/>
  </r>
  <r>
    <s v="500E/300S"/>
    <x v="0"/>
    <s v="400S"/>
    <s v="300S"/>
    <n v="5338"/>
    <n v="20"/>
    <x v="1"/>
    <x v="8"/>
    <n v="0"/>
  </r>
  <r>
    <s v="500E/400S"/>
    <x v="0"/>
    <s v="500S"/>
    <s v="400S"/>
    <n v="5323"/>
    <n v="20"/>
    <x v="1"/>
    <x v="8"/>
    <n v="0"/>
  </r>
  <r>
    <s v="500E/500S"/>
    <x v="0"/>
    <s v="500S"/>
    <s v="550S"/>
    <n v="2650"/>
    <n v="20"/>
    <x v="0"/>
    <x v="8"/>
    <n v="0"/>
  </r>
  <r>
    <s v="500E/550S"/>
    <x v="0"/>
    <s v="550S"/>
    <s v="600S"/>
    <n v="2880"/>
    <n v="20"/>
    <x v="0"/>
    <x v="8"/>
    <n v="0"/>
  </r>
  <r>
    <s v="500E/650N"/>
    <x v="0"/>
    <s v="650N"/>
    <s v="600N"/>
    <n v="2693"/>
    <n v="20"/>
    <x v="0"/>
    <x v="3"/>
    <n v="0"/>
  </r>
  <r>
    <s v="500E/700N"/>
    <x v="0"/>
    <s v="700N"/>
    <s v="650N"/>
    <n v="2851"/>
    <n v="20"/>
    <x v="0"/>
    <x v="3"/>
    <n v="0"/>
  </r>
  <r>
    <s v="500E/900N"/>
    <x v="0"/>
    <s v="SR234"/>
    <s v="900N"/>
    <n v="5370"/>
    <n v="20"/>
    <x v="2"/>
    <x v="3"/>
    <n v="0"/>
  </r>
  <r>
    <s v="500E/I70"/>
    <x v="0"/>
    <s v="250N"/>
    <s v="I70"/>
    <n v="654"/>
    <n v="20"/>
    <x v="0"/>
    <x v="4"/>
    <n v="0"/>
  </r>
  <r>
    <s v="500E/N. TWP LINE"/>
    <x v="0"/>
    <s v="100S"/>
    <s v="TWNSP. LINE"/>
    <n v="5011"/>
    <n v="20"/>
    <x v="1"/>
    <x v="8"/>
    <n v="0"/>
  </r>
  <r>
    <s v="500E/SR234"/>
    <x v="0"/>
    <s v="SR234"/>
    <s v="700N"/>
    <n v="7974"/>
    <n v="20"/>
    <x v="2"/>
    <x v="3"/>
    <n v="0"/>
  </r>
  <r>
    <s v="500E/US40"/>
    <x v="0"/>
    <s v="TWNSP. LINE"/>
    <s v="US40"/>
    <n v="760"/>
    <n v="20"/>
    <x v="1"/>
    <x v="4"/>
    <n v="0"/>
  </r>
  <r>
    <s v="500N/1000E"/>
    <x v="0"/>
    <s v="900E"/>
    <s v="1000E"/>
    <n v="5445"/>
    <n v="20"/>
    <x v="1"/>
    <x v="1"/>
    <n v="0"/>
  </r>
  <r>
    <s v="500N/1050E"/>
    <x v="0"/>
    <s v="1000E"/>
    <s v="1050E"/>
    <n v="2746"/>
    <n v="20"/>
    <x v="1"/>
    <x v="1"/>
    <n v="0"/>
  </r>
  <r>
    <s v="500N/200W"/>
    <x v="0"/>
    <s v="300W"/>
    <s v="200W"/>
    <n v="5290"/>
    <n v="20"/>
    <x v="1"/>
    <x v="2"/>
    <n v="0"/>
  </r>
  <r>
    <s v="500N/25W"/>
    <x v="0"/>
    <s v="FORTVILLE PK."/>
    <s v="25W"/>
    <n v="3515"/>
    <n v="20"/>
    <x v="0"/>
    <x v="4"/>
    <n v="0"/>
  </r>
  <r>
    <s v="500N/300E"/>
    <x v="0"/>
    <s v="SR9"/>
    <s v="300E"/>
    <n v="8817"/>
    <n v="20"/>
    <x v="0"/>
    <x v="4"/>
    <n v="0"/>
  </r>
  <r>
    <s v="500N/300W"/>
    <x v="0"/>
    <s v="300W"/>
    <s v="400W"/>
    <n v="5385"/>
    <n v="20"/>
    <x v="1"/>
    <x v="6"/>
    <n v="0"/>
  </r>
  <r>
    <s v="500N/400E"/>
    <x v="0"/>
    <s v="300E"/>
    <s v="400E"/>
    <n v="5385"/>
    <n v="20"/>
    <x v="1"/>
    <x v="4"/>
    <n v="0"/>
  </r>
  <r>
    <s v="500N/400W"/>
    <x v="0"/>
    <s v="400W"/>
    <s v="500W"/>
    <n v="5491"/>
    <n v="20"/>
    <x v="1"/>
    <x v="6"/>
    <n v="0"/>
  </r>
  <r>
    <s v="500N/500W"/>
    <x v="0"/>
    <s v="600W"/>
    <s v="500W"/>
    <n v="4960"/>
    <n v="20"/>
    <x v="1"/>
    <x v="6"/>
    <n v="0"/>
  </r>
  <r>
    <s v="500N/50E"/>
    <x v="0"/>
    <s v="25W"/>
    <s v="50E"/>
    <n v="5068"/>
    <n v="20"/>
    <x v="1"/>
    <x v="4"/>
    <n v="0"/>
  </r>
  <r>
    <s v="500N/600E"/>
    <x v="0"/>
    <s v="400E"/>
    <s v="600E"/>
    <n v="10650"/>
    <n v="20"/>
    <x v="0"/>
    <x v="4"/>
    <n v="0"/>
  </r>
  <r>
    <s v="500N/600W"/>
    <x v="0"/>
    <s v="700W"/>
    <s v="600W"/>
    <n v="5380"/>
    <n v="20"/>
    <x v="1"/>
    <x v="6"/>
    <n v="0"/>
  </r>
  <r>
    <s v="500N/700E"/>
    <x v="0"/>
    <s v="700E"/>
    <s v="600E"/>
    <n v="4475"/>
    <n v="20"/>
    <x v="1"/>
    <x v="1"/>
    <n v="0"/>
  </r>
  <r>
    <s v="500N/700W"/>
    <x v="0"/>
    <s v="800W"/>
    <s v="700W"/>
    <n v="5290"/>
    <n v="20"/>
    <x v="1"/>
    <x v="6"/>
    <n v="0"/>
  </r>
  <r>
    <s v="500N/800E"/>
    <x v="0"/>
    <s v="700E"/>
    <s v="800E"/>
    <n v="5420"/>
    <n v="20"/>
    <x v="1"/>
    <x v="1"/>
    <n v="0"/>
  </r>
  <r>
    <s v="500N/850E"/>
    <x v="0"/>
    <s v="800E"/>
    <s v="850E"/>
    <n v="2710"/>
    <n v="20"/>
    <x v="1"/>
    <x v="1"/>
    <n v="0"/>
  </r>
  <r>
    <s v="500N/900E"/>
    <x v="0"/>
    <s v="850E"/>
    <s v="900E"/>
    <n v="2745"/>
    <n v="20"/>
    <x v="1"/>
    <x v="1"/>
    <n v="0"/>
  </r>
  <r>
    <s v="500N/FORTVILLE PK"/>
    <x v="0"/>
    <s v="200W"/>
    <s v="FORTVILLE PK."/>
    <n v="4530"/>
    <n v="20"/>
    <x v="1"/>
    <x v="4"/>
    <n v="0"/>
  </r>
  <r>
    <s v="500N/SR9"/>
    <x v="0"/>
    <s v="50E"/>
    <s v="SR9"/>
    <n v="5914"/>
    <n v="20"/>
    <x v="1"/>
    <x v="4"/>
    <n v="0"/>
  </r>
  <r>
    <s v="500S/100E"/>
    <x v="0"/>
    <s v="MERIDIAN ROAD"/>
    <s v="100E"/>
    <n v="5100"/>
    <n v="20"/>
    <x v="0"/>
    <x v="5"/>
    <n v="0"/>
  </r>
  <r>
    <s v="500S/200E"/>
    <x v="0"/>
    <s v="SR 9"/>
    <s v="200E"/>
    <n v="2470"/>
    <n v="20"/>
    <x v="1"/>
    <x v="5"/>
    <n v="0"/>
  </r>
  <r>
    <s v="500S/300E"/>
    <x v="0"/>
    <s v="200E"/>
    <s v="300E"/>
    <n v="5325"/>
    <n v="20"/>
    <x v="1"/>
    <x v="5"/>
    <n v="0"/>
  </r>
  <r>
    <s v="500S/400E"/>
    <x v="0"/>
    <s v="300E"/>
    <s v="400E"/>
    <n v="5350"/>
    <n v="20"/>
    <x v="0"/>
    <x v="5"/>
    <n v="0"/>
  </r>
  <r>
    <s v="500S/500E"/>
    <x v="0"/>
    <s v="400E"/>
    <s v="500E"/>
    <n v="3470"/>
    <n v="20"/>
    <x v="0"/>
    <x v="8"/>
    <n v="0"/>
  </r>
  <r>
    <s v="500S/500E_A"/>
    <x v="0"/>
    <s v="MORRISTOWN PIKE"/>
    <s v="500E"/>
    <n v="1890"/>
    <n v="20"/>
    <x v="0"/>
    <x v="8"/>
    <n v="0"/>
  </r>
  <r>
    <s v="500S/50W"/>
    <x v="0"/>
    <s v="100W"/>
    <s v="50W"/>
    <n v="2670"/>
    <n v="20"/>
    <x v="1"/>
    <x v="5"/>
    <n v="0"/>
  </r>
  <r>
    <s v="500S/575E"/>
    <x v="0"/>
    <s v="500E"/>
    <s v="575E"/>
    <n v="4005"/>
    <n v="20"/>
    <x v="0"/>
    <x v="8"/>
    <n v="0"/>
  </r>
  <r>
    <s v="500S/600E"/>
    <x v="0"/>
    <s v="575E"/>
    <s v="600E"/>
    <n v="1342"/>
    <n v="20"/>
    <x v="0"/>
    <x v="8"/>
    <n v="0"/>
  </r>
  <r>
    <s v="500S/900E"/>
    <x v="0"/>
    <s v="900E"/>
    <s v="800E"/>
    <n v="5375"/>
    <n v="20"/>
    <x v="0"/>
    <x v="8"/>
    <n v="0"/>
  </r>
  <r>
    <s v="500S/MERIDIAN RD"/>
    <x v="0"/>
    <s v="50W"/>
    <s v="MERIDIAN ROAD"/>
    <n v="2675"/>
    <n v="20"/>
    <x v="1"/>
    <x v="5"/>
    <n v="0"/>
  </r>
  <r>
    <s v="500S/SR9"/>
    <x v="0"/>
    <s v="100E"/>
    <s v="SR 9"/>
    <n v="2790"/>
    <n v="20"/>
    <x v="1"/>
    <x v="5"/>
    <n v="0"/>
  </r>
  <r>
    <s v="500W"/>
    <x v="0"/>
    <s v="500N-South To"/>
    <s v="Airport Road"/>
    <n v="5000"/>
    <n v="20"/>
    <x v="4"/>
    <x v="6"/>
    <n v="0"/>
  </r>
  <r>
    <s v="500W/1000N"/>
    <x v="0"/>
    <s v="MCCORD RD."/>
    <s v="1000N"/>
    <n v="1308"/>
    <n v="20"/>
    <x v="1"/>
    <x v="2"/>
    <n v="0"/>
  </r>
  <r>
    <s v="500W/100S"/>
    <x v="0"/>
    <s v="100S"/>
    <s v="200S"/>
    <n v="5275"/>
    <n v="20"/>
    <x v="1"/>
    <x v="7"/>
    <n v="0"/>
  </r>
  <r>
    <s v="500W/200S"/>
    <x v="0"/>
    <s v="200S"/>
    <s v="300S"/>
    <n v="5310"/>
    <n v="20"/>
    <x v="1"/>
    <x v="7"/>
    <n v="0"/>
  </r>
  <r>
    <s v="500W/300N"/>
    <x v="0"/>
    <s v="300N"/>
    <s v="I70"/>
    <n v="2630"/>
    <n v="20"/>
    <x v="0"/>
    <x v="6"/>
    <n v="0"/>
  </r>
  <r>
    <s v="500W/300S"/>
    <x v="0"/>
    <s v="300S"/>
    <s v="NEW PAL"/>
    <n v="3683"/>
    <n v="20"/>
    <x v="0"/>
    <x v="7"/>
    <n v="0"/>
  </r>
  <r>
    <s v="500W/600N"/>
    <x v="0"/>
    <s v="500N"/>
    <s v="600N"/>
    <n v="5020"/>
    <n v="20"/>
    <x v="1"/>
    <x v="6"/>
    <n v="0"/>
  </r>
  <r>
    <s v="500W/700N"/>
    <x v="0"/>
    <s v="600N"/>
    <s v="700N"/>
    <n v="5371"/>
    <n v="20"/>
    <x v="0"/>
    <x v="2"/>
    <n v="0"/>
  </r>
  <r>
    <s v="500W/750N"/>
    <x v="0"/>
    <s v="700N"/>
    <s v="750N"/>
    <n v="2692"/>
    <n v="20"/>
    <x v="1"/>
    <x v="2"/>
    <n v="0"/>
  </r>
  <r>
    <s v="500W/900N"/>
    <x v="0"/>
    <s v="SR67"/>
    <s v="900N"/>
    <n v="6178"/>
    <n v="20"/>
    <x v="1"/>
    <x v="2"/>
    <n v="0"/>
  </r>
  <r>
    <s v="500W/I70"/>
    <x v="0"/>
    <s v="200N"/>
    <s v="I70"/>
    <n v="2400"/>
    <n v="20"/>
    <x v="0"/>
    <x v="6"/>
    <n v="0"/>
  </r>
  <r>
    <s v="500W/MCCORD RD"/>
    <x v="0"/>
    <s v="900N"/>
    <s v="MCCORD RD."/>
    <n v="3801"/>
    <n v="20"/>
    <x v="1"/>
    <x v="2"/>
    <n v="0"/>
  </r>
  <r>
    <s v="500W/S. NEW PAL"/>
    <x v="0"/>
    <s v="NEW PAL"/>
    <s v="600S"/>
    <n v="5725"/>
    <n v="20"/>
    <x v="1"/>
    <x v="7"/>
    <n v="0"/>
  </r>
  <r>
    <s v="500W/SR234"/>
    <x v="0"/>
    <s v="750N"/>
    <s v="SR234"/>
    <n v="2692"/>
    <n v="20"/>
    <x v="1"/>
    <x v="2"/>
    <n v="0"/>
  </r>
  <r>
    <s v="500W/SR67"/>
    <x v="0"/>
    <s v="SR234"/>
    <s v="SR67"/>
    <n v="3484"/>
    <n v="20"/>
    <x v="1"/>
    <x v="2"/>
    <n v="0"/>
  </r>
  <r>
    <s v="500W/US40"/>
    <x v="0"/>
    <s v="US40"/>
    <s v="100S"/>
    <n v="2790"/>
    <n v="20"/>
    <x v="1"/>
    <x v="7"/>
    <n v="0"/>
  </r>
  <r>
    <s v="50E/400N"/>
    <x v="0"/>
    <s v="400N"/>
    <s v="300N"/>
    <n v="5310"/>
    <n v="20"/>
    <x v="0"/>
    <x v="4"/>
    <n v="0"/>
  </r>
  <r>
    <s v="50E/500N"/>
    <x v="0"/>
    <s v="400N"/>
    <s v="500N"/>
    <n v="5330"/>
    <n v="20"/>
    <x v="0"/>
    <x v="4"/>
    <n v="0"/>
  </r>
  <r>
    <s v="50E/600N"/>
    <x v="0"/>
    <s v="500N"/>
    <s v="600N"/>
    <n v="5230"/>
    <n v="20"/>
    <x v="0"/>
    <x v="4"/>
    <n v="0"/>
  </r>
  <r>
    <s v="50E/700N"/>
    <x v="0"/>
    <s v="600N"/>
    <s v="700N"/>
    <n v="5290"/>
    <n v="20"/>
    <x v="1"/>
    <x v="3"/>
    <n v="0"/>
  </r>
  <r>
    <s v="50E/750N"/>
    <x v="0"/>
    <s v="700N"/>
    <s v="750N"/>
    <n v="2640"/>
    <n v="20"/>
    <x v="2"/>
    <x v="3"/>
    <n v="0"/>
  </r>
  <r>
    <s v="50E/SR234"/>
    <x v="0"/>
    <s v="750N"/>
    <s v="SR234"/>
    <n v="2650"/>
    <n v="20"/>
    <x v="1"/>
    <x v="3"/>
    <n v="0"/>
  </r>
  <r>
    <s v="50S/850E"/>
    <x v="0"/>
    <s v="775E"/>
    <s v="850E"/>
    <n v="2700"/>
    <n v="20"/>
    <x v="0"/>
    <x v="8"/>
    <n v="0"/>
  </r>
  <r>
    <s v="50S/E. CO. LINE"/>
    <x v="0"/>
    <s v="COUNTY LINE"/>
    <s v="850E"/>
    <n v="2740"/>
    <n v="20"/>
    <x v="0"/>
    <x v="8"/>
    <n v="0"/>
  </r>
  <r>
    <s v="50W/1000N"/>
    <x v="0"/>
    <s v="950N"/>
    <s v="1000N"/>
    <n v="2798"/>
    <n v="20"/>
    <x v="0"/>
    <x v="2"/>
    <n v="0"/>
  </r>
  <r>
    <s v="50W/1050N"/>
    <x v="0"/>
    <s v="1000N"/>
    <s v="1050N"/>
    <n v="2649"/>
    <n v="20"/>
    <x v="1"/>
    <x v="2"/>
    <n v="0"/>
  </r>
  <r>
    <s v="50W/1100N"/>
    <x v="0"/>
    <s v="1050N"/>
    <s v="1100N"/>
    <n v="2693"/>
    <n v="20"/>
    <x v="1"/>
    <x v="2"/>
    <n v="0"/>
  </r>
  <r>
    <s v="50W/300S"/>
    <x v="0"/>
    <s v="400S"/>
    <s v="300S"/>
    <n v="5340"/>
    <n v="20"/>
    <x v="0"/>
    <x v="5"/>
    <n v="0"/>
  </r>
  <r>
    <s v="50W/400S"/>
    <x v="0"/>
    <s v="500S"/>
    <s v="400S"/>
    <n v="5310"/>
    <n v="20"/>
    <x v="0"/>
    <x v="5"/>
    <n v="0"/>
  </r>
  <r>
    <s v="50W/500S"/>
    <x v="0"/>
    <s v="500S"/>
    <s v="US52"/>
    <n v="3622"/>
    <n v="20"/>
    <x v="1"/>
    <x v="5"/>
    <n v="0"/>
  </r>
  <r>
    <s v="50W/700N"/>
    <x v="0"/>
    <s v="700N"/>
    <s v="600N"/>
    <n v="5320"/>
    <n v="20"/>
    <x v="0"/>
    <x v="2"/>
    <n v="0"/>
  </r>
  <r>
    <s v="50W/850N"/>
    <x v="0"/>
    <s v="SR234"/>
    <s v="850N"/>
    <n v="2642"/>
    <n v="20"/>
    <x v="0"/>
    <x v="2"/>
    <n v="0"/>
  </r>
  <r>
    <s v="50W/900N"/>
    <x v="0"/>
    <s v="850N"/>
    <s v="900N"/>
    <n v="2640"/>
    <n v="20"/>
    <x v="0"/>
    <x v="2"/>
    <n v="0"/>
  </r>
  <r>
    <s v="50W/950N"/>
    <x v="0"/>
    <s v="900N"/>
    <s v="950N"/>
    <n v="2648"/>
    <n v="20"/>
    <x v="0"/>
    <x v="2"/>
    <n v="0"/>
  </r>
  <r>
    <s v="50W/SR234"/>
    <x v="0"/>
    <s v="SR234"/>
    <s v="700N"/>
    <n v="5330"/>
    <n v="20"/>
    <x v="0"/>
    <x v="2"/>
    <n v="0"/>
  </r>
  <r>
    <s v="525E/400N"/>
    <x v="0"/>
    <s v="300N"/>
    <s v="400N"/>
    <n v="5370"/>
    <n v="20"/>
    <x v="0"/>
    <x v="1"/>
    <n v="0"/>
  </r>
  <r>
    <s v="525W/100N"/>
    <x v="0"/>
    <s v="TWP. LINE"/>
    <s v="100N"/>
    <n v="6784"/>
    <n v="20"/>
    <x v="1"/>
    <x v="6"/>
    <n v="0"/>
  </r>
  <r>
    <s v="525W/200N"/>
    <x v="0"/>
    <s v="100N"/>
    <s v="200N"/>
    <n v="5310"/>
    <n v="20"/>
    <x v="1"/>
    <x v="6"/>
    <n v="0"/>
  </r>
  <r>
    <s v="550E/1000N"/>
    <x v="0"/>
    <s v="1000N"/>
    <s v="GRAVEL"/>
    <n v="5280"/>
    <n v="20"/>
    <x v="2"/>
    <x v="3"/>
    <n v="0"/>
  </r>
  <r>
    <s v="550N/1050E"/>
    <x v="0"/>
    <s v="1050E"/>
    <s v="1000E"/>
    <n v="2700"/>
    <n v="20"/>
    <x v="0"/>
    <x v="1"/>
    <n v="0"/>
  </r>
  <r>
    <s v="550N/E. CO. LINE"/>
    <x v="0"/>
    <s v="1050E"/>
    <s v="E.CO.LINE"/>
    <n v="2755"/>
    <n v="20"/>
    <x v="1"/>
    <x v="1"/>
    <n v="0"/>
  </r>
  <r>
    <s v="550N/END"/>
    <x v="0"/>
    <s v="SR9"/>
    <s v="END"/>
    <n v="2792"/>
    <n v="20"/>
    <x v="2"/>
    <x v="4"/>
    <n v="0"/>
  </r>
  <r>
    <s v="550S/500E"/>
    <x v="0"/>
    <s v="500E"/>
    <s v="400E"/>
    <n v="4665"/>
    <n v="20"/>
    <x v="2"/>
    <x v="8"/>
    <n v="0"/>
  </r>
  <r>
    <s v="550S/800E"/>
    <x v="0"/>
    <s v="575E"/>
    <s v="800E"/>
    <n v="11555"/>
    <n v="20"/>
    <x v="0"/>
    <x v="8"/>
    <n v="0"/>
  </r>
  <r>
    <s v="550S/900E"/>
    <x v="0"/>
    <s v="800E"/>
    <s v="900E"/>
    <n v="5362"/>
    <n v="20"/>
    <x v="2"/>
    <x v="8"/>
    <n v="0"/>
  </r>
  <r>
    <s v="550W/STINEMYER RD"/>
    <x v="0"/>
    <s v="600S"/>
    <s v="STINEMYER RD."/>
    <n v="6100"/>
    <n v="20"/>
    <x v="0"/>
    <x v="7"/>
    <n v="0"/>
  </r>
  <r>
    <s v="550W/US52"/>
    <x v="0"/>
    <s v="STINEMYER RD."/>
    <s v="US52"/>
    <n v="2008"/>
    <n v="20"/>
    <x v="1"/>
    <x v="7"/>
    <n v="0"/>
  </r>
  <r>
    <s v="575E/500S"/>
    <x v="0"/>
    <s v="500S"/>
    <s v="550S"/>
    <n v="3907"/>
    <n v="20"/>
    <x v="1"/>
    <x v="8"/>
    <n v="0"/>
  </r>
  <r>
    <s v="575E/550S"/>
    <x v="0"/>
    <s v="550S"/>
    <s v="600S"/>
    <n v="2798"/>
    <n v="20"/>
    <x v="1"/>
    <x v="8"/>
    <n v="0"/>
  </r>
  <r>
    <s v="600E/1000N"/>
    <x v="0"/>
    <s v="900N"/>
    <s v="1000N"/>
    <n v="5438"/>
    <n v="20"/>
    <x v="1"/>
    <x v="3"/>
    <n v="0"/>
  </r>
  <r>
    <s v="600E/100N"/>
    <x v="0"/>
    <s v="US40"/>
    <s v="100N"/>
    <n v="4240"/>
    <n v="20"/>
    <x v="1"/>
    <x v="1"/>
    <n v="0"/>
  </r>
  <r>
    <s v="600E/100S"/>
    <x v="0"/>
    <s v="200S"/>
    <s v="100S"/>
    <n v="5840"/>
    <n v="20"/>
    <x v="1"/>
    <x v="8"/>
    <n v="0"/>
  </r>
  <r>
    <s v="600E/200N"/>
    <x v="0"/>
    <s v="100N"/>
    <s v="200N"/>
    <n v="5385"/>
    <n v="20"/>
    <x v="1"/>
    <x v="1"/>
    <n v="0"/>
  </r>
  <r>
    <s v="600E/200S"/>
    <x v="0"/>
    <s v="200S"/>
    <s v="250S"/>
    <n v="2164"/>
    <n v="20"/>
    <x v="1"/>
    <x v="8"/>
    <n v="0"/>
  </r>
  <r>
    <s v="600E/250N"/>
    <x v="0"/>
    <s v="200N"/>
    <s v="250N"/>
    <n v="2693"/>
    <n v="20"/>
    <x v="1"/>
    <x v="1"/>
    <n v="0"/>
  </r>
  <r>
    <s v="600E/250S"/>
    <x v="0"/>
    <s v="250S"/>
    <s v="300S"/>
    <n v="2692"/>
    <n v="20"/>
    <x v="1"/>
    <x v="8"/>
    <n v="0"/>
  </r>
  <r>
    <s v="600E/300N"/>
    <x v="0"/>
    <s v="250N"/>
    <s v="300N"/>
    <n v="2640"/>
    <n v="20"/>
    <x v="1"/>
    <x v="1"/>
    <n v="0"/>
  </r>
  <r>
    <s v="600E/300S"/>
    <x v="0"/>
    <s v="400S"/>
    <s v="300S"/>
    <n v="5365"/>
    <n v="20"/>
    <x v="1"/>
    <x v="8"/>
    <n v="0"/>
  </r>
  <r>
    <s v="600E/400N"/>
    <x v="0"/>
    <s v="300N"/>
    <s v="400N"/>
    <n v="5370"/>
    <n v="20"/>
    <x v="1"/>
    <x v="1"/>
    <n v="0"/>
  </r>
  <r>
    <s v="600E/400S"/>
    <x v="0"/>
    <s v="500S"/>
    <s v="400S"/>
    <n v="5300"/>
    <n v="20"/>
    <x v="1"/>
    <x v="8"/>
    <n v="0"/>
  </r>
  <r>
    <s v="600E/500N"/>
    <x v="0"/>
    <s v="400N"/>
    <s v="500N"/>
    <n v="5385"/>
    <n v="20"/>
    <x v="1"/>
    <x v="1"/>
    <n v="0"/>
  </r>
  <r>
    <s v="600E/600N"/>
    <x v="0"/>
    <s v="600N"/>
    <s v="500N"/>
    <n v="5030"/>
    <n v="20"/>
    <x v="1"/>
    <x v="1"/>
    <n v="0"/>
  </r>
  <r>
    <s v="600E/650N"/>
    <x v="0"/>
    <s v="600N"/>
    <s v="650N"/>
    <n v="2628"/>
    <n v="20"/>
    <x v="1"/>
    <x v="3"/>
    <n v="0"/>
  </r>
  <r>
    <s v="600E/700N"/>
    <x v="0"/>
    <s v="650N"/>
    <s v="700N"/>
    <n v="2692"/>
    <n v="20"/>
    <x v="1"/>
    <x v="3"/>
    <n v="0"/>
  </r>
  <r>
    <s v="600E/900N"/>
    <x v="0"/>
    <s v="SR234"/>
    <s v="900N"/>
    <n v="4332"/>
    <n v="20"/>
    <x v="1"/>
    <x v="3"/>
    <n v="0"/>
  </r>
  <r>
    <s v="600E/N. TWP LINE"/>
    <x v="0"/>
    <s v="TWP. LINE"/>
    <s v="100S"/>
    <n v="5017"/>
    <n v="20"/>
    <x v="1"/>
    <x v="8"/>
    <n v="0"/>
  </r>
  <r>
    <s v="600E/SR234"/>
    <x v="0"/>
    <s v="700N"/>
    <s v="SR234"/>
    <n v="5332"/>
    <n v="20"/>
    <x v="1"/>
    <x v="3"/>
    <n v="0"/>
  </r>
  <r>
    <s v="600E/US40"/>
    <x v="0"/>
    <s v="US40"/>
    <s v="TWP. LINE"/>
    <n v="988"/>
    <n v="20"/>
    <x v="1"/>
    <x v="1"/>
    <n v="0"/>
  </r>
  <r>
    <s v="600N/200W"/>
    <x v="0"/>
    <s v="200W"/>
    <s v="300W"/>
    <n v="5352"/>
    <n v="20"/>
    <x v="1"/>
    <x v="2"/>
    <n v="0"/>
  </r>
  <r>
    <s v="600N/250E"/>
    <x v="0"/>
    <s v="250E"/>
    <s v="SR9"/>
    <n v="3534"/>
    <n v="20"/>
    <x v="1"/>
    <x v="3"/>
    <n v="0"/>
  </r>
  <r>
    <s v="600N/25W"/>
    <x v="0"/>
    <s v="25W"/>
    <s v="50W"/>
    <n v="2227"/>
    <n v="20"/>
    <x v="1"/>
    <x v="2"/>
    <n v="0"/>
  </r>
  <r>
    <s v="600N/300E"/>
    <x v="0"/>
    <s v="300E"/>
    <s v="250E"/>
    <n v="2755"/>
    <n v="20"/>
    <x v="1"/>
    <x v="3"/>
    <n v="0"/>
  </r>
  <r>
    <s v="600N/300W"/>
    <x v="0"/>
    <s v="300W"/>
    <s v="350W"/>
    <n v="2668"/>
    <n v="20"/>
    <x v="1"/>
    <x v="2"/>
    <n v="0"/>
  </r>
  <r>
    <s v="600N/350W"/>
    <x v="0"/>
    <s v="350W"/>
    <s v="400W"/>
    <n v="2671"/>
    <n v="20"/>
    <x v="1"/>
    <x v="2"/>
    <n v="0"/>
  </r>
  <r>
    <s v="600N/400E"/>
    <x v="0"/>
    <s v="400E"/>
    <s v="300E"/>
    <n v="5262"/>
    <n v="20"/>
    <x v="1"/>
    <x v="3"/>
    <n v="0"/>
  </r>
  <r>
    <s v="600N/400W"/>
    <x v="0"/>
    <s v="400W"/>
    <s v="500W"/>
    <n v="3994"/>
    <n v="20"/>
    <x v="1"/>
    <x v="2"/>
    <n v="0"/>
  </r>
  <r>
    <s v="600N/500E"/>
    <x v="0"/>
    <s v="500E"/>
    <s v="400E"/>
    <n v="5329"/>
    <n v="20"/>
    <x v="1"/>
    <x v="3"/>
    <n v="0"/>
  </r>
  <r>
    <s v="600N/500W"/>
    <x v="0"/>
    <s v="500W"/>
    <s v="600W"/>
    <n v="6134"/>
    <n v="20"/>
    <x v="1"/>
    <x v="2"/>
    <n v="0"/>
  </r>
  <r>
    <s v="600N/50E"/>
    <x v="0"/>
    <s v="50E"/>
    <s v="25W"/>
    <n v="4407"/>
    <n v="20"/>
    <x v="1"/>
    <x v="3"/>
    <n v="0"/>
  </r>
  <r>
    <s v="600N/50W"/>
    <x v="0"/>
    <s v="50W"/>
    <s v="FORTVILLE PK."/>
    <n v="2405"/>
    <n v="20"/>
    <x v="1"/>
    <x v="2"/>
    <n v="0"/>
  </r>
  <r>
    <s v="600N/600E"/>
    <x v="0"/>
    <s v="600E"/>
    <s v="500E"/>
    <n v="5452"/>
    <n v="20"/>
    <x v="1"/>
    <x v="3"/>
    <n v="0"/>
  </r>
  <r>
    <s v="600N/600W"/>
    <x v="0"/>
    <s v="600W"/>
    <s v="700W"/>
    <n v="5011"/>
    <n v="20"/>
    <x v="1"/>
    <x v="2"/>
    <n v="0"/>
  </r>
  <r>
    <s v="600N/700E"/>
    <x v="0"/>
    <s v="MAIN ST."/>
    <s v="700E"/>
    <n v="3713"/>
    <n v="20"/>
    <x v="1"/>
    <x v="0"/>
    <n v="0"/>
  </r>
  <r>
    <s v="600N/800E"/>
    <x v="0"/>
    <s v="700E"/>
    <s v="800E"/>
    <n v="4724"/>
    <n v="20"/>
    <x v="1"/>
    <x v="0"/>
    <n v="0"/>
  </r>
  <r>
    <s v="600N/850E"/>
    <x v="0"/>
    <s v="800E"/>
    <s v="850E"/>
    <n v="2725"/>
    <n v="20"/>
    <x v="1"/>
    <x v="0"/>
    <n v="0"/>
  </r>
  <r>
    <s v="600N/875E"/>
    <x v="0"/>
    <s v="850E"/>
    <s v="875E"/>
    <n v="1235"/>
    <n v="20"/>
    <x v="1"/>
    <x v="0"/>
    <n v="0"/>
  </r>
  <r>
    <s v="600N/FORTVILLE PK"/>
    <x v="0"/>
    <s v="FORTVILLE PK."/>
    <s v="200W"/>
    <n v="5516"/>
    <n v="20"/>
    <x v="1"/>
    <x v="2"/>
    <n v="0"/>
  </r>
  <r>
    <s v="600N/MAIN ST."/>
    <x v="0"/>
    <s v="600E"/>
    <s v="MAIN ST."/>
    <n v="1620"/>
    <n v="20"/>
    <x v="1"/>
    <x v="0"/>
    <n v="0"/>
  </r>
  <r>
    <s v="600N/SR9"/>
    <x v="0"/>
    <s v="SR9"/>
    <s v="50E"/>
    <n v="5782"/>
    <n v="20"/>
    <x v="1"/>
    <x v="3"/>
    <n v="0"/>
  </r>
  <r>
    <s v="600S/100W"/>
    <x v="0"/>
    <s v="150W"/>
    <s v="100W"/>
    <n v="2983"/>
    <n v="20"/>
    <x v="1"/>
    <x v="5"/>
    <n v="0"/>
  </r>
  <r>
    <s v="600S/150W"/>
    <x v="0"/>
    <s v="300W"/>
    <s v="150W"/>
    <n v="7796"/>
    <n v="20"/>
    <x v="1"/>
    <x v="7"/>
    <n v="0"/>
  </r>
  <r>
    <s v="600S/300E"/>
    <x v="0"/>
    <s v="200E"/>
    <s v="300E"/>
    <n v="5365"/>
    <n v="20"/>
    <x v="1"/>
    <x v="5"/>
    <n v="0"/>
  </r>
  <r>
    <s v="600S/300W"/>
    <x v="0"/>
    <s v="400W"/>
    <s v="300W"/>
    <n v="5297"/>
    <n v="20"/>
    <x v="1"/>
    <x v="7"/>
    <n v="0"/>
  </r>
  <r>
    <s v="600S/400E"/>
    <x v="0"/>
    <s v="300E"/>
    <s v="400E"/>
    <n v="5315"/>
    <n v="20"/>
    <x v="1"/>
    <x v="5"/>
    <n v="0"/>
  </r>
  <r>
    <s v="600S/400W"/>
    <x v="0"/>
    <s v="450W"/>
    <s v="400W"/>
    <n v="2655"/>
    <n v="20"/>
    <x v="1"/>
    <x v="7"/>
    <n v="0"/>
  </r>
  <r>
    <s v="600S/450W"/>
    <x v="0"/>
    <s v="500W"/>
    <s v="450W"/>
    <n v="3058"/>
    <n v="20"/>
    <x v="1"/>
    <x v="7"/>
    <n v="0"/>
  </r>
  <r>
    <s v="600S/500E"/>
    <x v="0"/>
    <s v="400E"/>
    <s v="500E"/>
    <n v="5320"/>
    <n v="20"/>
    <x v="0"/>
    <x v="8"/>
    <n v="0"/>
  </r>
  <r>
    <s v="600S/500W"/>
    <x v="0"/>
    <s v="550W"/>
    <s v="500W"/>
    <n v="2308"/>
    <n v="20"/>
    <x v="1"/>
    <x v="7"/>
    <n v="0"/>
  </r>
  <r>
    <s v="600S/550W"/>
    <x v="0"/>
    <s v="600W"/>
    <s v="550W"/>
    <n v="2648"/>
    <n v="20"/>
    <x v="1"/>
    <x v="7"/>
    <n v="0"/>
  </r>
  <r>
    <s v="600S/600W"/>
    <x v="0"/>
    <s v="675W"/>
    <s v="600W"/>
    <n v="4004"/>
    <n v="20"/>
    <x v="1"/>
    <x v="7"/>
    <n v="0"/>
  </r>
  <r>
    <s v="600S/675W"/>
    <x v="0"/>
    <s v="800W"/>
    <s v="675W"/>
    <n v="6617"/>
    <n v="20"/>
    <x v="1"/>
    <x v="7"/>
    <n v="0"/>
  </r>
  <r>
    <s v="600S/800E"/>
    <x v="0"/>
    <s v="800E"/>
    <s v="575E"/>
    <n v="12187"/>
    <n v="20"/>
    <x v="0"/>
    <x v="8"/>
    <n v="0"/>
  </r>
  <r>
    <s v="600S/900E"/>
    <x v="0"/>
    <s v="900E"/>
    <s v="800E"/>
    <n v="5345"/>
    <n v="20"/>
    <x v="0"/>
    <x v="8"/>
    <n v="0"/>
  </r>
  <r>
    <s v="600W/100N"/>
    <x v="0"/>
    <s v="S.TWP.LINE"/>
    <s v="100N"/>
    <n v="5316"/>
    <n v="20"/>
    <x v="1"/>
    <x v="6"/>
    <n v="0"/>
  </r>
  <r>
    <s v="600W/100S"/>
    <x v="0"/>
    <s v="200S"/>
    <s v="100S"/>
    <n v="5100"/>
    <n v="20"/>
    <x v="1"/>
    <x v="7"/>
    <n v="0"/>
  </r>
  <r>
    <s v="600W/200N"/>
    <x v="0"/>
    <s v="100N"/>
    <s v="200N"/>
    <n v="5300"/>
    <n v="20"/>
    <x v="1"/>
    <x v="6"/>
    <n v="0"/>
  </r>
  <r>
    <s v="600W/200S"/>
    <x v="0"/>
    <s v="300S"/>
    <s v="200S"/>
    <n v="5325"/>
    <n v="20"/>
    <x v="1"/>
    <x v="7"/>
    <n v="0"/>
  </r>
  <r>
    <s v="600W/225N"/>
    <x v="0"/>
    <s v="200N"/>
    <s v="225N"/>
    <n v="1100"/>
    <n v="20"/>
    <x v="1"/>
    <x v="6"/>
    <n v="0"/>
  </r>
  <r>
    <s v="600W/300N"/>
    <x v="0"/>
    <s v="225N"/>
    <s v="300N"/>
    <n v="800"/>
    <n v="20"/>
    <x v="1"/>
    <x v="6"/>
    <n v="0"/>
  </r>
  <r>
    <s v="600W/300S"/>
    <x v="0"/>
    <s v="SR52"/>
    <s v="300S"/>
    <n v="5840"/>
    <n v="20"/>
    <x v="1"/>
    <x v="7"/>
    <n v="0"/>
  </r>
  <r>
    <s v="600W/350N"/>
    <x v="0"/>
    <s v="STATION WAY"/>
    <s v="350N"/>
    <n v="1163"/>
    <n v="20"/>
    <x v="1"/>
    <x v="6"/>
    <n v="0"/>
  </r>
  <r>
    <s v="600W/400N"/>
    <x v="0"/>
    <s v="350N"/>
    <s v="400N"/>
    <n v="3907"/>
    <n v="20"/>
    <x v="1"/>
    <x v="6"/>
    <n v="0"/>
  </r>
  <r>
    <s v="600W/500N"/>
    <x v="0"/>
    <s v="400N"/>
    <s v="500N"/>
    <n v="5386"/>
    <n v="20"/>
    <x v="1"/>
    <x v="6"/>
    <n v="0"/>
  </r>
  <r>
    <s v="600W/600N"/>
    <x v="0"/>
    <s v="500N"/>
    <s v="600N"/>
    <n v="5110"/>
    <n v="20"/>
    <x v="1"/>
    <x v="6"/>
    <n v="0"/>
  </r>
  <r>
    <s v="600W/CSX"/>
    <x v="0"/>
    <s v="CSX"/>
    <s v="STINEMYER RD."/>
    <n v="2100"/>
    <n v="20"/>
    <x v="1"/>
    <x v="7"/>
    <n v="0"/>
  </r>
  <r>
    <s v="600W/STINEMYER RD"/>
    <x v="0"/>
    <s v="STINEMYER RD."/>
    <s v="600S"/>
    <n v="6270"/>
    <n v="20"/>
    <x v="1"/>
    <x v="7"/>
    <n v="0"/>
  </r>
  <r>
    <s v="600W/US40"/>
    <x v="0"/>
    <s v="100S"/>
    <s v="US40"/>
    <n v="2701"/>
    <n v="20"/>
    <x v="1"/>
    <x v="7"/>
    <n v="0"/>
  </r>
  <r>
    <s v="625E/1100N"/>
    <x v="0"/>
    <s v="1100N"/>
    <s v="1000N"/>
    <n v="5335"/>
    <n v="20"/>
    <x v="0"/>
    <x v="0"/>
    <n v="0"/>
  </r>
  <r>
    <s v="625N/300E"/>
    <x v="0"/>
    <s v="300E"/>
    <s v="250E"/>
    <n v="2530"/>
    <n v="20"/>
    <x v="1"/>
    <x v="3"/>
    <n v="0"/>
  </r>
  <r>
    <s v="650N/1000E"/>
    <x v="0"/>
    <s v="900E"/>
    <s v="1000E"/>
    <n v="5808"/>
    <n v="20"/>
    <x v="1"/>
    <x v="0"/>
    <n v="0"/>
  </r>
  <r>
    <s v="650N/1050E"/>
    <x v="0"/>
    <s v="1000E"/>
    <s v="1050E"/>
    <n v="3482"/>
    <n v="20"/>
    <x v="1"/>
    <x v="0"/>
    <n v="0"/>
  </r>
  <r>
    <s v="650N/1125E"/>
    <x v="0"/>
    <s v="SR109"/>
    <s v="1125E"/>
    <n v="2921"/>
    <n v="20"/>
    <x v="0"/>
    <x v="0"/>
    <n v="0"/>
  </r>
  <r>
    <s v="650N/1200E"/>
    <x v="0"/>
    <s v="1125E"/>
    <s v="1200E"/>
    <n v="4071"/>
    <n v="20"/>
    <x v="0"/>
    <x v="0"/>
    <n v="0"/>
  </r>
  <r>
    <s v="650N/400E"/>
    <x v="0"/>
    <s v="400E"/>
    <s v="400E"/>
    <n v="1288"/>
    <n v="20"/>
    <x v="1"/>
    <x v="3"/>
    <n v="0"/>
  </r>
  <r>
    <s v="650N/500E"/>
    <x v="0"/>
    <s v="500E"/>
    <s v="400E"/>
    <n v="5360"/>
    <n v="20"/>
    <x v="0"/>
    <x v="3"/>
    <n v="0"/>
  </r>
  <r>
    <s v="650N/600E"/>
    <x v="0"/>
    <s v="600E"/>
    <s v="500E"/>
    <n v="5290"/>
    <n v="20"/>
    <x v="0"/>
    <x v="3"/>
    <n v="0"/>
  </r>
  <r>
    <s v="650N/600W"/>
    <x v="0"/>
    <s v="650W"/>
    <s v="700W"/>
    <n v="2700"/>
    <n v="20"/>
    <x v="1"/>
    <x v="2"/>
    <n v="0"/>
  </r>
  <r>
    <s v="650N/700E"/>
    <x v="0"/>
    <s v="MAIN ST."/>
    <s v="700E"/>
    <n v="3340"/>
    <n v="20"/>
    <x v="1"/>
    <x v="0"/>
    <n v="0"/>
  </r>
  <r>
    <s v="650N/725E"/>
    <x v="0"/>
    <s v="700E"/>
    <s v="725E"/>
    <n v="1372"/>
    <n v="20"/>
    <x v="1"/>
    <x v="0"/>
    <n v="0"/>
  </r>
  <r>
    <s v="650N/800E"/>
    <x v="0"/>
    <s v="725E"/>
    <s v="800E"/>
    <n v="676"/>
    <n v="20"/>
    <x v="1"/>
    <x v="0"/>
    <n v="0"/>
  </r>
  <r>
    <s v="650N/875E"/>
    <x v="0"/>
    <s v="800E"/>
    <s v="875E"/>
    <n v="4118"/>
    <n v="20"/>
    <x v="1"/>
    <x v="0"/>
    <n v="0"/>
  </r>
  <r>
    <s v="650N/900E"/>
    <x v="0"/>
    <s v="875E"/>
    <s v="900E"/>
    <n v="2270"/>
    <n v="20"/>
    <x v="1"/>
    <x v="0"/>
    <n v="0"/>
  </r>
  <r>
    <s v="650N/MAIN ST"/>
    <x v="0"/>
    <s v="THOMAS RD."/>
    <s v="MAIN ST."/>
    <n v="865"/>
    <n v="20"/>
    <x v="1"/>
    <x v="0"/>
    <n v="0"/>
  </r>
  <r>
    <s v="650N/SR109"/>
    <x v="0"/>
    <s v="1050E"/>
    <s v="SR109"/>
    <n v="1225"/>
    <n v="20"/>
    <x v="1"/>
    <x v="0"/>
    <n v="0"/>
  </r>
  <r>
    <s v="650N/THOMAS RD."/>
    <x v="0"/>
    <s v="600E"/>
    <s v="THOMAS RD."/>
    <n v="1076"/>
    <n v="20"/>
    <x v="1"/>
    <x v="0"/>
    <n v="0"/>
  </r>
  <r>
    <s v="650W/US52"/>
    <x v="0"/>
    <s v="STINEMYER RD."/>
    <s v="US52"/>
    <n v="1800"/>
    <n v="20"/>
    <x v="0"/>
    <x v="7"/>
    <n v="0"/>
  </r>
  <r>
    <s v="675E/1000N"/>
    <x v="0"/>
    <s v="1000N"/>
    <s v="950N"/>
    <n v="2677"/>
    <n v="20"/>
    <x v="1"/>
    <x v="0"/>
    <n v="0"/>
  </r>
  <r>
    <s v="675E/100S"/>
    <x v="0"/>
    <s v="100S"/>
    <s v="200S"/>
    <n v="5300"/>
    <n v="20"/>
    <x v="0"/>
    <x v="8"/>
    <n v="0"/>
  </r>
  <r>
    <s v="675E/900N"/>
    <x v="0"/>
    <s v="SR234"/>
    <s v="900N"/>
    <n v="5300"/>
    <n v="20"/>
    <x v="1"/>
    <x v="0"/>
    <n v="0"/>
  </r>
  <r>
    <s v="675E/950N"/>
    <x v="0"/>
    <s v="950N"/>
    <s v="900N"/>
    <n v="2682"/>
    <n v="20"/>
    <x v="1"/>
    <x v="0"/>
    <n v="0"/>
  </r>
  <r>
    <s v="675E/N. TWP LINE"/>
    <x v="0"/>
    <s v="TWP. LINE"/>
    <s v="100S"/>
    <n v="5419"/>
    <n v="20"/>
    <x v="0"/>
    <x v="8"/>
    <n v="0"/>
  </r>
  <r>
    <s v="675E/NASHVILLE RD."/>
    <x v="0"/>
    <s v="1000N"/>
    <s v="NASHVILLE RD."/>
    <n v="4640"/>
    <n v="20"/>
    <x v="1"/>
    <x v="0"/>
    <n v="0"/>
  </r>
  <r>
    <s v="675E/S. TWP LINE"/>
    <x v="0"/>
    <s v="US40"/>
    <s v="TWP. LINE"/>
    <n v="1382"/>
    <n v="20"/>
    <x v="2"/>
    <x v="1"/>
    <n v="0"/>
  </r>
  <r>
    <s v="675W/STINEMYER RD"/>
    <x v="0"/>
    <s v="STINEMYER RD."/>
    <s v="600S"/>
    <n v="6710"/>
    <n v="20"/>
    <x v="2"/>
    <x v="7"/>
    <n v="0"/>
  </r>
  <r>
    <s v="700E/100N"/>
    <x v="0"/>
    <s v="SR40"/>
    <s v="100N"/>
    <n v="4170"/>
    <n v="20"/>
    <x v="1"/>
    <x v="1"/>
    <n v="0"/>
  </r>
  <r>
    <s v="700E/150N"/>
    <x v="0"/>
    <s v="100N"/>
    <s v="150N"/>
    <n v="2962"/>
    <n v="20"/>
    <x v="1"/>
    <x v="1"/>
    <n v="0"/>
  </r>
  <r>
    <s v="700E/200N"/>
    <x v="0"/>
    <s v="150N"/>
    <s v="200N"/>
    <n v="2992"/>
    <n v="20"/>
    <x v="1"/>
    <x v="1"/>
    <n v="0"/>
  </r>
  <r>
    <s v="700E/200S"/>
    <x v="0"/>
    <s v="200S"/>
    <s v="250S"/>
    <n v="2665"/>
    <n v="20"/>
    <x v="0"/>
    <x v="8"/>
    <n v="0"/>
  </r>
  <r>
    <s v="700E/250N"/>
    <x v="0"/>
    <s v="200N"/>
    <s v="250N"/>
    <n v="2693"/>
    <n v="20"/>
    <x v="1"/>
    <x v="1"/>
    <n v="0"/>
  </r>
  <r>
    <s v="700E/250S"/>
    <x v="0"/>
    <s v="250S"/>
    <s v="300S"/>
    <n v="2640"/>
    <n v="20"/>
    <x v="1"/>
    <x v="8"/>
    <n v="0"/>
  </r>
  <r>
    <s v="700E/300S"/>
    <x v="0"/>
    <s v="300S"/>
    <s v="400S"/>
    <n v="5255"/>
    <n v="20"/>
    <x v="0"/>
    <x v="8"/>
    <n v="0"/>
  </r>
  <r>
    <s v="700E/400N"/>
    <x v="0"/>
    <s v="300N"/>
    <s v="400N"/>
    <n v="5270"/>
    <n v="20"/>
    <x v="0"/>
    <x v="1"/>
    <n v="0"/>
  </r>
  <r>
    <s v="700E/400S"/>
    <x v="0"/>
    <s v="400S"/>
    <s v="450S"/>
    <n v="2635"/>
    <n v="20"/>
    <x v="0"/>
    <x v="8"/>
    <n v="0"/>
  </r>
  <r>
    <s v="700E/500N"/>
    <x v="0"/>
    <s v="400N"/>
    <s v="500N"/>
    <n v="5264"/>
    <n v="20"/>
    <x v="2"/>
    <x v="1"/>
    <n v="0"/>
  </r>
  <r>
    <s v="700E/600N"/>
    <x v="0"/>
    <s v="600N"/>
    <s v="500N"/>
    <n v="5030"/>
    <n v="20"/>
    <x v="1"/>
    <x v="1"/>
    <n v="0"/>
  </r>
  <r>
    <s v="700E/650N"/>
    <x v="0"/>
    <s v="600N"/>
    <s v="650N"/>
    <n v="2655"/>
    <n v="20"/>
    <x v="0"/>
    <x v="0"/>
    <n v="0"/>
  </r>
  <r>
    <s v="700N/1125E"/>
    <x v="0"/>
    <s v="E.CORP, LINE"/>
    <s v="1125E"/>
    <n v="3960"/>
    <n v="20"/>
    <x v="1"/>
    <x v="0"/>
    <n v="0"/>
  </r>
  <r>
    <s v="700N/1200E"/>
    <x v="0"/>
    <s v="1125E"/>
    <s v="1200E"/>
    <n v="4080"/>
    <n v="20"/>
    <x v="1"/>
    <x v="0"/>
    <n v="0"/>
  </r>
  <r>
    <s v="700N/250E"/>
    <x v="0"/>
    <s v="250E"/>
    <s v="SR9"/>
    <n v="3590"/>
    <n v="20"/>
    <x v="1"/>
    <x v="3"/>
    <n v="0"/>
  </r>
  <r>
    <s v="700N/300E"/>
    <x v="0"/>
    <s v="300E"/>
    <s v="250E"/>
    <n v="2693"/>
    <n v="20"/>
    <x v="1"/>
    <x v="3"/>
    <n v="0"/>
  </r>
  <r>
    <s v="700N/300W"/>
    <x v="0"/>
    <s v="300W"/>
    <s v="350W"/>
    <n v="2692"/>
    <n v="20"/>
    <x v="1"/>
    <x v="2"/>
    <n v="0"/>
  </r>
  <r>
    <s v="700N/350W"/>
    <x v="0"/>
    <s v="350W"/>
    <s v="400W"/>
    <n v="2692"/>
    <n v="20"/>
    <x v="1"/>
    <x v="2"/>
    <n v="0"/>
  </r>
  <r>
    <s v="700N/400E"/>
    <x v="0"/>
    <s v="400E"/>
    <s v="TROY RD."/>
    <n v="2700"/>
    <n v="20"/>
    <x v="1"/>
    <x v="3"/>
    <n v="0"/>
  </r>
  <r>
    <s v="700N/400W"/>
    <x v="0"/>
    <s v="400W"/>
    <s v="475W"/>
    <n v="2602"/>
    <n v="20"/>
    <x v="1"/>
    <x v="2"/>
    <n v="0"/>
  </r>
  <r>
    <s v="700N/475W"/>
    <x v="0"/>
    <s v="475W"/>
    <s v="500W"/>
    <n v="1372"/>
    <n v="20"/>
    <x v="1"/>
    <x v="2"/>
    <n v="0"/>
  </r>
  <r>
    <s v="700N/500E"/>
    <x v="0"/>
    <s v="500E"/>
    <s v="400E"/>
    <n v="6758"/>
    <n v="20"/>
    <x v="0"/>
    <x v="3"/>
    <n v="0"/>
  </r>
  <r>
    <s v="700N/500W"/>
    <x v="0"/>
    <s v="600W"/>
    <s v="500W"/>
    <n v="4636"/>
    <n v="20"/>
    <x v="1"/>
    <x v="2"/>
    <n v="0"/>
  </r>
  <r>
    <s v="700N/50E"/>
    <x v="0"/>
    <s v="50E"/>
    <s v="MERIDIAN RD."/>
    <n v="2660"/>
    <n v="20"/>
    <x v="1"/>
    <x v="3"/>
    <n v="0"/>
  </r>
  <r>
    <s v="700N/50W"/>
    <x v="0"/>
    <s v="50W"/>
    <s v="FORTVILLE PK."/>
    <n v="2217"/>
    <n v="20"/>
    <x v="0"/>
    <x v="2"/>
    <n v="0"/>
  </r>
  <r>
    <s v="700N/600E"/>
    <x v="0"/>
    <s v="600E"/>
    <s v="500E"/>
    <n v="5328"/>
    <n v="20"/>
    <x v="0"/>
    <x v="3"/>
    <n v="0"/>
  </r>
  <r>
    <s v="700N/900E"/>
    <x v="0"/>
    <s v="775E"/>
    <s v="900E"/>
    <n v="6738"/>
    <n v="20"/>
    <x v="1"/>
    <x v="0"/>
    <n v="0"/>
  </r>
  <r>
    <s v="700N/FORTVILLE PK"/>
    <x v="0"/>
    <s v="FORTVILLE PK."/>
    <s v="200W"/>
    <n v="5791"/>
    <n v="20"/>
    <x v="1"/>
    <x v="2"/>
    <n v="0"/>
  </r>
  <r>
    <s v="700N/MERIDIAN RD"/>
    <x v="0"/>
    <s v="MERIDIAN RD."/>
    <s v="50W"/>
    <n v="2667"/>
    <n v="20"/>
    <x v="0"/>
    <x v="2"/>
    <n v="0"/>
  </r>
  <r>
    <s v="700N/SR109"/>
    <x v="0"/>
    <s v="900E"/>
    <s v="SR109"/>
    <n v="5650"/>
    <n v="20"/>
    <x v="1"/>
    <x v="0"/>
    <n v="0"/>
  </r>
  <r>
    <s v="700N/SR9"/>
    <x v="0"/>
    <s v="SR9"/>
    <s v="50E"/>
    <n v="5670"/>
    <n v="20"/>
    <x v="1"/>
    <x v="3"/>
    <n v="0"/>
  </r>
  <r>
    <s v="700N/TROY RD"/>
    <x v="0"/>
    <s v="TROY RD."/>
    <s v="300E"/>
    <n v="1328"/>
    <n v="20"/>
    <x v="1"/>
    <x v="3"/>
    <n v="0"/>
  </r>
  <r>
    <s v="700W/100N"/>
    <x v="0"/>
    <s v="100N"/>
    <s v="US 40"/>
    <n v="7230"/>
    <n v="20"/>
    <x v="1"/>
    <x v="6"/>
    <n v="0"/>
  </r>
  <r>
    <s v="700W/100S"/>
    <x v="0"/>
    <s v="100S"/>
    <s v="200S"/>
    <n v="5330"/>
    <n v="20"/>
    <x v="1"/>
    <x v="7"/>
    <n v="0"/>
  </r>
  <r>
    <s v="700W/150N"/>
    <x v="0"/>
    <s v="100N"/>
    <s v="150N"/>
    <n v="2798"/>
    <n v="20"/>
    <x v="1"/>
    <x v="6"/>
    <n v="0"/>
  </r>
  <r>
    <s v="700W/200N"/>
    <x v="0"/>
    <s v="150N"/>
    <s v="200N"/>
    <n v="2006"/>
    <n v="20"/>
    <x v="1"/>
    <x v="6"/>
    <n v="0"/>
  </r>
  <r>
    <s v="700W/200S"/>
    <x v="0"/>
    <s v="200S"/>
    <s v="300S"/>
    <n v="5330"/>
    <n v="20"/>
    <x v="1"/>
    <x v="7"/>
    <n v="0"/>
  </r>
  <r>
    <s v="700W/300N"/>
    <x v="0"/>
    <s v="200N"/>
    <s v="300N"/>
    <n v="5416"/>
    <n v="20"/>
    <x v="1"/>
    <x v="6"/>
    <n v="0"/>
  </r>
  <r>
    <s v="700W/300S"/>
    <x v="0"/>
    <s v="300S"/>
    <s v="SR52"/>
    <n v="4180"/>
    <n v="20"/>
    <x v="1"/>
    <x v="7"/>
    <n v="0"/>
  </r>
  <r>
    <s v="700W/350N"/>
    <x v="0"/>
    <s v="300N"/>
    <s v="350N"/>
    <n v="2587"/>
    <n v="20"/>
    <x v="1"/>
    <x v="6"/>
    <n v="0"/>
  </r>
  <r>
    <s v="700W/400N"/>
    <x v="0"/>
    <s v="350N"/>
    <s v="400N"/>
    <n v="2745"/>
    <n v="20"/>
    <x v="1"/>
    <x v="6"/>
    <n v="0"/>
  </r>
  <r>
    <s v="700W/500N"/>
    <x v="0"/>
    <s v="LANE ROAD"/>
    <s v="500N"/>
    <n v="4537"/>
    <n v="20"/>
    <x v="1"/>
    <x v="6"/>
    <n v="0"/>
  </r>
  <r>
    <s v="700W/600N"/>
    <x v="0"/>
    <s v="500N"/>
    <s v="600N"/>
    <n v="4963"/>
    <n v="20"/>
    <x v="1"/>
    <x v="6"/>
    <n v="0"/>
  </r>
  <r>
    <s v="700W/LANE RD"/>
    <x v="0"/>
    <s v="400N"/>
    <s v="LANE ROAD"/>
    <n v="800"/>
    <n v="20"/>
    <x v="1"/>
    <x v="6"/>
    <n v="0"/>
  </r>
  <r>
    <s v="700W/US40"/>
    <x v="0"/>
    <s v="US40"/>
    <s v="100S"/>
    <n v="2420"/>
    <n v="20"/>
    <x v="1"/>
    <x v="7"/>
    <n v="0"/>
  </r>
  <r>
    <s v="700W/US52"/>
    <x v="0"/>
    <s v="US52"/>
    <s v="STINEMYER RD."/>
    <n v="5100"/>
    <n v="20"/>
    <x v="1"/>
    <x v="7"/>
    <n v="0"/>
  </r>
  <r>
    <s v="725E/SR234"/>
    <x v="0"/>
    <s v="SR234"/>
    <s v="650N"/>
    <n v="7925"/>
    <n v="20"/>
    <x v="0"/>
    <x v="0"/>
    <n v="0"/>
  </r>
  <r>
    <s v="750E/100S"/>
    <x v="0"/>
    <s v="200S"/>
    <s v="100S"/>
    <n v="5300"/>
    <n v="20"/>
    <x v="2"/>
    <x v="8"/>
    <n v="0"/>
  </r>
  <r>
    <s v="750E/900N"/>
    <x v="0"/>
    <s v="900N"/>
    <s v="SR234"/>
    <n v="5300"/>
    <n v="20"/>
    <x v="0"/>
    <x v="0"/>
    <n v="0"/>
  </r>
  <r>
    <s v="750E/950N"/>
    <x v="0"/>
    <s v="950N"/>
    <s v="900N"/>
    <n v="2644"/>
    <n v="20"/>
    <x v="0"/>
    <x v="0"/>
    <n v="0"/>
  </r>
  <r>
    <s v="750N/50E"/>
    <x v="0"/>
    <s v="50E"/>
    <s v="50E"/>
    <n v="894"/>
    <n v="20"/>
    <x v="0"/>
    <x v="3"/>
    <n v="0"/>
  </r>
  <r>
    <s v="750N/SR9"/>
    <x v="0"/>
    <s v="SR9"/>
    <s v="50E"/>
    <n v="6620"/>
    <n v="20"/>
    <x v="2"/>
    <x v="3"/>
    <n v="0"/>
  </r>
  <r>
    <s v="775E/1000N"/>
    <x v="0"/>
    <s v="NASHVILLE RD."/>
    <s v="1000N"/>
    <n v="930"/>
    <n v="20"/>
    <x v="1"/>
    <x v="0"/>
    <n v="0"/>
  </r>
  <r>
    <s v="775E/1100N"/>
    <x v="0"/>
    <s v="1000N"/>
    <s v="1100N"/>
    <n v="5360"/>
    <n v="20"/>
    <x v="1"/>
    <x v="0"/>
    <n v="0"/>
  </r>
  <r>
    <s v="775E/50S"/>
    <x v="0"/>
    <s v="50S"/>
    <s v="100S"/>
    <n v="3848"/>
    <n v="20"/>
    <x v="0"/>
    <x v="8"/>
    <n v="0"/>
  </r>
  <r>
    <s v="775E/700N"/>
    <x v="0"/>
    <s v="700N"/>
    <s v="650N"/>
    <n v="2692"/>
    <n v="20"/>
    <x v="1"/>
    <x v="0"/>
    <n v="0"/>
  </r>
  <r>
    <s v="775E/NASHVILLE RD."/>
    <x v="0"/>
    <s v="950N"/>
    <s v="NASHVILLE RD."/>
    <n v="2010"/>
    <n v="20"/>
    <x v="2"/>
    <x v="0"/>
    <n v="0"/>
  </r>
  <r>
    <s v="775E/SR234"/>
    <x v="0"/>
    <s v="SR234"/>
    <s v="700N"/>
    <n v="5312"/>
    <n v="20"/>
    <x v="1"/>
    <x v="0"/>
    <n v="0"/>
  </r>
  <r>
    <s v="800E/100N"/>
    <x v="0"/>
    <s v="SR40"/>
    <s v="100N"/>
    <n v="3830"/>
    <n v="20"/>
    <x v="1"/>
    <x v="1"/>
    <n v="0"/>
  </r>
  <r>
    <s v="800E/150N"/>
    <x v="0"/>
    <s v="100N"/>
    <s v="150N"/>
    <n v="2692"/>
    <n v="20"/>
    <x v="0"/>
    <x v="1"/>
    <n v="0"/>
  </r>
  <r>
    <s v="800E/200S"/>
    <x v="0"/>
    <s v="300S"/>
    <s v="200S"/>
    <n v="5295"/>
    <n v="20"/>
    <x v="2"/>
    <x v="8"/>
    <n v="0"/>
  </r>
  <r>
    <s v="800E/250N"/>
    <x v="0"/>
    <s v="150N"/>
    <s v="250N"/>
    <n v="5284"/>
    <n v="20"/>
    <x v="0"/>
    <x v="1"/>
    <n v="0"/>
  </r>
  <r>
    <s v="800E/300N"/>
    <x v="0"/>
    <s v="I70"/>
    <s v="300N"/>
    <n v="1133"/>
    <n v="20"/>
    <x v="0"/>
    <x v="1"/>
    <n v="0"/>
  </r>
  <r>
    <s v="800E/300S"/>
    <x v="0"/>
    <s v="BINFORD RD."/>
    <s v="300S"/>
    <n v="3375"/>
    <n v="20"/>
    <x v="2"/>
    <x v="8"/>
    <n v="0"/>
  </r>
  <r>
    <s v="800E/400N"/>
    <x v="0"/>
    <s v="300N"/>
    <s v="400N"/>
    <n v="4134"/>
    <n v="20"/>
    <x v="2"/>
    <x v="1"/>
    <n v="0"/>
  </r>
  <r>
    <s v="800E/400S"/>
    <x v="0"/>
    <s v="450S"/>
    <s v="400S"/>
    <n v="2650"/>
    <n v="20"/>
    <x v="1"/>
    <x v="8"/>
    <n v="0"/>
  </r>
  <r>
    <s v="800E/450S"/>
    <x v="0"/>
    <s v="500S"/>
    <s v="450S"/>
    <n v="2590"/>
    <n v="20"/>
    <x v="1"/>
    <x v="8"/>
    <n v="0"/>
  </r>
  <r>
    <s v="800E/500N"/>
    <x v="0"/>
    <s v="400N"/>
    <s v="500N"/>
    <n v="5300"/>
    <n v="20"/>
    <x v="0"/>
    <x v="1"/>
    <n v="0"/>
  </r>
  <r>
    <s v="800E/500S"/>
    <x v="0"/>
    <s v="550S"/>
    <s v="500S"/>
    <n v="2650"/>
    <n v="20"/>
    <x v="1"/>
    <x v="8"/>
    <n v="0"/>
  </r>
  <r>
    <s v="800E/550S"/>
    <x v="0"/>
    <s v="600S"/>
    <s v="550S"/>
    <n v="2620"/>
    <n v="20"/>
    <x v="1"/>
    <x v="8"/>
    <n v="0"/>
  </r>
  <r>
    <s v="800E/600N"/>
    <x v="0"/>
    <s v="500N"/>
    <s v="600N"/>
    <n v="4985"/>
    <n v="20"/>
    <x v="0"/>
    <x v="1"/>
    <n v="0"/>
  </r>
  <r>
    <s v="800E/650N"/>
    <x v="0"/>
    <s v="650N"/>
    <s v="600N"/>
    <n v="2650"/>
    <n v="20"/>
    <x v="2"/>
    <x v="0"/>
    <n v="0"/>
  </r>
  <r>
    <s v="800E/BINFORD RD"/>
    <x v="0"/>
    <s v="400S"/>
    <s v="BINFORD RD."/>
    <n v="1880"/>
    <n v="20"/>
    <x v="1"/>
    <x v="8"/>
    <n v="0"/>
  </r>
  <r>
    <s v="850E/100S"/>
    <x v="0"/>
    <s v="150S"/>
    <s v="100S"/>
    <n v="2650"/>
    <n v="20"/>
    <x v="0"/>
    <x v="8"/>
    <n v="0"/>
  </r>
  <r>
    <s v="850E/250N"/>
    <x v="0"/>
    <s v="US40"/>
    <s v="100N"/>
    <n v="7950"/>
    <n v="20"/>
    <x v="1"/>
    <x v="1"/>
    <n v="0"/>
  </r>
  <r>
    <s v="850E/250N"/>
    <x v="0"/>
    <s v="100N"/>
    <s v="250N"/>
    <n v="3695"/>
    <n v="20"/>
    <x v="1"/>
    <x v="1"/>
    <n v="0"/>
  </r>
  <r>
    <s v="850E/300N"/>
    <x v="0"/>
    <s v="250N"/>
    <s v="300N"/>
    <n v="2388"/>
    <n v="20"/>
    <x v="1"/>
    <x v="1"/>
    <n v="0"/>
  </r>
  <r>
    <s v="850E/350N"/>
    <x v="0"/>
    <s v="300N"/>
    <s v="350N"/>
    <n v="2619"/>
    <n v="20"/>
    <x v="1"/>
    <x v="1"/>
    <n v="0"/>
  </r>
  <r>
    <s v="850E/400N"/>
    <x v="0"/>
    <s v="350N"/>
    <s v="400N"/>
    <n v="2652"/>
    <n v="20"/>
    <x v="1"/>
    <x v="1"/>
    <n v="0"/>
  </r>
  <r>
    <s v="850E/500N"/>
    <x v="0"/>
    <s v="500N"/>
    <s v="400N"/>
    <n v="5320"/>
    <n v="20"/>
    <x v="1"/>
    <x v="1"/>
    <n v="0"/>
  </r>
  <r>
    <s v="850E/50S"/>
    <x v="0"/>
    <s v="100S"/>
    <s v="50S"/>
    <n v="2645"/>
    <n v="20"/>
    <x v="0"/>
    <x v="8"/>
    <n v="0"/>
  </r>
  <r>
    <s v="850E/600N"/>
    <x v="0"/>
    <s v="600N"/>
    <s v="500N"/>
    <n v="5010"/>
    <n v="20"/>
    <x v="1"/>
    <x v="1"/>
    <n v="0"/>
  </r>
  <r>
    <s v="850E/N. TWP LINE"/>
    <x v="0"/>
    <s v="50S"/>
    <s v="TWP. LINE"/>
    <n v="4000"/>
    <n v="20"/>
    <x v="2"/>
    <x v="8"/>
    <n v="0"/>
  </r>
  <r>
    <s v="850E/US40"/>
    <x v="0"/>
    <s v="TWP. LINE"/>
    <s v="US40"/>
    <n v="1468"/>
    <n v="20"/>
    <x v="1"/>
    <x v="1"/>
    <n v="0"/>
  </r>
  <r>
    <s v="850N/50W"/>
    <x v="0"/>
    <s v="FORTVILLE PK."/>
    <s v="50W"/>
    <n v="5036"/>
    <n v="20"/>
    <x v="0"/>
    <x v="2"/>
    <n v="0"/>
  </r>
  <r>
    <s v="860N/END"/>
    <x v="0"/>
    <s v="500W"/>
    <s v="END"/>
    <n v="293"/>
    <n v="20"/>
    <x v="1"/>
    <x v="2"/>
    <n v="0"/>
  </r>
  <r>
    <s v="875E/650N"/>
    <x v="0"/>
    <s v="600N"/>
    <s v="650N"/>
    <n v="2689"/>
    <n v="20"/>
    <x v="1"/>
    <x v="0"/>
    <n v="0"/>
  </r>
  <r>
    <s v="900E/150S"/>
    <x v="0"/>
    <s v="200S"/>
    <s v="150S"/>
    <n v="2550"/>
    <n v="20"/>
    <x v="2"/>
    <x v="8"/>
    <n v="0"/>
  </r>
  <r>
    <s v="900E/200S"/>
    <x v="0"/>
    <s v="200S"/>
    <s v="300S"/>
    <n v="5330"/>
    <n v="20"/>
    <x v="0"/>
    <x v="8"/>
    <n v="0"/>
  </r>
  <r>
    <s v="900E/300S"/>
    <x v="0"/>
    <s v="400S"/>
    <s v="300S"/>
    <n v="5275"/>
    <n v="20"/>
    <x v="0"/>
    <x v="8"/>
    <n v="0"/>
  </r>
  <r>
    <s v="900E/400S"/>
    <x v="0"/>
    <s v="450S"/>
    <s v="400S"/>
    <n v="2555"/>
    <n v="20"/>
    <x v="2"/>
    <x v="8"/>
    <n v="0"/>
  </r>
  <r>
    <s v="900E/450S"/>
    <x v="0"/>
    <s v="500S"/>
    <s v="450S"/>
    <n v="3035"/>
    <n v="20"/>
    <x v="0"/>
    <x v="8"/>
    <n v="0"/>
  </r>
  <r>
    <s v="900E/500N"/>
    <x v="0"/>
    <s v="400N"/>
    <s v="500N"/>
    <n v="5325"/>
    <n v="20"/>
    <x v="0"/>
    <x v="1"/>
    <n v="0"/>
  </r>
  <r>
    <s v="900E/500S"/>
    <x v="0"/>
    <s v="550S"/>
    <s v="500S"/>
    <n v="2650"/>
    <n v="20"/>
    <x v="0"/>
    <x v="8"/>
    <n v="0"/>
  </r>
  <r>
    <s v="900E/550S"/>
    <x v="0"/>
    <s v="600S"/>
    <s v="550S"/>
    <n v="2640"/>
    <n v="20"/>
    <x v="0"/>
    <x v="8"/>
    <n v="0"/>
  </r>
  <r>
    <s v="900E/700N"/>
    <x v="0"/>
    <s v="650N"/>
    <s v="700N"/>
    <n v="2217"/>
    <n v="20"/>
    <x v="0"/>
    <x v="0"/>
    <n v="0"/>
  </r>
  <r>
    <s v="900E/SR109"/>
    <x v="0"/>
    <s v="SR234"/>
    <s v="SR109"/>
    <n v="1313"/>
    <n v="20"/>
    <x v="1"/>
    <x v="0"/>
    <n v="0"/>
  </r>
  <r>
    <s v="900E/SR234"/>
    <x v="0"/>
    <s v="700N"/>
    <s v="SR234"/>
    <n v="5332"/>
    <n v="20"/>
    <x v="2"/>
    <x v="0"/>
    <n v="0"/>
  </r>
  <r>
    <s v="900N/1000E"/>
    <x v="0"/>
    <s v="SR109"/>
    <s v="1000E"/>
    <n v="5240"/>
    <n v="20"/>
    <x v="1"/>
    <x v="0"/>
    <n v="0"/>
  </r>
  <r>
    <s v="900N/1100E"/>
    <x v="0"/>
    <s v="1100E"/>
    <s v="1000E"/>
    <n v="5405"/>
    <n v="20"/>
    <x v="1"/>
    <x v="0"/>
    <n v="0"/>
  </r>
  <r>
    <s v="900N/1125E"/>
    <x v="0"/>
    <s v="1125E"/>
    <s v="1100E"/>
    <n v="1360"/>
    <n v="20"/>
    <x v="1"/>
    <x v="0"/>
    <n v="0"/>
  </r>
  <r>
    <s v="900N/1200E"/>
    <x v="0"/>
    <s v="1200E"/>
    <s v="1125E"/>
    <n v="4179"/>
    <n v="20"/>
    <x v="1"/>
    <x v="0"/>
    <n v="0"/>
  </r>
  <r>
    <s v="900N/200W"/>
    <x v="0"/>
    <s v="200W"/>
    <s v="300W"/>
    <n v="4000"/>
    <n v="20"/>
    <x v="0"/>
    <x v="2"/>
    <n v="0"/>
  </r>
  <r>
    <s v="900N/300W"/>
    <x v="0"/>
    <s v="300W"/>
    <s v="400W"/>
    <n v="5231"/>
    <n v="20"/>
    <x v="0"/>
    <x v="2"/>
    <n v="0"/>
  </r>
  <r>
    <s v="900N/400E"/>
    <x v="0"/>
    <s v="400E"/>
    <s v="TROY RD."/>
    <n v="2798"/>
    <n v="20"/>
    <x v="1"/>
    <x v="3"/>
    <n v="0"/>
  </r>
  <r>
    <s v="900N/400W"/>
    <x v="0"/>
    <s v="400W"/>
    <s v="SR67"/>
    <n v="1300"/>
    <n v="20"/>
    <x v="1"/>
    <x v="2"/>
    <n v="0"/>
  </r>
  <r>
    <s v="900N/500E"/>
    <x v="0"/>
    <s v="500E"/>
    <s v="400E"/>
    <n v="5280"/>
    <n v="20"/>
    <x v="1"/>
    <x v="3"/>
    <n v="0"/>
  </r>
  <r>
    <s v="900N/500W"/>
    <x v="0"/>
    <s v="500W"/>
    <s v="MCCORD RD."/>
    <n v="4870"/>
    <n v="20"/>
    <x v="1"/>
    <x v="2"/>
    <n v="0"/>
  </r>
  <r>
    <s v="900N/50W"/>
    <x v="0"/>
    <s v="50W"/>
    <s v="FORTVILLE PK."/>
    <n v="6310"/>
    <n v="20"/>
    <x v="0"/>
    <x v="2"/>
    <n v="0"/>
  </r>
  <r>
    <s v="900N/550E"/>
    <x v="0"/>
    <s v="550E"/>
    <s v="500E"/>
    <n v="2692"/>
    <n v="20"/>
    <x v="1"/>
    <x v="3"/>
    <n v="0"/>
  </r>
  <r>
    <s v="900N/600E"/>
    <x v="0"/>
    <s v="600E"/>
    <s v="550E"/>
    <n v="2663"/>
    <n v="20"/>
    <x v="1"/>
    <x v="3"/>
    <n v="0"/>
  </r>
  <r>
    <s v="900N/675E"/>
    <x v="0"/>
    <s v="675E"/>
    <s v="600E"/>
    <n v="4000"/>
    <n v="20"/>
    <x v="1"/>
    <x v="0"/>
    <n v="0"/>
  </r>
  <r>
    <s v="900N/750E"/>
    <x v="0"/>
    <s v="675E"/>
    <s v="750E"/>
    <n v="4152"/>
    <n v="20"/>
    <x v="1"/>
    <x v="0"/>
    <n v="0"/>
  </r>
  <r>
    <s v="900N/ALFORD RD"/>
    <x v="0"/>
    <s v="ALFORD RD."/>
    <s v="OLVEY RD."/>
    <n v="4020"/>
    <n v="20"/>
    <x v="0"/>
    <x v="3"/>
    <n v="0"/>
  </r>
  <r>
    <s v="900N/BARNARD RD"/>
    <x v="0"/>
    <s v="BARNARD RD."/>
    <s v="SR9"/>
    <n v="3643"/>
    <n v="20"/>
    <x v="1"/>
    <x v="3"/>
    <n v="0"/>
  </r>
  <r>
    <s v="900N/FORTVILLE PK"/>
    <x v="0"/>
    <s v="FORTVILLE PIKE"/>
    <s v="200W"/>
    <n v="880"/>
    <n v="20"/>
    <x v="1"/>
    <x v="2"/>
    <n v="0"/>
  </r>
  <r>
    <s v="900N/MERIDIAN RD"/>
    <x v="0"/>
    <s v="MERIDIAN RD."/>
    <s v="50W"/>
    <n v="2644"/>
    <n v="20"/>
    <x v="0"/>
    <x v="2"/>
    <n v="0"/>
  </r>
  <r>
    <s v="900N/NASHVILLE RD"/>
    <x v="0"/>
    <s v="750E"/>
    <s v="NASHVILLE RD."/>
    <n v="5003"/>
    <n v="20"/>
    <x v="1"/>
    <x v="0"/>
    <n v="0"/>
  </r>
  <r>
    <s v="900N/OLVEY RD"/>
    <x v="0"/>
    <s v="OLVEY RD."/>
    <s v="MERIDIAN RD."/>
    <n v="1312"/>
    <n v="20"/>
    <x v="0"/>
    <x v="3"/>
    <n v="0"/>
  </r>
  <r>
    <s v="900N/SR109"/>
    <x v="0"/>
    <s v="NASHVILLE RD."/>
    <s v="SR109"/>
    <n v="2930"/>
    <n v="20"/>
    <x v="0"/>
    <x v="0"/>
    <n v="0"/>
  </r>
  <r>
    <s v="900N/SR9"/>
    <x v="0"/>
    <s v="SR9"/>
    <s v="ALFORD RD."/>
    <n v="3647"/>
    <n v="20"/>
    <x v="0"/>
    <x v="3"/>
    <n v="0"/>
  </r>
  <r>
    <s v="900N/TROY RD"/>
    <x v="0"/>
    <s v="TROY RD."/>
    <s v="BARNARD RD."/>
    <n v="5322"/>
    <n v="20"/>
    <x v="1"/>
    <x v="3"/>
    <n v="0"/>
  </r>
  <r>
    <s v="925E/US40"/>
    <x v="0"/>
    <s v="US40"/>
    <s v="CO. LINE"/>
    <n v="1756"/>
    <n v="20"/>
    <x v="1"/>
    <x v="1"/>
    <n v="0"/>
  </r>
  <r>
    <s v="925N/200W"/>
    <x v="0"/>
    <s v="200W"/>
    <s v="300W"/>
    <n v="5245"/>
    <n v="20"/>
    <x v="0"/>
    <x v="2"/>
    <n v="0"/>
  </r>
  <r>
    <s v="950N/125W"/>
    <x v="0"/>
    <s v="125W"/>
    <s v="FORTVILLE PK."/>
    <n v="3568"/>
    <n v="20"/>
    <x v="1"/>
    <x v="2"/>
    <n v="0"/>
  </r>
  <r>
    <s v="950N/50W"/>
    <x v="0"/>
    <s v="50W"/>
    <s v="125W"/>
    <n v="4002"/>
    <n v="20"/>
    <x v="1"/>
    <x v="2"/>
    <n v="0"/>
  </r>
  <r>
    <s v="950N/775E"/>
    <x v="0"/>
    <s v="675E"/>
    <s v="775E"/>
    <n v="4830"/>
    <n v="20"/>
    <x v="2"/>
    <x v="0"/>
    <n v="0"/>
  </r>
  <r>
    <s v="AARON Court"/>
    <x v="1"/>
    <s v="700W"/>
    <s v="100N"/>
    <n v="103"/>
    <n v="40"/>
    <x v="1"/>
    <x v="0"/>
    <n v="0"/>
  </r>
  <r>
    <s v="ACCESS DRIVE"/>
    <x v="2"/>
    <s v="175 E"/>
    <s v="475 N"/>
    <n v="271"/>
    <m/>
    <x v="5"/>
    <x v="4"/>
    <n v="0"/>
  </r>
  <r>
    <s v="ACCESS RD/N OF 70"/>
    <x v="0"/>
    <s v="600W"/>
    <s v="END"/>
    <n v="2006"/>
    <n v="20"/>
    <x v="1"/>
    <x v="6"/>
    <n v="0"/>
  </r>
  <r>
    <s v="ACORN COURT (N)"/>
    <x v="3"/>
    <s v="SR 9"/>
    <s v="570 N"/>
    <n v="1109"/>
    <n v="26"/>
    <x v="5"/>
    <x v="4"/>
    <n v="0"/>
  </r>
  <r>
    <s v="ALEXANDRIA DRIVE"/>
    <x v="4"/>
    <s v="200 W"/>
    <s v="50 N"/>
    <n v="1637"/>
    <n v="26"/>
    <x v="5"/>
    <x v="6"/>
    <n v="0"/>
  </r>
  <r>
    <s v="ALFORD RD./1000N"/>
    <x v="0"/>
    <s v="1000N"/>
    <s v="900N"/>
    <n v="5720"/>
    <n v="20"/>
    <x v="0"/>
    <x v="3"/>
    <n v="0"/>
  </r>
  <r>
    <s v="ALFORD RD./1100N"/>
    <x v="0"/>
    <s v="1100N"/>
    <s v="1000N"/>
    <n v="5340"/>
    <n v="20"/>
    <x v="1"/>
    <x v="3"/>
    <n v="0"/>
  </r>
  <r>
    <s v="ALFORD RD./900N"/>
    <x v="0"/>
    <s v="900N"/>
    <s v="END"/>
    <n v="1180"/>
    <n v="20"/>
    <x v="2"/>
    <x v="3"/>
    <n v="0"/>
  </r>
  <r>
    <s v="ALLEN DRIVE"/>
    <x v="5"/>
    <s v="390 W"/>
    <s v="300 S"/>
    <n v="950"/>
    <n v="26"/>
    <x v="5"/>
    <x v="7"/>
    <n v="0"/>
  </r>
  <r>
    <s v="ALLEY(CHAR)/1050E"/>
    <x v="0"/>
    <s v="EAST ST"/>
    <s v="1050E"/>
    <n v="337"/>
    <n v="20"/>
    <x v="2"/>
    <x v="1"/>
    <n v="0"/>
  </r>
  <r>
    <s v="ALLEY(CHAR)/CAR RD"/>
    <x v="0"/>
    <s v="WEST ST"/>
    <s v="CARTHAGE RD"/>
    <n v="254"/>
    <n v="20"/>
    <x v="2"/>
    <x v="1"/>
    <n v="0"/>
  </r>
  <r>
    <s v="ALLEY(CHAR)/CH PKG"/>
    <x v="0"/>
    <s v="CARTHAGE RD"/>
    <s v="CHURCH PARKING LOT"/>
    <n v="268"/>
    <n v="20"/>
    <x v="2"/>
    <x v="1"/>
    <n v="0"/>
  </r>
  <r>
    <s v="ALLEY(CHAR)/EAST_A"/>
    <x v="0"/>
    <s v="CARTHAGE RD"/>
    <s v="EAST ST"/>
    <n v="360"/>
    <n v="20"/>
    <x v="2"/>
    <x v="1"/>
    <n v="0"/>
  </r>
  <r>
    <s v="ALLEY(CHAR)/EAST_B"/>
    <x v="0"/>
    <s v="CARTHAGE RD"/>
    <s v="EAST ST"/>
    <n v="360"/>
    <n v="20"/>
    <x v="2"/>
    <x v="1"/>
    <n v="0"/>
  </r>
  <r>
    <s v="ALLEY(CHAR)/EAST_C"/>
    <x v="0"/>
    <s v="MAIN ST"/>
    <s v="EAST ST"/>
    <n v="397"/>
    <n v="20"/>
    <x v="2"/>
    <x v="1"/>
    <n v="0"/>
  </r>
  <r>
    <s v="ALLEY(CHAR)/EAST_D"/>
    <x v="0"/>
    <s v="CARTHAGE RD"/>
    <s v="EAST ST"/>
    <n v="360"/>
    <n v="20"/>
    <x v="2"/>
    <x v="1"/>
    <n v="0"/>
  </r>
  <r>
    <s v="ALLEY(CHAR)/EASTST"/>
    <x v="0"/>
    <s v="CARTHAGE RD"/>
    <s v="EAST ST"/>
    <n v="360"/>
    <n v="20"/>
    <x v="2"/>
    <x v="1"/>
    <n v="0"/>
  </r>
  <r>
    <s v="ALLEY(EDEN)/EDENRD"/>
    <x v="0"/>
    <s v="EDEN RD"/>
    <s v="SR9"/>
    <n v="284"/>
    <n v="20"/>
    <x v="2"/>
    <x v="3"/>
    <n v="0"/>
  </r>
  <r>
    <s v="ALLEY(FIN)/MAIN ST"/>
    <x v="0"/>
    <s v="GREENFIELD ST"/>
    <s v="MAIN ST"/>
    <n v="227"/>
    <n v="20"/>
    <x v="2"/>
    <x v="5"/>
    <n v="0"/>
  </r>
  <r>
    <s v="ALLEY(MAX)/EAST ST"/>
    <x v="0"/>
    <s v="SR9"/>
    <s v="EAST ST"/>
    <n v="604"/>
    <n v="20"/>
    <x v="2"/>
    <x v="4"/>
    <n v="0"/>
  </r>
  <r>
    <s v="ALLEY(MAX)/JACKSON"/>
    <x v="0"/>
    <s v="SR9"/>
    <s v="JACKSON ST"/>
    <n v="416"/>
    <n v="20"/>
    <x v="2"/>
    <x v="4"/>
    <n v="0"/>
  </r>
  <r>
    <s v="ALLEY(MAX)/JACKtoE"/>
    <x v="0"/>
    <s v="JACKSON ST"/>
    <s v="END"/>
    <n v="244"/>
    <n v="20"/>
    <x v="2"/>
    <x v="4"/>
    <n v="0"/>
  </r>
  <r>
    <s v="ALLEY(MAX)/JEFF ST"/>
    <x v="0"/>
    <s v="WASHINGTON ST"/>
    <s v="JEFFERSON ST"/>
    <n v="384"/>
    <n v="20"/>
    <x v="2"/>
    <x v="4"/>
    <n v="0"/>
  </r>
  <r>
    <s v="ALLEY(MAX)/SR9toEN"/>
    <x v="0"/>
    <s v="SR9"/>
    <s v="END"/>
    <n v="330"/>
    <n v="20"/>
    <x v="2"/>
    <x v="4"/>
    <n v="0"/>
  </r>
  <r>
    <s v="ALLEY(MOH)/NEW ST"/>
    <x v="0"/>
    <s v="200W"/>
    <s v="NEW ST"/>
    <n v="294"/>
    <n v="20"/>
    <x v="2"/>
    <x v="4"/>
    <n v="0"/>
  </r>
  <r>
    <s v="ALLEY(PHILY)/PEARL"/>
    <x v="0"/>
    <s v="PEARL ST"/>
    <s v="ALLEY"/>
    <n v="153"/>
    <n v="20"/>
    <x v="2"/>
    <x v="7"/>
    <n v="0"/>
  </r>
  <r>
    <s v="ALLEY(PHILY)/US40"/>
    <x v="0"/>
    <s v="US40"/>
    <s v="WALNUT ST"/>
    <n v="465"/>
    <n v="20"/>
    <x v="2"/>
    <x v="7"/>
    <n v="0"/>
  </r>
  <r>
    <s v="ALLEY(PHILY)/US40A"/>
    <x v="0"/>
    <s v="US40"/>
    <s v="WALNUT ST"/>
    <n v="459"/>
    <n v="20"/>
    <x v="2"/>
    <x v="7"/>
    <n v="0"/>
  </r>
  <r>
    <s v="AMANDA COURT"/>
    <x v="1"/>
    <s v="700W"/>
    <s v="100N"/>
    <n v="88.69"/>
    <m/>
    <x v="5"/>
    <x v="6"/>
    <n v="0"/>
  </r>
  <r>
    <s v="AMELIA DRIVE"/>
    <x v="6"/>
    <s v="700 W"/>
    <s v="400 S"/>
    <n v="1162"/>
    <n v="26"/>
    <x v="5"/>
    <x v="7"/>
    <n v="0"/>
  </r>
  <r>
    <s v="ANITA LANE"/>
    <x v="4"/>
    <s v="200 W"/>
    <s v="50 N"/>
    <n v="1478"/>
    <n v="26"/>
    <x v="5"/>
    <x v="7"/>
    <n v="0"/>
  </r>
  <r>
    <s v="ANTON WAY"/>
    <x v="6"/>
    <s v="700 W"/>
    <s v="400 S"/>
    <n v="2746"/>
    <n v="26"/>
    <x v="5"/>
    <x v="7"/>
    <n v="0"/>
  </r>
  <r>
    <s v="APPLE CAVE COURT"/>
    <x v="7"/>
    <s v="450 W"/>
    <s v="400 S"/>
    <n v="317"/>
    <n v="26"/>
    <x v="5"/>
    <x v="7"/>
    <n v="0"/>
  </r>
  <r>
    <s v="APPLE ST/200N"/>
    <x v="0"/>
    <s v="100 N"/>
    <s v="200 N"/>
    <n v="2420"/>
    <n v="20"/>
    <x v="1"/>
    <x v="4"/>
    <n v="0"/>
  </r>
  <r>
    <s v="APPLEGATE DRIVE(S)"/>
    <x v="8"/>
    <s v="500 W"/>
    <s v="375 S"/>
    <n v="2482"/>
    <n v="26"/>
    <x v="5"/>
    <x v="7"/>
    <n v="0"/>
  </r>
  <r>
    <s v="ARBOR LANE"/>
    <x v="9"/>
    <s v="625 W"/>
    <s v="US 52"/>
    <n v="441"/>
    <n v="26"/>
    <x v="5"/>
    <x v="7"/>
    <n v="0"/>
  </r>
  <r>
    <s v="ARROWHEAD COURT"/>
    <x v="10"/>
    <s v="400 E"/>
    <s v="600 N"/>
    <n v="1445"/>
    <n v="26"/>
    <x v="5"/>
    <x v="4"/>
    <n v="0"/>
  </r>
  <r>
    <s v="ARROWHEAD DRIVE"/>
    <x v="10"/>
    <s v="400 E"/>
    <s v="600 N"/>
    <n v="2621"/>
    <n v="26"/>
    <x v="5"/>
    <x v="4"/>
    <n v="0"/>
  </r>
  <r>
    <s v="ASHLEY DRIVE(S)"/>
    <x v="11"/>
    <s v="SR 9"/>
    <s v="250 S"/>
    <n v="528"/>
    <n v="26"/>
    <x v="5"/>
    <x v="5"/>
    <n v="0"/>
  </r>
  <r>
    <s v="ATTLEBURG DRIVE(N)"/>
    <x v="12"/>
    <s v="660 W"/>
    <s v="600 N"/>
    <n v="2218"/>
    <n v="26"/>
    <x v="5"/>
    <x v="6"/>
    <n v="0"/>
  </r>
  <r>
    <s v="BALFER DRIVE EAST"/>
    <x v="13"/>
    <s v="100 W"/>
    <s v="1000 N"/>
    <n v="1267"/>
    <n v="26"/>
    <x v="5"/>
    <x v="2"/>
    <n v="0"/>
  </r>
  <r>
    <s v="BALFER DRIVE WEST"/>
    <x v="13"/>
    <s v="100 W"/>
    <s v="1000 N"/>
    <n v="1267"/>
    <n v="26"/>
    <x v="5"/>
    <x v="2"/>
    <n v="0"/>
  </r>
  <r>
    <s v="BANTON CIRCLE"/>
    <x v="14"/>
    <s v="740 W"/>
    <s v="200 S"/>
    <n v="634"/>
    <n v="26"/>
    <x v="5"/>
    <x v="7"/>
    <n v="0"/>
  </r>
  <r>
    <s v="BARNARD RD./1000N"/>
    <x v="0"/>
    <s v="900N"/>
    <s v="1000N"/>
    <n v="6593"/>
    <n v="20"/>
    <x v="0"/>
    <x v="3"/>
    <n v="0"/>
  </r>
  <r>
    <s v="BARNARD RD./1100N"/>
    <x v="0"/>
    <s v="1000N"/>
    <s v="1100N"/>
    <n v="5610"/>
    <n v="20"/>
    <x v="1"/>
    <x v="3"/>
    <n v="0"/>
  </r>
  <r>
    <s v="BARNWOOD DRIVE(W)"/>
    <x v="8"/>
    <s v="500 W"/>
    <s v="375 S"/>
    <n v="1056"/>
    <n v="26"/>
    <x v="5"/>
    <x v="7"/>
    <n v="0"/>
  </r>
  <r>
    <s v="BAYWOOD DR (W)"/>
    <x v="15"/>
    <s v="570 W"/>
    <s v="STINEMEYER ROAD"/>
    <n v="1056"/>
    <n v="26"/>
    <x v="5"/>
    <x v="7"/>
    <n v="0"/>
  </r>
  <r>
    <s v="BEECH TREE (N)"/>
    <x v="15"/>
    <s v="SR 9"/>
    <s v="570 N"/>
    <n v="634"/>
    <n v="26"/>
    <x v="5"/>
    <x v="4"/>
    <n v="0"/>
  </r>
  <r>
    <s v="BEECH TREE DR"/>
    <x v="3"/>
    <s v="SR 9"/>
    <s v="570 N"/>
    <n v="663.7"/>
    <m/>
    <x v="5"/>
    <x v="4"/>
    <n v="0"/>
  </r>
  <r>
    <s v="BEECHWOOD LANE"/>
    <x v="16"/>
    <s v="550 W"/>
    <s v="575 S"/>
    <n v="1162"/>
    <n v="26"/>
    <x v="5"/>
    <x v="7"/>
    <n v="0"/>
  </r>
  <r>
    <s v="BENJAMIN PLACE (N)"/>
    <x v="17"/>
    <s v="680 W"/>
    <s v="600 N"/>
    <n v="1267"/>
    <n v="26"/>
    <x v="5"/>
    <x v="4"/>
    <n v="0"/>
  </r>
  <r>
    <s v="BERLANDER ROAD"/>
    <x v="18"/>
    <s v="550 W"/>
    <s v="300 S"/>
    <n v="898"/>
    <n v="26"/>
    <x v="5"/>
    <x v="7"/>
    <n v="0"/>
  </r>
  <r>
    <s v="BINFORD ROAD/300S"/>
    <x v="0"/>
    <s v="300S"/>
    <s v="800E"/>
    <n v="5539"/>
    <n v="20"/>
    <x v="1"/>
    <x v="8"/>
    <n v="0"/>
  </r>
  <r>
    <s v="BINFORD ROAD/800E"/>
    <x v="0"/>
    <s v="800E"/>
    <s v="400S"/>
    <n v="3067"/>
    <n v="20"/>
    <x v="1"/>
    <x v="8"/>
    <n v="0"/>
  </r>
  <r>
    <s v="BIRCH COURT"/>
    <x v="19"/>
    <s v="700 W"/>
    <s v="50 N"/>
    <n v="106"/>
    <n v="26"/>
    <x v="5"/>
    <x v="6"/>
    <n v="0"/>
  </r>
  <r>
    <s v="BIRDSONG COURT"/>
    <x v="20"/>
    <s v="JACOBI ROAD"/>
    <s v="150 S"/>
    <n v="422"/>
    <n v="26"/>
    <x v="5"/>
    <x v="7"/>
    <n v="0"/>
  </r>
  <r>
    <s v="BIRDSONG DRIVE"/>
    <x v="20"/>
    <s v="JACOBI ROAD"/>
    <s v="150 S"/>
    <n v="1003"/>
    <n v="26"/>
    <x v="5"/>
    <x v="7"/>
    <n v="0"/>
  </r>
  <r>
    <s v="BITTNER LANE"/>
    <x v="21"/>
    <s v="450 W"/>
    <s v="560 S"/>
    <n v="1320"/>
    <n v="26"/>
    <x v="5"/>
    <x v="7"/>
    <n v="0"/>
  </r>
  <r>
    <s v="BLACKBERRY CT(S)"/>
    <x v="15"/>
    <s v="570 W"/>
    <s v="STINEMEYER ROAD"/>
    <n v="1795"/>
    <n v="26"/>
    <x v="5"/>
    <x v="7"/>
    <n v="0"/>
  </r>
  <r>
    <s v="BLUE BELL DRIVE"/>
    <x v="22"/>
    <s v="560 W"/>
    <s v="100 S"/>
    <n v="422"/>
    <n v="26"/>
    <x v="5"/>
    <x v="7"/>
    <n v="0"/>
  </r>
  <r>
    <s v="BLUE SPRUCE CT (N)"/>
    <x v="23"/>
    <s v="275 W"/>
    <s v="100 N"/>
    <n v="370"/>
    <n v="26"/>
    <x v="5"/>
    <x v="6"/>
    <n v="0"/>
  </r>
  <r>
    <s v="BLUEBELL DRIVE"/>
    <x v="24"/>
    <s v="500 W"/>
    <s v="525 S"/>
    <n v="1373"/>
    <n v="26"/>
    <x v="5"/>
    <x v="7"/>
    <n v="0"/>
  </r>
  <r>
    <s v="BOMAR BOULEVARD"/>
    <x v="11"/>
    <s v="SR 9"/>
    <s v="250 S"/>
    <n v="1690"/>
    <n v="26"/>
    <x v="5"/>
    <x v="5"/>
    <n v="0"/>
  </r>
  <r>
    <s v="BOMAR CIRCLE"/>
    <x v="11"/>
    <s v="SR 9"/>
    <s v="250 S"/>
    <n v="317"/>
    <n v="26"/>
    <x v="5"/>
    <x v="5"/>
    <n v="0"/>
  </r>
  <r>
    <s v="BOMAR LANE"/>
    <x v="11"/>
    <s v="SR 9"/>
    <s v="250 S"/>
    <n v="1584"/>
    <n v="26"/>
    <x v="5"/>
    <x v="5"/>
    <n v="0"/>
  </r>
  <r>
    <s v="BOULDER CREEK COURT(W)"/>
    <x v="25"/>
    <s v="600 W"/>
    <s v="300 S"/>
    <n v="475"/>
    <n v="26"/>
    <x v="5"/>
    <x v="7"/>
    <n v="0"/>
  </r>
  <r>
    <s v="BOULDER CREEK DRIVE(W)"/>
    <x v="25"/>
    <s v="600 W"/>
    <s v="300 S"/>
    <n v="1214"/>
    <n v="26"/>
    <x v="5"/>
    <x v="7"/>
    <n v="0"/>
  </r>
  <r>
    <s v="BOULDER CREEK LANE(S)"/>
    <x v="25"/>
    <s v="600 W"/>
    <s v="300 S"/>
    <n v="739"/>
    <n v="26"/>
    <x v="5"/>
    <x v="7"/>
    <n v="0"/>
  </r>
  <r>
    <s v="BRANDYWINE COURT"/>
    <x v="11"/>
    <s v="SR 9"/>
    <s v="250 S"/>
    <n v="1320"/>
    <n v="26"/>
    <x v="5"/>
    <x v="5"/>
    <n v="0"/>
  </r>
  <r>
    <s v="BRANDYWINE LANE(E)"/>
    <x v="11"/>
    <s v="SR 9"/>
    <s v="250 S"/>
    <n v="2376"/>
    <n v="26"/>
    <x v="5"/>
    <x v="5"/>
    <n v="0"/>
  </r>
  <r>
    <s v="BRANDYWINE TRAIL(E)"/>
    <x v="11"/>
    <s v="SR 9"/>
    <s v="250 S"/>
    <n v="2059"/>
    <n v="26"/>
    <x v="5"/>
    <x v="5"/>
    <n v="0"/>
  </r>
  <r>
    <s v="BRANDYWINE TRAIL(S)"/>
    <x v="11"/>
    <s v="SR 9"/>
    <s v="250 S"/>
    <n v="2059"/>
    <n v="26"/>
    <x v="5"/>
    <x v="5"/>
    <n v="0"/>
  </r>
  <r>
    <s v="BRIAR PARK VIEW(W)"/>
    <x v="26"/>
    <s v="700 W"/>
    <s v="225 S"/>
    <n v="1478"/>
    <n v="26"/>
    <x v="5"/>
    <x v="7"/>
    <n v="0"/>
  </r>
  <r>
    <s v="BRIARWOOD BLVD(W)"/>
    <x v="26"/>
    <s v="700 W"/>
    <s v="225 S"/>
    <n v="792"/>
    <n v="26"/>
    <x v="5"/>
    <x v="7"/>
    <n v="0"/>
  </r>
  <r>
    <s v="BRIER CREEK COURT"/>
    <x v="27"/>
    <s v="700 W"/>
    <s v="100 S"/>
    <n v="898"/>
    <n v="26"/>
    <x v="5"/>
    <x v="7"/>
    <n v="0"/>
  </r>
  <r>
    <s v="BRIER CREEK DRIVE"/>
    <x v="27"/>
    <s v="700 W"/>
    <s v="100 S"/>
    <n v="2534"/>
    <n v="26"/>
    <x v="5"/>
    <x v="7"/>
    <n v="0"/>
  </r>
  <r>
    <s v="BRISTOL WAY"/>
    <x v="28"/>
    <s v="800 W"/>
    <s v="250 S"/>
    <n v="1056"/>
    <n v="26"/>
    <x v="5"/>
    <x v="7"/>
    <n v="0"/>
  </r>
  <r>
    <s v="BROKEN ARROW COURT(W)"/>
    <x v="29"/>
    <s v="600 W"/>
    <s v="125 S"/>
    <n v="422"/>
    <n v="26"/>
    <x v="5"/>
    <x v="7"/>
    <n v="0"/>
  </r>
  <r>
    <s v="BROKEN ARROW DRIVE(S)"/>
    <x v="0"/>
    <s v="600 W"/>
    <s v="125 S"/>
    <n v="1656"/>
    <n v="20"/>
    <x v="6"/>
    <x v="7"/>
    <n v="0"/>
  </r>
  <r>
    <s v="BROKEN ARROW DRIVE(W)"/>
    <x v="29"/>
    <s v="600 W"/>
    <s v="125 S"/>
    <n v="1008"/>
    <n v="26"/>
    <x v="5"/>
    <x v="7"/>
    <n v="0"/>
  </r>
  <r>
    <s v="BROOKLAWN DRIVE"/>
    <x v="30"/>
    <s v="560 W"/>
    <s v="US 52"/>
    <n v="2059"/>
    <n v="26"/>
    <x v="5"/>
    <x v="7"/>
    <n v="0"/>
  </r>
  <r>
    <s v="BRUNE COURT"/>
    <x v="31"/>
    <s v="500 W"/>
    <s v="60 S"/>
    <n v="422"/>
    <n v="26"/>
    <x v="5"/>
    <x v="7"/>
    <n v="0"/>
  </r>
  <r>
    <s v="BUCK CREEK COURT"/>
    <x v="1"/>
    <s v="700 W"/>
    <s v="100 N"/>
    <n v="158"/>
    <n v="26"/>
    <x v="5"/>
    <x v="6"/>
    <n v="0"/>
  </r>
  <r>
    <s v="BUCK CREEK RD./I70"/>
    <x v="0"/>
    <s v="100N"/>
    <s v="I70"/>
    <n v="4380"/>
    <n v="20"/>
    <x v="1"/>
    <x v="6"/>
    <n v="0"/>
  </r>
  <r>
    <s v="BUCK CREEK RD/100N"/>
    <x v="0"/>
    <s v="100N"/>
    <s v="S.TWP.LINE"/>
    <n v="6430"/>
    <n v="20"/>
    <x v="1"/>
    <x v="6"/>
    <n v="0"/>
  </r>
  <r>
    <s v="BUCK CREEK RD/200N"/>
    <x v="0"/>
    <s v="200N"/>
    <s v="SR70"/>
    <n v="530"/>
    <n v="20"/>
    <x v="1"/>
    <x v="6"/>
    <n v="0"/>
  </r>
  <r>
    <s v="BUCK CREEK RD/300N"/>
    <x v="0"/>
    <s v="300N"/>
    <s v="200N"/>
    <n v="6650"/>
    <n v="20"/>
    <x v="1"/>
    <x v="6"/>
    <n v="0"/>
  </r>
  <r>
    <s v="BUCKEYE DR (W)"/>
    <x v="23"/>
    <s v="275 W"/>
    <s v="100 N"/>
    <n v="1214"/>
    <n v="26"/>
    <x v="5"/>
    <x v="6"/>
    <n v="0"/>
  </r>
  <r>
    <s v="BUCKEYE LANE (N)"/>
    <x v="23"/>
    <s v="275 W"/>
    <s v="100 N"/>
    <n v="581"/>
    <n v="26"/>
    <x v="5"/>
    <x v="6"/>
    <n v="0"/>
  </r>
  <r>
    <s v="BUCKSKIN COURT"/>
    <x v="32"/>
    <s v="625 W"/>
    <s v="300 S"/>
    <n v="317"/>
    <n v="26"/>
    <x v="5"/>
    <x v="7"/>
    <n v="0"/>
  </r>
  <r>
    <s v="BURLINGTON DRIVE(W)"/>
    <x v="17"/>
    <s v="680 W"/>
    <s v="600 N"/>
    <n v="1056"/>
    <n v="26"/>
    <x v="5"/>
    <x v="6"/>
    <n v="0"/>
  </r>
  <r>
    <s v="BURR OAK DRIVE"/>
    <x v="3"/>
    <s v="SR 9"/>
    <s v="570 N"/>
    <n v="370"/>
    <n v="26"/>
    <x v="5"/>
    <x v="4"/>
    <n v="0"/>
  </r>
  <r>
    <s v="BUTTERCUP DRIVE"/>
    <x v="24"/>
    <s v="500 W"/>
    <s v="125 S"/>
    <n v="1531"/>
    <n v="26"/>
    <x v="5"/>
    <x v="7"/>
    <n v="0"/>
  </r>
  <r>
    <s v="CAMERON LANE"/>
    <x v="33"/>
    <s v="SR 9"/>
    <s v="350 N"/>
    <n v="422"/>
    <n v="26"/>
    <x v="5"/>
    <x v="4"/>
    <n v="0"/>
  </r>
  <r>
    <s v="CARIBOU CIRCLE"/>
    <x v="34"/>
    <s v="600 W"/>
    <s v="350 S"/>
    <n v="264"/>
    <n v="26"/>
    <x v="5"/>
    <x v="7"/>
    <n v="0"/>
  </r>
  <r>
    <s v="CARRIAGE DRIVE"/>
    <x v="35"/>
    <s v="500 W"/>
    <s v="560 S"/>
    <n v="317"/>
    <n v="26"/>
    <x v="5"/>
    <x v="7"/>
    <n v="0"/>
  </r>
  <r>
    <s v="CARRIE DRIVE"/>
    <x v="6"/>
    <s v="700 W"/>
    <s v="400 S"/>
    <n v="2904"/>
    <n v="26"/>
    <x v="5"/>
    <x v="7"/>
    <n v="0"/>
  </r>
  <r>
    <s v="CARTHAGE RD/US40"/>
    <x v="0"/>
    <s v="US40"/>
    <s v="COUNTY LINE"/>
    <n v="1774"/>
    <n v="20"/>
    <x v="1"/>
    <x v="1"/>
    <n v="0"/>
  </r>
  <r>
    <s v="CASEY LANE(E)"/>
    <x v="33"/>
    <s v="SR 9"/>
    <s v="350 N"/>
    <n v="2693"/>
    <n v="26"/>
    <x v="5"/>
    <x v="4"/>
    <n v="0"/>
  </r>
  <r>
    <s v="CATALINA DRIVE EAST"/>
    <x v="36"/>
    <s v="480 W"/>
    <s v="100 S"/>
    <n v="686"/>
    <n v="26"/>
    <x v="5"/>
    <x v="6"/>
    <n v="0"/>
  </r>
  <r>
    <s v="CATALINA DRIVE SOUTH"/>
    <x v="36"/>
    <s v="480 W"/>
    <s v="100 S"/>
    <n v="792"/>
    <n v="26"/>
    <x v="5"/>
    <x v="6"/>
    <n v="0"/>
  </r>
  <r>
    <s v="CATALINA DRIVE WEST"/>
    <x v="36"/>
    <s v="480 W"/>
    <s v="100 S"/>
    <n v="528"/>
    <n v="26"/>
    <x v="5"/>
    <x v="6"/>
    <n v="0"/>
  </r>
  <r>
    <s v="CENTER (FIN)/100W"/>
    <x v="0"/>
    <s v="GREENFIELD ST"/>
    <s v="100W"/>
    <n v="898"/>
    <n v="20"/>
    <x v="1"/>
    <x v="5"/>
    <n v="0"/>
  </r>
  <r>
    <s v="CENTER ST(MAX)JEFF"/>
    <x v="0"/>
    <s v="SOUTH ST"/>
    <s v="JEFFERSON ST"/>
    <n v="720"/>
    <n v="20"/>
    <x v="0"/>
    <x v="4"/>
    <n v="0"/>
  </r>
  <r>
    <s v="CENTER ST(PHIL)/VI"/>
    <x v="0"/>
    <s v="VINE ST"/>
    <s v="ALLEY"/>
    <n v="264"/>
    <n v="20"/>
    <x v="1"/>
    <x v="7"/>
    <n v="0"/>
  </r>
  <r>
    <s v="CENTRAL DRIVE"/>
    <x v="13"/>
    <s v="100 W"/>
    <s v="1000 N"/>
    <n v="370"/>
    <n v="26"/>
    <x v="5"/>
    <x v="2"/>
    <n v="0"/>
  </r>
  <r>
    <s v="CHARLESTON WAY(W)"/>
    <x v="17"/>
    <s v="680 W"/>
    <s v="600 N"/>
    <n v="686"/>
    <n v="26"/>
    <x v="5"/>
    <x v="6"/>
    <n v="0"/>
  </r>
  <r>
    <s v="CHERRY TREE (N)"/>
    <x v="3"/>
    <s v="SR 9"/>
    <s v="570 N"/>
    <n v="264"/>
    <n v="26"/>
    <x v="5"/>
    <x v="4"/>
    <n v="0"/>
  </r>
  <r>
    <s v="CHESTNUT ST(MOH)/E"/>
    <x v="0"/>
    <s v="400N"/>
    <s v="END"/>
    <n v="588"/>
    <n v="20"/>
    <x v="1"/>
    <x v="4"/>
    <n v="0"/>
  </r>
  <r>
    <s v="CHRISTIAN DRIVE"/>
    <x v="6"/>
    <s v="700 W"/>
    <s v="400 S"/>
    <n v="1584"/>
    <n v="26"/>
    <x v="5"/>
    <x v="7"/>
    <n v="0"/>
  </r>
  <r>
    <s v="CLUBHOUSE DRIVE"/>
    <x v="10"/>
    <s v="400 E"/>
    <s v="600 N"/>
    <n v="686"/>
    <n v="26"/>
    <x v="5"/>
    <x v="4"/>
    <n v="0"/>
  </r>
  <r>
    <s v="COLONIAL DRIVE"/>
    <x v="19"/>
    <s v="700 W"/>
    <s v="50 N"/>
    <n v="1531"/>
    <n v="26"/>
    <x v="5"/>
    <x v="6"/>
    <n v="0"/>
  </r>
  <r>
    <s v="COLTON COURT"/>
    <x v="37"/>
    <m/>
    <m/>
    <n v="159"/>
    <n v="26"/>
    <x v="5"/>
    <x v="7"/>
    <n v="0"/>
  </r>
  <r>
    <s v="COLTON RD"/>
    <x v="37"/>
    <m/>
    <m/>
    <n v="1246"/>
    <m/>
    <x v="5"/>
    <x v="7"/>
    <n v="0"/>
  </r>
  <r>
    <s v="COMMERCIAL PARKWAY"/>
    <x v="38"/>
    <s v="650 W"/>
    <s v="400 N"/>
    <n v="845"/>
    <n v="26"/>
    <x v="5"/>
    <x v="6"/>
    <n v="0"/>
  </r>
  <r>
    <s v="CORNERSTONE DRIVE(W)"/>
    <x v="7"/>
    <s v="450 W"/>
    <s v="400 S"/>
    <n v="898"/>
    <n v="26"/>
    <x v="5"/>
    <x v="7"/>
    <n v="0"/>
  </r>
  <r>
    <s v="COTTONWOOD DR"/>
    <x v="39"/>
    <s v="175 E"/>
    <s v="475 N"/>
    <n v="581"/>
    <n v="26"/>
    <x v="5"/>
    <x v="4"/>
    <n v="0"/>
  </r>
  <r>
    <s v="COTTONWOOD DRIVE"/>
    <x v="2"/>
    <s v="175 E"/>
    <s v="475 N"/>
    <n v="518.79999999999995"/>
    <m/>
    <x v="5"/>
    <x v="4"/>
    <n v="0"/>
  </r>
  <r>
    <s v="COUNTRY LANE"/>
    <x v="40"/>
    <s v="200W"/>
    <s v="US40"/>
    <n v="1162"/>
    <m/>
    <x v="5"/>
    <x v="4"/>
    <n v="0"/>
  </r>
  <r>
    <s v="COUNTRY LANE DRIVE"/>
    <x v="40"/>
    <s v="200 W"/>
    <s v="US 40"/>
    <n v="1267"/>
    <n v="26"/>
    <x v="5"/>
    <x v="4"/>
    <n v="0"/>
  </r>
  <r>
    <s v="COUNTRY MILL DRIVE"/>
    <x v="41"/>
    <s v="SR 9"/>
    <s v="470 N"/>
    <n v="950"/>
    <n v="26"/>
    <x v="5"/>
    <x v="4"/>
    <n v="0"/>
  </r>
  <r>
    <s v="COUNTRY TRAIL(E)"/>
    <x v="11"/>
    <s v="SR 9"/>
    <s v="250 S"/>
    <n v="369"/>
    <n v="26"/>
    <x v="5"/>
    <x v="5"/>
    <n v="0"/>
  </r>
  <r>
    <s v="COUNTRY WAY"/>
    <x v="8"/>
    <s v="500 W"/>
    <s v="375 S"/>
    <n v="1584"/>
    <n v="26"/>
    <x v="5"/>
    <x v="7"/>
    <n v="0"/>
  </r>
  <r>
    <s v="COUNTRYSIDE COURT"/>
    <x v="8"/>
    <s v="500 W"/>
    <s v="375 S"/>
    <n v="686"/>
    <n v="26"/>
    <x v="5"/>
    <x v="7"/>
    <n v="0"/>
  </r>
  <r>
    <s v="COUNTRYSIDE DRIVE"/>
    <x v="8"/>
    <s v="500 W"/>
    <s v="375 S"/>
    <n v="1162"/>
    <n v="26"/>
    <x v="5"/>
    <x v="7"/>
    <n v="0"/>
  </r>
  <r>
    <s v="CRANBERRY DRIVE"/>
    <x v="33"/>
    <s v="175 E"/>
    <s v="350 N"/>
    <n v="7128"/>
    <n v="26"/>
    <x v="5"/>
    <x v="4"/>
    <n v="0"/>
  </r>
  <r>
    <s v="CREEK RIDGE DRIVE"/>
    <x v="39"/>
    <s v="175 E"/>
    <s v="475 N"/>
    <n v="1040"/>
    <m/>
    <x v="5"/>
    <x v="4"/>
    <n v="0"/>
  </r>
  <r>
    <s v="CREEK RIDGE DRIVE(W)"/>
    <x v="33"/>
    <s v="100 W"/>
    <s v="500 S"/>
    <n v="1056"/>
    <n v="26"/>
    <x v="5"/>
    <x v="5"/>
    <n v="0"/>
  </r>
  <r>
    <s v="CREEKSIDE COURT"/>
    <x v="6"/>
    <s v="700 W"/>
    <s v="400 S"/>
    <n v="422"/>
    <n v="26"/>
    <x v="5"/>
    <x v="7"/>
    <n v="0"/>
  </r>
  <r>
    <s v="CREEKSIDE DR (N)"/>
    <x v="6"/>
    <s v="275 W"/>
    <s v="100 N"/>
    <n v="422"/>
    <n v="26"/>
    <x v="5"/>
    <x v="6"/>
    <n v="0"/>
  </r>
  <r>
    <s v="CREEKSIDE DR (W)"/>
    <x v="6"/>
    <s v="275 W"/>
    <s v="100 N"/>
    <n v="2059"/>
    <n v="26"/>
    <x v="5"/>
    <x v="6"/>
    <n v="0"/>
  </r>
  <r>
    <s v="CREEKSIDE DRIVE"/>
    <x v="6"/>
    <s v="700 W"/>
    <s v="400 S"/>
    <n v="5702"/>
    <n v="26"/>
    <x v="5"/>
    <x v="7"/>
    <n v="0"/>
  </r>
  <r>
    <s v="CREEKVIEW DRIVE"/>
    <x v="23"/>
    <s v="275 W"/>
    <s v="100 N"/>
    <n v="2087"/>
    <m/>
    <x v="5"/>
    <x v="6"/>
    <n v="0"/>
  </r>
  <r>
    <s v="CREEKWATER PASS"/>
    <x v="42"/>
    <s v="650 W"/>
    <s v="150 N"/>
    <n v="1182"/>
    <m/>
    <x v="5"/>
    <x v="6"/>
    <n v="0"/>
  </r>
  <r>
    <s v="CROSS TRAIL (W)"/>
    <x v="43"/>
    <s v="700 W"/>
    <s v="350 S"/>
    <n v="528"/>
    <n v="26"/>
    <x v="5"/>
    <x v="7"/>
    <n v="0"/>
  </r>
  <r>
    <s v="CUB BOULEVARD"/>
    <x v="14"/>
    <s v="700 W"/>
    <s v="140 S"/>
    <n v="1109"/>
    <n v="26"/>
    <x v="5"/>
    <x v="7"/>
    <n v="0"/>
  </r>
  <r>
    <s v="DAISY LANE"/>
    <x v="24"/>
    <s v="500 W"/>
    <s v="100 S"/>
    <n v="3168"/>
    <n v="26"/>
    <x v="5"/>
    <x v="7"/>
    <n v="0"/>
  </r>
  <r>
    <s v="DECKSHIRE LANE"/>
    <x v="44"/>
    <s v="1200 E"/>
    <s v="310 N"/>
    <n v="1031"/>
    <n v="26"/>
    <x v="5"/>
    <x v="0"/>
    <n v="0"/>
  </r>
  <r>
    <s v="DEER LANE (N)"/>
    <x v="23"/>
    <s v="275 W"/>
    <s v="100 N"/>
    <n v="475"/>
    <n v="26"/>
    <x v="5"/>
    <x v="6"/>
    <n v="0"/>
  </r>
  <r>
    <s v="DEER RUN DRIVE"/>
    <x v="34"/>
    <s v="600 W"/>
    <s v="350 S"/>
    <n v="1426"/>
    <n v="26"/>
    <x v="5"/>
    <x v="7"/>
    <n v="0"/>
  </r>
  <r>
    <s v="DEERFIELD DRIVE"/>
    <x v="45"/>
    <s v="300 N"/>
    <s v="775 W"/>
    <n v="2534"/>
    <n v="26"/>
    <x v="5"/>
    <x v="6"/>
    <n v="0"/>
  </r>
  <r>
    <s v="DELEGATE WAY (N)"/>
    <x v="17"/>
    <s v="680 W"/>
    <s v="600 N"/>
    <n v="475"/>
    <n v="26"/>
    <x v="5"/>
    <x v="6"/>
    <n v="0"/>
  </r>
  <r>
    <s v="DOE CT (N)"/>
    <x v="23"/>
    <s v="275 W"/>
    <s v="100 N"/>
    <n v="317"/>
    <n v="26"/>
    <x v="5"/>
    <x v="6"/>
    <n v="0"/>
  </r>
  <r>
    <s v="DOGWOOD WAY (N)"/>
    <x v="23"/>
    <s v="275 W"/>
    <s v="100 N"/>
    <n v="528"/>
    <n v="26"/>
    <x v="5"/>
    <x v="6"/>
    <n v="0"/>
  </r>
  <r>
    <s v="DOVER PLACE(W)"/>
    <x v="17"/>
    <s v="680 W"/>
    <s v="600 N"/>
    <n v="950"/>
    <n v="26"/>
    <x v="5"/>
    <x v="6"/>
    <n v="0"/>
  </r>
  <r>
    <s v="EAST ST(CHAR)/25N"/>
    <x v="0"/>
    <s v="US40"/>
    <s v="25N"/>
    <n v="1049"/>
    <n v="20"/>
    <x v="1"/>
    <x v="4"/>
    <n v="0"/>
  </r>
  <r>
    <s v="EAST ST(CHAR)/US40"/>
    <x v="0"/>
    <s v="US40"/>
    <s v="CARTHAGE RD"/>
    <n v="1992"/>
    <n v="20"/>
    <x v="1"/>
    <x v="1"/>
    <n v="0"/>
  </r>
  <r>
    <s v="EAST ST(MAX)/END"/>
    <x v="0"/>
    <s v="500N"/>
    <s v="END"/>
    <n v="874"/>
    <n v="20"/>
    <x v="0"/>
    <x v="4"/>
    <n v="0"/>
  </r>
  <r>
    <s v="EASY ST."/>
    <x v="46"/>
    <s v="430 W"/>
    <s v="100 S"/>
    <n v="1608"/>
    <m/>
    <x v="5"/>
    <x v="7"/>
    <n v="0"/>
  </r>
  <r>
    <s v="EASY STREET(W)"/>
    <x v="47"/>
    <s v="440 W"/>
    <s v="100 S"/>
    <n v="1601"/>
    <n v="26"/>
    <x v="5"/>
    <x v="7"/>
    <n v="0"/>
  </r>
  <r>
    <s v="EDEN RD./250E"/>
    <x v="0"/>
    <s v="SR9"/>
    <s v="250E"/>
    <n v="3590"/>
    <n v="18"/>
    <x v="1"/>
    <x v="3"/>
    <n v="0"/>
  </r>
  <r>
    <s v="EDEN RD./TROY RD"/>
    <x v="0"/>
    <s v="250E"/>
    <s v="TROY RD."/>
    <n v="4646"/>
    <n v="20"/>
    <x v="1"/>
    <x v="3"/>
    <n v="0"/>
  </r>
  <r>
    <s v="ELAND DRIVE"/>
    <x v="34"/>
    <s v="600 W"/>
    <s v="350 S"/>
    <n v="2482"/>
    <n v="26"/>
    <x v="5"/>
    <x v="7"/>
    <n v="0"/>
  </r>
  <r>
    <s v="ELISE COURT"/>
    <x v="41"/>
    <s v="SR 9"/>
    <s v="470 N"/>
    <n v="634"/>
    <n v="26"/>
    <x v="5"/>
    <x v="4"/>
    <n v="0"/>
  </r>
  <r>
    <s v="ESSEX CIRCLE"/>
    <x v="12"/>
    <s v="660 W"/>
    <s v="600 N"/>
    <n v="158"/>
    <n v="26"/>
    <x v="5"/>
    <x v="6"/>
    <n v="0"/>
  </r>
  <r>
    <s v="FAIRWAY VILLAGE BOULEVARD(S)"/>
    <x v="48"/>
    <s v="MORRISTOWN PIKE"/>
    <s v="100 S"/>
    <n v="739"/>
    <n v="26"/>
    <x v="5"/>
    <x v="4"/>
    <n v="0"/>
  </r>
  <r>
    <s v="FAIRWAY VILLAGE COURT(S)"/>
    <x v="48"/>
    <s v="MORRISTOWN PIKE"/>
    <s v="100 S"/>
    <n v="317"/>
    <n v="26"/>
    <x v="5"/>
    <x v="4"/>
    <n v="0"/>
  </r>
  <r>
    <s v="FAIRWAY VILLAGE DRIVE(E)"/>
    <x v="48"/>
    <s v="MORRISTOWN PIKE"/>
    <s v="100 S"/>
    <n v="1584"/>
    <n v="26"/>
    <x v="5"/>
    <x v="4"/>
    <n v="0"/>
  </r>
  <r>
    <s v="FALLOW TRAIL"/>
    <x v="34"/>
    <s v="600 W"/>
    <s v="350 S"/>
    <n v="1584"/>
    <n v="26"/>
    <x v="5"/>
    <x v="7"/>
    <n v="0"/>
  </r>
  <r>
    <s v="FARM STONE CIRCLE(S)"/>
    <x v="8"/>
    <s v="500 W"/>
    <s v="375 S"/>
    <n v="342"/>
    <n v="26"/>
    <x v="5"/>
    <x v="7"/>
    <n v="0"/>
  </r>
  <r>
    <s v="FAUT ROAD/300W"/>
    <x v="0"/>
    <s v="400W"/>
    <s v="300W"/>
    <n v="6591"/>
    <n v="20"/>
    <x v="2"/>
    <x v="7"/>
    <n v="0"/>
  </r>
  <r>
    <s v="FIELDING ROAD"/>
    <x v="18"/>
    <s v="550 W"/>
    <s v="300 S"/>
    <n v="1109"/>
    <n v="26"/>
    <x v="5"/>
    <x v="7"/>
    <n v="0"/>
  </r>
  <r>
    <s v="FOREST COURT"/>
    <x v="33"/>
    <s v="175 E"/>
    <s v="350 N"/>
    <n v="317"/>
    <n v="26"/>
    <x v="5"/>
    <x v="4"/>
    <n v="0"/>
  </r>
  <r>
    <s v="FOREST LANE"/>
    <x v="33"/>
    <s v="175 E"/>
    <s v="350 N"/>
    <n v="1742"/>
    <n v="26"/>
    <x v="5"/>
    <x v="4"/>
    <n v="0"/>
  </r>
  <r>
    <s v="FORTVILLE PK./200N"/>
    <x v="0"/>
    <s v="100N"/>
    <s v="200N"/>
    <n v="5590"/>
    <n v="20"/>
    <x v="1"/>
    <x v="4"/>
    <n v="0"/>
  </r>
  <r>
    <s v="FORTVILLE PK./25W"/>
    <x v="0"/>
    <s v="375N"/>
    <s v="25W"/>
    <n v="1425"/>
    <n v="20"/>
    <x v="1"/>
    <x v="4"/>
    <n v="0"/>
  </r>
  <r>
    <s v="FORTVILLE PK./300N"/>
    <x v="0"/>
    <s v="I70"/>
    <s v="300N"/>
    <n v="5174"/>
    <n v="20"/>
    <x v="1"/>
    <x v="4"/>
    <n v="0"/>
  </r>
  <r>
    <s v="FORTVILLE PK./375N"/>
    <x v="0"/>
    <s v="300N"/>
    <s v="375N"/>
    <n v="5227"/>
    <n v="20"/>
    <x v="1"/>
    <x v="4"/>
    <n v="0"/>
  </r>
  <r>
    <s v="FORTVILLE PK./500A"/>
    <x v="0"/>
    <s v="25W"/>
    <s v="500N"/>
    <n v="5121"/>
    <n v="20"/>
    <x v="1"/>
    <x v="4"/>
    <n v="0"/>
  </r>
  <r>
    <s v="FORTVILLE PK./500N"/>
    <x v="0"/>
    <s v="500N"/>
    <s v="500N"/>
    <n v="2376"/>
    <n v="20"/>
    <x v="1"/>
    <x v="4"/>
    <n v="0"/>
  </r>
  <r>
    <s v="FORTVILLE PK./600N"/>
    <x v="0"/>
    <s v="500N"/>
    <s v="600N"/>
    <n v="5280"/>
    <n v="20"/>
    <x v="1"/>
    <x v="4"/>
    <n v="0"/>
  </r>
  <r>
    <s v="FORTVILLE PK./700N"/>
    <x v="0"/>
    <s v="600N"/>
    <s v="700N"/>
    <n v="5373"/>
    <n v="20"/>
    <x v="1"/>
    <x v="2"/>
    <n v="0"/>
  </r>
  <r>
    <s v="FORTVILLE PK/850N"/>
    <x v="0"/>
    <s v="SR234"/>
    <s v="850N"/>
    <n v="2956"/>
    <n v="20"/>
    <x v="1"/>
    <x v="2"/>
    <n v="0"/>
  </r>
  <r>
    <s v="FORTVILLE PK/900N"/>
    <x v="0"/>
    <s v="850N"/>
    <s v="900N"/>
    <n v="2956"/>
    <n v="20"/>
    <x v="1"/>
    <x v="2"/>
    <n v="0"/>
  </r>
  <r>
    <s v="FORTVILLE PK/950N"/>
    <x v="0"/>
    <s v="900N"/>
    <s v="950N"/>
    <n v="2956"/>
    <n v="20"/>
    <x v="1"/>
    <x v="2"/>
    <n v="0"/>
  </r>
  <r>
    <s v="FORTVILLE PK/SR234"/>
    <x v="0"/>
    <s v="700N"/>
    <s v="SR234"/>
    <n v="5702"/>
    <n v="20"/>
    <x v="1"/>
    <x v="2"/>
    <n v="0"/>
  </r>
  <r>
    <s v="FOX COVE BOULEVARD"/>
    <x v="14"/>
    <s v="740 W"/>
    <s v="200 S"/>
    <n v="3590"/>
    <n v="26"/>
    <x v="5"/>
    <x v="7"/>
    <n v="0"/>
  </r>
  <r>
    <s v="FOX DEN BOULEVARD"/>
    <x v="14"/>
    <s v="700 W"/>
    <s v="140 S"/>
    <n v="581"/>
    <n v="26"/>
    <x v="5"/>
    <x v="7"/>
    <n v="0"/>
  </r>
  <r>
    <s v="FOX PAW DRIVE"/>
    <x v="14"/>
    <s v="740 W"/>
    <s v="200 S"/>
    <n v="1426"/>
    <n v="26"/>
    <x v="5"/>
    <x v="7"/>
    <n v="0"/>
  </r>
  <r>
    <s v="FOX RUN DRIVE"/>
    <x v="45"/>
    <s v="300 N"/>
    <s v="775 W"/>
    <n v="581"/>
    <n v="26"/>
    <x v="5"/>
    <x v="6"/>
    <n v="0"/>
  </r>
  <r>
    <s v="FOX TAIL PASS"/>
    <x v="14"/>
    <s v="700 W"/>
    <s v="140 S"/>
    <n v="581"/>
    <n v="26"/>
    <x v="5"/>
    <x v="7"/>
    <n v="0"/>
  </r>
  <r>
    <s v="FOX TRAIL DRIVE"/>
    <x v="27"/>
    <s v="700 W"/>
    <s v="100 S"/>
    <n v="2482"/>
    <n v="26"/>
    <x v="5"/>
    <x v="7"/>
    <n v="0"/>
  </r>
  <r>
    <s v="FOX VIEW TRAIL"/>
    <x v="14"/>
    <s v="700 W"/>
    <s v="140 S"/>
    <n v="1373"/>
    <n v="26"/>
    <x v="5"/>
    <x v="7"/>
    <n v="0"/>
  </r>
  <r>
    <s v="FROG POND COURT"/>
    <x v="49"/>
    <s v="150 W"/>
    <s v="150 S"/>
    <n v="317"/>
    <n v="26"/>
    <x v="5"/>
    <x v="4"/>
    <n v="0"/>
  </r>
  <r>
    <s v="FURRY ROAD/100W"/>
    <x v="0"/>
    <s v="100W"/>
    <s v="200W"/>
    <n v="6050"/>
    <n v="20"/>
    <x v="0"/>
    <x v="5"/>
    <n v="0"/>
  </r>
  <r>
    <s v="GLENDALE LANE"/>
    <x v="50"/>
    <s v="700 W"/>
    <s v="100 N"/>
    <n v="3485"/>
    <n v="26"/>
    <x v="5"/>
    <x v="6"/>
    <n v="0"/>
  </r>
  <r>
    <s v="GRANDISON RD./25N"/>
    <x v="0"/>
    <s v="US40"/>
    <s v="25N"/>
    <n v="1054"/>
    <n v="20"/>
    <x v="1"/>
    <x v="1"/>
    <n v="0"/>
  </r>
  <r>
    <s v="GRANDISON RD./300N"/>
    <x v="0"/>
    <s v="I70"/>
    <s v="300N"/>
    <n v="190"/>
    <n v="20"/>
    <x v="2"/>
    <x v="1"/>
    <n v="0"/>
  </r>
  <r>
    <s v="GRANDISON RD/100N"/>
    <x v="0"/>
    <s v="25N"/>
    <s v="100N"/>
    <n v="2531"/>
    <n v="20"/>
    <x v="1"/>
    <x v="1"/>
    <n v="0"/>
  </r>
  <r>
    <s v="GRANDISON RD/150N"/>
    <x v="0"/>
    <s v="100N"/>
    <s v="150N"/>
    <n v="3379"/>
    <n v="20"/>
    <x v="1"/>
    <x v="1"/>
    <n v="0"/>
  </r>
  <r>
    <s v="GRANDISON RD/250N"/>
    <x v="0"/>
    <s v="150N"/>
    <s v="250N"/>
    <n v="5304"/>
    <n v="20"/>
    <x v="1"/>
    <x v="1"/>
    <n v="0"/>
  </r>
  <r>
    <s v="GRANITE COURT(W)"/>
    <x v="8"/>
    <s v="500 W"/>
    <s v="375 S"/>
    <n v="1056"/>
    <n v="26"/>
    <x v="5"/>
    <x v="7"/>
    <n v="0"/>
  </r>
  <r>
    <s v="GRASSY CT (S)"/>
    <x v="15"/>
    <s v="570 W"/>
    <s v="STINEMEYER ROAD"/>
    <n v="1373"/>
    <n v="26"/>
    <x v="5"/>
    <x v="7"/>
    <n v="0"/>
  </r>
  <r>
    <s v="GREENFIELD (FIN)/1"/>
    <x v="0"/>
    <s v="US52"/>
    <s v="100W"/>
    <n v="1426"/>
    <n v="20"/>
    <x v="1"/>
    <x v="5"/>
    <n v="0"/>
  </r>
  <r>
    <s v="GREY FEATHER TRAIL"/>
    <x v="51"/>
    <s v="SR 9"/>
    <s v="460 S"/>
    <n v="1214"/>
    <n v="26"/>
    <x v="5"/>
    <x v="5"/>
    <n v="0"/>
  </r>
  <r>
    <s v="GREYHAWK LANE"/>
    <x v="51"/>
    <s v="SR 9"/>
    <s v="460 S"/>
    <n v="1003"/>
    <n v="26"/>
    <x v="5"/>
    <x v="5"/>
    <n v="0"/>
  </r>
  <r>
    <s v="GREYHAWK WAY"/>
    <x v="51"/>
    <s v="SR 9"/>
    <s v="460 S"/>
    <n v="2218"/>
    <n v="26"/>
    <x v="5"/>
    <x v="5"/>
    <n v="0"/>
  </r>
  <r>
    <s v="HACKBERRY TRL (W)"/>
    <x v="15"/>
    <s v="570 W"/>
    <s v="STINEMEYER ROAD"/>
    <n v="1003"/>
    <n v="26"/>
    <x v="5"/>
    <x v="7"/>
    <n v="0"/>
  </r>
  <r>
    <s v="HARMONY TRAIL(W)"/>
    <x v="20"/>
    <s v="JACOBI ROAD"/>
    <s v="150 S"/>
    <n v="2904"/>
    <n v="26"/>
    <x v="5"/>
    <x v="7"/>
    <n v="0"/>
  </r>
  <r>
    <s v="HARVEST WAY(W)"/>
    <x v="46"/>
    <s v="430 W"/>
    <s v="100 S"/>
    <n v="581"/>
    <n v="26"/>
    <x v="5"/>
    <x v="7"/>
    <n v="0"/>
  </r>
  <r>
    <s v="HAVENS DRIVE(S)"/>
    <x v="47"/>
    <s v="440 W"/>
    <s v="100 S"/>
    <n v="1584"/>
    <n v="26"/>
    <x v="5"/>
    <x v="7"/>
    <n v="0"/>
  </r>
  <r>
    <s v="HEARTH STONE COURT"/>
    <x v="8"/>
    <s v="500 W"/>
    <s v="375 S"/>
    <n v="264"/>
    <n v="26"/>
    <x v="5"/>
    <x v="7"/>
    <n v="0"/>
  </r>
  <r>
    <s v="HERITAGE COURT"/>
    <x v="6"/>
    <s v="700 W"/>
    <s v="400 S"/>
    <n v="1109"/>
    <n v="26"/>
    <x v="5"/>
    <x v="7"/>
    <n v="0"/>
  </r>
  <r>
    <s v="HERITAGE DRIVE"/>
    <x v="6"/>
    <s v="700 W"/>
    <s v="400 S"/>
    <n v="422"/>
    <n v="26"/>
    <x v="5"/>
    <x v="7"/>
    <n v="0"/>
  </r>
  <r>
    <s v="HERITAGE DRIVE EAST"/>
    <x v="52"/>
    <s v="175 E"/>
    <s v="340 N"/>
    <n v="792"/>
    <n v="26"/>
    <x v="5"/>
    <x v="4"/>
    <n v="0"/>
  </r>
  <r>
    <s v="HERITAGE DRIVE NORTH"/>
    <x v="52"/>
    <s v="175 E"/>
    <s v="340 N"/>
    <n v="634"/>
    <n v="26"/>
    <x v="5"/>
    <x v="4"/>
    <n v="0"/>
  </r>
  <r>
    <s v="HERITAGE DRIVE SOUTH"/>
    <x v="52"/>
    <s v="175 E"/>
    <s v="340 N"/>
    <n v="581"/>
    <n v="26"/>
    <x v="5"/>
    <x v="4"/>
    <n v="0"/>
  </r>
  <r>
    <s v="HERITAGE DRIVE WEST"/>
    <x v="52"/>
    <s v="175 E"/>
    <s v="340 N"/>
    <n v="422"/>
    <n v="26"/>
    <x v="5"/>
    <x v="4"/>
    <n v="0"/>
  </r>
  <r>
    <s v="HERON COURT"/>
    <x v="53"/>
    <s v="500 W"/>
    <s v="120 S"/>
    <n v="581"/>
    <n v="26"/>
    <x v="5"/>
    <x v="7"/>
    <n v="0"/>
  </r>
  <r>
    <s v="HERON DRIVE EAST"/>
    <x v="53"/>
    <s v="500 W"/>
    <s v="120 S"/>
    <n v="581"/>
    <n v="26"/>
    <x v="5"/>
    <x v="7"/>
    <n v="0"/>
  </r>
  <r>
    <s v="HERON DRIVE SOUTH"/>
    <x v="53"/>
    <s v="500 W"/>
    <s v="120 S"/>
    <n v="739"/>
    <n v="26"/>
    <x v="5"/>
    <x v="7"/>
    <n v="0"/>
  </r>
  <r>
    <s v="HERON DRIVE WEST"/>
    <x v="53"/>
    <s v="500 W"/>
    <s v="120 S"/>
    <n v="581"/>
    <n v="26"/>
    <x v="5"/>
    <x v="7"/>
    <n v="0"/>
  </r>
  <r>
    <s v="HICKORY BOULEVARD"/>
    <x v="54"/>
    <s v="200 N"/>
    <s v="250 E"/>
    <n v="3379"/>
    <n v="26"/>
    <x v="5"/>
    <x v="4"/>
    <n v="0"/>
  </r>
  <r>
    <s v="HICKORY DRIVE (W)"/>
    <x v="55"/>
    <s v="MERIDIAN ROAD"/>
    <s v="150 S"/>
    <n v="950"/>
    <n v="26"/>
    <x v="5"/>
    <x v="4"/>
    <n v="0"/>
  </r>
  <r>
    <s v="HICKORY WOODS LANE"/>
    <x v="56"/>
    <s v="200 N"/>
    <s v="250 E"/>
    <n v="1320"/>
    <n v="26"/>
    <x v="5"/>
    <x v="4"/>
    <n v="0"/>
  </r>
  <r>
    <s v="HIDDEN LAKE CT (W)"/>
    <x v="57"/>
    <s v="350 W"/>
    <s v="30 N"/>
    <n v="475"/>
    <n v="26"/>
    <x v="5"/>
    <x v="6"/>
    <n v="0"/>
  </r>
  <r>
    <s v="HIGH ACRES EAST DR"/>
    <x v="58"/>
    <s v="575 W"/>
    <s v="300 S"/>
    <n v="1267"/>
    <n v="26"/>
    <x v="5"/>
    <x v="7"/>
    <n v="0"/>
  </r>
  <r>
    <s v="HIGH ACRES NORTH COURT"/>
    <x v="58"/>
    <s v="575 W"/>
    <s v="300 S"/>
    <n v="370"/>
    <n v="26"/>
    <x v="5"/>
    <x v="7"/>
    <n v="0"/>
  </r>
  <r>
    <s v="HIGH ACRES SOUTH COURT"/>
    <x v="58"/>
    <s v="575 W"/>
    <s v="300 S"/>
    <n v="370"/>
    <n v="26"/>
    <x v="5"/>
    <x v="7"/>
    <n v="0"/>
  </r>
  <r>
    <s v="HIGH ACRES WEST COURT"/>
    <x v="58"/>
    <s v="575 W"/>
    <s v="300 S"/>
    <n v="317"/>
    <n v="26"/>
    <x v="5"/>
    <x v="7"/>
    <n v="0"/>
  </r>
  <r>
    <s v="HIGH ACRES WEST DR"/>
    <x v="58"/>
    <s v="575 W"/>
    <s v="300 S"/>
    <n v="1214"/>
    <n v="26"/>
    <x v="5"/>
    <x v="7"/>
    <n v="0"/>
  </r>
  <r>
    <s v="HILL DRIVE"/>
    <x v="54"/>
    <s v="200 N"/>
    <s v="250 E"/>
    <n v="528"/>
    <n v="26"/>
    <x v="5"/>
    <x v="4"/>
    <n v="0"/>
  </r>
  <r>
    <s v="HILLVIEW DRIVE(S)"/>
    <x v="28"/>
    <s v="800 W"/>
    <s v="250 S"/>
    <n v="792"/>
    <n v="26"/>
    <x v="5"/>
    <x v="7"/>
    <n v="0"/>
  </r>
  <r>
    <s v="HOLLYHOCK COURT"/>
    <x v="32"/>
    <s v="625 W"/>
    <s v="300 S"/>
    <n v="317"/>
    <n v="26"/>
    <x v="5"/>
    <x v="7"/>
    <n v="0"/>
  </r>
  <r>
    <s v="HOLMES COURT"/>
    <x v="33"/>
    <s v="175 E"/>
    <s v="350 N"/>
    <n v="422"/>
    <n v="26"/>
    <x v="5"/>
    <x v="4"/>
    <n v="0"/>
  </r>
  <r>
    <s v="HOMESTEAD COURT"/>
    <x v="32"/>
    <s v="625 W"/>
    <s v="300 S"/>
    <n v="317"/>
    <n v="26"/>
    <x v="5"/>
    <x v="7"/>
    <n v="0"/>
  </r>
  <r>
    <s v="HOMESTEAD DRIVE"/>
    <x v="8"/>
    <s v="500 W"/>
    <s v="375 S"/>
    <n v="1637"/>
    <n v="26"/>
    <x v="5"/>
    <x v="7"/>
    <n v="0"/>
  </r>
  <r>
    <s v="HONEYSUCKLE COURT"/>
    <x v="49"/>
    <s v="150 W"/>
    <s v="150 S"/>
    <n v="264"/>
    <n v="26"/>
    <x v="5"/>
    <x v="4"/>
    <n v="0"/>
  </r>
  <r>
    <s v="HUNTERS COURT(N)"/>
    <x v="33"/>
    <s v="175 E"/>
    <s v="350 N"/>
    <n v="264"/>
    <n v="26"/>
    <x v="5"/>
    <x v="4"/>
    <n v="0"/>
  </r>
  <r>
    <s v="IVY COURT"/>
    <x v="59"/>
    <s v="250 S"/>
    <s v="700 W"/>
    <n v="1584"/>
    <n v="26"/>
    <x v="5"/>
    <x v="7"/>
    <n v="0"/>
  </r>
  <r>
    <s v="IVY LANE"/>
    <x v="59"/>
    <s v="250 S"/>
    <s v="700 W"/>
    <n v="3062"/>
    <n v="26"/>
    <x v="5"/>
    <x v="7"/>
    <n v="0"/>
  </r>
  <r>
    <s v="JACKSON (MAX)/COTT"/>
    <x v="0"/>
    <s v="SR9"/>
    <s v="COTTONWOOD"/>
    <n v="694"/>
    <n v="20"/>
    <x v="0"/>
    <x v="4"/>
    <n v="0"/>
  </r>
  <r>
    <s v="JACKSON STREET"/>
    <x v="2"/>
    <s v="175 E"/>
    <s v="475 N"/>
    <n v="581"/>
    <n v="26"/>
    <x v="5"/>
    <x v="4"/>
    <n v="0"/>
  </r>
  <r>
    <s v="JACOBI RD./100S"/>
    <x v="0"/>
    <s v="100S"/>
    <s v="200S"/>
    <n v="6640"/>
    <n v="20"/>
    <x v="0"/>
    <x v="7"/>
    <n v="0"/>
  </r>
  <r>
    <s v="JACOBI RD./200S"/>
    <x v="0"/>
    <s v="200S"/>
    <s v="300S"/>
    <n v="6673"/>
    <n v="20"/>
    <x v="2"/>
    <x v="7"/>
    <n v="0"/>
  </r>
  <r>
    <s v="JAMESTOWN DR(N)"/>
    <x v="17"/>
    <s v="680 W"/>
    <s v="600 N"/>
    <n v="911"/>
    <n v="26"/>
    <x v="5"/>
    <x v="6"/>
    <n v="0"/>
  </r>
  <r>
    <s v="JAMESTOWN DRIVE (W)"/>
    <x v="17"/>
    <s v="600 N"/>
    <s v="700 W"/>
    <n v="539"/>
    <n v="26"/>
    <x v="5"/>
    <x v="6"/>
    <n v="0"/>
  </r>
  <r>
    <s v="JEANNE COURT"/>
    <x v="14"/>
    <s v="740 W"/>
    <s v="200 S"/>
    <n v="422"/>
    <n v="26"/>
    <x v="5"/>
    <x v="7"/>
    <n v="0"/>
  </r>
  <r>
    <s v="JEFFERSON (MAX)/EA"/>
    <x v="0"/>
    <s v="SR9"/>
    <s v="EAST ST"/>
    <n v="612"/>
    <n v="20"/>
    <x v="0"/>
    <x v="4"/>
    <n v="0"/>
  </r>
  <r>
    <s v="JEFFERSON CT (W)"/>
    <x v="17"/>
    <s v="600 N"/>
    <s v="700 W"/>
    <n v="416"/>
    <n v="26"/>
    <x v="5"/>
    <x v="6"/>
    <n v="0"/>
  </r>
  <r>
    <s v="JEFFERSON CT(N)"/>
    <x v="17"/>
    <s v="680 W"/>
    <s v="600 N"/>
    <n v="634"/>
    <n v="26"/>
    <x v="5"/>
    <x v="6"/>
    <n v="0"/>
  </r>
  <r>
    <s v="JEFFERSON DRIVE"/>
    <x v="17"/>
    <s v="680 W"/>
    <s v="600 N"/>
    <n v="1003"/>
    <n v="26"/>
    <x v="5"/>
    <x v="6"/>
    <n v="0"/>
  </r>
  <r>
    <s v="JENNIFER COURT"/>
    <x v="1"/>
    <s v="700 W"/>
    <s v="100 N"/>
    <n v="211"/>
    <n v="26"/>
    <x v="5"/>
    <x v="6"/>
    <n v="0"/>
  </r>
  <r>
    <s v="JENNIFER DRIVE"/>
    <x v="1"/>
    <s v="700 W"/>
    <s v="100 N"/>
    <n v="2323"/>
    <n v="26"/>
    <x v="5"/>
    <x v="6"/>
    <n v="0"/>
  </r>
  <r>
    <s v="JENNIFER LANE"/>
    <x v="1"/>
    <s v="700 W"/>
    <s v="100 N"/>
    <n v="422"/>
    <n v="26"/>
    <x v="5"/>
    <x v="6"/>
    <n v="0"/>
  </r>
  <r>
    <s v="KAITLIN COURT"/>
    <x v="37"/>
    <s v="600W"/>
    <s v="300S"/>
    <n v="168"/>
    <n v="26"/>
    <x v="5"/>
    <x v="7"/>
    <n v="0"/>
  </r>
  <r>
    <s v="KAITLIN RD"/>
    <x v="37"/>
    <s v="600W"/>
    <s v="300S"/>
    <n v="442"/>
    <n v="26"/>
    <x v="5"/>
    <x v="7"/>
    <n v="0"/>
  </r>
  <r>
    <s v="KATHLEEN COURT"/>
    <x v="60"/>
    <s v="600 W"/>
    <s v="500 N"/>
    <n v="898"/>
    <n v="26"/>
    <x v="5"/>
    <x v="6"/>
    <n v="0"/>
  </r>
  <r>
    <s v="KELLY DRIVE(N)"/>
    <x v="33"/>
    <s v="175 E"/>
    <s v="350 N"/>
    <n v="1056"/>
    <n v="26"/>
    <x v="5"/>
    <x v="4"/>
    <n v="0"/>
  </r>
  <r>
    <s v="KEN LANE"/>
    <x v="61"/>
    <s v="4100 W"/>
    <s v="3200 S"/>
    <n v="317"/>
    <n v="26"/>
    <x v="5"/>
    <x v="7"/>
    <n v="0"/>
  </r>
  <r>
    <s v="KINGBIRD COURT"/>
    <x v="62"/>
    <s v="MERIDIAN ROAD"/>
    <s v="950 N"/>
    <n v="422"/>
    <n v="26"/>
    <x v="5"/>
    <x v="2"/>
    <n v="0"/>
  </r>
  <r>
    <s v="KINGBIRD DRIVE"/>
    <x v="62"/>
    <s v="MERIDIAN ROAD"/>
    <s v="950 N"/>
    <n v="1109"/>
    <n v="26"/>
    <x v="5"/>
    <x v="2"/>
    <n v="0"/>
  </r>
  <r>
    <s v="KINGSTON DRIVE(W)"/>
    <x v="17"/>
    <s v="680 W"/>
    <s v="600 N"/>
    <n v="898"/>
    <n v="26"/>
    <x v="5"/>
    <x v="6"/>
    <n v="0"/>
  </r>
  <r>
    <s v="LAKESIDE COURT"/>
    <x v="33"/>
    <s v="175 E"/>
    <s v="350 N"/>
    <n v="264"/>
    <n v="26"/>
    <x v="5"/>
    <x v="4"/>
    <n v="0"/>
  </r>
  <r>
    <s v="LAKEWOOD COURT"/>
    <x v="33"/>
    <s v="175 E"/>
    <s v="350 N"/>
    <n v="262.5"/>
    <m/>
    <x v="5"/>
    <x v="4"/>
    <n v="0"/>
  </r>
  <r>
    <s v="LAKEWOOD DRIVE"/>
    <x v="33"/>
    <s v="175 E"/>
    <s v="350 N"/>
    <n v="1742"/>
    <n v="26"/>
    <x v="5"/>
    <x v="4"/>
    <n v="0"/>
  </r>
  <r>
    <s v="LANA COURT EAST"/>
    <x v="27"/>
    <s v="700 W"/>
    <s v="100 S"/>
    <n v="581"/>
    <n v="26"/>
    <x v="5"/>
    <x v="7"/>
    <n v="0"/>
  </r>
  <r>
    <s v="LANA COURT WEST"/>
    <x v="27"/>
    <s v="700 W"/>
    <s v="100 S"/>
    <n v="581"/>
    <n v="26"/>
    <x v="5"/>
    <x v="7"/>
    <n v="0"/>
  </r>
  <r>
    <s v="LANE RD./700W"/>
    <x v="0"/>
    <s v="800W"/>
    <s v="700W"/>
    <n v="7105"/>
    <n v="20"/>
    <x v="1"/>
    <x v="6"/>
    <n v="0"/>
  </r>
  <r>
    <s v="LEE MAR DRIVE"/>
    <x v="63"/>
    <s v="500 W"/>
    <s v="325 S"/>
    <n v="422"/>
    <n v="26"/>
    <x v="5"/>
    <x v="7"/>
    <n v="0"/>
  </r>
  <r>
    <s v="LEONARD ROAD"/>
    <x v="63"/>
    <s v="500 W"/>
    <s v="325 S"/>
    <n v="1584"/>
    <n v="26"/>
    <x v="5"/>
    <x v="7"/>
    <n v="0"/>
  </r>
  <r>
    <s v="LILAC LANE"/>
    <x v="24"/>
    <s v="525 W"/>
    <s v="125 S"/>
    <n v="1214"/>
    <n v="26"/>
    <x v="5"/>
    <x v="7"/>
    <n v="0"/>
  </r>
  <r>
    <s v="LILLIAN COURT"/>
    <x v="6"/>
    <s v="700 W"/>
    <s v="400 S"/>
    <n v="317"/>
    <n v="26"/>
    <x v="5"/>
    <x v="7"/>
    <n v="0"/>
  </r>
  <r>
    <s v="LILY COURT"/>
    <x v="49"/>
    <s v="150 W"/>
    <s v="150 S"/>
    <n v="211"/>
    <n v="26"/>
    <x v="5"/>
    <x v="4"/>
    <n v="0"/>
  </r>
  <r>
    <s v="LITTLETON DRIVE"/>
    <x v="17"/>
    <s v="680 W"/>
    <s v="600 N"/>
    <n v="898"/>
    <n v="26"/>
    <x v="5"/>
    <x v="6"/>
    <n v="0"/>
  </r>
  <r>
    <s v="LOGAN DR (S)"/>
    <x v="26"/>
    <s v="700 W"/>
    <s v="225 S"/>
    <n v="1262"/>
    <n v="26"/>
    <x v="5"/>
    <x v="7"/>
    <n v="0"/>
  </r>
  <r>
    <s v="MAIELLEN COURT"/>
    <x v="1"/>
    <s v="700W"/>
    <s v="100N"/>
    <n v="83.24"/>
    <m/>
    <x v="5"/>
    <x v="6"/>
    <n v="0"/>
  </r>
  <r>
    <s v="MAIELLEN DRIVE"/>
    <x v="1"/>
    <s v="700 W"/>
    <s v="100 N"/>
    <n v="1933"/>
    <n v="26"/>
    <x v="5"/>
    <x v="6"/>
    <n v="0"/>
  </r>
  <r>
    <s v="MAIN CROSS(PHILY)"/>
    <x v="0"/>
    <s v="US40"/>
    <s v="WALNUT/VINE"/>
    <n v="612"/>
    <n v="20"/>
    <x v="1"/>
    <x v="7"/>
    <n v="0"/>
  </r>
  <r>
    <s v="MAIN ST(CHAR)/25N"/>
    <x v="0"/>
    <s v="US40"/>
    <s v="25N"/>
    <n v="1077"/>
    <n v="20"/>
    <x v="1"/>
    <x v="1"/>
    <n v="0"/>
  </r>
  <r>
    <s v="MAIN ST(FINLY)/GR"/>
    <x v="0"/>
    <s v="US52"/>
    <s v="GREENFIELD ST"/>
    <n v="634"/>
    <n v="20"/>
    <x v="1"/>
    <x v="5"/>
    <n v="0"/>
  </r>
  <r>
    <s v="MAIN ST.(WILL BR)"/>
    <x v="0"/>
    <s v="650N"/>
    <s v="600N"/>
    <n v="2620"/>
    <n v="20"/>
    <x v="1"/>
    <x v="0"/>
    <n v="0"/>
  </r>
  <r>
    <s v="MCCORD RD./500W"/>
    <x v="0"/>
    <s v="500W"/>
    <s v="900N"/>
    <n v="6070"/>
    <n v="20"/>
    <x v="1"/>
    <x v="2"/>
    <n v="0"/>
  </r>
  <r>
    <s v="MEADOW LAKE DRIVE"/>
    <x v="31"/>
    <s v="500 W"/>
    <s v="60 S"/>
    <n v="1795"/>
    <n v="26"/>
    <x v="5"/>
    <x v="7"/>
    <n v="0"/>
  </r>
  <r>
    <s v="MEADOW SONG CT S"/>
    <x v="31"/>
    <s v="500 W"/>
    <s v="60 S"/>
    <n v="739"/>
    <n v="26"/>
    <x v="5"/>
    <x v="7"/>
    <n v="0"/>
  </r>
  <r>
    <s v="MEADOWS CIRCLE"/>
    <x v="1"/>
    <s v="700 W"/>
    <s v="100 N"/>
    <n v="739"/>
    <n v="26"/>
    <x v="5"/>
    <x v="6"/>
    <n v="0"/>
  </r>
  <r>
    <s v="MEADOWS LANE"/>
    <x v="1"/>
    <s v="700 W"/>
    <s v="100 N"/>
    <n v="2059"/>
    <n v="26"/>
    <x v="5"/>
    <x v="6"/>
    <n v="0"/>
  </r>
  <r>
    <s v="MEADOWVIEW DR"/>
    <x v="57"/>
    <s v="350 W"/>
    <s v="30 N"/>
    <n v="1320"/>
    <n v="26"/>
    <x v="5"/>
    <x v="6"/>
    <n v="0"/>
  </r>
  <r>
    <s v="MEDFORD COURT"/>
    <x v="12"/>
    <s v="660 W"/>
    <s v="600 N"/>
    <n v="158"/>
    <n v="26"/>
    <x v="5"/>
    <x v="6"/>
    <n v="0"/>
  </r>
  <r>
    <s v="MELODY LANE"/>
    <x v="4"/>
    <s v="200 W"/>
    <s v="50 N"/>
    <n v="1003"/>
    <n v="26"/>
    <x v="5"/>
    <x v="6"/>
    <n v="0"/>
  </r>
  <r>
    <s v="MEMORY LANE"/>
    <x v="64"/>
    <s v="600 W"/>
    <s v="20 S"/>
    <n v="634"/>
    <n v="26"/>
    <x v="5"/>
    <x v="7"/>
    <n v="0"/>
  </r>
  <r>
    <s v="MERIDIAN RD./1000A"/>
    <x v="0"/>
    <s v="900N"/>
    <s v="1000N"/>
    <n v="3800"/>
    <n v="20"/>
    <x v="1"/>
    <x v="2"/>
    <n v="0"/>
  </r>
  <r>
    <s v="MERIDIAN RD./100N"/>
    <x v="0"/>
    <s v="100N"/>
    <s v="GREENFLD.CORP."/>
    <n v="2620"/>
    <n v="20"/>
    <x v="1"/>
    <x v="4"/>
    <n v="0"/>
  </r>
  <r>
    <s v="MERIDIAN RD./100S"/>
    <x v="0"/>
    <s v="200S"/>
    <s v="100S"/>
    <n v="5265"/>
    <n v="20"/>
    <x v="1"/>
    <x v="4"/>
    <n v="0"/>
  </r>
  <r>
    <s v="MERIDIAN RD./1100N"/>
    <x v="0"/>
    <s v="1000N"/>
    <s v="1100N"/>
    <n v="5315"/>
    <n v="20"/>
    <x v="1"/>
    <x v="2"/>
    <n v="0"/>
  </r>
  <r>
    <s v="MERIDIAN RD./200S"/>
    <x v="0"/>
    <s v="300S"/>
    <s v="200S"/>
    <n v="5330"/>
    <n v="20"/>
    <x v="1"/>
    <x v="5"/>
    <n v="0"/>
  </r>
  <r>
    <s v="MERIDIAN RD./300S"/>
    <x v="0"/>
    <s v="400S"/>
    <s v="300S"/>
    <n v="5360"/>
    <n v="20"/>
    <x v="1"/>
    <x v="5"/>
    <n v="0"/>
  </r>
  <r>
    <s v="MERIDIAN RD./400S"/>
    <x v="0"/>
    <s v="500S"/>
    <s v="400S"/>
    <n v="5340"/>
    <n v="20"/>
    <x v="1"/>
    <x v="5"/>
    <n v="0"/>
  </r>
  <r>
    <s v="MERIDIAN RD./500S"/>
    <x v="0"/>
    <s v="SR52"/>
    <s v="500S"/>
    <n v="5185"/>
    <n v="20"/>
    <x v="1"/>
    <x v="5"/>
    <n v="0"/>
  </r>
  <r>
    <s v="MERIDIAN RD./900N"/>
    <x v="0"/>
    <s v="SR234"/>
    <s v="900N"/>
    <n v="5300"/>
    <n v="20"/>
    <x v="0"/>
    <x v="2"/>
    <n v="0"/>
  </r>
  <r>
    <s v="MERIDIAN RD./SR234"/>
    <x v="0"/>
    <s v="SR234"/>
    <s v="700N"/>
    <n v="5160"/>
    <n v="20"/>
    <x v="0"/>
    <x v="2"/>
    <n v="0"/>
  </r>
  <r>
    <s v="MICHAEL'S CT"/>
    <x v="65"/>
    <s v="100 W"/>
    <s v="500 S"/>
    <n v="792"/>
    <n v="26"/>
    <x v="5"/>
    <x v="5"/>
    <n v="0"/>
  </r>
  <r>
    <s v="MILL BOULEVARD"/>
    <x v="41"/>
    <s v="SR 9"/>
    <s v="470 W"/>
    <n v="950"/>
    <n v="26"/>
    <x v="5"/>
    <x v="4"/>
    <n v="0"/>
  </r>
  <r>
    <s v="MILL COURT"/>
    <x v="41"/>
    <s v="SR 9"/>
    <s v="470 W"/>
    <n v="264"/>
    <n v="26"/>
    <x v="5"/>
    <x v="4"/>
    <n v="0"/>
  </r>
  <r>
    <s v="MILL STREAM DRIVE"/>
    <x v="41"/>
    <s v="SR 9"/>
    <s v="470 N"/>
    <n v="1267"/>
    <n v="26"/>
    <x v="5"/>
    <x v="4"/>
    <n v="0"/>
  </r>
  <r>
    <s v="MOELLER CIR (S)"/>
    <x v="26"/>
    <s v="700 W"/>
    <s v="225 S"/>
    <n v="663.5"/>
    <n v="26"/>
    <x v="5"/>
    <x v="7"/>
    <n v="0"/>
  </r>
  <r>
    <s v="MOELLER CIR(N)"/>
    <x v="26"/>
    <s v="700 W"/>
    <s v="225 S"/>
    <n v="663.5"/>
    <n v="26"/>
    <x v="5"/>
    <x v="7"/>
    <n v="0"/>
  </r>
  <r>
    <s v="MOHAWK LN(MOH)/NEW"/>
    <x v="0"/>
    <s v="200W"/>
    <s v="NEW ST"/>
    <n v="294"/>
    <n v="20"/>
    <x v="1"/>
    <x v="4"/>
    <n v="0"/>
  </r>
  <r>
    <s v="MOHR ESTATES MIDDLE DRIVE"/>
    <x v="66"/>
    <s v="470 W"/>
    <s v="600 S"/>
    <n v="1320"/>
    <n v="26"/>
    <x v="5"/>
    <x v="7"/>
    <n v="0"/>
  </r>
  <r>
    <s v="MOHR ESTATES SOUTH DRIVE"/>
    <x v="66"/>
    <s v="470 W"/>
    <s v="600 S"/>
    <n v="1267"/>
    <n v="26"/>
    <x v="5"/>
    <x v="7"/>
    <n v="0"/>
  </r>
  <r>
    <s v="MOHR ROAD(E)"/>
    <x v="33"/>
    <s v="175 E"/>
    <s v="350 N"/>
    <n v="2376"/>
    <n v="26"/>
    <x v="5"/>
    <x v="4"/>
    <n v="0"/>
  </r>
  <r>
    <s v="MOHR ROAD(N)"/>
    <x v="33"/>
    <s v="175 E"/>
    <s v="350 N"/>
    <n v="1531"/>
    <n v="26"/>
    <x v="5"/>
    <x v="4"/>
    <n v="0"/>
  </r>
  <r>
    <s v="MORGAN COURT(W)"/>
    <x v="37"/>
    <s v="610 W"/>
    <s v="300 S"/>
    <n v="638"/>
    <n v="26"/>
    <x v="5"/>
    <x v="7"/>
    <n v="0"/>
  </r>
  <r>
    <s v="MORGAN CT (E)"/>
    <x v="37"/>
    <s v="300 S"/>
    <s v="600 W"/>
    <n v="331"/>
    <n v="26"/>
    <x v="5"/>
    <x v="7"/>
    <n v="0"/>
  </r>
  <r>
    <s v="MORNING GLORY CIRCLE"/>
    <x v="49"/>
    <s v="150 W"/>
    <s v="150 S"/>
    <n v="370"/>
    <n v="26"/>
    <x v="5"/>
    <x v="4"/>
    <n v="0"/>
  </r>
  <r>
    <s v="MORNING WALK DRIVE"/>
    <x v="49"/>
    <s v="150 W"/>
    <s v="150 S"/>
    <n v="2904"/>
    <n v="26"/>
    <x v="5"/>
    <x v="4"/>
    <n v="0"/>
  </r>
  <r>
    <s v="MORRISTOWN PK./STE"/>
    <x v="0"/>
    <s v="STEELEFORD RD."/>
    <s v="200S"/>
    <n v="2030"/>
    <n v="20"/>
    <x v="1"/>
    <x v="4"/>
    <n v="0"/>
  </r>
  <r>
    <s v="MORRISTOWN PK/100S"/>
    <x v="0"/>
    <s v="STEELEFORD RD."/>
    <s v="100S"/>
    <n v="5280"/>
    <n v="20"/>
    <x v="1"/>
    <x v="4"/>
    <n v="0"/>
  </r>
  <r>
    <s v="MORRISTOWN PK/200S"/>
    <x v="0"/>
    <s v="200S"/>
    <s v="300S"/>
    <n v="5830"/>
    <n v="20"/>
    <x v="0"/>
    <x v="5"/>
    <n v="0"/>
  </r>
  <r>
    <s v="MORRISTOWN PK/300S"/>
    <x v="0"/>
    <s v="300S"/>
    <s v="400S"/>
    <n v="5934"/>
    <n v="20"/>
    <x v="0"/>
    <x v="5"/>
    <n v="0"/>
  </r>
  <r>
    <s v="MORRISTOWN PK/400S"/>
    <x v="0"/>
    <s v="400S"/>
    <s v="500S"/>
    <n v="5960"/>
    <n v="20"/>
    <x v="0"/>
    <x v="8"/>
    <n v="0"/>
  </r>
  <r>
    <s v="MORRISTOWN PK/US40"/>
    <x v="0"/>
    <s v="100S"/>
    <s v="SR40"/>
    <n v="5250"/>
    <n v="20"/>
    <x v="1"/>
    <x v="4"/>
    <n v="0"/>
  </r>
  <r>
    <s v="MT VERNON COURT"/>
    <x v="67"/>
    <s v="SR 234"/>
    <s v="140 W"/>
    <n v="370"/>
    <n v="26"/>
    <x v="5"/>
    <x v="2"/>
    <n v="0"/>
  </r>
  <r>
    <s v="MT VERNON WAY"/>
    <x v="67"/>
    <s v="SR 234"/>
    <s v="140 W"/>
    <n v="2534"/>
    <n v="26"/>
    <x v="5"/>
    <x v="2"/>
    <n v="0"/>
  </r>
  <r>
    <s v="MUD CREEK CT (S)"/>
    <x v="15"/>
    <s v="570 W"/>
    <s v="STINEMEYER ROAD"/>
    <n v="950"/>
    <n v="26"/>
    <x v="5"/>
    <x v="7"/>
    <n v="0"/>
  </r>
  <r>
    <s v="NASHVILLE RD./775E"/>
    <x v="0"/>
    <s v="775E"/>
    <s v="900N"/>
    <n v="5960"/>
    <n v="20"/>
    <x v="1"/>
    <x v="0"/>
    <n v="0"/>
  </r>
  <r>
    <s v="NASHVILLE RD./900N"/>
    <x v="0"/>
    <s v="900N"/>
    <s v="SR109"/>
    <n v="4480"/>
    <n v="20"/>
    <x v="1"/>
    <x v="0"/>
    <n v="0"/>
  </r>
  <r>
    <s v="NASHVILLE RD/1000N"/>
    <x v="0"/>
    <s v="775E"/>
    <s v="1000N"/>
    <n v="820"/>
    <n v="20"/>
    <x v="1"/>
    <x v="0"/>
    <n v="0"/>
  </r>
  <r>
    <s v="NASHVILLE RD/1100N"/>
    <x v="0"/>
    <s v="1100N"/>
    <s v="675E"/>
    <n v="858"/>
    <n v="20"/>
    <x v="1"/>
    <x v="0"/>
    <n v="0"/>
  </r>
  <r>
    <s v="NASHVILLE RD/675E"/>
    <x v="0"/>
    <s v="1000N"/>
    <s v="675E"/>
    <n v="6328"/>
    <n v="20"/>
    <x v="1"/>
    <x v="0"/>
    <n v="0"/>
  </r>
  <r>
    <s v="NEW ST(MOH)/MOH LN"/>
    <x v="0"/>
    <s v="400N"/>
    <s v="MOHAWK LANE"/>
    <n v="622"/>
    <n v="20"/>
    <x v="1"/>
    <x v="4"/>
    <n v="0"/>
  </r>
  <r>
    <s v="NORTH ST(CHAR)/END"/>
    <x v="0"/>
    <s v="MAIN ST"/>
    <s v="END"/>
    <n v="1007"/>
    <n v="20"/>
    <x v="1"/>
    <x v="1"/>
    <n v="0"/>
  </r>
  <r>
    <s v="NORTH/EAST ST"/>
    <x v="0"/>
    <s v="MT COMFORT"/>
    <m/>
    <n v="835"/>
    <n v="20"/>
    <x v="2"/>
    <x v="6"/>
    <n v="0"/>
  </r>
  <r>
    <s v="OAK DRIVE"/>
    <x v="68"/>
    <s v="275 W"/>
    <s v="100 S"/>
    <n v="792"/>
    <n v="26"/>
    <x v="5"/>
    <x v="7"/>
    <n v="0"/>
  </r>
  <r>
    <s v="OAK DRIVE"/>
    <x v="69"/>
    <s v="500 W"/>
    <s v="150 S"/>
    <n v="1267"/>
    <n v="26"/>
    <x v="5"/>
    <x v="7"/>
    <n v="0"/>
  </r>
  <r>
    <s v="OAKWOOD COURT"/>
    <x v="70"/>
    <s v="200 S"/>
    <s v="750 W"/>
    <n v="581"/>
    <n v="26"/>
    <x v="5"/>
    <x v="7"/>
    <n v="0"/>
  </r>
  <r>
    <s v="OAKWOOD DRIVE"/>
    <x v="70"/>
    <s v="200 S"/>
    <s v="750 W"/>
    <n v="2165"/>
    <n v="26"/>
    <x v="5"/>
    <x v="7"/>
    <n v="0"/>
  </r>
  <r>
    <s v="ODEN ROAD"/>
    <x v="71"/>
    <s v="300 E"/>
    <s v="100 S"/>
    <n v="1056"/>
    <n v="26"/>
    <x v="5"/>
    <x v="4"/>
    <n v="0"/>
  </r>
  <r>
    <s v="OLD 1200E/NEW1200E"/>
    <x v="0"/>
    <s v="NEW 1200E"/>
    <s v="NEW 1200E"/>
    <n v="1645"/>
    <n v="20"/>
    <x v="1"/>
    <x v="0"/>
    <n v="0"/>
  </r>
  <r>
    <s v="OLD COLONY DR WEST"/>
    <x v="72"/>
    <s v="700 W"/>
    <s v="400 S"/>
    <n v="1056"/>
    <n v="26"/>
    <x v="5"/>
    <x v="7"/>
    <n v="0"/>
  </r>
  <r>
    <s v="OLVEY RD./900N"/>
    <x v="0"/>
    <s v="900N"/>
    <s v="MERIDIAN RD."/>
    <n v="3981"/>
    <n v="20"/>
    <x v="0"/>
    <x v="3"/>
    <n v="0"/>
  </r>
  <r>
    <s v="ORCHARD DRIVE"/>
    <x v="73"/>
    <s v="900 N"/>
    <s v="200 W"/>
    <n v="1056"/>
    <n v="26"/>
    <x v="5"/>
    <x v="2"/>
    <n v="0"/>
  </r>
  <r>
    <s v="OSMAN LANE"/>
    <x v="74"/>
    <s v="200 W"/>
    <s v="50 N"/>
    <n v="1954"/>
    <n v="26"/>
    <x v="5"/>
    <x v="6"/>
    <n v="0"/>
  </r>
  <r>
    <s v="OSPREY DR"/>
    <x v="51"/>
    <s v="SR 9"/>
    <s v="460 S"/>
    <n v="317"/>
    <n v="26"/>
    <x v="5"/>
    <x v="5"/>
    <n v="0"/>
  </r>
  <r>
    <s v="PARKER LANE (S)"/>
    <x v="37"/>
    <s v="610 W"/>
    <s v="300 S"/>
    <n v="1478"/>
    <n v="26"/>
    <x v="5"/>
    <x v="7"/>
    <n v="0"/>
  </r>
  <r>
    <s v="PARKSIDE DRIVE"/>
    <x v="8"/>
    <s v="500 W"/>
    <s v="375 S"/>
    <n v="1003"/>
    <n v="26"/>
    <x v="5"/>
    <x v="7"/>
    <n v="0"/>
  </r>
  <r>
    <s v="PARKVIEW DR"/>
    <x v="28"/>
    <s v="800 W"/>
    <s v="250 S"/>
    <n v="965.4"/>
    <m/>
    <x v="5"/>
    <x v="7"/>
    <n v="0"/>
  </r>
  <r>
    <s v="PARKWAY AVE(S)"/>
    <x v="47"/>
    <s v="440 W"/>
    <s v="100 S"/>
    <n v="520"/>
    <n v="26"/>
    <x v="5"/>
    <x v="7"/>
    <n v="0"/>
  </r>
  <r>
    <s v="PARKWAY COURT"/>
    <x v="47"/>
    <s v="440 W"/>
    <s v="100 S"/>
    <n v="517.4"/>
    <m/>
    <x v="5"/>
    <x v="7"/>
    <n v="0"/>
  </r>
  <r>
    <s v="PEACE STREET"/>
    <x v="20"/>
    <s v="JACOBI ROAD"/>
    <s v="150 S"/>
    <n v="1162"/>
    <n v="26"/>
    <x v="5"/>
    <x v="7"/>
    <n v="0"/>
  </r>
  <r>
    <s v="PEARL ST(PHILY)"/>
    <x v="0"/>
    <s v="US40"/>
    <s v="END"/>
    <n v="634"/>
    <n v="20"/>
    <x v="1"/>
    <x v="4"/>
    <n v="0"/>
  </r>
  <r>
    <s v="PEPPEREEL WAY(N)"/>
    <x v="17"/>
    <s v="680 W"/>
    <s v="600 N"/>
    <n v="1742"/>
    <n v="26"/>
    <x v="5"/>
    <x v="6"/>
    <n v="0"/>
  </r>
  <r>
    <s v="PHILADELPHIA DRIVE"/>
    <x v="17"/>
    <s v="680 W"/>
    <s v="600 N"/>
    <n v="1373"/>
    <n v="26"/>
    <x v="5"/>
    <x v="6"/>
    <n v="0"/>
  </r>
  <r>
    <s v="PINE BLUFF DRIVE(W)"/>
    <x v="8"/>
    <s v="500 W"/>
    <s v="375 S"/>
    <n v="1109"/>
    <n v="26"/>
    <x v="5"/>
    <x v="7"/>
    <n v="0"/>
  </r>
  <r>
    <s v="PINE COURT"/>
    <x v="19"/>
    <s v="700 W"/>
    <s v="50 N"/>
    <n v="317"/>
    <n v="26"/>
    <x v="5"/>
    <x v="6"/>
    <n v="0"/>
  </r>
  <r>
    <s v="PINE ST(CHAR)/1050"/>
    <x v="0"/>
    <s v="MAIN ST"/>
    <s v="1050E"/>
    <n v="793"/>
    <n v="20"/>
    <x v="1"/>
    <x v="1"/>
    <n v="0"/>
  </r>
  <r>
    <s v="PLANTATION ROW (W)"/>
    <x v="75"/>
    <s v="200 W"/>
    <s v="180 N"/>
    <n v="1056"/>
    <n v="26"/>
    <x v="5"/>
    <x v="6"/>
    <n v="0"/>
  </r>
  <r>
    <s v="PLEASANT DRIVE"/>
    <x v="20"/>
    <s v="JACOBI ROAD"/>
    <s v="150 S"/>
    <n v="581"/>
    <n v="26"/>
    <x v="5"/>
    <x v="7"/>
    <n v="0"/>
  </r>
  <r>
    <s v="PLYMOUTH CT (N)"/>
    <x v="17"/>
    <s v="680 W"/>
    <s v="600 N"/>
    <n v="792"/>
    <n v="26"/>
    <x v="5"/>
    <x v="6"/>
    <n v="0"/>
  </r>
  <r>
    <s v="PORTALAN DRIVE"/>
    <x v="76"/>
    <s v="600 W"/>
    <s v="100 N"/>
    <n v="1320"/>
    <n v="26"/>
    <x v="5"/>
    <x v="6"/>
    <n v="0"/>
  </r>
  <r>
    <s v="PORTIA DRIVE"/>
    <x v="76"/>
    <s v="600 W"/>
    <s v="500 N"/>
    <n v="634"/>
    <n v="26"/>
    <x v="5"/>
    <x v="6"/>
    <n v="0"/>
  </r>
  <r>
    <s v="POSTMASTER LANE"/>
    <x v="74"/>
    <s v="200 W"/>
    <s v="50 N"/>
    <n v="1954"/>
    <n v="26"/>
    <x v="5"/>
    <x v="6"/>
    <n v="0"/>
  </r>
  <r>
    <s v="PRAIRIE COURT"/>
    <x v="32"/>
    <s v="625 W"/>
    <s v="300 S"/>
    <n v="317"/>
    <n v="26"/>
    <x v="5"/>
    <x v="7"/>
    <n v="0"/>
  </r>
  <r>
    <s v="QUAIL COURT"/>
    <x v="53"/>
    <s v="500 W"/>
    <s v="120 S"/>
    <n v="581"/>
    <n v="26"/>
    <x v="5"/>
    <x v="7"/>
    <n v="0"/>
  </r>
  <r>
    <s v="QUAIL RUN DRIVE"/>
    <x v="53"/>
    <s v="500 W"/>
    <s v="120 S"/>
    <n v="2429"/>
    <n v="26"/>
    <x v="5"/>
    <x v="7"/>
    <n v="0"/>
  </r>
  <r>
    <s v="QUINCY DRIVE(N)"/>
    <x v="17"/>
    <s v="680 W"/>
    <s v="600 N"/>
    <n v="1320"/>
    <n v="26"/>
    <x v="5"/>
    <x v="6"/>
    <n v="0"/>
  </r>
  <r>
    <s v="RAESNER NORTH DR"/>
    <x v="77"/>
    <s v="500 W"/>
    <s v="325 S"/>
    <n v="1162"/>
    <n v="26"/>
    <x v="5"/>
    <x v="7"/>
    <n v="0"/>
  </r>
  <r>
    <s v="RAESNER SOUTH DR"/>
    <x v="77"/>
    <s v="500 W"/>
    <s v="325 S"/>
    <n v="581"/>
    <n v="26"/>
    <x v="5"/>
    <x v="7"/>
    <n v="0"/>
  </r>
  <r>
    <s v="RALEIGH DRIVE(W)"/>
    <x v="17"/>
    <s v="680 W"/>
    <s v="600 N"/>
    <n v="1162"/>
    <n v="26"/>
    <x v="5"/>
    <x v="6"/>
    <n v="0"/>
  </r>
  <r>
    <s v="RAVEN FIELD BLVD(W)"/>
    <x v="78"/>
    <s v="350 W"/>
    <s v="50 N"/>
    <n v="1267"/>
    <n v="26"/>
    <x v="5"/>
    <x v="6"/>
    <n v="0"/>
  </r>
  <r>
    <s v="RAVENFIELD CRT(N)"/>
    <x v="78"/>
    <s v="350 W"/>
    <s v="50 N"/>
    <n v="686"/>
    <n v="26"/>
    <x v="5"/>
    <x v="6"/>
    <n v="0"/>
  </r>
  <r>
    <s v="RAYLEE GARDEN DR(S)"/>
    <x v="46"/>
    <s v="430 W"/>
    <s v="100 S"/>
    <n v="1716"/>
    <n v="26"/>
    <x v="5"/>
    <x v="7"/>
    <n v="0"/>
  </r>
  <r>
    <s v="RED FOX TRAIL (N)"/>
    <x v="14"/>
    <s v="740 W"/>
    <s v="200 S"/>
    <n v="475"/>
    <n v="26"/>
    <x v="5"/>
    <x v="7"/>
    <n v="0"/>
  </r>
  <r>
    <s v="RED OAK DRIVE"/>
    <x v="3"/>
    <s v="SR 9"/>
    <s v="570 N"/>
    <n v="2640"/>
    <n v="26"/>
    <x v="5"/>
    <x v="4"/>
    <n v="0"/>
  </r>
  <r>
    <s v="REDBUD CIRCLE"/>
    <x v="23"/>
    <s v="275 W"/>
    <s v="100 N"/>
    <n v="193"/>
    <n v="26"/>
    <x v="5"/>
    <x v="6"/>
    <n v="0"/>
  </r>
  <r>
    <s v="REMBRANT COURT"/>
    <x v="6"/>
    <s v="700 W"/>
    <s v="400 S"/>
    <n v="158"/>
    <n v="26"/>
    <x v="5"/>
    <x v="7"/>
    <n v="0"/>
  </r>
  <r>
    <s v="REX RIDGE ROAD"/>
    <x v="14"/>
    <s v="740 W"/>
    <s v="200 S"/>
    <n v="528"/>
    <n v="26"/>
    <x v="5"/>
    <x v="7"/>
    <n v="0"/>
  </r>
  <r>
    <s v="RICHMAN BLVD"/>
    <x v="79"/>
    <s v="600 W"/>
    <s v="240 S"/>
    <n v="264"/>
    <n v="26"/>
    <x v="5"/>
    <x v="7"/>
    <n v="0"/>
  </r>
  <r>
    <s v="RICHMAN CIRCLE"/>
    <x v="79"/>
    <m/>
    <s v="3S"/>
    <n v="264"/>
    <n v="26"/>
    <x v="5"/>
    <x v="7"/>
    <n v="0"/>
  </r>
  <r>
    <s v="RICHMAN COURT"/>
    <x v="79"/>
    <s v="600 W"/>
    <s v="240 S"/>
    <n v="317"/>
    <n v="26"/>
    <x v="5"/>
    <x v="7"/>
    <n v="0"/>
  </r>
  <r>
    <s v="RICHMAN DRIVE(S)"/>
    <x v="79"/>
    <s v="600 W"/>
    <s v="240 S"/>
    <n v="845"/>
    <n v="26"/>
    <x v="5"/>
    <x v="7"/>
    <n v="0"/>
  </r>
  <r>
    <s v="RICHMAN LANE(W)"/>
    <x v="79"/>
    <s v="600 W"/>
    <s v="240 S"/>
    <n v="1056"/>
    <n v="26"/>
    <x v="5"/>
    <x v="7"/>
    <n v="0"/>
  </r>
  <r>
    <s v="RICHMAN WAY(S)"/>
    <x v="79"/>
    <s v="600 W"/>
    <s v="240 S"/>
    <n v="1531"/>
    <n v="26"/>
    <x v="5"/>
    <x v="7"/>
    <n v="0"/>
  </r>
  <r>
    <s v="RICKS DRIVE EAST"/>
    <x v="80"/>
    <s v="450 W"/>
    <s v="875 N"/>
    <n v="1531"/>
    <n v="26"/>
    <x v="5"/>
    <x v="2"/>
    <n v="0"/>
  </r>
  <r>
    <s v="RICKS DRIVE SOUTH"/>
    <x v="80"/>
    <s v="450 W"/>
    <s v="875 N"/>
    <n v="422"/>
    <n v="26"/>
    <x v="5"/>
    <x v="2"/>
    <n v="0"/>
  </r>
  <r>
    <s v="RICKS DRIVE WEST"/>
    <x v="80"/>
    <s v="450 W"/>
    <s v="875 N"/>
    <n v="1267"/>
    <n v="26"/>
    <x v="5"/>
    <x v="2"/>
    <n v="0"/>
  </r>
  <r>
    <s v="RIDGE DRIVE"/>
    <x v="81"/>
    <s v="250 E"/>
    <s v="150 N"/>
    <n v="1320"/>
    <n v="26"/>
    <x v="5"/>
    <x v="4"/>
    <n v="0"/>
  </r>
  <r>
    <s v="RIDGEVIEW"/>
    <x v="51"/>
    <s v="SR 9"/>
    <s v="460 S"/>
    <n v="1109"/>
    <n v="26"/>
    <x v="5"/>
    <x v="5"/>
    <n v="0"/>
  </r>
  <r>
    <s v="ROCKINGHAM LANE(N)"/>
    <x v="12"/>
    <s v="660 W"/>
    <s v="600 N"/>
    <n v="2376"/>
    <n v="26"/>
    <x v="5"/>
    <x v="6"/>
    <n v="0"/>
  </r>
  <r>
    <s v="ROCKWAY DRIVE(W)"/>
    <x v="8"/>
    <s v="500 W"/>
    <s v="375 S"/>
    <n v="1320"/>
    <n v="26"/>
    <x v="5"/>
    <x v="7"/>
    <n v="0"/>
  </r>
  <r>
    <s v="ROCKWOOD LN (W)"/>
    <x v="82"/>
    <s v="700 W"/>
    <s v="425 S"/>
    <n v="1162"/>
    <n v="26"/>
    <x v="5"/>
    <x v="7"/>
    <n v="0"/>
  </r>
  <r>
    <s v="ROSEWIND DR (S)"/>
    <x v="43"/>
    <s v="700 W"/>
    <s v="350 S"/>
    <n v="1320"/>
    <n v="26"/>
    <x v="5"/>
    <x v="7"/>
    <n v="0"/>
  </r>
  <r>
    <s v="SACREMENTO DRIVE"/>
    <x v="50"/>
    <s v="700 W"/>
    <s v="100 N"/>
    <n v="2693"/>
    <n v="26"/>
    <x v="5"/>
    <x v="6"/>
    <n v="0"/>
  </r>
  <r>
    <s v="SAW MILL COURT"/>
    <x v="7"/>
    <s v="450 W"/>
    <s v="400 S"/>
    <n v="317"/>
    <n v="26"/>
    <x v="5"/>
    <x v="7"/>
    <n v="0"/>
  </r>
  <r>
    <s v="SCHOOL ST(MAX)/END"/>
    <x v="0"/>
    <s v="SR9"/>
    <s v="END"/>
    <n v="337"/>
    <n v="20"/>
    <x v="0"/>
    <x v="4"/>
    <n v="0"/>
  </r>
  <r>
    <s v="SECOND (CHAR)/CART"/>
    <x v="0"/>
    <s v="CARTHAGE RD"/>
    <s v="CARTHAGE RD"/>
    <n v="759"/>
    <n v="20"/>
    <x v="0"/>
    <x v="1"/>
    <n v="0"/>
  </r>
  <r>
    <s v="SECOND ST(CHAR)/EA"/>
    <x v="0"/>
    <s v="CARTHAGE RD"/>
    <s v="EAST ST"/>
    <n v="360"/>
    <n v="20"/>
    <x v="1"/>
    <x v="1"/>
    <n v="0"/>
  </r>
  <r>
    <s v="SECOND ST(WIL BRA)"/>
    <x v="0"/>
    <s v="MAIN ST"/>
    <s v="THOMAS ST"/>
    <n v="280"/>
    <n v="20"/>
    <x v="1"/>
    <x v="4"/>
    <n v="0"/>
  </r>
  <r>
    <s v="SHADELAND DRIVE"/>
    <x v="83"/>
    <s v="150 E"/>
    <s v="200 S"/>
    <n v="528"/>
    <n v="26"/>
    <x v="5"/>
    <x v="4"/>
    <n v="0"/>
  </r>
  <r>
    <s v="SHADOW CREEK WAY WEST"/>
    <x v="84"/>
    <s v="BUCK CREEK ROAD"/>
    <s v="260 N"/>
    <n v="898"/>
    <n v="26"/>
    <x v="5"/>
    <x v="6"/>
    <n v="0"/>
  </r>
  <r>
    <s v="SHADY CREEK DRIVE"/>
    <x v="40"/>
    <s v="100 S"/>
    <s v="380 W"/>
    <n v="950"/>
    <n v="26"/>
    <x v="5"/>
    <x v="7"/>
    <n v="0"/>
  </r>
  <r>
    <s v="SHARON DRIVE"/>
    <x v="85"/>
    <s v="300 W"/>
    <s v="25 N"/>
    <n v="1320"/>
    <n v="26"/>
    <x v="5"/>
    <x v="7"/>
    <n v="0"/>
  </r>
  <r>
    <s v="SHEL-LYN COURT"/>
    <x v="65"/>
    <s v="60 W"/>
    <s v="500 S"/>
    <n v="1162"/>
    <n v="26"/>
    <x v="5"/>
    <x v="5"/>
    <n v="0"/>
  </r>
  <r>
    <s v="SHEL-LYN DRIVE"/>
    <x v="65"/>
    <s v="60 W"/>
    <s v="500 S"/>
    <n v="422"/>
    <n v="26"/>
    <x v="5"/>
    <x v="5"/>
    <n v="0"/>
  </r>
  <r>
    <s v="SOUTH ST(CHAR)/EAS"/>
    <x v="0"/>
    <s v="CARTHAGE RD"/>
    <s v="EAST ST"/>
    <n v="382"/>
    <n v="20"/>
    <x v="0"/>
    <x v="1"/>
    <n v="0"/>
  </r>
  <r>
    <s v="SOUTH ST(MAX)/CENT"/>
    <x v="0"/>
    <s v="SR9"/>
    <s v="CENTER ST"/>
    <n v="283"/>
    <n v="20"/>
    <x v="2"/>
    <x v="4"/>
    <n v="0"/>
  </r>
  <r>
    <s v="SOUTH ST/END"/>
    <x v="0"/>
    <s v="MORRISTOWN PK"/>
    <s v="END"/>
    <n v="451"/>
    <n v="20"/>
    <x v="1"/>
    <x v="4"/>
    <n v="0"/>
  </r>
  <r>
    <s v="SOUTHWAY DR (S)"/>
    <x v="43"/>
    <s v="700 W"/>
    <s v="350 S"/>
    <n v="1954"/>
    <n v="26"/>
    <x v="5"/>
    <x v="7"/>
    <n v="0"/>
  </r>
  <r>
    <s v="SPARKS RD./300N"/>
    <x v="0"/>
    <s v="300N"/>
    <s v="END"/>
    <n v="2160"/>
    <n v="20"/>
    <x v="0"/>
    <x v="6"/>
    <n v="0"/>
  </r>
  <r>
    <s v="STANSBURY BLVD"/>
    <x v="17"/>
    <s v="680 W"/>
    <s v="600 N"/>
    <n v="2587"/>
    <n v="26"/>
    <x v="5"/>
    <x v="6"/>
    <n v="0"/>
  </r>
  <r>
    <s v="STATION WAY/350N"/>
    <x v="0"/>
    <s v="600W"/>
    <s v="350N"/>
    <n v="3308"/>
    <n v="20"/>
    <x v="1"/>
    <x v="6"/>
    <n v="0"/>
  </r>
  <r>
    <s v="STAYLEY AVE"/>
    <x v="86"/>
    <s v="650 N"/>
    <s v="1025 E"/>
    <n v="392"/>
    <n v="26"/>
    <x v="5"/>
    <x v="0"/>
    <n v="0"/>
  </r>
  <r>
    <s v="STEELEFORD RD/END"/>
    <x v="0"/>
    <s v="END"/>
    <s v="SR9"/>
    <n v="2116"/>
    <n v="20"/>
    <x v="0"/>
    <x v="4"/>
    <n v="0"/>
  </r>
  <r>
    <s v="STEELEFORD RD/MORR"/>
    <x v="0"/>
    <s v="TWP LINE"/>
    <s v="MORRISTOWN PIKE"/>
    <n v="2506"/>
    <n v="20"/>
    <x v="0"/>
    <x v="4"/>
    <n v="0"/>
  </r>
  <r>
    <s v="STINEMEYER CT (W)"/>
    <x v="15"/>
    <s v="570 W"/>
    <s v="STINEMEYER ROAD"/>
    <n v="475"/>
    <n v="26"/>
    <x v="5"/>
    <x v="7"/>
    <n v="0"/>
  </r>
  <r>
    <s v="STINEMYER RD/550W"/>
    <x v="0"/>
    <s v="550W"/>
    <s v="600W"/>
    <n v="2520"/>
    <n v="20"/>
    <x v="1"/>
    <x v="7"/>
    <n v="0"/>
  </r>
  <r>
    <s v="STINEMYER RD/600W"/>
    <x v="0"/>
    <s v="600W"/>
    <s v="650W"/>
    <n v="2720"/>
    <n v="20"/>
    <x v="1"/>
    <x v="7"/>
    <n v="0"/>
  </r>
  <r>
    <s v="STINEMYER RD/650W"/>
    <x v="0"/>
    <s v="650W"/>
    <s v="675W"/>
    <n v="1350"/>
    <n v="20"/>
    <x v="1"/>
    <x v="7"/>
    <n v="0"/>
  </r>
  <r>
    <s v="STINEMYER RD/675W"/>
    <x v="0"/>
    <s v="675W"/>
    <s v="700W"/>
    <n v="1345"/>
    <n v="20"/>
    <x v="1"/>
    <x v="7"/>
    <n v="0"/>
  </r>
  <r>
    <s v="STINEMYER RD/700W"/>
    <x v="0"/>
    <s v="700W"/>
    <s v="CO LINE."/>
    <n v="5325"/>
    <n v="20"/>
    <x v="1"/>
    <x v="9"/>
    <n v="0"/>
  </r>
  <r>
    <s v="STONE WAY(S)"/>
    <x v="8"/>
    <s v="500 W"/>
    <s v="375 S"/>
    <n v="441"/>
    <n v="26"/>
    <x v="5"/>
    <x v="7"/>
    <n v="0"/>
  </r>
  <r>
    <s v="STONE WAY(W)"/>
    <x v="8"/>
    <s v="500 W"/>
    <s v="375 S"/>
    <n v="932"/>
    <n v="26"/>
    <x v="5"/>
    <x v="7"/>
    <n v="0"/>
  </r>
  <r>
    <s v="STONEHAVEN LANE(W)"/>
    <x v="8"/>
    <s v="500 W"/>
    <s v="375 S"/>
    <n v="3010"/>
    <n v="26"/>
    <x v="5"/>
    <x v="7"/>
    <n v="0"/>
  </r>
  <r>
    <s v="STONER DRIVE(W)"/>
    <x v="38"/>
    <s v="600 W"/>
    <s v="375 N"/>
    <n v="1901"/>
    <n v="26"/>
    <x v="5"/>
    <x v="6"/>
    <n v="0"/>
  </r>
  <r>
    <s v="STONY RIDGE COURT"/>
    <x v="8"/>
    <s v="500 W"/>
    <s v="375 S"/>
    <n v="264"/>
    <n v="26"/>
    <x v="5"/>
    <x v="7"/>
    <n v="0"/>
  </r>
  <r>
    <s v="STRAHL DRIVE(N)"/>
    <x v="33"/>
    <s v="175 E"/>
    <s v="350 N"/>
    <n v="1478"/>
    <n v="26"/>
    <x v="5"/>
    <x v="4"/>
    <n v="0"/>
  </r>
  <r>
    <s v="SUGAR BEND RUN (N)"/>
    <x v="23"/>
    <s v="275 W"/>
    <s v="100 N"/>
    <n v="1056"/>
    <n v="26"/>
    <x v="5"/>
    <x v="6"/>
    <n v="0"/>
  </r>
  <r>
    <s v="SUGAR CREEK TRAIL"/>
    <x v="87"/>
    <s v="150 W"/>
    <s v="200 N"/>
    <n v="1690"/>
    <n v="26"/>
    <x v="5"/>
    <x v="4"/>
    <n v="0"/>
  </r>
  <r>
    <s v="SUGAR HILLS CT"/>
    <x v="88"/>
    <s v="100 W"/>
    <s v="550 N"/>
    <n v="475"/>
    <n v="26"/>
    <x v="5"/>
    <x v="4"/>
    <n v="0"/>
  </r>
  <r>
    <s v="SUGAR HILLS DR"/>
    <x v="88"/>
    <s v="100 W"/>
    <s v="550 N"/>
    <n v="4224"/>
    <n v="26"/>
    <x v="5"/>
    <x v="4"/>
    <n v="0"/>
  </r>
  <r>
    <s v="SUMMERFIELD DR(N)"/>
    <x v="57"/>
    <s v="350 W"/>
    <s v="30 N"/>
    <n v="1003"/>
    <n v="26"/>
    <x v="5"/>
    <x v="6"/>
    <n v="0"/>
  </r>
  <r>
    <s v="SUMMERHAVEN COURT"/>
    <x v="89"/>
    <s v="440 W"/>
    <s v="100 S"/>
    <n v="528"/>
    <n v="26"/>
    <x v="5"/>
    <x v="7"/>
    <n v="0"/>
  </r>
  <r>
    <s v="SUMMERHAVEN DRIVE"/>
    <x v="89"/>
    <s v="440 W"/>
    <s v="100 S"/>
    <n v="1003"/>
    <n v="26"/>
    <x v="5"/>
    <x v="7"/>
    <n v="0"/>
  </r>
  <r>
    <s v="SUN CLOUD DR (W)"/>
    <x v="43"/>
    <s v="700 W"/>
    <s v="350 S"/>
    <n v="845"/>
    <n v="26"/>
    <x v="5"/>
    <x v="7"/>
    <n v="0"/>
  </r>
  <r>
    <s v="SUN RISE CT"/>
    <x v="90"/>
    <s v="300 S"/>
    <s v="775 W"/>
    <n v="739"/>
    <n v="26"/>
    <x v="5"/>
    <x v="7"/>
    <n v="0"/>
  </r>
  <r>
    <s v="SUN RISE DR"/>
    <x v="90"/>
    <s v="300 S"/>
    <s v="775 W"/>
    <n v="2957"/>
    <n v="26"/>
    <x v="5"/>
    <x v="7"/>
    <n v="0"/>
  </r>
  <r>
    <s v="SUNSET COURT"/>
    <x v="91"/>
    <s v="350 W"/>
    <s v="50 N"/>
    <n v="211"/>
    <n v="26"/>
    <x v="5"/>
    <x v="6"/>
    <n v="0"/>
  </r>
  <r>
    <s v="SUNSET DRIVE NORTH"/>
    <x v="91"/>
    <s v="350 W"/>
    <s v="50 N"/>
    <n v="1531"/>
    <n v="26"/>
    <x v="5"/>
    <x v="6"/>
    <n v="0"/>
  </r>
  <r>
    <s v="SUNSET DRIVE SOUTH"/>
    <x v="91"/>
    <s v="350 W"/>
    <s v="50 N"/>
    <n v="1584"/>
    <n v="26"/>
    <x v="5"/>
    <x v="6"/>
    <n v="0"/>
  </r>
  <r>
    <s v="SUNSHINE DRIVE"/>
    <x v="92"/>
    <s v="200 W"/>
    <s v="25 N"/>
    <n v="528"/>
    <n v="26"/>
    <x v="5"/>
    <x v="6"/>
    <n v="0"/>
  </r>
  <r>
    <s v="SURREY CT WEST"/>
    <x v="72"/>
    <s v="700 W"/>
    <s v="400 S"/>
    <n v="317"/>
    <n v="26"/>
    <x v="5"/>
    <x v="7"/>
    <n v="0"/>
  </r>
  <r>
    <s v="SURREY LANE SOUTH"/>
    <x v="72"/>
    <s v="700 W"/>
    <s v="400 S"/>
    <n v="528"/>
    <n v="26"/>
    <x v="5"/>
    <x v="7"/>
    <n v="0"/>
  </r>
  <r>
    <s v="SWEET CREEK DRIVE"/>
    <x v="93"/>
    <s v="650 W"/>
    <s v="450 S"/>
    <n v="2746"/>
    <n v="26"/>
    <x v="5"/>
    <x v="7"/>
    <n v="0"/>
  </r>
  <r>
    <s v="SYCAMORE CT"/>
    <x v="94"/>
    <s v="300 W"/>
    <s v="50 N"/>
    <n v="528"/>
    <n v="26"/>
    <x v="5"/>
    <x v="6"/>
    <n v="0"/>
  </r>
  <r>
    <s v="SYCAMORE DRIVE"/>
    <x v="68"/>
    <s v="275 W"/>
    <s v="100 S"/>
    <n v="3221"/>
    <n v="26"/>
    <x v="5"/>
    <x v="7"/>
    <n v="0"/>
  </r>
  <r>
    <s v="SYCAMORE HILLS DR"/>
    <x v="61"/>
    <s v="420 W"/>
    <s v="300 S"/>
    <n v="475"/>
    <n v="26"/>
    <x v="5"/>
    <x v="7"/>
    <n v="0"/>
  </r>
  <r>
    <s v="THEODORE LANE"/>
    <x v="18"/>
    <s v="550 W"/>
    <s v="300 S"/>
    <n v="264"/>
    <n v="26"/>
    <x v="5"/>
    <x v="7"/>
    <n v="0"/>
  </r>
  <r>
    <s v="THIRD ST(WILL BRA)"/>
    <x v="0"/>
    <s v="MAIN ST"/>
    <s v="THOMAS ST"/>
    <n v="288"/>
    <n v="20"/>
    <x v="1"/>
    <x v="0"/>
    <n v="0"/>
  </r>
  <r>
    <s v="THOMAS COURT"/>
    <x v="95"/>
    <s v="MORRISTOWN PIKE"/>
    <s v="150 S"/>
    <n v="419"/>
    <n v="26"/>
    <x v="5"/>
    <x v="4"/>
    <n v="0"/>
  </r>
  <r>
    <s v="THOMAS RD./SR234"/>
    <x v="0"/>
    <s v="SR234"/>
    <s v="650N"/>
    <n v="8725"/>
    <n v="20"/>
    <x v="1"/>
    <x v="0"/>
    <n v="0"/>
  </r>
  <r>
    <s v="THOMAS ST(WILL BR)"/>
    <x v="0"/>
    <s v="SECOND ST"/>
    <s v="THIRD ST"/>
    <n v="539"/>
    <n v="20"/>
    <x v="1"/>
    <x v="0"/>
    <n v="0"/>
  </r>
  <r>
    <s v="TIMBER DRIVE"/>
    <x v="96"/>
    <s v="700 W"/>
    <s v="450 S"/>
    <n v="1267"/>
    <n v="26"/>
    <x v="5"/>
    <x v="7"/>
    <n v="0"/>
  </r>
  <r>
    <s v="TOMKE DRIVE"/>
    <x v="63"/>
    <s v="500 W"/>
    <s v="325 S"/>
    <n v="422"/>
    <n v="26"/>
    <x v="5"/>
    <x v="7"/>
    <n v="0"/>
  </r>
  <r>
    <s v="TROY RD./900N"/>
    <x v="0"/>
    <s v="EDEN RD."/>
    <s v="900N"/>
    <n v="5332"/>
    <n v="20"/>
    <x v="1"/>
    <x v="3"/>
    <n v="0"/>
  </r>
  <r>
    <s v="TROY RD./EDEN RD"/>
    <x v="0"/>
    <s v="SR234"/>
    <s v="EDEN RD."/>
    <n v="725"/>
    <n v="20"/>
    <x v="1"/>
    <x v="3"/>
    <n v="0"/>
  </r>
  <r>
    <s v="TROY RD./SR234"/>
    <x v="0"/>
    <s v="SR234"/>
    <s v="700N"/>
    <n v="5300"/>
    <n v="20"/>
    <x v="0"/>
    <x v="3"/>
    <n v="0"/>
  </r>
  <r>
    <s v="TULIP TREE DRIVE"/>
    <x v="56"/>
    <s v="200 N"/>
    <s v="250 E"/>
    <n v="1320"/>
    <n v="26"/>
    <x v="5"/>
    <x v="4"/>
    <n v="0"/>
  </r>
  <r>
    <s v="TUMBLEWEED COURT(W)"/>
    <x v="8"/>
    <s v="500 W"/>
    <s v="375 S"/>
    <n v="438"/>
    <n v="26"/>
    <x v="5"/>
    <x v="7"/>
    <n v="0"/>
  </r>
  <r>
    <s v="TUMBLEWEED DRIVE(S)"/>
    <x v="8"/>
    <s v="500 W"/>
    <s v="375 S"/>
    <n v="2376"/>
    <n v="26"/>
    <x v="5"/>
    <x v="7"/>
    <n v="0"/>
  </r>
  <r>
    <s v="TWIN OAK BLVD (E)"/>
    <x v="3"/>
    <s v="SR 9"/>
    <s v="570 N"/>
    <n v="528"/>
    <n v="26"/>
    <x v="5"/>
    <x v="4"/>
    <n v="0"/>
  </r>
  <r>
    <s v="VALLEY COURT"/>
    <x v="97"/>
    <s v="100 W"/>
    <s v="200 N"/>
    <n v="475"/>
    <n v="26"/>
    <x v="5"/>
    <x v="4"/>
    <n v="0"/>
  </r>
  <r>
    <s v="VALLEY LANE"/>
    <x v="97"/>
    <s v="100 W"/>
    <s v="200 N"/>
    <n v="1003"/>
    <n v="26"/>
    <x v="5"/>
    <x v="4"/>
    <n v="0"/>
  </r>
  <r>
    <s v="VERA DRIVE"/>
    <x v="27"/>
    <s v="700 W"/>
    <s v="100 S"/>
    <n v="1109"/>
    <n v="26"/>
    <x v="5"/>
    <x v="7"/>
    <n v="0"/>
  </r>
  <r>
    <s v="VERNON LANE"/>
    <x v="73"/>
    <s v="900 N"/>
    <s v="200 W"/>
    <n v="370"/>
    <n v="26"/>
    <x v="5"/>
    <x v="2"/>
    <n v="0"/>
  </r>
  <r>
    <s v="VILLAGE DRIVE"/>
    <x v="18"/>
    <s v="550 W"/>
    <s v="300 S"/>
    <n v="1109"/>
    <n v="26"/>
    <x v="5"/>
    <x v="7"/>
    <n v="0"/>
  </r>
  <r>
    <s v="VILLAGE DRIVE (S)"/>
    <x v="72"/>
    <s v="700 W"/>
    <s v="400 S"/>
    <n v="1818"/>
    <m/>
    <x v="5"/>
    <x v="7"/>
    <n v="0"/>
  </r>
  <r>
    <s v="VILLAGE ROW"/>
    <x v="72"/>
    <s v="700 W"/>
    <s v="400 S"/>
    <n v="2006"/>
    <n v="26"/>
    <x v="5"/>
    <x v="7"/>
    <n v="0"/>
  </r>
  <r>
    <s v="VILLAGE WAY WEST"/>
    <x v="72"/>
    <s v="700 W"/>
    <s v="400 S"/>
    <n v="845"/>
    <n v="26"/>
    <x v="5"/>
    <x v="7"/>
    <n v="0"/>
  </r>
  <r>
    <s v="WALNUT CT"/>
    <x v="94"/>
    <s v="300 W"/>
    <s v="50 N"/>
    <n v="739"/>
    <n v="26"/>
    <x v="5"/>
    <x v="6"/>
    <n v="0"/>
  </r>
  <r>
    <s v="WALNUT DR(S)"/>
    <x v="68"/>
    <s v="275 W"/>
    <s v="100 S"/>
    <n v="1320"/>
    <n v="26"/>
    <x v="5"/>
    <x v="7"/>
    <n v="0"/>
  </r>
  <r>
    <s v="WALNUT/VINE(PHILY)"/>
    <x v="0"/>
    <s v="250W"/>
    <s v="US40"/>
    <n v="1797"/>
    <n v="20"/>
    <x v="1"/>
    <x v="7"/>
    <n v="0"/>
  </r>
  <r>
    <s v="WASHINGTON (MAX)/E"/>
    <x v="0"/>
    <s v="SR9"/>
    <s v="EAST ST"/>
    <n v="614"/>
    <n v="20"/>
    <x v="0"/>
    <x v="4"/>
    <n v="0"/>
  </r>
  <r>
    <s v="WATER WHEEL DRIVE"/>
    <x v="41"/>
    <s v="SR 9"/>
    <s v="470 W"/>
    <n v="845"/>
    <n v="26"/>
    <x v="5"/>
    <x v="4"/>
    <n v="0"/>
  </r>
  <r>
    <s v="WATERS EDGE BLVD"/>
    <x v="42"/>
    <s v="650 W"/>
    <s v="150 N"/>
    <n v="1072"/>
    <m/>
    <x v="5"/>
    <x v="6"/>
    <n v="0"/>
  </r>
  <r>
    <s v="WATERS EDGE CT"/>
    <x v="42"/>
    <s v="650 W"/>
    <s v="150 N"/>
    <n v="393.8"/>
    <m/>
    <x v="5"/>
    <x v="6"/>
    <n v="0"/>
  </r>
  <r>
    <s v="WATERWAY DRIVE"/>
    <x v="31"/>
    <s v="500 W"/>
    <s v="60 S"/>
    <n v="158"/>
    <n v="26"/>
    <x v="5"/>
    <x v="7"/>
    <n v="0"/>
  </r>
  <r>
    <s v="WAYNE DRIVE"/>
    <x v="4"/>
    <s v="200 W"/>
    <s v="50 N"/>
    <n v="2429"/>
    <n v="26"/>
    <x v="5"/>
    <x v="4"/>
    <n v="0"/>
  </r>
  <r>
    <s v="WELKER DRIVE"/>
    <x v="98"/>
    <s v="300 W"/>
    <s v="US 40"/>
    <n v="1267"/>
    <n v="26"/>
    <x v="5"/>
    <x v="7"/>
    <n v="0"/>
  </r>
  <r>
    <s v="WEST ST(CHAR)/CART"/>
    <x v="0"/>
    <s v="US40"/>
    <s v="CARTHAGE RD"/>
    <n v="538"/>
    <n v="20"/>
    <x v="2"/>
    <x v="1"/>
    <n v="0"/>
  </r>
  <r>
    <s v="WEST ST(FINLY)"/>
    <x v="0"/>
    <s v="US52"/>
    <s v="GREENFIELD ST"/>
    <n v="396"/>
    <n v="20"/>
    <x v="1"/>
    <x v="5"/>
    <n v="0"/>
  </r>
  <r>
    <s v="WESTERN CT (W)"/>
    <x v="43"/>
    <s v="700 W"/>
    <s v="350 S"/>
    <n v="475"/>
    <n v="26"/>
    <x v="5"/>
    <x v="7"/>
    <n v="0"/>
  </r>
  <r>
    <s v="WHISPERING WAY"/>
    <x v="42"/>
    <s v="650 W"/>
    <s v="150 N"/>
    <n v="400"/>
    <n v="26"/>
    <x v="5"/>
    <x v="6"/>
    <n v="0"/>
  </r>
  <r>
    <s v="WHITE OAK DRIVE"/>
    <x v="72"/>
    <s v="700 W"/>
    <s v="400 S"/>
    <n v="1373"/>
    <n v="26"/>
    <x v="5"/>
    <x v="7"/>
    <n v="0"/>
  </r>
  <r>
    <s v="WHITESIDE CT"/>
    <x v="42"/>
    <s v="650 W"/>
    <s v="150 N"/>
    <n v="371"/>
    <m/>
    <x v="5"/>
    <x v="6"/>
    <n v="0"/>
  </r>
  <r>
    <s v="WILDFLOWER LN"/>
    <x v="26"/>
    <s v="700 W"/>
    <s v="225 S"/>
    <n v="739"/>
    <n v="26"/>
    <x v="5"/>
    <x v="7"/>
    <n v="0"/>
  </r>
  <r>
    <s v="WILDWOOD DRIVE"/>
    <x v="4"/>
    <s v="200 W"/>
    <s v="50 N"/>
    <n v="1373"/>
    <n v="26"/>
    <x v="5"/>
    <x v="6"/>
    <n v="0"/>
  </r>
  <r>
    <s v="WILLIAMSWOOD DRIVE"/>
    <x v="72"/>
    <s v="700 W"/>
    <s v="400 S"/>
    <n v="1056"/>
    <n v="26"/>
    <x v="5"/>
    <x v="7"/>
    <n v="0"/>
  </r>
  <r>
    <s v="WILLOW GROVE DR (S)"/>
    <x v="43"/>
    <s v="700 W"/>
    <s v="350 S"/>
    <n v="758"/>
    <n v="26"/>
    <x v="5"/>
    <x v="7"/>
    <n v="0"/>
  </r>
  <r>
    <s v="WILLOW GROVE DR (W)"/>
    <x v="43"/>
    <s v="700 W"/>
    <s v="350 S"/>
    <n v="2002"/>
    <n v="26"/>
    <x v="5"/>
    <x v="7"/>
    <n v="0"/>
  </r>
  <r>
    <s v="WINDHAVEN COURT"/>
    <x v="47"/>
    <s v="440 W"/>
    <s v="100 S"/>
    <n v="686"/>
    <n v="26"/>
    <x v="5"/>
    <x v="7"/>
    <n v="0"/>
  </r>
  <r>
    <s v="WINDMILL WAY(W)"/>
    <x v="8"/>
    <s v="500 W"/>
    <s v="375 S"/>
    <n v="1003"/>
    <n v="26"/>
    <x v="5"/>
    <x v="7"/>
    <n v="0"/>
  </r>
  <r>
    <s v="WINDSONG COURT"/>
    <x v="47"/>
    <s v="440 W"/>
    <s v="100 S"/>
    <n v="528"/>
    <n v="26"/>
    <x v="5"/>
    <x v="7"/>
    <n v="0"/>
  </r>
  <r>
    <s v="WOLLENWEBER ROAD"/>
    <x v="32"/>
    <s v="625 W"/>
    <s v="300 S"/>
    <n v="2112"/>
    <n v="26"/>
    <x v="5"/>
    <x v="7"/>
    <n v="0"/>
  </r>
  <r>
    <s v="WOODCREST DRIVE"/>
    <x v="99"/>
    <s v="700 W"/>
    <s v="50 N"/>
    <n v="1267"/>
    <n v="26"/>
    <x v="5"/>
    <x v="6"/>
    <n v="0"/>
  </r>
  <r>
    <s v="WOODFIELD DRIVE"/>
    <x v="72"/>
    <s v="700 W"/>
    <s v="400 S"/>
    <n v="634"/>
    <n v="26"/>
    <x v="5"/>
    <x v="7"/>
    <n v="0"/>
  </r>
  <r>
    <s v="WOODGROVE WAY(S)"/>
    <x v="26"/>
    <s v="700 W"/>
    <s v="225 S"/>
    <n v="792"/>
    <n v="26"/>
    <x v="5"/>
    <x v="7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8">
  <r>
    <x v="0"/>
    <s v="1000E/1000N"/>
    <m/>
    <x v="0"/>
    <x v="0"/>
    <n v="5333"/>
    <n v="20"/>
    <s v="CS"/>
    <s v="B"/>
    <n v="0"/>
    <n v="5"/>
    <n v="5"/>
    <n v="5"/>
    <n v="5"/>
    <n v="9"/>
    <n v="9"/>
    <n v="8"/>
    <n v="8"/>
    <n v="8"/>
    <n v="8"/>
    <m/>
    <m/>
    <m/>
    <n v="1045"/>
    <n v="0.5"/>
    <s v="1000E"/>
    <n v="1.5"/>
    <x v="0"/>
    <n v="21210.795454545456"/>
    <n v="1"/>
    <n v="21210.795454545456"/>
    <x v="0"/>
  </r>
  <r>
    <x v="1"/>
    <s v="600W/600N"/>
    <m/>
    <x v="1"/>
    <x v="1"/>
    <n v="5110"/>
    <n v="20"/>
    <s v="AC"/>
    <s v="BC"/>
    <n v="0"/>
    <n v="7"/>
    <n v="7"/>
    <m/>
    <m/>
    <n v="7"/>
    <m/>
    <m/>
    <m/>
    <m/>
    <m/>
    <m/>
    <m/>
    <s v="Y"/>
    <n v="9003"/>
    <n v="1.5"/>
    <s v="600W"/>
    <n v="4.5"/>
    <x v="1"/>
    <n v="5226.136363636364"/>
    <m/>
    <n v="0"/>
    <x v="1"/>
  </r>
  <r>
    <x v="2"/>
    <s v="1000E/350N"/>
    <m/>
    <x v="2"/>
    <x v="2"/>
    <n v="2647"/>
    <n v="20"/>
    <s v="CS"/>
    <s v="J"/>
    <n v="0"/>
    <n v="7"/>
    <n v="5"/>
    <n v="8"/>
    <n v="8"/>
    <n v="7"/>
    <n v="7"/>
    <n v="7"/>
    <n v="7"/>
    <n v="6"/>
    <n v="7"/>
    <m/>
    <m/>
    <m/>
    <n v="50"/>
    <n v="0"/>
    <s v="1000E"/>
    <n v="3"/>
    <x v="0"/>
    <n v="10527.84090909091"/>
    <m/>
    <n v="0"/>
    <x v="2"/>
  </r>
  <r>
    <x v="3"/>
    <s v="1000E/500N"/>
    <m/>
    <x v="3"/>
    <x v="3"/>
    <n v="5320"/>
    <n v="20"/>
    <s v="CS"/>
    <s v="J"/>
    <n v="0"/>
    <n v="7"/>
    <n v="8"/>
    <n v="8"/>
    <n v="8"/>
    <n v="8"/>
    <n v="7"/>
    <n v="7"/>
    <n v="7"/>
    <n v="7"/>
    <n v="7"/>
    <m/>
    <m/>
    <m/>
    <n v="24"/>
    <n v="0"/>
    <s v="1000E"/>
    <n v="2"/>
    <x v="2"/>
    <n v="32242.424242424244"/>
    <n v="1"/>
    <n v="32242.424242424244"/>
    <x v="3"/>
  </r>
  <r>
    <x v="4"/>
    <s v="1000E/550N"/>
    <m/>
    <x v="1"/>
    <x v="4"/>
    <n v="2693"/>
    <n v="20"/>
    <s v="AC"/>
    <s v="J"/>
    <n v="0"/>
    <n v="7"/>
    <n v="6"/>
    <n v="6"/>
    <n v="5"/>
    <n v="7"/>
    <n v="7"/>
    <n v="7"/>
    <n v="7"/>
    <n v="7"/>
    <n v="7"/>
    <m/>
    <m/>
    <m/>
    <n v="34"/>
    <n v="0"/>
    <s v="1000E"/>
    <n v="3"/>
    <x v="2"/>
    <n v="16321.212121212122"/>
    <m/>
    <n v="0"/>
    <x v="4"/>
  </r>
  <r>
    <x v="5"/>
    <s v="1000E/650N"/>
    <m/>
    <x v="4"/>
    <x v="5"/>
    <n v="2910"/>
    <n v="20"/>
    <s v="CS"/>
    <s v="B"/>
    <n v="0"/>
    <n v="7"/>
    <n v="7"/>
    <n v="7"/>
    <n v="7"/>
    <n v="6"/>
    <n v="6"/>
    <n v="5"/>
    <n v="5"/>
    <n v="5"/>
    <n v="8"/>
    <m/>
    <m/>
    <m/>
    <n v="25"/>
    <n v="0"/>
    <s v="1000E"/>
    <n v="4"/>
    <x v="0"/>
    <n v="11573.863636363636"/>
    <m/>
    <n v="0"/>
    <x v="2"/>
  </r>
  <r>
    <x v="6"/>
    <s v="1000E/900N"/>
    <m/>
    <x v="5"/>
    <x v="6"/>
    <n v="5290"/>
    <n v="20"/>
    <s v="CS"/>
    <s v="B"/>
    <n v="0"/>
    <n v="5"/>
    <n v="5"/>
    <n v="5"/>
    <n v="5"/>
    <n v="4"/>
    <n v="9"/>
    <n v="8"/>
    <n v="8"/>
    <n v="8"/>
    <n v="8"/>
    <m/>
    <m/>
    <m/>
    <n v="175"/>
    <n v="0"/>
    <s v="1000E"/>
    <n v="6"/>
    <x v="0"/>
    <n v="21039.772727272728"/>
    <n v="1"/>
    <n v="21039.772727272728"/>
    <x v="3"/>
  </r>
  <r>
    <x v="7"/>
    <s v="1000E/N.TWP LINE"/>
    <m/>
    <x v="6"/>
    <x v="7"/>
    <n v="2640"/>
    <n v="20"/>
    <s v="AC"/>
    <s v="J"/>
    <n v="0"/>
    <n v="6"/>
    <n v="6"/>
    <n v="6"/>
    <n v="5"/>
    <n v="5"/>
    <n v="5"/>
    <n v="6"/>
    <n v="6"/>
    <n v="6"/>
    <n v="7"/>
    <m/>
    <m/>
    <m/>
    <n v="78"/>
    <n v="0"/>
    <s v="1000E"/>
    <n v="5"/>
    <x v="2"/>
    <n v="16000"/>
    <m/>
    <n v="0"/>
    <x v="4"/>
  </r>
  <r>
    <x v="8"/>
    <s v="1000E/SR109"/>
    <m/>
    <x v="7"/>
    <x v="8"/>
    <n v="3854"/>
    <n v="20"/>
    <s v="AC"/>
    <s v="B"/>
    <n v="0"/>
    <n v="10"/>
    <n v="10"/>
    <n v="10"/>
    <n v="9"/>
    <n v="8"/>
    <n v="8"/>
    <n v="8"/>
    <n v="7"/>
    <n v="7"/>
    <n v="7"/>
    <m/>
    <m/>
    <m/>
    <n v="175"/>
    <n v="0"/>
    <s v="1000E"/>
    <n v="2"/>
    <x v="0"/>
    <n v="15328.40909090909"/>
    <m/>
    <n v="0"/>
    <x v="4"/>
  </r>
  <r>
    <x v="9"/>
    <s v="1000N/1000E"/>
    <m/>
    <x v="8"/>
    <x v="8"/>
    <n v="5320"/>
    <n v="20"/>
    <s v="CS"/>
    <s v="B"/>
    <n v="0"/>
    <n v="6"/>
    <n v="6"/>
    <n v="6"/>
    <n v="6"/>
    <n v="9"/>
    <n v="8"/>
    <n v="7"/>
    <n v="7"/>
    <n v="7"/>
    <n v="7"/>
    <m/>
    <m/>
    <m/>
    <m/>
    <n v="0"/>
    <s v="1000N"/>
    <n v="1"/>
    <x v="0"/>
    <n v="21159.090909090908"/>
    <n v="1"/>
    <n v="21159.090909090908"/>
    <x v="0"/>
  </r>
  <r>
    <x v="10"/>
    <s v="1000N/1100E"/>
    <m/>
    <x v="8"/>
    <x v="9"/>
    <n v="5470"/>
    <n v="20"/>
    <s v="AC"/>
    <s v="B"/>
    <n v="0"/>
    <n v="7"/>
    <n v="8"/>
    <n v="8"/>
    <n v="8"/>
    <n v="7"/>
    <n v="6"/>
    <n v="6"/>
    <n v="6"/>
    <n v="7"/>
    <n v="7"/>
    <m/>
    <m/>
    <m/>
    <n v="178"/>
    <n v="0"/>
    <s v="1000N"/>
    <n v="3"/>
    <x v="3"/>
    <n v="47655.303030303032"/>
    <m/>
    <n v="0"/>
    <x v="5"/>
  </r>
  <r>
    <x v="11"/>
    <s v="400W/500N"/>
    <m/>
    <x v="3"/>
    <x v="3"/>
    <n v="5290"/>
    <n v="20"/>
    <s v="P"/>
    <s v="BC"/>
    <n v="0"/>
    <n v="7"/>
    <n v="6"/>
    <n v="5"/>
    <n v="5"/>
    <n v="9"/>
    <n v="9"/>
    <n v="8"/>
    <n v="8"/>
    <n v="8"/>
    <n v="8"/>
    <m/>
    <m/>
    <m/>
    <n v="984"/>
    <n v="0.5"/>
    <s v="400W"/>
    <n v="1.5"/>
    <x v="1"/>
    <n v="5410.227272727273"/>
    <m/>
    <n v="0"/>
    <x v="6"/>
  </r>
  <r>
    <x v="12"/>
    <s v="1000N/125W"/>
    <m/>
    <x v="9"/>
    <x v="10"/>
    <n v="2650"/>
    <n v="20"/>
    <s v="CS"/>
    <s v="V"/>
    <n v="0"/>
    <n v="7"/>
    <n v="7"/>
    <n v="8"/>
    <n v="7"/>
    <n v="7"/>
    <n v="8"/>
    <n v="8"/>
    <n v="8"/>
    <n v="8"/>
    <n v="8"/>
    <n v="2024"/>
    <n v="2023"/>
    <s v="Y"/>
    <n v="1365"/>
    <n v="0.5"/>
    <s v="1000N"/>
    <n v="3.5"/>
    <x v="2"/>
    <n v="16060.60606060606"/>
    <m/>
    <n v="0"/>
    <x v="4"/>
  </r>
  <r>
    <x v="13"/>
    <s v="450W/300S"/>
    <m/>
    <x v="10"/>
    <x v="11"/>
    <n v="1660"/>
    <n v="20"/>
    <s v="AC"/>
    <s v="SC"/>
    <n v="0"/>
    <n v="10"/>
    <n v="7"/>
    <n v="7"/>
    <n v="7"/>
    <n v="7"/>
    <n v="7"/>
    <n v="7"/>
    <n v="7"/>
    <n v="7"/>
    <n v="7"/>
    <m/>
    <m/>
    <m/>
    <n v="912"/>
    <n v="0.5"/>
    <s v="450W"/>
    <n v="3.5"/>
    <x v="1"/>
    <n v="1697.7272727272727"/>
    <m/>
    <n v="0"/>
    <x v="6"/>
  </r>
  <r>
    <x v="14"/>
    <s v="400S/400W"/>
    <m/>
    <x v="11"/>
    <x v="12"/>
    <n v="2715"/>
    <n v="20"/>
    <s v="CS"/>
    <s v="SC"/>
    <n v="0"/>
    <n v="10"/>
    <n v="9"/>
    <n v="8"/>
    <n v="8"/>
    <n v="8"/>
    <n v="8"/>
    <n v="8"/>
    <n v="8"/>
    <n v="7"/>
    <n v="7"/>
    <n v="2024"/>
    <n v="2016"/>
    <s v="Y"/>
    <n v="478"/>
    <n v="0"/>
    <s v="400S"/>
    <n v="2"/>
    <x v="1"/>
    <n v="2776.7045454545455"/>
    <m/>
    <n v="0"/>
    <x v="6"/>
  </r>
  <r>
    <x v="15"/>
    <s v="1000N/50W"/>
    <m/>
    <x v="12"/>
    <x v="13"/>
    <n v="4013"/>
    <n v="20"/>
    <s v="CS"/>
    <s v="V"/>
    <n v="0"/>
    <n v="7"/>
    <n v="7"/>
    <n v="6"/>
    <n v="6"/>
    <n v="6"/>
    <n v="8"/>
    <n v="8"/>
    <n v="8"/>
    <n v="8"/>
    <n v="8"/>
    <n v="2024"/>
    <n v="2023"/>
    <s v="Y"/>
    <n v="954"/>
    <n v="0.5"/>
    <s v="1000N"/>
    <n v="4.5"/>
    <x v="2"/>
    <n v="24321.21212121212"/>
    <m/>
    <n v="0"/>
    <x v="4"/>
  </r>
  <r>
    <x v="16"/>
    <s v="1000N/550E"/>
    <m/>
    <x v="13"/>
    <x v="14"/>
    <n v="2693"/>
    <n v="20"/>
    <s v="AC"/>
    <s v="G"/>
    <n v="0"/>
    <n v="7"/>
    <n v="7"/>
    <n v="7"/>
    <n v="7"/>
    <n v="6"/>
    <n v="6"/>
    <n v="6"/>
    <n v="6"/>
    <n v="6"/>
    <n v="6"/>
    <n v="2023"/>
    <n v="2023"/>
    <s v="Y"/>
    <n v="98"/>
    <n v="0"/>
    <s v="1000N"/>
    <n v="4"/>
    <x v="3"/>
    <n v="23461.742424242424"/>
    <m/>
    <n v="0"/>
    <x v="5"/>
  </r>
  <r>
    <x v="17"/>
    <s v="1000N/600E"/>
    <m/>
    <x v="14"/>
    <x v="15"/>
    <n v="2638"/>
    <n v="20"/>
    <s v="AC"/>
    <s v="G"/>
    <n v="0"/>
    <n v="6"/>
    <n v="6"/>
    <n v="6"/>
    <n v="6"/>
    <n v="6"/>
    <n v="6"/>
    <n v="6"/>
    <n v="7"/>
    <n v="7"/>
    <n v="7"/>
    <n v="2023"/>
    <n v="2023"/>
    <s v="Y"/>
    <n v="100"/>
    <n v="0"/>
    <s v="1000N"/>
    <n v="4"/>
    <x v="2"/>
    <n v="15987.878787878788"/>
    <m/>
    <n v="0"/>
    <x v="4"/>
  </r>
  <r>
    <x v="18"/>
    <s v="600N/MAIN ST."/>
    <m/>
    <x v="14"/>
    <x v="16"/>
    <n v="1620"/>
    <n v="20"/>
    <s v="AC"/>
    <s v="B"/>
    <n v="0"/>
    <n v="5"/>
    <n v="5"/>
    <n v="9"/>
    <n v="10"/>
    <n v="9"/>
    <n v="9"/>
    <n v="8"/>
    <n v="8"/>
    <n v="7"/>
    <n v="7"/>
    <m/>
    <n v="2018"/>
    <s v="Y"/>
    <n v="333"/>
    <n v="0"/>
    <s v="600N"/>
    <n v="1"/>
    <x v="1"/>
    <n v="1656.8181818181818"/>
    <m/>
    <n v="0"/>
    <x v="6"/>
  </r>
  <r>
    <x v="19"/>
    <s v="RAESNER SOUTH DR"/>
    <s v="Raesner-Johnson"/>
    <x v="15"/>
    <x v="17"/>
    <n v="581"/>
    <n v="26"/>
    <s v="NC"/>
    <s v="SC"/>
    <n v="0"/>
    <n v="4"/>
    <n v="10"/>
    <n v="10"/>
    <n v="9"/>
    <n v="9"/>
    <n v="8"/>
    <n v="8"/>
    <n v="8"/>
    <n v="8"/>
    <n v="8"/>
    <m/>
    <m/>
    <m/>
    <n v="115"/>
    <n v="0"/>
    <s v="RAESNER SOUTH DR"/>
    <n v="1"/>
    <x v="1"/>
    <n v="594.2045454545455"/>
    <m/>
    <n v="0"/>
    <x v="6"/>
  </r>
  <r>
    <x v="20"/>
    <s v="1000N/ALFORD RD"/>
    <m/>
    <x v="16"/>
    <x v="18"/>
    <n v="6758"/>
    <n v="20"/>
    <s v="AC"/>
    <s v="G"/>
    <n v="0"/>
    <n v="6"/>
    <n v="6"/>
    <n v="4"/>
    <n v="7"/>
    <n v="6"/>
    <n v="6"/>
    <n v="6"/>
    <n v="7"/>
    <n v="7"/>
    <n v="7"/>
    <n v="2024"/>
    <n v="2023"/>
    <s v="Y"/>
    <n v="857"/>
    <n v="0.5"/>
    <s v="1000N"/>
    <n v="4.5"/>
    <x v="0"/>
    <n v="26878.409090909092"/>
    <m/>
    <n v="0"/>
    <x v="4"/>
  </r>
  <r>
    <x v="21"/>
    <s v="1000N/BARNARD RD"/>
    <m/>
    <x v="17"/>
    <x v="19"/>
    <n v="4963"/>
    <n v="20"/>
    <s v="AC"/>
    <s v="G"/>
    <n v="0"/>
    <n v="8"/>
    <n v="8"/>
    <n v="8"/>
    <n v="8"/>
    <n v="8"/>
    <n v="8"/>
    <n v="8"/>
    <n v="8"/>
    <n v="7"/>
    <n v="7"/>
    <n v="2023"/>
    <n v="2023"/>
    <s v="Y"/>
    <n v="623"/>
    <n v="0.5"/>
    <s v="1000N"/>
    <n v="2.5"/>
    <x v="2"/>
    <n v="30078.78787878788"/>
    <m/>
    <n v="0"/>
    <x v="4"/>
  </r>
  <r>
    <x v="22"/>
    <s v="1000N/MERIDIAN RD"/>
    <m/>
    <x v="18"/>
    <x v="20"/>
    <n v="2693"/>
    <n v="20"/>
    <s v="AC"/>
    <s v="V"/>
    <n v="0"/>
    <n v="7"/>
    <n v="8"/>
    <n v="6"/>
    <n v="6"/>
    <n v="6"/>
    <n v="8"/>
    <n v="8"/>
    <n v="8"/>
    <n v="8"/>
    <n v="8"/>
    <n v="2024"/>
    <n v="2023"/>
    <s v="Y"/>
    <n v="1025"/>
    <n v="0.5"/>
    <s v="1000N"/>
    <n v="4.5"/>
    <x v="2"/>
    <n v="16321.212121212122"/>
    <m/>
    <n v="0"/>
    <x v="4"/>
  </r>
  <r>
    <x v="23"/>
    <s v="1000N/NASHVILLE RD"/>
    <m/>
    <x v="19"/>
    <x v="21"/>
    <n v="4270"/>
    <n v="20"/>
    <s v="AC"/>
    <s v="B"/>
    <n v="0"/>
    <n v="8"/>
    <n v="6"/>
    <n v="6"/>
    <n v="6"/>
    <n v="6"/>
    <n v="6"/>
    <n v="6"/>
    <n v="6"/>
    <n v="6"/>
    <n v="7"/>
    <n v="2024"/>
    <n v="2022"/>
    <s v="Y"/>
    <n v="100"/>
    <n v="0"/>
    <s v="1000N"/>
    <n v="4"/>
    <x v="4"/>
    <n v="88958.333333333328"/>
    <n v="1"/>
    <n v="88958.333333333328"/>
    <x v="0"/>
  </r>
  <r>
    <x v="24"/>
    <s v="1000N/SR109"/>
    <m/>
    <x v="20"/>
    <x v="22"/>
    <n v="7025"/>
    <n v="20"/>
    <s v="AC"/>
    <s v="B"/>
    <n v="0"/>
    <n v="6"/>
    <n v="8"/>
    <n v="8"/>
    <n v="8"/>
    <n v="7"/>
    <n v="6"/>
    <n v="5"/>
    <n v="7"/>
    <n v="7"/>
    <n v="8"/>
    <m/>
    <m/>
    <m/>
    <n v="93"/>
    <n v="0"/>
    <s v="1000N"/>
    <n v="3"/>
    <x v="2"/>
    <n v="42575.757575757576"/>
    <m/>
    <n v="0"/>
    <x v="4"/>
  </r>
  <r>
    <x v="25"/>
    <s v="1000N/SR9"/>
    <m/>
    <x v="21"/>
    <x v="23"/>
    <n v="3062"/>
    <n v="20"/>
    <s v="CS"/>
    <s v="G"/>
    <n v="0"/>
    <n v="5"/>
    <n v="5"/>
    <n v="7"/>
    <n v="7"/>
    <n v="7"/>
    <n v="7"/>
    <n v="7"/>
    <n v="7"/>
    <n v="7"/>
    <n v="7"/>
    <n v="2023"/>
    <n v="2023"/>
    <s v="Y"/>
    <n v="427"/>
    <n v="0"/>
    <s v="1000N"/>
    <n v="3"/>
    <x v="0"/>
    <n v="12178.40909090909"/>
    <m/>
    <n v="0"/>
    <x v="2"/>
  </r>
  <r>
    <x v="26"/>
    <s v="900N/675E"/>
    <m/>
    <x v="22"/>
    <x v="24"/>
    <n v="4000"/>
    <n v="20"/>
    <s v="AC"/>
    <s v="B"/>
    <n v="0"/>
    <n v="8"/>
    <n v="7"/>
    <n v="7"/>
    <n v="7"/>
    <n v="7"/>
    <n v="6"/>
    <n v="6"/>
    <n v="6"/>
    <n v="8"/>
    <n v="7"/>
    <m/>
    <m/>
    <m/>
    <n v="81"/>
    <n v="0"/>
    <s v="900N"/>
    <n v="3"/>
    <x v="1"/>
    <n v="4090.909090909091"/>
    <m/>
    <n v="0"/>
    <x v="6"/>
  </r>
  <r>
    <x v="27"/>
    <s v="RAESNER NORTH DR"/>
    <s v="Raesner-Johnson"/>
    <x v="15"/>
    <x v="17"/>
    <n v="1162"/>
    <n v="26"/>
    <s v="NC"/>
    <s v="SC"/>
    <n v="0"/>
    <n v="6"/>
    <n v="10"/>
    <n v="10"/>
    <n v="9"/>
    <n v="9"/>
    <n v="8"/>
    <n v="8"/>
    <n v="8"/>
    <n v="8"/>
    <n v="8"/>
    <m/>
    <m/>
    <m/>
    <n v="60"/>
    <n v="0"/>
    <s v="RAESNER NORTH DR"/>
    <n v="1"/>
    <x v="1"/>
    <n v="1188.409090909091"/>
    <m/>
    <n v="0"/>
    <x v="6"/>
  </r>
  <r>
    <x v="28"/>
    <s v="300W/US40"/>
    <m/>
    <x v="23"/>
    <x v="25"/>
    <n v="5000"/>
    <n v="20"/>
    <s v="P"/>
    <s v="SC"/>
    <n v="0"/>
    <n v="4"/>
    <n v="4"/>
    <n v="4"/>
    <n v="4"/>
    <n v="9"/>
    <n v="8"/>
    <n v="8"/>
    <n v="8"/>
    <n v="7"/>
    <n v="7"/>
    <m/>
    <m/>
    <m/>
    <n v="50"/>
    <n v="0"/>
    <s v="300W"/>
    <n v="1"/>
    <x v="1"/>
    <n v="5113.636363636364"/>
    <m/>
    <n v="0"/>
    <x v="6"/>
  </r>
  <r>
    <x v="29"/>
    <s v="100E/500S"/>
    <m/>
    <x v="24"/>
    <x v="26"/>
    <n v="5320"/>
    <n v="20"/>
    <s v="AC"/>
    <s v="BW"/>
    <n v="0"/>
    <n v="8"/>
    <n v="7"/>
    <n v="8"/>
    <n v="7"/>
    <n v="6"/>
    <n v="6"/>
    <n v="7"/>
    <n v="6"/>
    <n v="7"/>
    <n v="7"/>
    <m/>
    <m/>
    <m/>
    <n v="1054"/>
    <n v="0.5"/>
    <s v="100E"/>
    <n v="4.5"/>
    <x v="5"/>
    <n v="80606.060606060608"/>
    <n v="1"/>
    <n v="80606.060606060608"/>
    <x v="3"/>
  </r>
  <r>
    <x v="30"/>
    <s v="350W/US40"/>
    <m/>
    <x v="23"/>
    <x v="25"/>
    <n v="1372"/>
    <n v="20"/>
    <s v="P"/>
    <s v="SC"/>
    <n v="0"/>
    <n v="4"/>
    <n v="4"/>
    <n v="4"/>
    <n v="4"/>
    <n v="9"/>
    <n v="8"/>
    <n v="8"/>
    <n v="7"/>
    <n v="7"/>
    <n v="7"/>
    <m/>
    <m/>
    <m/>
    <n v="50"/>
    <n v="0"/>
    <s v="350W"/>
    <n v="1"/>
    <x v="1"/>
    <n v="1403.1818181818182"/>
    <m/>
    <n v="0"/>
    <x v="6"/>
  </r>
  <r>
    <x v="31"/>
    <s v="100N/100W"/>
    <m/>
    <x v="25"/>
    <x v="27"/>
    <n v="2691"/>
    <n v="20"/>
    <s v="AC"/>
    <s v="C"/>
    <n v="0"/>
    <n v="7"/>
    <n v="7"/>
    <n v="6"/>
    <n v="6"/>
    <n v="7"/>
    <n v="7"/>
    <n v="7"/>
    <n v="7"/>
    <n v="7"/>
    <n v="7"/>
    <n v="2022"/>
    <n v="2022"/>
    <s v="Y"/>
    <n v="3879"/>
    <n v="1.5"/>
    <s v="100N"/>
    <n v="4.5"/>
    <x v="2"/>
    <n v="16309.09090909091"/>
    <m/>
    <n v="0"/>
    <x v="5"/>
  </r>
  <r>
    <x v="32"/>
    <s v="100N/150W"/>
    <m/>
    <x v="26"/>
    <x v="28"/>
    <n v="2683"/>
    <n v="20"/>
    <s v="AC"/>
    <s v="C"/>
    <n v="0"/>
    <n v="7"/>
    <n v="7"/>
    <n v="7"/>
    <n v="7"/>
    <n v="7"/>
    <n v="7"/>
    <n v="7"/>
    <n v="7"/>
    <n v="7"/>
    <n v="7"/>
    <n v="2022"/>
    <n v="2022"/>
    <s v="Y"/>
    <n v="3955"/>
    <n v="1.5"/>
    <s v="100N"/>
    <n v="4.5"/>
    <x v="2"/>
    <n v="16260.60606060606"/>
    <m/>
    <n v="0"/>
    <x v="5"/>
  </r>
  <r>
    <x v="33"/>
    <s v="100N/200W"/>
    <m/>
    <x v="27"/>
    <x v="29"/>
    <n v="5337"/>
    <n v="20"/>
    <s v="AC"/>
    <s v="BC"/>
    <n v="0"/>
    <n v="7"/>
    <n v="6"/>
    <n v="7"/>
    <n v="9"/>
    <n v="8"/>
    <n v="7"/>
    <n v="7"/>
    <n v="7"/>
    <n v="7"/>
    <n v="7"/>
    <n v="2022"/>
    <n v="2017"/>
    <s v="Y"/>
    <n v="2608"/>
    <n v="1.5"/>
    <s v="100N"/>
    <n v="3.5"/>
    <x v="2"/>
    <n v="32345.454545454544"/>
    <m/>
    <n v="0"/>
    <x v="5"/>
  </r>
  <r>
    <x v="34"/>
    <s v="100N/300W"/>
    <m/>
    <x v="28"/>
    <x v="30"/>
    <n v="2697"/>
    <n v="20"/>
    <s v="AC"/>
    <s v="BC"/>
    <n v="0"/>
    <n v="7"/>
    <n v="7"/>
    <n v="7"/>
    <n v="7"/>
    <n v="7"/>
    <n v="7"/>
    <n v="7"/>
    <n v="7"/>
    <n v="7"/>
    <n v="7"/>
    <n v="2022"/>
    <n v="2022"/>
    <s v="Y"/>
    <n v="2370"/>
    <n v="1"/>
    <s v="100N"/>
    <n v="4"/>
    <x v="2"/>
    <n v="16345.454545454546"/>
    <m/>
    <n v="0"/>
    <x v="5"/>
  </r>
  <r>
    <x v="35"/>
    <s v="100N/350W"/>
    <m/>
    <x v="29"/>
    <x v="31"/>
    <n v="2698"/>
    <n v="20"/>
    <s v="AC"/>
    <s v="BC"/>
    <n v="0"/>
    <n v="7"/>
    <n v="6"/>
    <n v="6"/>
    <n v="9"/>
    <n v="8"/>
    <n v="8"/>
    <n v="7"/>
    <n v="7"/>
    <n v="7"/>
    <n v="7"/>
    <n v="2022"/>
    <n v="2022"/>
    <s v="Y"/>
    <n v="2450"/>
    <n v="1"/>
    <s v="100N"/>
    <n v="3"/>
    <x v="2"/>
    <n v="16351.515151515152"/>
    <m/>
    <n v="0"/>
    <x v="5"/>
  </r>
  <r>
    <x v="36"/>
    <s v="100N/400W"/>
    <m/>
    <x v="11"/>
    <x v="32"/>
    <n v="6720"/>
    <n v="20"/>
    <s v="AC"/>
    <s v="BC"/>
    <n v="0"/>
    <n v="6"/>
    <n v="6"/>
    <n v="6"/>
    <n v="9"/>
    <n v="8"/>
    <n v="8"/>
    <n v="7"/>
    <n v="7"/>
    <n v="7"/>
    <n v="7"/>
    <n v="2022"/>
    <n v="2022"/>
    <s v="Y"/>
    <n v="2354"/>
    <n v="1"/>
    <s v="100N"/>
    <n v="3"/>
    <x v="2"/>
    <n v="40727.272727272728"/>
    <m/>
    <n v="0"/>
    <x v="5"/>
  </r>
  <r>
    <x v="37"/>
    <s v="100N/500E"/>
    <m/>
    <x v="30"/>
    <x v="14"/>
    <n v="5438"/>
    <n v="20"/>
    <s v="CS"/>
    <s v="C"/>
    <n v="0"/>
    <n v="6"/>
    <n v="6"/>
    <n v="6"/>
    <n v="6"/>
    <n v="6"/>
    <n v="6"/>
    <n v="6"/>
    <n v="6"/>
    <n v="6"/>
    <n v="8"/>
    <n v="2022"/>
    <n v="2022"/>
    <s v="Y"/>
    <n v="995"/>
    <n v="0.5"/>
    <s v="100N"/>
    <n v="4.5"/>
    <x v="0"/>
    <n v="21628.409090909092"/>
    <m/>
    <n v="0"/>
    <x v="2"/>
  </r>
  <r>
    <x v="38"/>
    <s v="COTTONWOOD DR"/>
    <m/>
    <x v="31"/>
    <x v="33"/>
    <n v="581"/>
    <n v="26"/>
    <s v="NC"/>
    <s v="BW"/>
    <n v="0"/>
    <n v="6"/>
    <n v="6"/>
    <n v="6"/>
    <n v="6"/>
    <n v="7"/>
    <n v="7"/>
    <n v="7"/>
    <n v="7"/>
    <n v="7"/>
    <n v="7"/>
    <m/>
    <m/>
    <m/>
    <n v="50"/>
    <n v="0"/>
    <s v="COTTONWOOD DR"/>
    <n v="3"/>
    <x v="1"/>
    <n v="594.2045454545455"/>
    <m/>
    <n v="0"/>
    <x v="6"/>
  </r>
  <r>
    <x v="39"/>
    <s v="100N/600E"/>
    <m/>
    <x v="32"/>
    <x v="24"/>
    <n v="5386"/>
    <n v="20"/>
    <s v="AC"/>
    <s v="J"/>
    <n v="0"/>
    <n v="6"/>
    <n v="6"/>
    <n v="6"/>
    <n v="8"/>
    <n v="7"/>
    <n v="7"/>
    <n v="7"/>
    <n v="7"/>
    <n v="7"/>
    <n v="7"/>
    <n v="2022"/>
    <n v="2022"/>
    <s v="Y"/>
    <n v="801"/>
    <n v="0.5"/>
    <s v="100N"/>
    <n v="3.5"/>
    <x v="2"/>
    <n v="32642.424242424244"/>
    <m/>
    <n v="0"/>
    <x v="5"/>
  </r>
  <r>
    <x v="40"/>
    <s v="100N/600W"/>
    <m/>
    <x v="33"/>
    <x v="34"/>
    <n v="5350"/>
    <n v="20"/>
    <s v="AC"/>
    <s v="BC"/>
    <n v="0"/>
    <n v="7"/>
    <n v="8"/>
    <n v="8"/>
    <n v="8"/>
    <n v="8"/>
    <n v="8"/>
    <n v="7"/>
    <n v="7"/>
    <n v="7"/>
    <n v="7"/>
    <n v="2022"/>
    <n v="2017"/>
    <s v="Y"/>
    <n v="2940"/>
    <n v="1.5"/>
    <s v="100N"/>
    <n v="3.5"/>
    <x v="0"/>
    <n v="21278.409090909092"/>
    <m/>
    <n v="0"/>
    <x v="2"/>
  </r>
  <r>
    <x v="41"/>
    <s v="1050N/FORT.LIM W"/>
    <m/>
    <x v="34"/>
    <x v="35"/>
    <n v="2376"/>
    <n v="20"/>
    <s v="AC"/>
    <s v="V"/>
    <n v="0"/>
    <n v="7"/>
    <n v="7"/>
    <n v="7"/>
    <n v="7"/>
    <n v="7"/>
    <n v="7"/>
    <n v="7"/>
    <n v="7"/>
    <n v="7"/>
    <n v="7"/>
    <m/>
    <m/>
    <m/>
    <n v="6778"/>
    <n v="1.5"/>
    <s v="1050N"/>
    <n v="4.5"/>
    <x v="0"/>
    <n v="9450"/>
    <m/>
    <n v="0"/>
    <x v="6"/>
  </r>
  <r>
    <x v="42"/>
    <s v="700W/300N"/>
    <m/>
    <x v="35"/>
    <x v="36"/>
    <n v="5416"/>
    <n v="20"/>
    <s v="AC"/>
    <s v="BC"/>
    <n v="0"/>
    <n v="7"/>
    <n v="7"/>
    <n v="6"/>
    <n v="9"/>
    <n v="8"/>
    <n v="7"/>
    <n v="7"/>
    <n v="7"/>
    <n v="6"/>
    <n v="6"/>
    <m/>
    <n v="2020"/>
    <s v="Y"/>
    <n v="4173"/>
    <n v="1.5"/>
    <s v="700W"/>
    <n v="3.5"/>
    <x v="0"/>
    <n v="21540.909090909092"/>
    <m/>
    <n v="0"/>
    <x v="6"/>
  </r>
  <r>
    <x v="43"/>
    <s v="100N/75W"/>
    <m/>
    <x v="36"/>
    <x v="37"/>
    <n v="1334"/>
    <n v="20"/>
    <s v="AC"/>
    <s v="C"/>
    <n v="0"/>
    <n v="7"/>
    <n v="5"/>
    <n v="10"/>
    <n v="9"/>
    <n v="8"/>
    <n v="8"/>
    <n v="7"/>
    <n v="7"/>
    <n v="7"/>
    <n v="7"/>
    <n v="2022"/>
    <n v="2022"/>
    <s v="Y"/>
    <n v="4670"/>
    <n v="1.5"/>
    <s v="100N"/>
    <n v="3.5"/>
    <x v="2"/>
    <n v="8084.848484848485"/>
    <m/>
    <n v="0"/>
    <x v="5"/>
  </r>
  <r>
    <x v="44"/>
    <s v="100N/800E"/>
    <m/>
    <x v="37"/>
    <x v="38"/>
    <n v="5403"/>
    <n v="20"/>
    <s v="CS"/>
    <s v="J"/>
    <n v="0"/>
    <n v="7"/>
    <n v="7"/>
    <n v="6"/>
    <n v="5"/>
    <n v="6"/>
    <n v="8"/>
    <n v="7"/>
    <n v="7"/>
    <n v="7"/>
    <n v="7"/>
    <m/>
    <m/>
    <m/>
    <n v="75"/>
    <n v="0"/>
    <s v="100N"/>
    <n v="4"/>
    <x v="0"/>
    <n v="21489.204545454544"/>
    <n v="1"/>
    <n v="21489.204545454544"/>
    <x v="3"/>
  </r>
  <r>
    <x v="45"/>
    <s v="100N/850E"/>
    <m/>
    <x v="38"/>
    <x v="39"/>
    <n v="2532"/>
    <n v="20"/>
    <s v="CS"/>
    <s v="J"/>
    <n v="0"/>
    <n v="7"/>
    <n v="8"/>
    <n v="7"/>
    <n v="7"/>
    <n v="7"/>
    <n v="7"/>
    <n v="7"/>
    <n v="7"/>
    <n v="7"/>
    <n v="6"/>
    <m/>
    <m/>
    <m/>
    <n v="60"/>
    <n v="0"/>
    <s v="100N"/>
    <n v="3"/>
    <x v="2"/>
    <n v="15345.454545454546"/>
    <m/>
    <n v="0"/>
    <x v="4"/>
  </r>
  <r>
    <x v="46"/>
    <s v="100N/BUCK CR RD"/>
    <m/>
    <x v="39"/>
    <x v="40"/>
    <n v="2636"/>
    <n v="20"/>
    <s v="AC"/>
    <s v="BC"/>
    <n v="0"/>
    <n v="7"/>
    <n v="7"/>
    <n v="7"/>
    <n v="7"/>
    <n v="7"/>
    <n v="7"/>
    <n v="7"/>
    <n v="7"/>
    <n v="7"/>
    <n v="7"/>
    <m/>
    <n v="2017"/>
    <s v="Y"/>
    <n v="3679"/>
    <n v="1.5"/>
    <s v="100N"/>
    <n v="4.5"/>
    <x v="0"/>
    <n v="10484.09090909091"/>
    <m/>
    <n v="0"/>
    <x v="1"/>
  </r>
  <r>
    <x v="47"/>
    <s v="100N/GRANISON RD"/>
    <m/>
    <x v="40"/>
    <x v="41"/>
    <n v="7320"/>
    <n v="20"/>
    <s v="CS"/>
    <s v="J"/>
    <n v="0"/>
    <n v="7"/>
    <n v="9"/>
    <n v="8"/>
    <n v="8"/>
    <n v="8"/>
    <n v="7"/>
    <n v="7"/>
    <n v="7"/>
    <n v="6"/>
    <n v="7"/>
    <m/>
    <m/>
    <m/>
    <n v="50"/>
    <n v="0"/>
    <s v="100N"/>
    <n v="2"/>
    <x v="4"/>
    <n v="152500"/>
    <n v="1"/>
    <n v="152500"/>
    <x v="0"/>
  </r>
  <r>
    <x v="48"/>
    <s v="100S/100E"/>
    <m/>
    <x v="41"/>
    <x v="42"/>
    <n v="5090"/>
    <n v="20"/>
    <s v="AC"/>
    <s v="C"/>
    <n v="0"/>
    <n v="7"/>
    <n v="7"/>
    <m/>
    <m/>
    <m/>
    <m/>
    <m/>
    <s v="city"/>
    <m/>
    <m/>
    <m/>
    <m/>
    <m/>
    <n v="657"/>
    <n v="0.5"/>
    <s v="100S"/>
    <n v="10.5"/>
    <x v="6"/>
    <n v="0"/>
    <m/>
    <n v="0"/>
    <x v="1"/>
  </r>
  <r>
    <x v="49"/>
    <s v="100S/150W"/>
    <m/>
    <x v="26"/>
    <x v="28"/>
    <n v="3310"/>
    <n v="20"/>
    <s v="AC"/>
    <s v="C"/>
    <n v="0"/>
    <n v="7"/>
    <n v="8"/>
    <n v="7"/>
    <n v="7"/>
    <n v="7"/>
    <n v="7"/>
    <n v="7"/>
    <n v="7"/>
    <n v="7"/>
    <n v="7"/>
    <n v="2024"/>
    <n v="2023"/>
    <s v="Y"/>
    <n v="676"/>
    <n v="0.5"/>
    <s v="100S"/>
    <n v="3.5"/>
    <x v="5"/>
    <n v="50151.515151515152"/>
    <n v="1"/>
    <n v="50151.515151515152"/>
    <x v="3"/>
  </r>
  <r>
    <x v="50"/>
    <s v="100S/200W"/>
    <m/>
    <x v="27"/>
    <x v="43"/>
    <n v="2590"/>
    <n v="20"/>
    <s v="AC"/>
    <s v="SC"/>
    <n v="0"/>
    <n v="7"/>
    <n v="9"/>
    <n v="6"/>
    <n v="9"/>
    <n v="9"/>
    <n v="8"/>
    <n v="8"/>
    <n v="8"/>
    <n v="8"/>
    <n v="8"/>
    <n v="2023"/>
    <n v="2023"/>
    <s v="Y"/>
    <n v="523"/>
    <n v="0.5"/>
    <s v="100S"/>
    <n v="1.5"/>
    <x v="5"/>
    <n v="39242.42424242424"/>
    <n v="1"/>
    <n v="39242.42424242424"/>
    <x v="3"/>
  </r>
  <r>
    <x v="51"/>
    <s v="100S/250W"/>
    <m/>
    <x v="42"/>
    <x v="44"/>
    <n v="2650"/>
    <n v="20"/>
    <s v="AC"/>
    <s v="SC"/>
    <n v="0"/>
    <n v="6"/>
    <n v="6"/>
    <n v="8"/>
    <n v="9"/>
    <n v="8"/>
    <n v="8"/>
    <n v="8"/>
    <n v="7"/>
    <n v="7"/>
    <n v="7"/>
    <n v="2023"/>
    <n v="2023"/>
    <s v="Y"/>
    <n v="604"/>
    <n v="0.5"/>
    <s v="100S"/>
    <n v="2.5"/>
    <x v="5"/>
    <n v="40151.515151515152"/>
    <n v="1"/>
    <n v="40151.515151515152"/>
    <x v="3"/>
  </r>
  <r>
    <x v="52"/>
    <s v="300N/SR9"/>
    <m/>
    <x v="21"/>
    <x v="45"/>
    <n v="6025"/>
    <n v="20"/>
    <s v="AC"/>
    <s v="C"/>
    <n v="0"/>
    <n v="8"/>
    <n v="7"/>
    <n v="7"/>
    <n v="6"/>
    <n v="6"/>
    <n v="7"/>
    <n v="7"/>
    <n v="7"/>
    <n v="7"/>
    <n v="7"/>
    <n v="2023"/>
    <n v="2023"/>
    <s v="Y"/>
    <n v="3914"/>
    <n v="1.5"/>
    <s v="300N"/>
    <n v="5.5"/>
    <x v="0"/>
    <n v="23963.06818181818"/>
    <m/>
    <n v="0"/>
    <x v="6"/>
  </r>
  <r>
    <x v="53"/>
    <s v="100S/400W"/>
    <m/>
    <x v="11"/>
    <x v="46"/>
    <n v="5340"/>
    <n v="20"/>
    <s v="AC"/>
    <s v="SC"/>
    <n v="0"/>
    <n v="7"/>
    <n v="6"/>
    <n v="7"/>
    <n v="8"/>
    <n v="8"/>
    <n v="7"/>
    <n v="7"/>
    <n v="7"/>
    <n v="7"/>
    <n v="7"/>
    <n v="2024"/>
    <n v="2023"/>
    <s v="Y"/>
    <n v="588"/>
    <n v="0.5"/>
    <s v="100S"/>
    <n v="2.5"/>
    <x v="5"/>
    <n v="80909.090909090912"/>
    <n v="1"/>
    <n v="80909.090909090912"/>
    <x v="3"/>
  </r>
  <r>
    <x v="54"/>
    <s v="100N/700W"/>
    <m/>
    <x v="33"/>
    <x v="47"/>
    <n v="2643"/>
    <n v="20"/>
    <s v="AC"/>
    <s v="BC"/>
    <n v="0"/>
    <n v="8"/>
    <n v="8"/>
    <n v="8"/>
    <n v="8"/>
    <n v="8"/>
    <n v="8"/>
    <n v="7"/>
    <n v="7"/>
    <n v="7"/>
    <n v="7"/>
    <m/>
    <n v="2020"/>
    <s v="Y"/>
    <n v="3091"/>
    <n v="1.5"/>
    <s v="100N"/>
    <n v="3.5"/>
    <x v="0"/>
    <n v="10511.931818181818"/>
    <m/>
    <n v="0"/>
    <x v="6"/>
  </r>
  <r>
    <x v="55"/>
    <s v="100S/600E"/>
    <m/>
    <x v="14"/>
    <x v="14"/>
    <n v="5310"/>
    <n v="20"/>
    <s v="AC"/>
    <s v="BR"/>
    <n v="0"/>
    <n v="7"/>
    <n v="7"/>
    <n v="7"/>
    <n v="6"/>
    <n v="6"/>
    <n v="9"/>
    <n v="9"/>
    <n v="8"/>
    <n v="7"/>
    <n v="7"/>
    <n v="2024"/>
    <n v="2019"/>
    <s v="Y"/>
    <n v="548"/>
    <n v="0.5"/>
    <s v="100S"/>
    <n v="4.5"/>
    <x v="0"/>
    <n v="21119.31818181818"/>
    <m/>
    <n v="0"/>
    <x v="3"/>
  </r>
  <r>
    <x v="56"/>
    <s v="100S/600W"/>
    <m/>
    <x v="43"/>
    <x v="48"/>
    <n v="5330"/>
    <n v="20"/>
    <s v="AC"/>
    <s v="SC"/>
    <n v="0"/>
    <n v="6"/>
    <n v="6"/>
    <n v="6"/>
    <n v="8"/>
    <n v="8"/>
    <n v="7"/>
    <n v="7"/>
    <n v="7"/>
    <n v="7"/>
    <n v="7"/>
    <n v="2023"/>
    <n v="2023"/>
    <s v="Y"/>
    <n v="521"/>
    <n v="0.5"/>
    <s v="100S"/>
    <n v="2.5"/>
    <x v="0"/>
    <n v="21198.863636363636"/>
    <m/>
    <n v="0"/>
    <x v="2"/>
  </r>
  <r>
    <x v="57"/>
    <s v="MERIDIAN RD./100N"/>
    <m/>
    <x v="44"/>
    <x v="49"/>
    <n v="2620"/>
    <n v="20"/>
    <s v="AC"/>
    <s v="C"/>
    <n v="0"/>
    <n v="8"/>
    <n v="7"/>
    <n v="7"/>
    <n v="7"/>
    <n v="7"/>
    <n v="7"/>
    <n v="7"/>
    <n v="7"/>
    <n v="7"/>
    <n v="7"/>
    <m/>
    <m/>
    <s v="Y"/>
    <n v="2784"/>
    <n v="1.5"/>
    <s v="MERIDIAN RD."/>
    <n v="4.5"/>
    <x v="4"/>
    <n v="54583.333333333336"/>
    <m/>
    <n v="0"/>
    <x v="6"/>
  </r>
  <r>
    <x v="58"/>
    <s v="100S/750E"/>
    <m/>
    <x v="45"/>
    <x v="21"/>
    <n v="4070"/>
    <n v="20"/>
    <s v="CS"/>
    <s v="BR"/>
    <n v="0"/>
    <n v="6"/>
    <n v="7"/>
    <n v="7"/>
    <n v="6"/>
    <n v="8"/>
    <n v="8"/>
    <n v="8"/>
    <n v="7"/>
    <n v="7"/>
    <n v="7"/>
    <m/>
    <m/>
    <m/>
    <n v="338"/>
    <n v="0"/>
    <s v="100S"/>
    <n v="2"/>
    <x v="0"/>
    <n v="19270.830000000002"/>
    <m/>
    <n v="0"/>
    <x v="2"/>
  </r>
  <r>
    <x v="59"/>
    <s v="100S/775E"/>
    <m/>
    <x v="46"/>
    <x v="50"/>
    <n v="2240"/>
    <n v="20"/>
    <s v="AC"/>
    <s v="BR"/>
    <n v="0"/>
    <n v="6"/>
    <n v="6"/>
    <n v="6"/>
    <n v="6"/>
    <n v="8"/>
    <n v="8"/>
    <n v="8"/>
    <n v="7"/>
    <n v="7"/>
    <n v="7"/>
    <m/>
    <m/>
    <m/>
    <n v="338"/>
    <n v="0"/>
    <s v="100S"/>
    <n v="2"/>
    <x v="1"/>
    <n v="2290.909090909091"/>
    <m/>
    <n v="0"/>
    <x v="2"/>
  </r>
  <r>
    <x v="60"/>
    <s v="100S/850E"/>
    <m/>
    <x v="40"/>
    <x v="22"/>
    <n v="3255"/>
    <n v="20"/>
    <s v="CS"/>
    <s v="BR"/>
    <n v="0"/>
    <n v="6"/>
    <n v="6"/>
    <n v="6"/>
    <n v="6"/>
    <n v="8"/>
    <n v="8"/>
    <n v="8"/>
    <n v="7"/>
    <n v="7"/>
    <n v="7"/>
    <m/>
    <m/>
    <m/>
    <n v="318"/>
    <n v="0"/>
    <s v="100S"/>
    <n v="2"/>
    <x v="0"/>
    <n v="12946.022727272728"/>
    <m/>
    <n v="0"/>
    <x v="2"/>
  </r>
  <r>
    <x v="61"/>
    <s v="100S/E. CO. LINE"/>
    <m/>
    <x v="47"/>
    <x v="39"/>
    <n v="2720"/>
    <n v="20"/>
    <s v="CS"/>
    <s v="BR"/>
    <n v="0"/>
    <n v="5"/>
    <n v="5"/>
    <n v="6"/>
    <n v="5"/>
    <n v="8"/>
    <n v="7"/>
    <n v="7"/>
    <n v="7"/>
    <n v="7"/>
    <n v="7"/>
    <m/>
    <m/>
    <m/>
    <n v="164"/>
    <n v="0"/>
    <s v="100S"/>
    <n v="2"/>
    <x v="2"/>
    <n v="16484.848484848484"/>
    <m/>
    <n v="0"/>
    <x v="3"/>
  </r>
  <r>
    <x v="62"/>
    <s v="100S/JACOBI RD"/>
    <m/>
    <x v="48"/>
    <x v="31"/>
    <n v="5370"/>
    <n v="20"/>
    <s v="AC"/>
    <s v="SC"/>
    <n v="0"/>
    <n v="5"/>
    <n v="6"/>
    <n v="9"/>
    <n v="9"/>
    <n v="8"/>
    <n v="8"/>
    <n v="8"/>
    <n v="8"/>
    <n v="7"/>
    <n v="7"/>
    <n v="2023"/>
    <n v="2023"/>
    <s v="Y"/>
    <n v="890"/>
    <n v="0.5"/>
    <s v="100S"/>
    <n v="2.5"/>
    <x v="5"/>
    <n v="81363.636363636368"/>
    <n v="1"/>
    <n v="81363.636363636368"/>
    <x v="3"/>
  </r>
  <r>
    <x v="63"/>
    <s v="100S/MERIDIAN RD"/>
    <m/>
    <x v="49"/>
    <x v="27"/>
    <n v="7340"/>
    <n v="20"/>
    <s v="AC"/>
    <s v="C"/>
    <n v="0"/>
    <n v="7"/>
    <n v="7"/>
    <n v="9"/>
    <n v="8"/>
    <n v="8"/>
    <n v="8"/>
    <n v="8"/>
    <n v="8"/>
    <n v="7"/>
    <n v="7"/>
    <n v="2024"/>
    <n v="2023"/>
    <s v="Y"/>
    <n v="1064"/>
    <n v="0.5"/>
    <s v="100S"/>
    <n v="2.5"/>
    <x v="5"/>
    <n v="111212.12121212122"/>
    <n v="1"/>
    <n v="111212.12121212122"/>
    <x v="3"/>
  </r>
  <r>
    <x v="64"/>
    <s v="100W/125W"/>
    <m/>
    <x v="9"/>
    <x v="26"/>
    <n v="2225"/>
    <n v="20"/>
    <s v="CS"/>
    <s v="BW"/>
    <n v="0"/>
    <n v="7"/>
    <n v="5"/>
    <n v="8"/>
    <n v="8"/>
    <n v="7"/>
    <n v="7"/>
    <n v="6"/>
    <n v="6"/>
    <n v="6"/>
    <n v="8"/>
    <m/>
    <m/>
    <m/>
    <n v="71"/>
    <n v="0"/>
    <s v="100W"/>
    <n v="3"/>
    <x v="0"/>
    <n v="8849.431818181818"/>
    <m/>
    <n v="0"/>
    <x v="2"/>
  </r>
  <r>
    <x v="65"/>
    <s v="100W/200N"/>
    <m/>
    <x v="44"/>
    <x v="51"/>
    <n v="5310"/>
    <n v="20"/>
    <s v="AC"/>
    <s v="C"/>
    <n v="0"/>
    <n v="7"/>
    <n v="8"/>
    <n v="8"/>
    <n v="8"/>
    <n v="8"/>
    <n v="7"/>
    <n v="7"/>
    <n v="6"/>
    <n v="7"/>
    <n v="7"/>
    <m/>
    <m/>
    <m/>
    <n v="149"/>
    <n v="0"/>
    <s v="100W"/>
    <n v="2"/>
    <x v="0"/>
    <n v="21119.31818181818"/>
    <n v="1"/>
    <n v="21119.31818181818"/>
    <x v="0"/>
  </r>
  <r>
    <x v="66"/>
    <s v="200N/700W"/>
    <m/>
    <x v="33"/>
    <x v="47"/>
    <n v="3674"/>
    <n v="20"/>
    <s v="AC"/>
    <s v="BC"/>
    <n v="0"/>
    <n v="8"/>
    <n v="8"/>
    <n v="7"/>
    <n v="7"/>
    <n v="7"/>
    <n v="7"/>
    <n v="7"/>
    <n v="7"/>
    <n v="7"/>
    <n v="7"/>
    <m/>
    <n v="2020"/>
    <s v="Y"/>
    <n v="2245"/>
    <n v="1"/>
    <s v="200N"/>
    <n v="4"/>
    <x v="0"/>
    <n v="14612.5"/>
    <m/>
    <n v="0"/>
    <x v="6"/>
  </r>
  <r>
    <x v="67"/>
    <s v="100W/400N"/>
    <m/>
    <x v="50"/>
    <x v="2"/>
    <n v="5280"/>
    <n v="20"/>
    <s v="AC"/>
    <s v="C"/>
    <n v="0"/>
    <n v="5"/>
    <n v="5"/>
    <n v="6"/>
    <n v="6"/>
    <n v="6"/>
    <n v="5"/>
    <n v="5"/>
    <n v="8"/>
    <n v="7"/>
    <n v="7"/>
    <m/>
    <m/>
    <m/>
    <n v="50"/>
    <n v="0"/>
    <s v="100W"/>
    <n v="4"/>
    <x v="0"/>
    <n v="21000"/>
    <m/>
    <n v="0"/>
    <x v="4"/>
  </r>
  <r>
    <x v="68"/>
    <s v="200S/700W"/>
    <m/>
    <x v="51"/>
    <x v="48"/>
    <n v="5375"/>
    <n v="20"/>
    <s v="AC"/>
    <s v="SC"/>
    <n v="0"/>
    <n v="7"/>
    <n v="5"/>
    <n v="7"/>
    <n v="7"/>
    <n v="7"/>
    <n v="7"/>
    <n v="7"/>
    <n v="7"/>
    <n v="7"/>
    <n v="7"/>
    <n v="2024"/>
    <n v="2020"/>
    <s v="Y"/>
    <n v="2235"/>
    <n v="1"/>
    <s v="200S"/>
    <n v="4"/>
    <x v="0"/>
    <n v="21377.840909090908"/>
    <m/>
    <n v="0"/>
    <x v="6"/>
  </r>
  <r>
    <x v="69"/>
    <s v="100W/500S"/>
    <m/>
    <x v="24"/>
    <x v="52"/>
    <n v="3365"/>
    <n v="20"/>
    <s v="AC"/>
    <s v="BW"/>
    <n v="0"/>
    <n v="6"/>
    <n v="6"/>
    <n v="9"/>
    <n v="9"/>
    <n v="9"/>
    <n v="8"/>
    <n v="8"/>
    <n v="7"/>
    <n v="6"/>
    <n v="8"/>
    <m/>
    <m/>
    <m/>
    <n v="721"/>
    <n v="0.5"/>
    <s v="100W"/>
    <n v="1.5"/>
    <x v="0"/>
    <n v="13383.522727272728"/>
    <m/>
    <n v="0"/>
    <x v="2"/>
  </r>
  <r>
    <x v="70"/>
    <s v="100W/I70"/>
    <m/>
    <x v="35"/>
    <x v="53"/>
    <n v="2400"/>
    <n v="20"/>
    <s v="CS"/>
    <s v="C"/>
    <n v="0"/>
    <n v="3"/>
    <n v="3"/>
    <n v="8"/>
    <n v="7"/>
    <n v="7"/>
    <n v="7"/>
    <n v="6"/>
    <n v="6"/>
    <n v="6"/>
    <n v="6"/>
    <m/>
    <m/>
    <m/>
    <n v="50"/>
    <n v="0"/>
    <s v="100W"/>
    <n v="3"/>
    <x v="4"/>
    <n v="50000"/>
    <n v="1"/>
    <n v="50000"/>
    <x v="0"/>
  </r>
  <r>
    <x v="71"/>
    <s v="100W/US52"/>
    <m/>
    <x v="52"/>
    <x v="54"/>
    <n v="1890"/>
    <n v="20"/>
    <s v="AC"/>
    <s v="BW"/>
    <n v="0"/>
    <n v="9"/>
    <n v="8"/>
    <n v="8"/>
    <n v="8"/>
    <n v="8"/>
    <n v="7"/>
    <n v="7"/>
    <n v="6"/>
    <n v="6"/>
    <n v="6"/>
    <n v="2024"/>
    <n v="2017"/>
    <s v="Y"/>
    <n v="905"/>
    <n v="0.5"/>
    <s v="100W"/>
    <n v="2.5"/>
    <x v="3"/>
    <n v="16465.909090909092"/>
    <m/>
    <n v="0"/>
    <x v="4"/>
  </r>
  <r>
    <x v="72"/>
    <s v="300S/400W"/>
    <m/>
    <x v="53"/>
    <x v="31"/>
    <n v="1380"/>
    <n v="20"/>
    <s v="AC"/>
    <s v="SC"/>
    <n v="0"/>
    <n v="8"/>
    <n v="7"/>
    <n v="7"/>
    <n v="7"/>
    <n v="7"/>
    <n v="7"/>
    <n v="7"/>
    <n v="7"/>
    <n v="6"/>
    <n v="6"/>
    <n v="2024"/>
    <m/>
    <s v="N"/>
    <n v="1989"/>
    <n v="1"/>
    <s v="300S"/>
    <n v="4"/>
    <x v="0"/>
    <n v="5488.636363636364"/>
    <m/>
    <n v="0"/>
    <x v="6"/>
  </r>
  <r>
    <x v="73"/>
    <s v="1050E/150N"/>
    <m/>
    <x v="54"/>
    <x v="55"/>
    <n v="5138"/>
    <n v="20"/>
    <s v="AC"/>
    <s v="J"/>
    <n v="0"/>
    <n v="7"/>
    <n v="7"/>
    <n v="7"/>
    <n v="7"/>
    <n v="6"/>
    <n v="6"/>
    <n v="6"/>
    <n v="6"/>
    <n v="6"/>
    <n v="7"/>
    <m/>
    <n v="2021"/>
    <s v="Y"/>
    <n v="966"/>
    <n v="0.5"/>
    <s v="1025E"/>
    <n v="4.5"/>
    <x v="7"/>
    <n v="24327.651515151516"/>
    <m/>
    <n v="0"/>
    <x v="5"/>
  </r>
  <r>
    <x v="74"/>
    <s v="1050E/200N"/>
    <m/>
    <x v="55"/>
    <x v="51"/>
    <n v="2688"/>
    <n v="20"/>
    <s v="AC"/>
    <s v="J"/>
    <n v="0"/>
    <n v="7"/>
    <n v="7"/>
    <n v="7"/>
    <n v="7"/>
    <n v="7"/>
    <n v="7"/>
    <n v="6"/>
    <n v="6"/>
    <n v="6"/>
    <n v="7"/>
    <m/>
    <n v="2021"/>
    <s v="Y"/>
    <n v="975"/>
    <n v="0.5"/>
    <s v="1025E"/>
    <n v="3.5"/>
    <x v="7"/>
    <n v="12727.272727272728"/>
    <m/>
    <n v="0"/>
    <x v="5"/>
  </r>
  <r>
    <x v="75"/>
    <s v="1050E/250N"/>
    <m/>
    <x v="35"/>
    <x v="56"/>
    <n v="2665"/>
    <n v="20"/>
    <s v="AC"/>
    <s v="J"/>
    <n v="0"/>
    <n v="7"/>
    <n v="7"/>
    <n v="7"/>
    <n v="7"/>
    <n v="7"/>
    <n v="7"/>
    <n v="6"/>
    <n v="6"/>
    <n v="6"/>
    <n v="7"/>
    <m/>
    <n v="2021"/>
    <s v="Y"/>
    <n v="1015"/>
    <n v="0.5"/>
    <s v="1025E"/>
    <n v="3.5"/>
    <x v="7"/>
    <n v="12618.371212121212"/>
    <m/>
    <n v="0"/>
    <x v="5"/>
  </r>
  <r>
    <x v="76"/>
    <s v="1050E/25N"/>
    <m/>
    <x v="23"/>
    <x v="57"/>
    <n v="1043"/>
    <n v="20"/>
    <s v="AC"/>
    <s v="J"/>
    <n v="0"/>
    <n v="7"/>
    <n v="7"/>
    <n v="7"/>
    <n v="7"/>
    <n v="7"/>
    <n v="7"/>
    <n v="6"/>
    <n v="6"/>
    <n v="6"/>
    <n v="7"/>
    <m/>
    <n v="2021"/>
    <s v="Y"/>
    <n v="932"/>
    <n v="0.5"/>
    <s v="1025E"/>
    <n v="3.5"/>
    <x v="7"/>
    <n v="4938.44696969697"/>
    <m/>
    <n v="0"/>
    <x v="5"/>
  </r>
  <r>
    <x v="77"/>
    <s v="1050E/325N"/>
    <m/>
    <x v="56"/>
    <x v="58"/>
    <n v="3937"/>
    <n v="20"/>
    <s v="AC"/>
    <s v="J"/>
    <n v="0"/>
    <n v="7"/>
    <n v="8"/>
    <n v="8"/>
    <n v="8"/>
    <n v="7"/>
    <n v="7"/>
    <n v="7"/>
    <n v="7"/>
    <n v="7"/>
    <n v="7"/>
    <m/>
    <n v="2021"/>
    <s v="Y"/>
    <n v="1360"/>
    <n v="0.5"/>
    <s v="1025E"/>
    <n v="3.5"/>
    <x v="7"/>
    <n v="18641.098484848484"/>
    <m/>
    <n v="0"/>
    <x v="5"/>
  </r>
  <r>
    <x v="78"/>
    <s v="1050E/350N"/>
    <m/>
    <x v="57"/>
    <x v="59"/>
    <n v="1316"/>
    <n v="20"/>
    <s v="AC"/>
    <s v="J"/>
    <n v="0"/>
    <n v="7"/>
    <n v="8"/>
    <n v="8"/>
    <n v="8"/>
    <n v="7"/>
    <n v="7"/>
    <n v="7"/>
    <n v="7"/>
    <n v="7"/>
    <n v="7"/>
    <m/>
    <n v="2021"/>
    <s v="Y"/>
    <n v="1186"/>
    <n v="0.5"/>
    <s v="1025E"/>
    <n v="3.5"/>
    <x v="7"/>
    <n v="6231.060606060606"/>
    <m/>
    <n v="0"/>
    <x v="5"/>
  </r>
  <r>
    <x v="79"/>
    <s v="1050E/450N"/>
    <m/>
    <x v="2"/>
    <x v="60"/>
    <n v="5290"/>
    <n v="20"/>
    <s v="AC"/>
    <s v="J"/>
    <n v="0"/>
    <n v="7"/>
    <n v="8"/>
    <n v="8"/>
    <n v="8"/>
    <n v="7"/>
    <n v="7"/>
    <n v="7"/>
    <n v="7"/>
    <n v="7"/>
    <n v="7"/>
    <m/>
    <n v="2021"/>
    <s v="Y"/>
    <n v="1097"/>
    <n v="0.5"/>
    <s v="1025E"/>
    <n v="3.5"/>
    <x v="7"/>
    <n v="25047.348484848484"/>
    <m/>
    <n v="0"/>
    <x v="5"/>
  </r>
  <r>
    <x v="80"/>
    <s v="1050E/500N"/>
    <m/>
    <x v="58"/>
    <x v="3"/>
    <n v="2669"/>
    <n v="20"/>
    <s v="AC"/>
    <s v="J"/>
    <n v="0"/>
    <n v="7"/>
    <n v="8"/>
    <n v="8"/>
    <n v="8"/>
    <n v="7"/>
    <n v="7"/>
    <n v="7"/>
    <n v="7"/>
    <n v="7"/>
    <n v="7"/>
    <m/>
    <n v="2021"/>
    <s v="Y"/>
    <n v="1160"/>
    <n v="0.5"/>
    <s v="1025E"/>
    <n v="3.5"/>
    <x v="7"/>
    <n v="12637.310606060606"/>
    <m/>
    <n v="0"/>
    <x v="5"/>
  </r>
  <r>
    <x v="81"/>
    <s v="1050E/550N"/>
    <m/>
    <x v="1"/>
    <x v="4"/>
    <n v="2644"/>
    <n v="20"/>
    <s v="AC"/>
    <s v="J"/>
    <n v="0"/>
    <n v="7"/>
    <n v="8"/>
    <n v="8"/>
    <n v="8"/>
    <n v="7"/>
    <n v="7"/>
    <n v="7"/>
    <n v="7"/>
    <n v="7"/>
    <n v="7"/>
    <m/>
    <n v="2021"/>
    <s v="Y"/>
    <n v="1202"/>
    <n v="0.5"/>
    <s v="1025E"/>
    <n v="3.5"/>
    <x v="7"/>
    <n v="12518.939393939394"/>
    <m/>
    <n v="0"/>
    <x v="5"/>
  </r>
  <r>
    <x v="82"/>
    <s v="1050E/650N"/>
    <m/>
    <x v="59"/>
    <x v="5"/>
    <n v="2505"/>
    <n v="20"/>
    <s v="AC"/>
    <s v="B"/>
    <n v="0"/>
    <n v="7"/>
    <n v="8"/>
    <n v="8"/>
    <n v="8"/>
    <n v="8"/>
    <n v="7"/>
    <n v="6"/>
    <n v="6"/>
    <n v="7"/>
    <n v="7"/>
    <m/>
    <n v="2021"/>
    <s v="Y"/>
    <n v="1645"/>
    <n v="1"/>
    <s v="1025E"/>
    <n v="3"/>
    <x v="7"/>
    <n v="11860.795454545454"/>
    <m/>
    <n v="0"/>
    <x v="5"/>
  </r>
  <r>
    <x v="83"/>
    <s v="1050E/N. TWP LINE"/>
    <m/>
    <x v="59"/>
    <x v="4"/>
    <n v="2505"/>
    <n v="20"/>
    <s v="AC"/>
    <s v="J"/>
    <n v="0"/>
    <n v="7"/>
    <n v="8"/>
    <n v="8"/>
    <n v="8"/>
    <n v="7"/>
    <n v="7"/>
    <n v="7"/>
    <n v="7"/>
    <n v="7"/>
    <n v="7"/>
    <m/>
    <n v="2021"/>
    <s v="Y"/>
    <n v="1194"/>
    <n v="0.5"/>
    <s v="1025E"/>
    <n v="3.5"/>
    <x v="7"/>
    <n v="11860.795454545454"/>
    <m/>
    <n v="0"/>
    <x v="5"/>
  </r>
  <r>
    <x v="84"/>
    <s v="1050N/50W"/>
    <m/>
    <x v="12"/>
    <x v="10"/>
    <n v="3976"/>
    <n v="20"/>
    <s v="CS"/>
    <s v="V"/>
    <n v="0"/>
    <n v="7"/>
    <n v="7"/>
    <n v="7"/>
    <n v="7"/>
    <n v="7"/>
    <n v="7"/>
    <n v="7"/>
    <n v="7"/>
    <n v="7"/>
    <n v="8"/>
    <m/>
    <m/>
    <m/>
    <n v="461"/>
    <n v="0"/>
    <s v="1050N"/>
    <n v="3"/>
    <x v="0"/>
    <n v="15813.636363636364"/>
    <m/>
    <n v="0"/>
    <x v="2"/>
  </r>
  <r>
    <x v="85"/>
    <s v="300S/425W"/>
    <m/>
    <x v="53"/>
    <x v="12"/>
    <n v="792"/>
    <n v="20"/>
    <s v="AC"/>
    <s v="SC"/>
    <n v="0"/>
    <n v="8"/>
    <n v="7"/>
    <n v="7"/>
    <n v="7"/>
    <n v="7"/>
    <n v="7"/>
    <n v="7"/>
    <n v="7"/>
    <n v="7"/>
    <n v="7"/>
    <n v="2024"/>
    <m/>
    <s v="N"/>
    <n v="1989"/>
    <n v="1"/>
    <s v="300S"/>
    <n v="4"/>
    <x v="0"/>
    <n v="3150"/>
    <m/>
    <n v="0"/>
    <x v="6"/>
  </r>
  <r>
    <x v="86"/>
    <s v="1100E/1000N"/>
    <m/>
    <x v="5"/>
    <x v="61"/>
    <n v="5300"/>
    <n v="20"/>
    <s v="AC"/>
    <s v="B"/>
    <n v="0"/>
    <n v="7"/>
    <n v="7"/>
    <n v="7"/>
    <n v="6"/>
    <n v="6"/>
    <n v="5"/>
    <n v="5"/>
    <n v="5"/>
    <n v="8"/>
    <n v="8"/>
    <m/>
    <m/>
    <m/>
    <n v="34"/>
    <n v="0"/>
    <s v="1100E"/>
    <n v="4"/>
    <x v="3"/>
    <n v="46174.242424242424"/>
    <m/>
    <n v="0"/>
    <x v="5"/>
  </r>
  <r>
    <x v="87"/>
    <s v="1100E/1100N"/>
    <m/>
    <x v="60"/>
    <x v="62"/>
    <n v="5290"/>
    <n v="20"/>
    <s v="CS"/>
    <s v="B"/>
    <n v="0"/>
    <n v="6"/>
    <n v="6"/>
    <n v="6"/>
    <n v="5"/>
    <n v="6"/>
    <n v="5"/>
    <n v="5"/>
    <n v="9"/>
    <n v="8"/>
    <n v="8"/>
    <m/>
    <m/>
    <m/>
    <n v="34"/>
    <n v="0"/>
    <s v="1100E"/>
    <n v="4"/>
    <x v="0"/>
    <n v="21039.772727272728"/>
    <m/>
    <n v="0"/>
    <x v="4"/>
  </r>
  <r>
    <x v="88"/>
    <s v="1125E/650N"/>
    <m/>
    <x v="61"/>
    <x v="5"/>
    <n v="3080"/>
    <n v="20"/>
    <s v="CS"/>
    <s v="B"/>
    <n v="0"/>
    <n v="7"/>
    <n v="7"/>
    <n v="7"/>
    <n v="7"/>
    <n v="7"/>
    <n v="7"/>
    <n v="6"/>
    <n v="6"/>
    <n v="6"/>
    <n v="8"/>
    <m/>
    <m/>
    <m/>
    <n v="94"/>
    <n v="0"/>
    <s v="1125E"/>
    <n v="3"/>
    <x v="0"/>
    <n v="12250"/>
    <m/>
    <n v="0"/>
    <x v="2"/>
  </r>
  <r>
    <x v="89"/>
    <s v="100E/100S"/>
    <m/>
    <x v="62"/>
    <x v="63"/>
    <n v="5330"/>
    <n v="20"/>
    <s v="AC"/>
    <s v="C"/>
    <n v="0"/>
    <n v="6"/>
    <n v="6"/>
    <n v="6"/>
    <n v="6"/>
    <n v="6"/>
    <n v="8"/>
    <n v="7"/>
    <n v="7"/>
    <n v="7"/>
    <n v="7"/>
    <m/>
    <m/>
    <m/>
    <n v="1892"/>
    <n v="1"/>
    <s v="100E"/>
    <n v="5"/>
    <x v="0"/>
    <n v="21198.863636363636"/>
    <m/>
    <n v="0"/>
    <x v="6"/>
  </r>
  <r>
    <x v="90"/>
    <s v="100E/300S"/>
    <m/>
    <x v="63"/>
    <x v="64"/>
    <n v="5325"/>
    <n v="20"/>
    <s v="AC"/>
    <s v="BW"/>
    <n v="0"/>
    <n v="8"/>
    <n v="7"/>
    <n v="8"/>
    <n v="7"/>
    <n v="7"/>
    <n v="8"/>
    <n v="7"/>
    <n v="7"/>
    <n v="7"/>
    <n v="7"/>
    <m/>
    <m/>
    <m/>
    <n v="1544"/>
    <n v="1"/>
    <s v="100E"/>
    <n v="4"/>
    <x v="0"/>
    <n v="21178.977272727272"/>
    <m/>
    <n v="0"/>
    <x v="6"/>
  </r>
  <r>
    <x v="91"/>
    <s v="300N/450E"/>
    <m/>
    <x v="30"/>
    <x v="65"/>
    <n v="2680"/>
    <n v="20"/>
    <s v="AC"/>
    <s v="C"/>
    <n v="0"/>
    <n v="8"/>
    <n v="7"/>
    <n v="7"/>
    <n v="7"/>
    <n v="7"/>
    <n v="7"/>
    <n v="7"/>
    <n v="7"/>
    <n v="7"/>
    <n v="7"/>
    <m/>
    <m/>
    <s v="Y"/>
    <n v="1394"/>
    <n v="0.5"/>
    <s v="300N"/>
    <n v="3.5"/>
    <x v="0"/>
    <n v="10659.09090909091"/>
    <m/>
    <n v="0"/>
    <x v="6"/>
  </r>
  <r>
    <x v="92"/>
    <s v="1175E PENN. ST/END"/>
    <m/>
    <x v="64"/>
    <x v="25"/>
    <n v="1389"/>
    <n v="20"/>
    <s v="AC"/>
    <s v="B"/>
    <n v="0"/>
    <n v="7"/>
    <n v="7"/>
    <n v="7"/>
    <n v="7"/>
    <n v="6"/>
    <n v="6"/>
    <n v="6"/>
    <n v="6"/>
    <n v="7"/>
    <n v="7"/>
    <m/>
    <m/>
    <m/>
    <n v="50"/>
    <n v="0"/>
    <s v="1175E (PENN ST)"/>
    <n v="4"/>
    <x v="0"/>
    <n v="5524.431818181818"/>
    <m/>
    <n v="0"/>
    <x v="2"/>
  </r>
  <r>
    <x v="93"/>
    <s v="1200E/1000N"/>
    <m/>
    <x v="5"/>
    <x v="61"/>
    <n v="5325"/>
    <n v="20"/>
    <s v="AC"/>
    <s v="B"/>
    <n v="0"/>
    <n v="7"/>
    <n v="7"/>
    <n v="7"/>
    <n v="7"/>
    <n v="7"/>
    <n v="6"/>
    <n v="6"/>
    <n v="6"/>
    <n v="8"/>
    <n v="8"/>
    <m/>
    <m/>
    <m/>
    <n v="126"/>
    <n v="0"/>
    <s v="1200E"/>
    <n v="3"/>
    <x v="3"/>
    <n v="46392.045454545456"/>
    <m/>
    <n v="0"/>
    <x v="5"/>
  </r>
  <r>
    <x v="94"/>
    <s v="100E/400S"/>
    <m/>
    <x v="10"/>
    <x v="11"/>
    <n v="5350"/>
    <n v="20"/>
    <s v="AC"/>
    <s v="BW"/>
    <n v="0"/>
    <n v="7"/>
    <n v="7"/>
    <n v="7"/>
    <n v="6"/>
    <n v="6"/>
    <n v="8"/>
    <n v="7"/>
    <n v="7"/>
    <n v="7"/>
    <n v="7"/>
    <m/>
    <m/>
    <m/>
    <n v="1303"/>
    <n v="0.5"/>
    <s v="100E"/>
    <n v="4.5"/>
    <x v="0"/>
    <n v="21278.409090909092"/>
    <m/>
    <n v="0"/>
    <x v="6"/>
  </r>
  <r>
    <x v="95"/>
    <s v="100S/400E"/>
    <m/>
    <x v="30"/>
    <x v="66"/>
    <n v="7215"/>
    <n v="20"/>
    <s v="AC"/>
    <s v="C"/>
    <n v="0"/>
    <n v="7"/>
    <n v="8"/>
    <n v="7"/>
    <n v="5"/>
    <n v="5"/>
    <n v="5"/>
    <n v="9"/>
    <n v="8"/>
    <n v="7"/>
    <n v="7"/>
    <m/>
    <n v="2020"/>
    <s v="Y"/>
    <n v="1243"/>
    <n v="0.5"/>
    <s v="100S"/>
    <n v="5.5"/>
    <x v="0"/>
    <n v="28696.022727272728"/>
    <m/>
    <n v="0"/>
    <x v="6"/>
  </r>
  <r>
    <x v="96"/>
    <s v="700W/US52"/>
    <m/>
    <x v="52"/>
    <x v="67"/>
    <n v="5100"/>
    <n v="20"/>
    <s v="AC"/>
    <s v="SC"/>
    <n v="0"/>
    <n v="7"/>
    <n v="7"/>
    <n v="7"/>
    <n v="7"/>
    <n v="7"/>
    <n v="7"/>
    <n v="7"/>
    <n v="7"/>
    <n v="7"/>
    <n v="7"/>
    <n v="2022"/>
    <n v="2020"/>
    <s v="Y"/>
    <n v="1204"/>
    <n v="0.5"/>
    <s v="700W"/>
    <n v="3.5"/>
    <x v="0"/>
    <n v="20284.090909090908"/>
    <m/>
    <m/>
    <x v="6"/>
  </r>
  <r>
    <x v="97"/>
    <s v="250N/800E"/>
    <m/>
    <x v="37"/>
    <x v="38"/>
    <n v="5438"/>
    <n v="20"/>
    <s v="AC"/>
    <s v="J"/>
    <n v="0"/>
    <n v="6"/>
    <n v="6"/>
    <n v="8"/>
    <n v="8"/>
    <n v="7"/>
    <n v="7"/>
    <n v="7"/>
    <n v="7"/>
    <n v="7"/>
    <n v="7"/>
    <n v="2024"/>
    <n v="2020"/>
    <s v="Y"/>
    <n v="1172"/>
    <n v="0.5"/>
    <s v="250N"/>
    <n v="3.5"/>
    <x v="0"/>
    <n v="21628.409090909092"/>
    <m/>
    <n v="0"/>
    <x v="6"/>
  </r>
  <r>
    <x v="98"/>
    <s v="1200E/SR234"/>
    <m/>
    <x v="65"/>
    <x v="6"/>
    <n v="2100"/>
    <n v="20"/>
    <s v="AC"/>
    <s v="B"/>
    <n v="0"/>
    <n v="7"/>
    <n v="7"/>
    <n v="7"/>
    <n v="7"/>
    <n v="7"/>
    <n v="9"/>
    <n v="8"/>
    <n v="8"/>
    <n v="8"/>
    <n v="8"/>
    <n v="2024"/>
    <n v="2019"/>
    <s v="Y"/>
    <n v="1230"/>
    <n v="0.5"/>
    <s v="1200E"/>
    <n v="3.5"/>
    <x v="0"/>
    <n v="8352.2727272727279"/>
    <m/>
    <n v="0"/>
    <x v="3"/>
  </r>
  <r>
    <x v="99"/>
    <s v="125W/1000N"/>
    <m/>
    <x v="66"/>
    <x v="61"/>
    <n v="2650"/>
    <n v="20"/>
    <s v="AC"/>
    <s v="V"/>
    <n v="0"/>
    <n v="7"/>
    <n v="6"/>
    <n v="6"/>
    <n v="6"/>
    <n v="6"/>
    <n v="5"/>
    <n v="5"/>
    <n v="5"/>
    <n v="5"/>
    <n v="5"/>
    <m/>
    <m/>
    <m/>
    <n v="50"/>
    <n v="0"/>
    <s v="125W"/>
    <n v="4"/>
    <x v="0"/>
    <n v="10539.772727272728"/>
    <m/>
    <n v="0"/>
    <x v="2"/>
  </r>
  <r>
    <x v="100"/>
    <s v="250N/850E"/>
    <m/>
    <x v="38"/>
    <x v="39"/>
    <n v="2746"/>
    <n v="20"/>
    <s v="AC"/>
    <s v="J"/>
    <n v="0"/>
    <n v="5"/>
    <n v="5"/>
    <n v="8"/>
    <n v="8"/>
    <n v="7"/>
    <n v="7"/>
    <n v="7"/>
    <n v="7"/>
    <n v="7"/>
    <n v="7"/>
    <n v="2024"/>
    <n v="2020"/>
    <s v="Y"/>
    <n v="1141"/>
    <n v="0.5"/>
    <s v="250N"/>
    <n v="3.5"/>
    <x v="0"/>
    <n v="10921.59090909091"/>
    <m/>
    <n v="0"/>
    <x v="6"/>
  </r>
  <r>
    <x v="101"/>
    <s v="250N/700E"/>
    <m/>
    <x v="14"/>
    <x v="68"/>
    <n v="4400"/>
    <n v="20"/>
    <s v="AC"/>
    <s v="J"/>
    <n v="0"/>
    <n v="6"/>
    <n v="6"/>
    <n v="8"/>
    <n v="8"/>
    <n v="7"/>
    <n v="7"/>
    <n v="7"/>
    <n v="7"/>
    <n v="7"/>
    <n v="7"/>
    <n v="2024"/>
    <n v="2020"/>
    <s v="Y"/>
    <n v="1137"/>
    <n v="0.5"/>
    <s v="250N"/>
    <n v="3.5"/>
    <x v="0"/>
    <n v="17500"/>
    <m/>
    <n v="0"/>
    <x v="6"/>
  </r>
  <r>
    <x v="102"/>
    <s v="125W/300S"/>
    <m/>
    <x v="63"/>
    <x v="37"/>
    <n v="4002"/>
    <n v="20"/>
    <s v="CS"/>
    <s v="BW"/>
    <n v="0"/>
    <n v="5"/>
    <n v="5"/>
    <n v="10"/>
    <n v="9"/>
    <n v="9"/>
    <n v="8"/>
    <n v="7"/>
    <n v="7"/>
    <n v="7"/>
    <n v="7"/>
    <m/>
    <m/>
    <m/>
    <n v="71"/>
    <n v="0"/>
    <s v="125W"/>
    <n v="1"/>
    <x v="0"/>
    <n v="15917.045454545454"/>
    <n v="1"/>
    <n v="15917.045454545454"/>
    <x v="0"/>
  </r>
  <r>
    <x v="103"/>
    <s v="150N/1050E"/>
    <m/>
    <x v="67"/>
    <x v="41"/>
    <n v="5350"/>
    <n v="20"/>
    <s v="P"/>
    <s v="J"/>
    <n v="0"/>
    <n v="7"/>
    <n v="6"/>
    <n v="6"/>
    <n v="6"/>
    <n v="8"/>
    <n v="8"/>
    <n v="8"/>
    <n v="7"/>
    <n v="7"/>
    <n v="7"/>
    <m/>
    <m/>
    <m/>
    <n v="50"/>
    <n v="0"/>
    <s v="150N"/>
    <n v="2"/>
    <x v="1"/>
    <n v="5471.590909090909"/>
    <m/>
    <n v="0"/>
    <x v="2"/>
  </r>
  <r>
    <x v="104"/>
    <s v="150N/400W"/>
    <m/>
    <x v="68"/>
    <x v="31"/>
    <n v="6690"/>
    <n v="20"/>
    <s v="CS"/>
    <s v="BC"/>
    <n v="0"/>
    <n v="7"/>
    <n v="6"/>
    <n v="6"/>
    <n v="6"/>
    <n v="5"/>
    <n v="3"/>
    <n v="4"/>
    <n v="8"/>
    <n v="8"/>
    <n v="7"/>
    <m/>
    <m/>
    <m/>
    <n v="61"/>
    <n v="0"/>
    <s v="150N"/>
    <n v="5"/>
    <x v="0"/>
    <n v="26607.954545454544"/>
    <m/>
    <n v="0"/>
    <x v="4"/>
  </r>
  <r>
    <x v="105"/>
    <s v="150N/700W"/>
    <m/>
    <x v="69"/>
    <x v="48"/>
    <n v="2620"/>
    <n v="20"/>
    <s v="CS"/>
    <s v="BC"/>
    <n v="0"/>
    <n v="7"/>
    <n v="7"/>
    <n v="7"/>
    <n v="7"/>
    <n v="7"/>
    <n v="7"/>
    <n v="7"/>
    <n v="6"/>
    <n v="6"/>
    <n v="6"/>
    <m/>
    <m/>
    <m/>
    <n v="518"/>
    <n v="0.5"/>
    <s v="150N"/>
    <n v="3.5"/>
    <x v="4"/>
    <n v="54583.333333333336"/>
    <n v="1"/>
    <n v="54583.333333333336"/>
    <x v="0"/>
  </r>
  <r>
    <x v="106"/>
    <s v="150N/800E"/>
    <m/>
    <x v="38"/>
    <x v="68"/>
    <n v="5380"/>
    <n v="20"/>
    <s v="DS"/>
    <s v="J"/>
    <n v="0"/>
    <n v="6"/>
    <n v="8"/>
    <n v="8"/>
    <n v="7"/>
    <n v="7"/>
    <n v="7"/>
    <n v="7"/>
    <n v="7"/>
    <n v="7"/>
    <n v="7"/>
    <m/>
    <m/>
    <m/>
    <n v="50"/>
    <n v="0"/>
    <s v="150N"/>
    <n v="3"/>
    <x v="2"/>
    <n v="32606.060606060608"/>
    <m/>
    <n v="0"/>
    <x v="2"/>
  </r>
  <r>
    <x v="107"/>
    <s v="150N/E. CO. LINE"/>
    <m/>
    <x v="67"/>
    <x v="69"/>
    <n v="2680"/>
    <n v="20"/>
    <s v="CS"/>
    <s v="J"/>
    <n v="0"/>
    <n v="4"/>
    <n v="4"/>
    <n v="4"/>
    <n v="4"/>
    <n v="9"/>
    <n v="9"/>
    <n v="8"/>
    <n v="8"/>
    <n v="7"/>
    <n v="7"/>
    <m/>
    <m/>
    <m/>
    <n v="50"/>
    <n v="0"/>
    <s v="150N"/>
    <n v="1"/>
    <x v="0"/>
    <n v="10659.09090909091"/>
    <n v="1"/>
    <n v="10659.09090909091"/>
    <x v="0"/>
  </r>
  <r>
    <x v="108"/>
    <s v="150S/900E"/>
    <m/>
    <x v="70"/>
    <x v="39"/>
    <n v="2715"/>
    <n v="20"/>
    <s v="CS"/>
    <s v="BR"/>
    <n v="0"/>
    <n v="8"/>
    <n v="7"/>
    <n v="7"/>
    <n v="7"/>
    <n v="7"/>
    <n v="7"/>
    <n v="6"/>
    <n v="6"/>
    <n v="6"/>
    <n v="7"/>
    <m/>
    <m/>
    <m/>
    <n v="50"/>
    <n v="0"/>
    <s v="150S"/>
    <n v="3"/>
    <x v="2"/>
    <n v="16454.545454545456"/>
    <m/>
    <n v="0"/>
    <x v="2"/>
  </r>
  <r>
    <x v="109"/>
    <s v="150W/100N"/>
    <m/>
    <x v="23"/>
    <x v="70"/>
    <n v="5930"/>
    <n v="20"/>
    <s v="CS"/>
    <s v="C"/>
    <n v="0"/>
    <n v="8"/>
    <n v="7"/>
    <n v="7"/>
    <n v="7"/>
    <n v="6"/>
    <n v="6"/>
    <n v="5"/>
    <n v="5"/>
    <n v="5"/>
    <n v="8"/>
    <m/>
    <m/>
    <m/>
    <n v="294"/>
    <n v="0"/>
    <s v="150W"/>
    <n v="4"/>
    <x v="0"/>
    <n v="23585.227272727272"/>
    <m/>
    <n v="0"/>
    <x v="2"/>
  </r>
  <r>
    <x v="110"/>
    <s v="150W/100S"/>
    <m/>
    <x v="71"/>
    <x v="64"/>
    <n v="5320"/>
    <n v="20"/>
    <s v="CS"/>
    <s v="C"/>
    <n v="0"/>
    <n v="6"/>
    <n v="6"/>
    <n v="8"/>
    <n v="8"/>
    <n v="8"/>
    <n v="8"/>
    <n v="8"/>
    <n v="7"/>
    <n v="6"/>
    <n v="6"/>
    <m/>
    <m/>
    <m/>
    <n v="536"/>
    <n v="0.5"/>
    <s v="150W"/>
    <n v="2.5"/>
    <x v="0"/>
    <n v="21159.090909090908"/>
    <m/>
    <n v="0"/>
    <x v="3"/>
  </r>
  <r>
    <x v="111"/>
    <s v="150W/200S"/>
    <m/>
    <x v="62"/>
    <x v="11"/>
    <n v="5335"/>
    <n v="20"/>
    <s v="G"/>
    <s v="BW"/>
    <n v="0"/>
    <n v="10"/>
    <n v="8"/>
    <n v="8"/>
    <n v="7"/>
    <n v="7"/>
    <n v="7"/>
    <n v="7"/>
    <n v="7"/>
    <n v="7"/>
    <n v="7"/>
    <m/>
    <m/>
    <m/>
    <n v="50"/>
    <n v="0"/>
    <s v="150W"/>
    <n v="3"/>
    <x v="2"/>
    <n v="32333.333333333332"/>
    <m/>
    <n v="0"/>
    <x v="3"/>
  </r>
  <r>
    <x v="112"/>
    <s v="150W/US40"/>
    <m/>
    <x v="23"/>
    <x v="63"/>
    <n v="3845"/>
    <n v="20"/>
    <s v="P"/>
    <s v="C"/>
    <n v="0"/>
    <n v="5"/>
    <n v="5"/>
    <n v="5"/>
    <n v="9"/>
    <n v="8"/>
    <n v="8"/>
    <n v="7"/>
    <n v="7"/>
    <n v="7"/>
    <n v="7"/>
    <m/>
    <m/>
    <m/>
    <n v="448"/>
    <n v="0"/>
    <s v="150W"/>
    <n v="2"/>
    <x v="2"/>
    <n v="23303.030303030304"/>
    <m/>
    <n v="0"/>
    <x v="5"/>
  </r>
  <r>
    <x v="113"/>
    <s v="150W/US52"/>
    <m/>
    <x v="72"/>
    <x v="71"/>
    <n v="2820"/>
    <n v="20"/>
    <s v="AC"/>
    <s v="BW"/>
    <n v="0"/>
    <n v="7"/>
    <n v="9"/>
    <n v="8"/>
    <n v="7"/>
    <n v="7"/>
    <n v="7"/>
    <n v="7"/>
    <n v="7"/>
    <n v="7"/>
    <n v="7"/>
    <m/>
    <m/>
    <m/>
    <n v="132"/>
    <n v="0"/>
    <s v="150W"/>
    <n v="3"/>
    <x v="0"/>
    <n v="11215.90909090909"/>
    <m/>
    <n v="0"/>
    <x v="2"/>
  </r>
  <r>
    <x v="114"/>
    <s v="300S/275E"/>
    <m/>
    <x v="73"/>
    <x v="72"/>
    <n v="4000"/>
    <n v="20"/>
    <s v="AC"/>
    <s v="BW"/>
    <n v="0"/>
    <n v="8"/>
    <n v="7"/>
    <n v="7"/>
    <n v="7"/>
    <n v="8"/>
    <n v="8"/>
    <n v="8"/>
    <n v="8"/>
    <n v="8"/>
    <n v="8"/>
    <m/>
    <m/>
    <m/>
    <n v="1107"/>
    <n v="0.5"/>
    <s v="300S"/>
    <n v="2.5"/>
    <x v="0"/>
    <n v="15909.09090909091"/>
    <m/>
    <n v="0"/>
    <x v="6"/>
  </r>
  <r>
    <x v="115"/>
    <s v="200N/100W"/>
    <m/>
    <x v="25"/>
    <x v="28"/>
    <n v="1088"/>
    <n v="20"/>
    <s v="CS"/>
    <s v="C"/>
    <n v="0"/>
    <n v="7"/>
    <n v="7"/>
    <n v="7"/>
    <n v="7"/>
    <n v="7"/>
    <n v="7"/>
    <n v="7"/>
    <n v="7"/>
    <n v="7"/>
    <n v="7"/>
    <n v="2024"/>
    <n v="2022"/>
    <s v="Y"/>
    <n v="3700"/>
    <n v="1.5"/>
    <s v="200N"/>
    <n v="4.5"/>
    <x v="4"/>
    <n v="22666.666666666668"/>
    <n v="1"/>
    <n v="22666.666666666668"/>
    <x v="3"/>
  </r>
  <r>
    <x v="116"/>
    <s v="200N/200W"/>
    <m/>
    <x v="27"/>
    <x v="29"/>
    <n v="5324"/>
    <n v="20"/>
    <s v="CS"/>
    <s v="BC"/>
    <n v="0"/>
    <n v="7"/>
    <n v="7"/>
    <n v="7"/>
    <n v="6"/>
    <n v="8"/>
    <n v="7"/>
    <n v="7"/>
    <n v="7"/>
    <n v="7"/>
    <n v="7"/>
    <n v="2024"/>
    <n v="2022"/>
    <s v="Y"/>
    <n v="2563"/>
    <n v="1.5"/>
    <s v="200N"/>
    <n v="3.5"/>
    <x v="0"/>
    <n v="21175"/>
    <n v="1"/>
    <n v="21175"/>
    <x v="0"/>
  </r>
  <r>
    <x v="117"/>
    <s v="200N/300W"/>
    <m/>
    <x v="28"/>
    <x v="30"/>
    <n v="2680"/>
    <n v="20"/>
    <s v="AC"/>
    <s v="BC"/>
    <n v="0"/>
    <n v="8"/>
    <n v="7"/>
    <n v="7"/>
    <n v="7"/>
    <n v="7"/>
    <n v="7"/>
    <n v="7"/>
    <n v="7"/>
    <n v="7"/>
    <n v="7"/>
    <n v="2024"/>
    <n v="2022"/>
    <s v="Y"/>
    <n v="2864"/>
    <n v="1.5"/>
    <s v="200N"/>
    <n v="4.5"/>
    <x v="5"/>
    <n v="40606.060606060608"/>
    <n v="1"/>
    <n v="40606.060606060608"/>
    <x v="3"/>
  </r>
  <r>
    <x v="118"/>
    <s v="200N/350W"/>
    <m/>
    <x v="29"/>
    <x v="31"/>
    <n v="2664"/>
    <n v="20"/>
    <s v="CS"/>
    <s v="BC"/>
    <n v="0"/>
    <n v="7"/>
    <n v="7"/>
    <n v="7"/>
    <n v="7"/>
    <n v="7"/>
    <n v="7"/>
    <n v="7"/>
    <n v="7"/>
    <n v="7"/>
    <n v="7"/>
    <n v="2024"/>
    <n v="2022"/>
    <s v="Y"/>
    <n v="2901"/>
    <n v="1.5"/>
    <s v="200N"/>
    <n v="4.5"/>
    <x v="5"/>
    <n v="40363.63636363636"/>
    <n v="1"/>
    <n v="40363.63636363636"/>
    <x v="3"/>
  </r>
  <r>
    <x v="119"/>
    <s v="200N/400E"/>
    <m/>
    <x v="74"/>
    <x v="73"/>
    <n v="4003"/>
    <n v="20"/>
    <s v="AC"/>
    <s v="C"/>
    <n v="0"/>
    <n v="10"/>
    <n v="10"/>
    <n v="10"/>
    <n v="9"/>
    <n v="9"/>
    <n v="8"/>
    <n v="7"/>
    <n v="7"/>
    <n v="7"/>
    <n v="7"/>
    <n v="2022"/>
    <n v="2022"/>
    <s v="Y"/>
    <n v="2802"/>
    <n v="1.5"/>
    <s v="200N"/>
    <n v="2.5"/>
    <x v="0"/>
    <n v="15921.022727272728"/>
    <m/>
    <n v="0"/>
    <x v="4"/>
  </r>
  <r>
    <x v="120"/>
    <s v="200N/400W"/>
    <m/>
    <x v="11"/>
    <x v="32"/>
    <n v="6729"/>
    <n v="20"/>
    <s v="CS"/>
    <s v="BC"/>
    <n v="0"/>
    <n v="7"/>
    <n v="7"/>
    <n v="7"/>
    <n v="6"/>
    <n v="7"/>
    <n v="7"/>
    <n v="7"/>
    <n v="7"/>
    <n v="7"/>
    <n v="7"/>
    <n v="2024"/>
    <n v="2022"/>
    <s v="Y"/>
    <n v="2884"/>
    <n v="1.5"/>
    <s v="200N"/>
    <n v="4.5"/>
    <x v="5"/>
    <n v="101954.54545454546"/>
    <n v="1"/>
    <n v="101954.54545454546"/>
    <x v="3"/>
  </r>
  <r>
    <x v="121"/>
    <s v="200N/500E"/>
    <m/>
    <x v="32"/>
    <x v="73"/>
    <n v="5390"/>
    <n v="20"/>
    <s v="AC"/>
    <s v="C"/>
    <n v="0"/>
    <n v="9"/>
    <n v="8"/>
    <n v="8"/>
    <n v="7"/>
    <n v="7"/>
    <n v="7"/>
    <n v="7"/>
    <n v="7"/>
    <n v="7"/>
    <n v="7"/>
    <n v="2022"/>
    <n v="2022"/>
    <s v="Y"/>
    <n v="2786"/>
    <n v="1.5"/>
    <s v="200N"/>
    <n v="4.5"/>
    <x v="4"/>
    <n v="112291.66666666667"/>
    <m/>
    <n v="0"/>
    <x v="5"/>
  </r>
  <r>
    <x v="122"/>
    <s v="200N/525W"/>
    <m/>
    <x v="68"/>
    <x v="34"/>
    <n v="3545"/>
    <n v="20"/>
    <s v="AC"/>
    <s v="BC"/>
    <n v="0"/>
    <n v="6"/>
    <n v="6"/>
    <n v="6"/>
    <n v="9"/>
    <n v="8"/>
    <n v="7"/>
    <n v="7"/>
    <n v="7"/>
    <n v="7"/>
    <n v="7"/>
    <n v="2022"/>
    <n v="2022"/>
    <s v="Y"/>
    <n v="3064"/>
    <n v="1.5"/>
    <s v="200N"/>
    <n v="3.5"/>
    <x v="1"/>
    <n v="3625.568181818182"/>
    <m/>
    <n v="0"/>
    <x v="2"/>
  </r>
  <r>
    <x v="123"/>
    <s v="200N/600E"/>
    <m/>
    <x v="14"/>
    <x v="14"/>
    <n v="5330"/>
    <n v="20"/>
    <s v="AC"/>
    <s v="J"/>
    <n v="0"/>
    <n v="10"/>
    <n v="9"/>
    <n v="9"/>
    <n v="9"/>
    <n v="8"/>
    <n v="8"/>
    <n v="8"/>
    <n v="7"/>
    <n v="7"/>
    <n v="7"/>
    <n v="2022"/>
    <n v="2022"/>
    <s v="Y"/>
    <n v="2564"/>
    <n v="1.5"/>
    <s v="200N"/>
    <n v="3.5"/>
    <x v="4"/>
    <n v="111041.66666666667"/>
    <m/>
    <n v="0"/>
    <x v="5"/>
  </r>
  <r>
    <x v="124"/>
    <s v="200N/600W"/>
    <m/>
    <x v="43"/>
    <x v="48"/>
    <n v="5616"/>
    <n v="20"/>
    <s v="AC"/>
    <s v="BC"/>
    <n v="0"/>
    <n v="7"/>
    <n v="7"/>
    <n v="6"/>
    <n v="6"/>
    <n v="6"/>
    <n v="6"/>
    <n v="5"/>
    <n v="8"/>
    <n v="7"/>
    <n v="7"/>
    <m/>
    <m/>
    <s v="Y"/>
    <n v="996"/>
    <n v="0.5"/>
    <s v="200N"/>
    <n v="4.5"/>
    <x v="0"/>
    <n v="22336.363636363636"/>
    <m/>
    <n v="0"/>
    <x v="4"/>
  </r>
  <r>
    <x v="125"/>
    <s v="200N/700E"/>
    <m/>
    <x v="37"/>
    <x v="24"/>
    <n v="4365"/>
    <n v="20"/>
    <s v="AC"/>
    <s v="J"/>
    <n v="0"/>
    <n v="7"/>
    <n v="7"/>
    <n v="6"/>
    <n v="5"/>
    <n v="5"/>
    <n v="5"/>
    <n v="5"/>
    <n v="7"/>
    <n v="7"/>
    <n v="7"/>
    <m/>
    <m/>
    <m/>
    <n v="277"/>
    <n v="0"/>
    <s v="200N"/>
    <n v="5"/>
    <x v="0"/>
    <n v="17360.795454545456"/>
    <m/>
    <n v="0"/>
    <x v="4"/>
  </r>
  <r>
    <x v="126"/>
    <s v="400E/200N"/>
    <m/>
    <x v="44"/>
    <x v="51"/>
    <n v="5330"/>
    <n v="20"/>
    <s v="AC"/>
    <s v="C"/>
    <n v="0"/>
    <n v="7"/>
    <n v="9"/>
    <n v="8"/>
    <n v="8"/>
    <n v="8"/>
    <n v="7"/>
    <n v="8"/>
    <n v="7"/>
    <n v="7"/>
    <n v="7"/>
    <m/>
    <m/>
    <m/>
    <n v="1000"/>
    <n v="0.5"/>
    <s v="400E"/>
    <n v="2.5"/>
    <x v="0"/>
    <n v="21198.863636363636"/>
    <m/>
    <n v="0"/>
    <x v="6"/>
  </r>
  <r>
    <x v="127"/>
    <s v="200N/BUCK CREEK RD"/>
    <m/>
    <x v="39"/>
    <x v="74"/>
    <n v="2624"/>
    <n v="20"/>
    <s v="AC"/>
    <s v="BC"/>
    <n v="0"/>
    <n v="7"/>
    <n v="6"/>
    <n v="5"/>
    <n v="4"/>
    <n v="4"/>
    <n v="9"/>
    <n v="6"/>
    <n v="6"/>
    <n v="6"/>
    <n v="6"/>
    <n v="2024"/>
    <n v="2019"/>
    <s v="Y"/>
    <n v="2245"/>
    <n v="1"/>
    <s v="200N"/>
    <n v="7"/>
    <x v="4"/>
    <n v="54666.666666666664"/>
    <n v="1"/>
    <n v="54666.666666666664"/>
    <x v="3"/>
  </r>
  <r>
    <x v="128"/>
    <s v="200N/E. CO. LINE"/>
    <m/>
    <x v="67"/>
    <x v="69"/>
    <n v="2710"/>
    <n v="20"/>
    <s v="CS"/>
    <s v="J"/>
    <n v="0"/>
    <n v="5"/>
    <n v="5"/>
    <n v="5"/>
    <n v="4"/>
    <n v="4"/>
    <n v="8"/>
    <n v="8"/>
    <n v="8"/>
    <n v="7"/>
    <n v="7"/>
    <m/>
    <m/>
    <m/>
    <n v="50"/>
    <n v="0"/>
    <s v="200N"/>
    <n v="6"/>
    <x v="0"/>
    <n v="10778.40909090909"/>
    <m/>
    <n v="0"/>
    <x v="4"/>
  </r>
  <r>
    <x v="129"/>
    <s v="200N/100W"/>
    <m/>
    <x v="49"/>
    <x v="37"/>
    <n v="1088"/>
    <n v="20"/>
    <s v="CS"/>
    <s v="C"/>
    <n v="0"/>
    <n v="7"/>
    <n v="7"/>
    <n v="7"/>
    <n v="7"/>
    <n v="7"/>
    <n v="7"/>
    <n v="7"/>
    <n v="7"/>
    <n v="7"/>
    <n v="7"/>
    <n v="2024"/>
    <n v="2022"/>
    <s v="Y"/>
    <n v="3693"/>
    <n v="1.5"/>
    <s v="200N"/>
    <n v="4.5"/>
    <x v="4"/>
    <n v="22666.666666666668"/>
    <n v="1"/>
    <n v="22666.666666666668"/>
    <x v="3"/>
  </r>
  <r>
    <x v="130"/>
    <s v="200S/100E"/>
    <m/>
    <x v="49"/>
    <x v="75"/>
    <n v="5046"/>
    <n v="20"/>
    <s v="AC"/>
    <s v="C"/>
    <n v="0"/>
    <n v="7"/>
    <n v="7"/>
    <n v="7"/>
    <n v="7"/>
    <n v="7"/>
    <n v="6"/>
    <n v="6"/>
    <n v="7"/>
    <n v="7"/>
    <n v="7"/>
    <m/>
    <m/>
    <m/>
    <n v="488"/>
    <n v="0"/>
    <s v="200S"/>
    <n v="3"/>
    <x v="0"/>
    <n v="20069.31818181818"/>
    <m/>
    <n v="0"/>
    <x v="4"/>
  </r>
  <r>
    <x v="131"/>
    <s v="200S/150W"/>
    <m/>
    <x v="27"/>
    <x v="27"/>
    <n v="3250"/>
    <n v="20"/>
    <s v="AC"/>
    <s v="C"/>
    <n v="0"/>
    <n v="7"/>
    <n v="7"/>
    <n v="8"/>
    <n v="7"/>
    <n v="7"/>
    <n v="6"/>
    <n v="6"/>
    <n v="7"/>
    <n v="7"/>
    <n v="7"/>
    <m/>
    <m/>
    <m/>
    <n v="497"/>
    <n v="0"/>
    <s v="200S"/>
    <n v="3"/>
    <x v="0"/>
    <n v="12926.136363636364"/>
    <m/>
    <n v="0"/>
    <x v="4"/>
  </r>
  <r>
    <x v="132"/>
    <s v="200S/200W"/>
    <m/>
    <x v="42"/>
    <x v="28"/>
    <n v="2640"/>
    <n v="20"/>
    <s v="AC"/>
    <s v="SC"/>
    <n v="0"/>
    <n v="4"/>
    <n v="4"/>
    <n v="4"/>
    <n v="4"/>
    <n v="4"/>
    <n v="9"/>
    <n v="7"/>
    <n v="7"/>
    <n v="7"/>
    <n v="7"/>
    <m/>
    <m/>
    <m/>
    <n v="292"/>
    <n v="0"/>
    <s v="200S"/>
    <n v="6"/>
    <x v="0"/>
    <n v="10500"/>
    <m/>
    <n v="0"/>
    <x v="4"/>
  </r>
  <r>
    <x v="133"/>
    <s v="200S/250W"/>
    <m/>
    <x v="42"/>
    <x v="29"/>
    <n v="2693"/>
    <n v="20"/>
    <s v="AC"/>
    <s v="SC"/>
    <n v="0"/>
    <n v="7"/>
    <n v="7"/>
    <n v="7"/>
    <n v="7"/>
    <n v="7"/>
    <n v="7"/>
    <n v="7"/>
    <n v="7"/>
    <n v="7"/>
    <n v="7"/>
    <m/>
    <m/>
    <m/>
    <n v="443"/>
    <n v="0"/>
    <s v="200S"/>
    <n v="3"/>
    <x v="0"/>
    <n v="10710.795454545454"/>
    <m/>
    <n v="0"/>
    <x v="4"/>
  </r>
  <r>
    <x v="134"/>
    <s v="200S/300W"/>
    <m/>
    <x v="75"/>
    <x v="29"/>
    <n v="1373"/>
    <n v="20"/>
    <s v="AC"/>
    <s v="SC"/>
    <n v="0"/>
    <n v="7"/>
    <n v="7"/>
    <n v="6"/>
    <n v="6"/>
    <n v="6"/>
    <n v="8"/>
    <n v="8"/>
    <n v="8"/>
    <n v="7"/>
    <n v="7"/>
    <m/>
    <m/>
    <m/>
    <n v="811"/>
    <n v="0.5"/>
    <s v="200S"/>
    <n v="4.5"/>
    <x v="0"/>
    <n v="5460.795454545455"/>
    <m/>
    <n v="0"/>
    <x v="4"/>
  </r>
  <r>
    <x v="135"/>
    <s v="200S/400E"/>
    <m/>
    <x v="76"/>
    <x v="73"/>
    <n v="4000"/>
    <n v="20"/>
    <s v="AC"/>
    <s v="C"/>
    <n v="0"/>
    <n v="6"/>
    <n v="6"/>
    <n v="6"/>
    <n v="4"/>
    <n v="4"/>
    <n v="7"/>
    <n v="7"/>
    <n v="7"/>
    <n v="7"/>
    <n v="7"/>
    <m/>
    <m/>
    <m/>
    <n v="105"/>
    <n v="0"/>
    <s v="200S"/>
    <n v="6"/>
    <x v="0"/>
    <n v="15909.09090909091"/>
    <m/>
    <n v="0"/>
    <x v="3"/>
  </r>
  <r>
    <x v="136"/>
    <s v="200S/400W"/>
    <m/>
    <x v="11"/>
    <x v="76"/>
    <n v="1326"/>
    <n v="20"/>
    <s v="AC"/>
    <s v="SC"/>
    <n v="0"/>
    <n v="7"/>
    <n v="6"/>
    <n v="8"/>
    <n v="8"/>
    <n v="8"/>
    <n v="7"/>
    <n v="7"/>
    <n v="7"/>
    <n v="7"/>
    <n v="7"/>
    <n v="2024"/>
    <m/>
    <s v="N"/>
    <n v="746"/>
    <n v="0.5"/>
    <s v="200S"/>
    <n v="2.5"/>
    <x v="0"/>
    <n v="5273.863636363636"/>
    <m/>
    <n v="0"/>
    <x v="4"/>
  </r>
  <r>
    <x v="137"/>
    <s v="200S/425W"/>
    <m/>
    <x v="53"/>
    <x v="46"/>
    <n v="2874"/>
    <n v="20"/>
    <s v="AC"/>
    <s v="SC"/>
    <n v="0"/>
    <n v="5"/>
    <n v="5"/>
    <n v="8"/>
    <n v="8"/>
    <n v="8"/>
    <n v="8"/>
    <n v="8"/>
    <n v="7"/>
    <n v="7"/>
    <n v="7"/>
    <n v="2024"/>
    <m/>
    <s v="N"/>
    <n v="1652"/>
    <n v="1"/>
    <s v="200S"/>
    <n v="3"/>
    <x v="1"/>
    <n v="2939.318181818182"/>
    <m/>
    <n v="0"/>
    <x v="2"/>
  </r>
  <r>
    <x v="138"/>
    <s v="600E/300S"/>
    <m/>
    <x v="10"/>
    <x v="11"/>
    <n v="5365"/>
    <n v="20"/>
    <s v="AC"/>
    <s v="BR"/>
    <n v="0"/>
    <n v="7"/>
    <n v="6"/>
    <n v="6"/>
    <n v="5"/>
    <n v="5"/>
    <n v="7"/>
    <n v="7"/>
    <n v="7"/>
    <n v="7"/>
    <n v="7"/>
    <m/>
    <n v="2020"/>
    <s v="Y"/>
    <n v="921"/>
    <n v="0.5"/>
    <s v="600E"/>
    <n v="5.5"/>
    <x v="0"/>
    <n v="21338.06818181818"/>
    <m/>
    <n v="0"/>
    <x v="6"/>
  </r>
  <r>
    <x v="139"/>
    <s v="200S/500W"/>
    <m/>
    <x v="43"/>
    <x v="46"/>
    <n v="5125"/>
    <n v="20"/>
    <s v="AC"/>
    <s v="SC"/>
    <n v="0"/>
    <n v="7"/>
    <n v="6"/>
    <n v="6"/>
    <n v="5"/>
    <n v="5"/>
    <n v="8"/>
    <n v="7"/>
    <n v="7"/>
    <n v="7"/>
    <n v="7"/>
    <n v="2024"/>
    <m/>
    <s v="N"/>
    <n v="1578"/>
    <n v="1"/>
    <s v="200S"/>
    <n v="6"/>
    <x v="0"/>
    <n v="20383.522727272728"/>
    <m/>
    <n v="0"/>
    <x v="3"/>
  </r>
  <r>
    <x v="140"/>
    <s v="200S/600E"/>
    <m/>
    <x v="32"/>
    <x v="24"/>
    <n v="5310"/>
    <n v="20"/>
    <s v="CS"/>
    <s v="BR"/>
    <n v="0"/>
    <n v="5"/>
    <n v="5"/>
    <n v="5"/>
    <n v="5"/>
    <n v="4"/>
    <n v="8"/>
    <n v="8"/>
    <n v="8"/>
    <n v="7"/>
    <n v="7"/>
    <m/>
    <m/>
    <m/>
    <n v="132"/>
    <n v="0"/>
    <s v="200S"/>
    <n v="6"/>
    <x v="0"/>
    <n v="21119.31818181818"/>
    <m/>
    <n v="0"/>
    <x v="3"/>
  </r>
  <r>
    <x v="141"/>
    <s v="200S/600W"/>
    <m/>
    <x v="33"/>
    <x v="34"/>
    <n v="5340"/>
    <n v="20"/>
    <s v="AC"/>
    <s v="SC"/>
    <n v="0"/>
    <n v="7"/>
    <n v="7"/>
    <n v="8"/>
    <n v="8"/>
    <n v="7"/>
    <n v="7"/>
    <n v="7"/>
    <n v="7"/>
    <n v="7"/>
    <n v="7"/>
    <n v="2024"/>
    <m/>
    <s v="N"/>
    <n v="1768"/>
    <n v="1"/>
    <s v="200S"/>
    <n v="4"/>
    <x v="0"/>
    <n v="21238.636363636364"/>
    <m/>
    <n v="0"/>
    <x v="4"/>
  </r>
  <r>
    <x v="142"/>
    <s v="200S/675E"/>
    <m/>
    <x v="14"/>
    <x v="21"/>
    <n v="3660"/>
    <n v="20"/>
    <s v="CS"/>
    <s v="BR"/>
    <n v="0"/>
    <n v="6"/>
    <n v="8"/>
    <n v="8"/>
    <n v="9"/>
    <n v="8"/>
    <n v="7"/>
    <n v="7"/>
    <n v="7"/>
    <n v="7"/>
    <n v="7"/>
    <m/>
    <m/>
    <m/>
    <n v="50"/>
    <n v="0"/>
    <s v="200S"/>
    <n v="2"/>
    <x v="0"/>
    <n v="14556.818181818182"/>
    <m/>
    <n v="0"/>
    <x v="3"/>
  </r>
  <r>
    <x v="143"/>
    <s v="200S/700E"/>
    <m/>
    <x v="22"/>
    <x v="68"/>
    <n v="1320"/>
    <n v="20"/>
    <s v="CS"/>
    <s v="BR"/>
    <n v="0"/>
    <n v="7"/>
    <n v="6"/>
    <n v="6"/>
    <n v="9"/>
    <n v="8"/>
    <n v="8"/>
    <n v="7"/>
    <n v="7"/>
    <n v="7"/>
    <n v="7"/>
    <m/>
    <m/>
    <m/>
    <n v="50"/>
    <n v="0"/>
    <s v="200S"/>
    <n v="2"/>
    <x v="0"/>
    <n v="5250"/>
    <m/>
    <n v="0"/>
    <x v="2"/>
  </r>
  <r>
    <x v="144"/>
    <s v="600S/100W"/>
    <m/>
    <x v="26"/>
    <x v="37"/>
    <n v="2983"/>
    <n v="20"/>
    <s v="AC"/>
    <s v="BW"/>
    <n v="0"/>
    <n v="7"/>
    <n v="7"/>
    <n v="7"/>
    <n v="6"/>
    <n v="6"/>
    <n v="5"/>
    <n v="9"/>
    <n v="8"/>
    <n v="7"/>
    <n v="7"/>
    <m/>
    <n v="2020"/>
    <s v="Y"/>
    <n v="913"/>
    <n v="0.5"/>
    <s v="600S"/>
    <n v="4.5"/>
    <x v="0"/>
    <n v="11864.204545454546"/>
    <m/>
    <n v="0"/>
    <x v="6"/>
  </r>
  <r>
    <x v="145"/>
    <s v="200S/750E"/>
    <m/>
    <x v="37"/>
    <x v="50"/>
    <n v="2750"/>
    <n v="20"/>
    <s v="CS"/>
    <s v="BR"/>
    <n v="0"/>
    <n v="5"/>
    <n v="5"/>
    <n v="5"/>
    <n v="9"/>
    <n v="8"/>
    <n v="8"/>
    <n v="7"/>
    <n v="6"/>
    <n v="6"/>
    <n v="8"/>
    <m/>
    <m/>
    <m/>
    <n v="50"/>
    <n v="0"/>
    <s v="200S"/>
    <n v="2"/>
    <x v="0"/>
    <n v="10937.5"/>
    <m/>
    <n v="0"/>
    <x v="2"/>
  </r>
  <r>
    <x v="146"/>
    <s v="200S/800E"/>
    <m/>
    <x v="45"/>
    <x v="38"/>
    <n v="2740"/>
    <n v="20"/>
    <s v="CS"/>
    <s v="BR"/>
    <n v="0"/>
    <n v="4"/>
    <n v="5"/>
    <n v="10"/>
    <n v="9"/>
    <n v="8"/>
    <n v="8"/>
    <n v="8"/>
    <n v="8"/>
    <n v="7"/>
    <n v="7"/>
    <m/>
    <m/>
    <m/>
    <n v="50"/>
    <n v="0"/>
    <s v="200S"/>
    <n v="2"/>
    <x v="0"/>
    <n v="10897.727272727272"/>
    <m/>
    <n v="0"/>
    <x v="3"/>
  </r>
  <r>
    <x v="147"/>
    <s v="200S/900E"/>
    <m/>
    <x v="38"/>
    <x v="77"/>
    <n v="5470"/>
    <n v="20"/>
    <s v="CS"/>
    <s v="BR"/>
    <n v="0"/>
    <n v="4"/>
    <n v="7"/>
    <n v="10"/>
    <n v="9"/>
    <n v="8"/>
    <n v="8"/>
    <n v="8"/>
    <n v="8"/>
    <n v="7"/>
    <n v="7"/>
    <m/>
    <m/>
    <m/>
    <n v="50"/>
    <n v="0"/>
    <s v="200S"/>
    <n v="2"/>
    <x v="0"/>
    <n v="21755.68181818182"/>
    <m/>
    <n v="0"/>
    <x v="3"/>
  </r>
  <r>
    <x v="148"/>
    <s v="500W/MCCORD RD"/>
    <m/>
    <x v="5"/>
    <x v="78"/>
    <n v="3801"/>
    <n v="20"/>
    <s v="AC"/>
    <s v="V"/>
    <n v="0"/>
    <n v="7"/>
    <n v="7"/>
    <n v="8"/>
    <n v="8"/>
    <n v="8"/>
    <n v="7"/>
    <n v="8"/>
    <n v="7"/>
    <n v="7"/>
    <n v="7"/>
    <m/>
    <m/>
    <m/>
    <n v="900"/>
    <n v="0.5"/>
    <s v="500W"/>
    <n v="2.5"/>
    <x v="0"/>
    <n v="15117.613636363636"/>
    <m/>
    <n v="0"/>
    <x v="6"/>
  </r>
  <r>
    <x v="149"/>
    <s v="200S/MERIDIAN RD"/>
    <m/>
    <x v="26"/>
    <x v="42"/>
    <n v="7335"/>
    <n v="20"/>
    <s v="AC"/>
    <s v="C"/>
    <n v="0"/>
    <n v="7"/>
    <n v="6"/>
    <n v="7"/>
    <n v="7"/>
    <n v="7"/>
    <n v="6"/>
    <n v="6"/>
    <n v="7"/>
    <n v="7"/>
    <n v="7"/>
    <m/>
    <m/>
    <m/>
    <n v="463"/>
    <n v="0"/>
    <s v="200S"/>
    <n v="3"/>
    <x v="0"/>
    <n v="29173.295454545456"/>
    <m/>
    <n v="0"/>
    <x v="4"/>
  </r>
  <r>
    <x v="150"/>
    <s v="200S/SR9"/>
    <m/>
    <x v="41"/>
    <x v="79"/>
    <n v="1335"/>
    <n v="20"/>
    <s v="AC"/>
    <s v="C"/>
    <n v="0"/>
    <n v="6"/>
    <n v="6"/>
    <n v="6"/>
    <n v="10"/>
    <n v="9"/>
    <n v="8"/>
    <n v="8"/>
    <n v="7"/>
    <n v="7"/>
    <n v="7"/>
    <m/>
    <m/>
    <m/>
    <n v="528"/>
    <n v="0.5"/>
    <s v="200S"/>
    <n v="1.5"/>
    <x v="2"/>
    <n v="8090.909090909091"/>
    <m/>
    <n v="0"/>
    <x v="5"/>
  </r>
  <r>
    <x v="151"/>
    <s v="200W/100N"/>
    <m/>
    <x v="44"/>
    <x v="80"/>
    <n v="5982"/>
    <n v="20"/>
    <s v="AC"/>
    <s v="BC"/>
    <n v="0"/>
    <n v="7"/>
    <n v="7"/>
    <n v="6"/>
    <n v="6"/>
    <n v="9"/>
    <n v="8"/>
    <n v="7"/>
    <n v="7"/>
    <n v="7"/>
    <n v="7"/>
    <n v="2024"/>
    <n v="2021"/>
    <s v="Y"/>
    <n v="3064"/>
    <n v="1.5"/>
    <s v="200W"/>
    <n v="2.5"/>
    <x v="1"/>
    <n v="6117.954545454545"/>
    <m/>
    <n v="0"/>
    <x v="2"/>
  </r>
  <r>
    <x v="152"/>
    <s v="200W/100S"/>
    <m/>
    <x v="62"/>
    <x v="63"/>
    <n v="5330"/>
    <n v="20"/>
    <s v="CS"/>
    <s v="SC"/>
    <n v="0"/>
    <n v="7"/>
    <n v="8"/>
    <n v="7"/>
    <n v="7"/>
    <n v="8"/>
    <n v="8"/>
    <n v="7"/>
    <n v="7"/>
    <n v="7"/>
    <n v="7"/>
    <n v="2023"/>
    <n v="2023"/>
    <s v="Y"/>
    <n v="2534"/>
    <n v="1.5"/>
    <s v="200W"/>
    <n v="3.5"/>
    <x v="5"/>
    <n v="80757.57575757576"/>
    <n v="1"/>
    <n v="80757.57575757576"/>
    <x v="0"/>
  </r>
  <r>
    <x v="153"/>
    <s v="200W/200N"/>
    <m/>
    <x v="35"/>
    <x v="70"/>
    <n v="5300"/>
    <n v="20"/>
    <s v="AC"/>
    <s v="BC"/>
    <n v="0"/>
    <n v="10"/>
    <n v="7"/>
    <n v="8"/>
    <n v="8"/>
    <n v="8"/>
    <n v="8"/>
    <n v="7"/>
    <n v="7"/>
    <n v="7"/>
    <n v="7"/>
    <n v="2024"/>
    <n v="2021"/>
    <s v="Y"/>
    <n v="1937"/>
    <n v="1"/>
    <s v="200W"/>
    <n v="3"/>
    <x v="0"/>
    <n v="21079.545454545456"/>
    <m/>
    <n v="0"/>
    <x v="4"/>
  </r>
  <r>
    <x v="154"/>
    <s v="200W/200S"/>
    <m/>
    <x v="63"/>
    <x v="64"/>
    <n v="5330"/>
    <n v="20"/>
    <s v="CS"/>
    <s v="SC"/>
    <n v="0"/>
    <n v="7"/>
    <n v="8"/>
    <n v="7"/>
    <n v="7"/>
    <n v="8"/>
    <n v="8"/>
    <n v="7"/>
    <n v="7"/>
    <n v="7"/>
    <n v="7"/>
    <n v="2023"/>
    <n v="2023"/>
    <s v="Y"/>
    <n v="2353"/>
    <n v="1"/>
    <s v="200W"/>
    <n v="3"/>
    <x v="5"/>
    <n v="80757.57575757576"/>
    <n v="1"/>
    <n v="80757.57575757576"/>
    <x v="0"/>
  </r>
  <r>
    <x v="155"/>
    <s v="200W/300N"/>
    <m/>
    <x v="50"/>
    <x v="51"/>
    <n v="5300"/>
    <n v="20"/>
    <s v="AC"/>
    <s v="BC"/>
    <n v="0"/>
    <n v="9"/>
    <n v="7"/>
    <n v="7"/>
    <n v="8"/>
    <n v="7"/>
    <n v="7"/>
    <n v="7"/>
    <n v="7"/>
    <n v="7"/>
    <n v="7"/>
    <n v="2024"/>
    <n v="2021"/>
    <s v="Y"/>
    <n v="3324"/>
    <n v="1.5"/>
    <s v="200W"/>
    <n v="4.5"/>
    <x v="0"/>
    <n v="21079.545454545456"/>
    <m/>
    <n v="0"/>
    <x v="4"/>
  </r>
  <r>
    <x v="156"/>
    <s v="200W/300S"/>
    <m/>
    <x v="10"/>
    <x v="11"/>
    <n v="5350"/>
    <n v="20"/>
    <s v="CS"/>
    <s v="SC"/>
    <n v="0"/>
    <n v="7"/>
    <n v="8"/>
    <n v="8"/>
    <n v="7"/>
    <n v="8"/>
    <n v="8"/>
    <n v="7"/>
    <n v="7"/>
    <n v="7"/>
    <n v="7"/>
    <n v="2023"/>
    <n v="2023"/>
    <s v="Y"/>
    <n v="2109"/>
    <n v="1"/>
    <s v="200W"/>
    <n v="3"/>
    <x v="5"/>
    <n v="81060.606060606064"/>
    <n v="1"/>
    <n v="81060.606060606064"/>
    <x v="0"/>
  </r>
  <r>
    <x v="157"/>
    <s v="200W/400N"/>
    <m/>
    <x v="3"/>
    <x v="36"/>
    <n v="5300"/>
    <n v="20"/>
    <s v="AC"/>
    <s v="BC"/>
    <n v="0"/>
    <n v="9"/>
    <n v="7"/>
    <n v="7"/>
    <n v="7"/>
    <n v="7"/>
    <n v="7"/>
    <n v="7"/>
    <n v="7"/>
    <n v="7"/>
    <n v="7"/>
    <n v="2024"/>
    <n v="2017"/>
    <s v="Y"/>
    <n v="2241"/>
    <n v="1"/>
    <s v="200W"/>
    <n v="4"/>
    <x v="0"/>
    <n v="21079.545454545456"/>
    <m/>
    <n v="0"/>
    <x v="4"/>
  </r>
  <r>
    <x v="158"/>
    <s v="200W/400S"/>
    <m/>
    <x v="10"/>
    <x v="81"/>
    <n v="4488"/>
    <n v="20"/>
    <s v="CS"/>
    <s v="SC"/>
    <n v="0"/>
    <n v="7"/>
    <n v="7"/>
    <n v="8"/>
    <n v="7"/>
    <n v="7"/>
    <n v="7"/>
    <n v="7"/>
    <n v="7"/>
    <n v="7"/>
    <n v="7"/>
    <n v="2023"/>
    <n v="2023"/>
    <s v="Y"/>
    <n v="1552"/>
    <n v="1"/>
    <s v="200W"/>
    <n v="4"/>
    <x v="5"/>
    <n v="68000"/>
    <n v="1"/>
    <n v="68000"/>
    <x v="0"/>
  </r>
  <r>
    <x v="159"/>
    <s v="200W/500N"/>
    <m/>
    <x v="1"/>
    <x v="2"/>
    <n v="5300"/>
    <n v="20"/>
    <s v="AC"/>
    <s v="BC"/>
    <n v="0"/>
    <n v="6"/>
    <n v="6"/>
    <n v="6"/>
    <n v="6"/>
    <n v="6"/>
    <n v="8"/>
    <n v="7"/>
    <n v="7"/>
    <n v="7"/>
    <n v="7"/>
    <n v="2024"/>
    <n v="2021"/>
    <s v="Y"/>
    <n v="1364"/>
    <n v="0.5"/>
    <s v="200W"/>
    <n v="4.5"/>
    <x v="4"/>
    <n v="110416.66666666667"/>
    <n v="1"/>
    <n v="110416.66666666667"/>
    <x v="3"/>
  </r>
  <r>
    <x v="160"/>
    <s v="200W/600N"/>
    <m/>
    <x v="77"/>
    <x v="3"/>
    <n v="5170"/>
    <n v="20"/>
    <s v="CS"/>
    <s v="BC"/>
    <n v="0"/>
    <n v="5"/>
    <n v="5"/>
    <n v="9"/>
    <n v="9"/>
    <n v="8"/>
    <n v="7"/>
    <n v="7"/>
    <n v="7"/>
    <n v="7"/>
    <n v="7"/>
    <n v="2024"/>
    <n v="2021"/>
    <s v="Y"/>
    <n v="1779"/>
    <n v="1"/>
    <s v="200W"/>
    <n v="3"/>
    <x v="0"/>
    <n v="20562.5"/>
    <m/>
    <n v="0"/>
    <x v="2"/>
  </r>
  <r>
    <x v="161"/>
    <s v="200W/700N"/>
    <m/>
    <x v="77"/>
    <x v="82"/>
    <n v="5296"/>
    <n v="20"/>
    <s v="AC"/>
    <s v="V"/>
    <n v="0"/>
    <n v="7"/>
    <n v="7"/>
    <n v="7"/>
    <n v="6"/>
    <n v="8"/>
    <n v="8"/>
    <n v="7"/>
    <n v="7"/>
    <n v="7"/>
    <n v="7"/>
    <n v="2023"/>
    <n v="2023"/>
    <s v="Y"/>
    <n v="1758"/>
    <n v="1"/>
    <s v="200W"/>
    <n v="3"/>
    <x v="5"/>
    <n v="80242.42424242424"/>
    <n v="1"/>
    <n v="80242.42424242424"/>
    <x v="3"/>
  </r>
  <r>
    <x v="162"/>
    <s v="200W/FURRY RD"/>
    <m/>
    <x v="78"/>
    <x v="71"/>
    <n v="2587"/>
    <n v="20"/>
    <s v="CS"/>
    <s v="SC"/>
    <n v="0"/>
    <n v="7"/>
    <n v="7"/>
    <n v="7"/>
    <n v="6"/>
    <n v="7"/>
    <n v="7"/>
    <n v="7"/>
    <n v="7"/>
    <n v="7"/>
    <n v="7"/>
    <n v="2023"/>
    <n v="2023"/>
    <s v="Y"/>
    <n v="1552"/>
    <n v="1"/>
    <s v="200W"/>
    <n v="4"/>
    <x v="5"/>
    <n v="39196.969696969696"/>
    <n v="1"/>
    <n v="39196.969696969696"/>
    <x v="0"/>
  </r>
  <r>
    <x v="163"/>
    <s v="200W/SR234"/>
    <m/>
    <x v="65"/>
    <x v="6"/>
    <n v="5386"/>
    <n v="20"/>
    <s v="AC"/>
    <s v="V"/>
    <n v="0"/>
    <n v="7"/>
    <n v="7"/>
    <n v="7"/>
    <n v="6"/>
    <n v="8"/>
    <n v="8"/>
    <n v="7"/>
    <n v="7"/>
    <n v="7"/>
    <n v="7"/>
    <n v="2023"/>
    <n v="2023"/>
    <s v="Y"/>
    <n v="2746"/>
    <n v="1.5"/>
    <s v="200W"/>
    <n v="3.5"/>
    <x v="5"/>
    <n v="81606.060606060608"/>
    <n v="1"/>
    <n v="81606.060606060608"/>
    <x v="3"/>
  </r>
  <r>
    <x v="164"/>
    <s v="200W/US40"/>
    <m/>
    <x v="71"/>
    <x v="83"/>
    <n v="3650"/>
    <n v="20"/>
    <s v="CS"/>
    <s v="SC"/>
    <n v="0"/>
    <n v="7"/>
    <n v="7"/>
    <n v="8"/>
    <n v="7"/>
    <n v="7"/>
    <n v="7"/>
    <n v="7"/>
    <n v="7"/>
    <n v="7"/>
    <n v="7"/>
    <n v="2023"/>
    <n v="2023"/>
    <s v="Y"/>
    <n v="2987"/>
    <n v="1.5"/>
    <s v="200W"/>
    <n v="4.5"/>
    <x v="5"/>
    <n v="55303.030303030304"/>
    <n v="1"/>
    <n v="55303.030303030304"/>
    <x v="0"/>
  </r>
  <r>
    <x v="165"/>
    <s v="225N/END"/>
    <m/>
    <x v="43"/>
    <x v="25"/>
    <n v="850"/>
    <n v="20"/>
    <s v="AC"/>
    <s v="BC"/>
    <n v="0"/>
    <n v="9"/>
    <n v="8"/>
    <n v="8"/>
    <n v="8"/>
    <n v="8"/>
    <n v="8"/>
    <n v="8"/>
    <n v="8"/>
    <n v="7"/>
    <n v="7"/>
    <m/>
    <m/>
    <m/>
    <n v="50"/>
    <n v="0"/>
    <s v="225N"/>
    <n v="2"/>
    <x v="0"/>
    <n v="3380.681818181818"/>
    <m/>
    <n v="0"/>
    <x v="3"/>
  </r>
  <r>
    <x v="166"/>
    <s v="250E/625N"/>
    <m/>
    <x v="77"/>
    <x v="84"/>
    <n v="1318"/>
    <n v="20"/>
    <s v="AC"/>
    <s v="G"/>
    <n v="0"/>
    <n v="6"/>
    <n v="5"/>
    <n v="5"/>
    <n v="9"/>
    <n v="9"/>
    <n v="9"/>
    <n v="8"/>
    <n v="7"/>
    <n v="7"/>
    <n v="7"/>
    <m/>
    <m/>
    <m/>
    <n v="202"/>
    <n v="0"/>
    <s v="250E"/>
    <n v="1"/>
    <x v="2"/>
    <n v="7987.878787878788"/>
    <m/>
    <n v="0"/>
    <x v="5"/>
  </r>
  <r>
    <x v="167"/>
    <s v="250E/700N"/>
    <m/>
    <x v="79"/>
    <x v="82"/>
    <n v="4013"/>
    <n v="20"/>
    <s v="AC"/>
    <s v="G"/>
    <n v="0"/>
    <n v="5"/>
    <n v="5"/>
    <n v="5"/>
    <n v="9"/>
    <n v="9"/>
    <n v="9"/>
    <n v="8"/>
    <n v="7"/>
    <n v="7"/>
    <n v="7"/>
    <m/>
    <m/>
    <m/>
    <n v="202"/>
    <n v="0"/>
    <s v="250E"/>
    <n v="1"/>
    <x v="2"/>
    <n v="24321.21212121212"/>
    <m/>
    <n v="0"/>
    <x v="5"/>
  </r>
  <r>
    <x v="168"/>
    <s v="250E/EDEN RD"/>
    <m/>
    <x v="7"/>
    <x v="85"/>
    <n v="1795"/>
    <n v="20"/>
    <s v="AC"/>
    <s v="G"/>
    <n v="0"/>
    <n v="6"/>
    <n v="6"/>
    <n v="6"/>
    <n v="9"/>
    <n v="9"/>
    <n v="8"/>
    <n v="7"/>
    <n v="7"/>
    <n v="7"/>
    <n v="7"/>
    <m/>
    <m/>
    <m/>
    <n v="97"/>
    <n v="0"/>
    <s v="250E"/>
    <n v="1"/>
    <x v="2"/>
    <n v="10878.787878787878"/>
    <m/>
    <n v="0"/>
    <x v="5"/>
  </r>
  <r>
    <x v="169"/>
    <s v="250E/SR234"/>
    <m/>
    <x v="65"/>
    <x v="6"/>
    <n v="5438"/>
    <n v="20"/>
    <s v="AC"/>
    <s v="G"/>
    <n v="0"/>
    <n v="6"/>
    <n v="5"/>
    <n v="5"/>
    <n v="4"/>
    <n v="4"/>
    <n v="8"/>
    <n v="7"/>
    <n v="7"/>
    <n v="7"/>
    <n v="7"/>
    <m/>
    <m/>
    <m/>
    <n v="154"/>
    <n v="0"/>
    <s v="250E"/>
    <n v="6"/>
    <x v="2"/>
    <n v="32957.57575757576"/>
    <m/>
    <n v="0"/>
    <x v="3"/>
  </r>
  <r>
    <x v="170"/>
    <s v="250N/1050E"/>
    <m/>
    <x v="80"/>
    <x v="86"/>
    <n v="5420"/>
    <n v="20"/>
    <s v="AC"/>
    <s v="J"/>
    <n v="0"/>
    <n v="9"/>
    <n v="10"/>
    <n v="9"/>
    <n v="8"/>
    <n v="8"/>
    <n v="8"/>
    <n v="7"/>
    <n v="7"/>
    <n v="7"/>
    <n v="7"/>
    <n v="2024"/>
    <n v="2021"/>
    <s v="Y"/>
    <n v="1354"/>
    <n v="0.5"/>
    <s v="250N"/>
    <n v="2.5"/>
    <x v="0"/>
    <n v="21556.81818181818"/>
    <m/>
    <n v="0"/>
    <x v="4"/>
  </r>
  <r>
    <x v="171"/>
    <s v="250N/600E"/>
    <m/>
    <x v="32"/>
    <x v="24"/>
    <n v="5420"/>
    <n v="20"/>
    <s v="CS"/>
    <s v="J"/>
    <n v="0"/>
    <n v="5"/>
    <n v="5"/>
    <n v="4"/>
    <n v="4"/>
    <n v="4"/>
    <n v="8"/>
    <n v="7"/>
    <n v="7"/>
    <n v="7"/>
    <n v="7"/>
    <m/>
    <m/>
    <m/>
    <n v="50"/>
    <n v="0"/>
    <s v="250N"/>
    <n v="6"/>
    <x v="0"/>
    <n v="21556.81818181818"/>
    <m/>
    <n v="0"/>
    <x v="4"/>
  </r>
  <r>
    <x v="172"/>
    <s v="250W/US40"/>
    <m/>
    <x v="71"/>
    <x v="83"/>
    <n v="4000"/>
    <n v="20"/>
    <s v="CS"/>
    <s v="SC"/>
    <n v="0"/>
    <n v="6"/>
    <n v="6"/>
    <n v="5"/>
    <n v="9"/>
    <n v="8"/>
    <n v="7"/>
    <n v="7"/>
    <n v="7"/>
    <n v="7"/>
    <n v="7"/>
    <m/>
    <m/>
    <m/>
    <n v="843"/>
    <n v="0.5"/>
    <s v="250W"/>
    <n v="2.5"/>
    <x v="0"/>
    <n v="15909.09090909091"/>
    <m/>
    <n v="0"/>
    <x v="6"/>
  </r>
  <r>
    <x v="173"/>
    <s v="200S/JACOBI RD"/>
    <m/>
    <x v="11"/>
    <x v="44"/>
    <n v="4010"/>
    <n v="20"/>
    <s v="AC"/>
    <s v="SC"/>
    <n v="0"/>
    <n v="7"/>
    <n v="7"/>
    <n v="6"/>
    <n v="6"/>
    <n v="6"/>
    <n v="8"/>
    <n v="8"/>
    <n v="8"/>
    <n v="7"/>
    <n v="7"/>
    <m/>
    <m/>
    <m/>
    <n v="811"/>
    <n v="0.5"/>
    <s v="200S"/>
    <n v="4.5"/>
    <x v="0"/>
    <n v="15948.863636363636"/>
    <m/>
    <n v="0"/>
    <x v="6"/>
  </r>
  <r>
    <x v="174"/>
    <s v="MERIDIAN RD./300S"/>
    <m/>
    <x v="10"/>
    <x v="11"/>
    <n v="5360"/>
    <n v="20"/>
    <s v="AC"/>
    <s v="BW"/>
    <n v="0"/>
    <n v="7"/>
    <n v="8"/>
    <n v="8"/>
    <n v="8"/>
    <n v="7"/>
    <n v="6"/>
    <n v="8"/>
    <n v="7"/>
    <n v="7"/>
    <n v="7"/>
    <n v="2023"/>
    <n v="2023"/>
    <s v="Y"/>
    <n v="777"/>
    <n v="0.5"/>
    <s v="MERIDIAN RD."/>
    <n v="3.5"/>
    <x v="0"/>
    <n v="21318.18181818182"/>
    <m/>
    <n v="0"/>
    <x v="6"/>
  </r>
  <r>
    <x v="175"/>
    <s v="250N/GRANDISON RD"/>
    <m/>
    <x v="40"/>
    <x v="41"/>
    <n v="5380"/>
    <n v="20"/>
    <s v="AC"/>
    <s v="J"/>
    <n v="0"/>
    <n v="6"/>
    <n v="8"/>
    <n v="9"/>
    <n v="10"/>
    <n v="9"/>
    <n v="8"/>
    <n v="8"/>
    <n v="7"/>
    <n v="7"/>
    <n v="7"/>
    <n v="2024"/>
    <n v="2017"/>
    <s v="Y"/>
    <n v="1354"/>
    <n v="0.5"/>
    <s v="250N"/>
    <n v="1.5"/>
    <x v="0"/>
    <n v="21397.727272727272"/>
    <m/>
    <n v="0"/>
    <x v="4"/>
  </r>
  <r>
    <x v="176"/>
    <s v="250S/700E"/>
    <m/>
    <x v="37"/>
    <x v="24"/>
    <n v="4790"/>
    <n v="20"/>
    <s v="P"/>
    <s v="BR"/>
    <n v="0"/>
    <n v="4"/>
    <n v="4"/>
    <n v="10"/>
    <n v="9"/>
    <n v="9"/>
    <n v="7"/>
    <n v="7"/>
    <n v="7"/>
    <n v="7"/>
    <n v="7"/>
    <m/>
    <m/>
    <m/>
    <n v="449"/>
    <n v="0"/>
    <s v="250S"/>
    <n v="1"/>
    <x v="2"/>
    <n v="29030.303030303032"/>
    <m/>
    <n v="0"/>
    <x v="5"/>
  </r>
  <r>
    <x v="177"/>
    <s v="250W/100S"/>
    <m/>
    <x v="62"/>
    <x v="63"/>
    <n v="5350"/>
    <n v="20"/>
    <s v="AC"/>
    <s v="SC"/>
    <n v="0"/>
    <n v="6"/>
    <n v="6"/>
    <n v="5"/>
    <n v="5"/>
    <n v="5"/>
    <n v="8"/>
    <n v="7"/>
    <n v="7"/>
    <n v="7"/>
    <n v="7"/>
    <n v="2024"/>
    <n v="2017"/>
    <s v="Y"/>
    <n v="220"/>
    <n v="0"/>
    <s v="250W"/>
    <n v="5"/>
    <x v="3"/>
    <n v="46609.848484848488"/>
    <m/>
    <n v="0"/>
    <x v="3"/>
  </r>
  <r>
    <x v="178"/>
    <s v="STINEMYER RD/700W"/>
    <m/>
    <x v="33"/>
    <x v="87"/>
    <n v="5325"/>
    <n v="20"/>
    <s v="AC"/>
    <m/>
    <n v="0"/>
    <n v="8"/>
    <n v="8"/>
    <n v="7"/>
    <n v="7"/>
    <n v="7"/>
    <n v="7"/>
    <n v="7"/>
    <n v="7"/>
    <n v="7"/>
    <n v="7"/>
    <n v="2024"/>
    <n v="2021"/>
    <s v="Y"/>
    <n v="678"/>
    <n v="0.5"/>
    <s v="STINEMEYER RD"/>
    <n v="3.5"/>
    <x v="0"/>
    <n v="21178.977272727272"/>
    <m/>
    <n v="0"/>
    <x v="6"/>
  </r>
  <r>
    <x v="179"/>
    <s v="500W/900N"/>
    <m/>
    <x v="81"/>
    <x v="88"/>
    <n v="6178"/>
    <n v="20"/>
    <s v="AC"/>
    <s v="V"/>
    <n v="0"/>
    <n v="7"/>
    <n v="7"/>
    <n v="8"/>
    <n v="8"/>
    <n v="7"/>
    <n v="6"/>
    <n v="7"/>
    <n v="7"/>
    <n v="7"/>
    <n v="7"/>
    <m/>
    <m/>
    <m/>
    <n v="664"/>
    <n v="0.5"/>
    <s v="500W"/>
    <n v="3.5"/>
    <x v="0"/>
    <n v="24571.590909090908"/>
    <m/>
    <n v="0"/>
    <x v="6"/>
  </r>
  <r>
    <x v="180"/>
    <s v="25N/1050E"/>
    <m/>
    <x v="67"/>
    <x v="41"/>
    <n v="1730"/>
    <n v="20"/>
    <s v="AC"/>
    <s v="J"/>
    <n v="0"/>
    <n v="6"/>
    <n v="5"/>
    <n v="5"/>
    <n v="8"/>
    <n v="7"/>
    <n v="6"/>
    <n v="5"/>
    <n v="8"/>
    <n v="7"/>
    <n v="7"/>
    <m/>
    <m/>
    <m/>
    <n v="50"/>
    <n v="0"/>
    <s v="25N"/>
    <n v="3"/>
    <x v="0"/>
    <n v="6880.681818181818"/>
    <m/>
    <n v="0"/>
    <x v="5"/>
  </r>
  <r>
    <x v="181"/>
    <s v="500S/500E_A"/>
    <m/>
    <x v="76"/>
    <x v="14"/>
    <n v="1890"/>
    <n v="20"/>
    <s v="CS"/>
    <s v="BR"/>
    <n v="0"/>
    <n v="8"/>
    <n v="8"/>
    <n v="7"/>
    <n v="8"/>
    <n v="8"/>
    <n v="8"/>
    <n v="7"/>
    <n v="7"/>
    <n v="7"/>
    <n v="7"/>
    <n v="2023"/>
    <n v="2023"/>
    <s v="Y"/>
    <n v="652"/>
    <n v="0.5"/>
    <s v="500S"/>
    <n v="2.5"/>
    <x v="0"/>
    <n v="7517.045454545455"/>
    <m/>
    <n v="0"/>
    <x v="6"/>
  </r>
  <r>
    <x v="182"/>
    <s v="400S/MERIDIAN RD"/>
    <m/>
    <x v="49"/>
    <x v="20"/>
    <n v="2675"/>
    <n v="20"/>
    <s v="CS"/>
    <s v="BW"/>
    <n v="0"/>
    <n v="8"/>
    <n v="8"/>
    <n v="7"/>
    <n v="7"/>
    <n v="7"/>
    <n v="7"/>
    <n v="7"/>
    <n v="7"/>
    <n v="7"/>
    <n v="7"/>
    <m/>
    <m/>
    <m/>
    <n v="643"/>
    <n v="0.5"/>
    <s v="400S"/>
    <n v="3.5"/>
    <x v="0"/>
    <n v="10639.204545454546"/>
    <m/>
    <n v="0"/>
    <x v="6"/>
  </r>
  <r>
    <x v="183"/>
    <s v="275E/300S"/>
    <m/>
    <x v="63"/>
    <x v="89"/>
    <n v="2620"/>
    <n v="20"/>
    <s v="P"/>
    <s v="BW"/>
    <n v="0"/>
    <n v="4"/>
    <n v="7"/>
    <n v="10"/>
    <n v="9"/>
    <n v="9"/>
    <n v="8"/>
    <n v="8"/>
    <n v="8"/>
    <n v="7"/>
    <n v="7"/>
    <m/>
    <m/>
    <m/>
    <n v="50"/>
    <n v="0"/>
    <s v="275E"/>
    <n v="1"/>
    <x v="0"/>
    <n v="10420.454545454546"/>
    <m/>
    <n v="0"/>
    <x v="5"/>
  </r>
  <r>
    <x v="184"/>
    <s v="275E/STEELE FORD"/>
    <m/>
    <x v="63"/>
    <x v="90"/>
    <n v="5630"/>
    <n v="20"/>
    <s v="CS"/>
    <s v="BW"/>
    <n v="0"/>
    <n v="3"/>
    <n v="7"/>
    <n v="8"/>
    <n v="8"/>
    <n v="7"/>
    <n v="7"/>
    <n v="7"/>
    <n v="7"/>
    <n v="7"/>
    <n v="8"/>
    <m/>
    <m/>
    <m/>
    <n v="50"/>
    <n v="0"/>
    <s v="275E"/>
    <n v="3"/>
    <x v="0"/>
    <n v="22392.045454545456"/>
    <m/>
    <n v="0"/>
    <x v="2"/>
  </r>
  <r>
    <x v="185"/>
    <s v="300E/300N"/>
    <m/>
    <x v="50"/>
    <x v="53"/>
    <n v="2610"/>
    <n v="20"/>
    <s v="AC"/>
    <s v="C"/>
    <n v="0"/>
    <n v="6"/>
    <n v="6"/>
    <n v="6"/>
    <n v="6"/>
    <n v="6"/>
    <n v="5"/>
    <n v="5"/>
    <n v="5"/>
    <n v="7"/>
    <n v="7"/>
    <m/>
    <m/>
    <m/>
    <n v="50"/>
    <n v="0"/>
    <s v="300E"/>
    <n v="4"/>
    <x v="3"/>
    <n v="22738.636363636364"/>
    <m/>
    <n v="0"/>
    <x v="5"/>
  </r>
  <r>
    <x v="186"/>
    <s v="300E/350S"/>
    <m/>
    <x v="82"/>
    <x v="26"/>
    <n v="2620"/>
    <n v="20"/>
    <s v="P"/>
    <s v="BW"/>
    <n v="0"/>
    <n v="4"/>
    <n v="4"/>
    <n v="4"/>
    <n v="9"/>
    <n v="8"/>
    <n v="7"/>
    <n v="6"/>
    <n v="6"/>
    <n v="6"/>
    <n v="6"/>
    <m/>
    <m/>
    <m/>
    <n v="50"/>
    <n v="0"/>
    <s v="300E"/>
    <n v="2"/>
    <x v="2"/>
    <n v="15878.787878787878"/>
    <m/>
    <n v="0"/>
    <x v="5"/>
  </r>
  <r>
    <x v="187"/>
    <s v="350N/700W"/>
    <m/>
    <x v="33"/>
    <x v="74"/>
    <n v="5280"/>
    <n v="20"/>
    <s v="AC"/>
    <s v="BC"/>
    <n v="0"/>
    <n v="7"/>
    <n v="8"/>
    <n v="8"/>
    <n v="8"/>
    <n v="7"/>
    <n v="7"/>
    <n v="7"/>
    <n v="7"/>
    <n v="6"/>
    <n v="8"/>
    <n v="2024"/>
    <n v="2020"/>
    <s v="Y"/>
    <n v="614"/>
    <n v="0.5"/>
    <s v="350N"/>
    <n v="3.5"/>
    <x v="0"/>
    <n v="21000"/>
    <m/>
    <n v="0"/>
    <x v="6"/>
  </r>
  <r>
    <x v="188"/>
    <s v="300E/400S"/>
    <m/>
    <x v="10"/>
    <x v="91"/>
    <n v="5386"/>
    <n v="20"/>
    <s v="CS"/>
    <s v="BW"/>
    <n v="0"/>
    <n v="7"/>
    <n v="7"/>
    <n v="6"/>
    <n v="6"/>
    <n v="6"/>
    <n v="6"/>
    <n v="6"/>
    <n v="6"/>
    <n v="7"/>
    <n v="7"/>
    <m/>
    <m/>
    <m/>
    <n v="50"/>
    <n v="0"/>
    <s v="300E"/>
    <n v="4"/>
    <x v="3"/>
    <n v="46923.484848484848"/>
    <m/>
    <n v="0"/>
    <x v="5"/>
  </r>
  <r>
    <x v="189"/>
    <s v="300E/500N"/>
    <m/>
    <x v="3"/>
    <x v="3"/>
    <n v="5620"/>
    <n v="20"/>
    <s v="CS"/>
    <s v="C"/>
    <n v="0"/>
    <n v="5"/>
    <n v="5"/>
    <n v="5"/>
    <n v="5"/>
    <n v="5"/>
    <n v="9"/>
    <n v="8"/>
    <n v="8"/>
    <n v="8"/>
    <n v="8"/>
    <m/>
    <m/>
    <m/>
    <n v="162"/>
    <n v="0"/>
    <s v="300E"/>
    <n v="5"/>
    <x v="0"/>
    <n v="22352.272727272728"/>
    <m/>
    <n v="0"/>
    <x v="3"/>
  </r>
  <r>
    <x v="190"/>
    <s v="300E/500S"/>
    <m/>
    <x v="24"/>
    <x v="54"/>
    <n v="5300"/>
    <n v="20"/>
    <s v="CS"/>
    <s v="BW"/>
    <n v="0"/>
    <n v="7"/>
    <n v="7"/>
    <n v="7"/>
    <n v="6"/>
    <n v="6"/>
    <n v="6"/>
    <n v="6"/>
    <n v="6"/>
    <n v="6"/>
    <n v="6"/>
    <m/>
    <m/>
    <m/>
    <n v="50"/>
    <n v="0"/>
    <s v="300E"/>
    <n v="4"/>
    <x v="2"/>
    <n v="32121.21212121212"/>
    <m/>
    <n v="0"/>
    <x v="2"/>
  </r>
  <r>
    <x v="191"/>
    <s v="STINEMYER RD/650W"/>
    <m/>
    <x v="83"/>
    <x v="92"/>
    <n v="1350"/>
    <n v="20"/>
    <s v="AC"/>
    <s v="SC"/>
    <n v="0"/>
    <n v="7"/>
    <n v="8"/>
    <n v="7"/>
    <n v="7"/>
    <n v="7"/>
    <n v="7"/>
    <n v="8"/>
    <n v="7"/>
    <n v="7"/>
    <n v="7"/>
    <n v="2024"/>
    <n v="2021"/>
    <s v="Y"/>
    <n v="587"/>
    <n v="0.5"/>
    <s v="STINEMEYER RD"/>
    <n v="3.5"/>
    <x v="0"/>
    <n v="5369.318181818182"/>
    <m/>
    <n v="0"/>
    <x v="6"/>
  </r>
  <r>
    <x v="192"/>
    <s v="300E/625N"/>
    <m/>
    <x v="79"/>
    <x v="1"/>
    <n v="1320"/>
    <n v="20"/>
    <s v="CS"/>
    <s v="G"/>
    <n v="0"/>
    <n v="7"/>
    <n v="7"/>
    <n v="7"/>
    <n v="6"/>
    <n v="6"/>
    <n v="6"/>
    <n v="6"/>
    <n v="6"/>
    <n v="6"/>
    <n v="8"/>
    <m/>
    <m/>
    <m/>
    <n v="90"/>
    <n v="0"/>
    <s v="300E"/>
    <n v="4"/>
    <x v="3"/>
    <n v="11500"/>
    <m/>
    <n v="0"/>
    <x v="5"/>
  </r>
  <r>
    <x v="193"/>
    <s v="300E/700N"/>
    <m/>
    <x v="65"/>
    <x v="84"/>
    <n v="3987"/>
    <n v="20"/>
    <s v="CS"/>
    <s v="G"/>
    <n v="0"/>
    <n v="7"/>
    <n v="7"/>
    <n v="7"/>
    <n v="7"/>
    <n v="6"/>
    <n v="6"/>
    <n v="6"/>
    <n v="6"/>
    <n v="6"/>
    <n v="8"/>
    <m/>
    <m/>
    <m/>
    <n v="90"/>
    <n v="0"/>
    <s v="300E"/>
    <n v="4"/>
    <x v="3"/>
    <n v="34735.227272727272"/>
    <m/>
    <n v="0"/>
    <x v="5"/>
  </r>
  <r>
    <x v="194"/>
    <s v="300E/I70"/>
    <m/>
    <x v="35"/>
    <x v="53"/>
    <n v="2400"/>
    <n v="20"/>
    <s v="AC"/>
    <s v="C"/>
    <n v="0"/>
    <n v="2"/>
    <n v="5"/>
    <n v="8"/>
    <n v="8"/>
    <n v="8"/>
    <n v="7"/>
    <n v="7"/>
    <n v="6"/>
    <n v="6"/>
    <n v="7"/>
    <m/>
    <m/>
    <m/>
    <n v="50"/>
    <n v="0"/>
    <s v="300E"/>
    <n v="2"/>
    <x v="0"/>
    <n v="9545.454545454546"/>
    <m/>
    <n v="0"/>
    <x v="4"/>
  </r>
  <r>
    <x v="195"/>
    <s v="300N/100W"/>
    <m/>
    <x v="25"/>
    <x v="13"/>
    <n v="1332"/>
    <n v="20"/>
    <s v="AC"/>
    <s v="C"/>
    <n v="0"/>
    <n v="8"/>
    <n v="8"/>
    <n v="8"/>
    <n v="8"/>
    <n v="8"/>
    <n v="8"/>
    <n v="8"/>
    <n v="7"/>
    <n v="7"/>
    <n v="7"/>
    <n v="2024"/>
    <m/>
    <s v="Y"/>
    <n v="1691"/>
    <n v="1"/>
    <s v="300N"/>
    <n v="3"/>
    <x v="0"/>
    <n v="5297.727272727273"/>
    <m/>
    <n v="0"/>
    <x v="4"/>
  </r>
  <r>
    <x v="196"/>
    <s v="300N/125W"/>
    <m/>
    <x v="9"/>
    <x v="28"/>
    <n v="3978"/>
    <n v="20"/>
    <s v="AC"/>
    <s v="C"/>
    <n v="0"/>
    <n v="6"/>
    <n v="6"/>
    <n v="6"/>
    <n v="6"/>
    <n v="6"/>
    <n v="8"/>
    <n v="8"/>
    <n v="8"/>
    <n v="8"/>
    <n v="8"/>
    <n v="2024"/>
    <n v="2019"/>
    <s v="Y"/>
    <n v="2125"/>
    <n v="1"/>
    <s v="300N"/>
    <n v="5"/>
    <x v="4"/>
    <n v="82875"/>
    <n v="1"/>
    <n v="82875"/>
    <x v="0"/>
  </r>
  <r>
    <x v="197"/>
    <s v="300N/200W"/>
    <m/>
    <x v="27"/>
    <x v="29"/>
    <n v="5315"/>
    <n v="20"/>
    <s v="AC"/>
    <s v="BC"/>
    <n v="0"/>
    <n v="7"/>
    <n v="8"/>
    <n v="8"/>
    <n v="8"/>
    <n v="8"/>
    <n v="8"/>
    <n v="7"/>
    <n v="7"/>
    <n v="7"/>
    <n v="7"/>
    <n v="2024"/>
    <n v="2019"/>
    <s v="Y"/>
    <n v="2193"/>
    <n v="1"/>
    <s v="300N"/>
    <n v="3"/>
    <x v="4"/>
    <n v="110729.16666666667"/>
    <m/>
    <n v="0"/>
    <x v="3"/>
  </r>
  <r>
    <x v="198"/>
    <s v="300N/300E"/>
    <m/>
    <x v="84"/>
    <x v="93"/>
    <n v="6335"/>
    <n v="20"/>
    <s v="AC"/>
    <s v="C"/>
    <n v="0"/>
    <n v="7"/>
    <n v="7"/>
    <n v="7"/>
    <n v="7"/>
    <n v="7"/>
    <n v="7"/>
    <n v="7"/>
    <n v="7"/>
    <n v="7"/>
    <n v="7"/>
    <n v="2022"/>
    <m/>
    <s v="Y"/>
    <n v="1884"/>
    <n v="1"/>
    <s v="300N"/>
    <n v="4"/>
    <x v="4"/>
    <n v="131979.16666666666"/>
    <m/>
    <n v="0"/>
    <x v="5"/>
  </r>
  <r>
    <x v="199"/>
    <s v="300N/300W"/>
    <m/>
    <x v="28"/>
    <x v="31"/>
    <n v="5361"/>
    <n v="20"/>
    <s v="AC"/>
    <s v="BC"/>
    <n v="0"/>
    <n v="7"/>
    <n v="8"/>
    <n v="8"/>
    <n v="8"/>
    <n v="8"/>
    <n v="8"/>
    <n v="7"/>
    <n v="7"/>
    <n v="7"/>
    <n v="7"/>
    <n v="2024"/>
    <m/>
    <s v="Y"/>
    <n v="2718"/>
    <n v="1.5"/>
    <s v="300N"/>
    <n v="3.5"/>
    <x v="4"/>
    <n v="111687.5"/>
    <m/>
    <n v="0"/>
    <x v="3"/>
  </r>
  <r>
    <x v="200"/>
    <s v="300N/375E"/>
    <m/>
    <x v="85"/>
    <x v="94"/>
    <n v="4060"/>
    <n v="20"/>
    <s v="AC"/>
    <s v="C"/>
    <n v="0"/>
    <n v="6"/>
    <n v="6"/>
    <n v="6"/>
    <n v="6"/>
    <n v="6"/>
    <n v="7"/>
    <n v="7"/>
    <n v="7"/>
    <n v="7"/>
    <n v="7"/>
    <m/>
    <m/>
    <s v="Y"/>
    <n v="1601"/>
    <n v="1"/>
    <s v="300N"/>
    <n v="5"/>
    <x v="1"/>
    <n v="4152.272727272727"/>
    <m/>
    <n v="0"/>
    <x v="2"/>
  </r>
  <r>
    <x v="201"/>
    <s v="300N/400E"/>
    <m/>
    <x v="86"/>
    <x v="73"/>
    <n v="1353"/>
    <n v="20"/>
    <s v="AC"/>
    <s v="C"/>
    <n v="0"/>
    <n v="6"/>
    <n v="6"/>
    <n v="6"/>
    <n v="6"/>
    <n v="6"/>
    <n v="7"/>
    <n v="7"/>
    <n v="7"/>
    <n v="7"/>
    <n v="7"/>
    <m/>
    <m/>
    <s v="Y"/>
    <n v="1601"/>
    <n v="1"/>
    <s v="300N"/>
    <n v="5"/>
    <x v="1"/>
    <n v="1383.75"/>
    <m/>
    <n v="0"/>
    <x v="2"/>
  </r>
  <r>
    <x v="202"/>
    <s v="300N/400W"/>
    <m/>
    <x v="11"/>
    <x v="46"/>
    <n v="5387"/>
    <n v="20"/>
    <s v="AC"/>
    <s v="BC"/>
    <n v="0"/>
    <n v="6"/>
    <n v="6"/>
    <n v="6"/>
    <n v="6"/>
    <n v="6"/>
    <n v="6"/>
    <n v="6"/>
    <n v="6"/>
    <n v="7"/>
    <n v="7"/>
    <m/>
    <m/>
    <s v="Y"/>
    <n v="3660"/>
    <n v="1.5"/>
    <s v="300N"/>
    <n v="5.5"/>
    <x v="3"/>
    <n v="46932.196969696968"/>
    <m/>
    <n v="0"/>
    <x v="4"/>
  </r>
  <r>
    <x v="203"/>
    <s v="STINEMYER RD/675W"/>
    <m/>
    <x v="87"/>
    <x v="48"/>
    <n v="1345"/>
    <n v="20"/>
    <s v="AC"/>
    <s v="SC"/>
    <n v="0"/>
    <n v="7"/>
    <n v="8"/>
    <n v="7"/>
    <n v="7"/>
    <n v="7"/>
    <n v="7"/>
    <n v="8"/>
    <n v="7"/>
    <n v="7"/>
    <n v="7"/>
    <n v="2024"/>
    <n v="2021"/>
    <s v="Y"/>
    <n v="587"/>
    <n v="0.5"/>
    <s v="STINEMEYER RD"/>
    <n v="3.5"/>
    <x v="0"/>
    <n v="5349.431818181818"/>
    <m/>
    <n v="0"/>
    <x v="6"/>
  </r>
  <r>
    <x v="204"/>
    <s v="50W/1100N"/>
    <m/>
    <x v="88"/>
    <x v="62"/>
    <n v="2693"/>
    <n v="20"/>
    <s v="AC"/>
    <s v="V"/>
    <n v="0"/>
    <n v="5"/>
    <n v="6"/>
    <n v="7"/>
    <n v="7"/>
    <n v="7"/>
    <n v="7"/>
    <n v="7"/>
    <n v="7"/>
    <n v="7"/>
    <n v="7"/>
    <m/>
    <m/>
    <m/>
    <n v="535"/>
    <n v="0.5"/>
    <s v="50W"/>
    <n v="3.5"/>
    <x v="0"/>
    <n v="10710.795454545454"/>
    <m/>
    <n v="0"/>
    <x v="6"/>
  </r>
  <r>
    <x v="205"/>
    <s v="300N/50E"/>
    <m/>
    <x v="89"/>
    <x v="95"/>
    <n v="500"/>
    <n v="20"/>
    <s v="AC"/>
    <s v="C"/>
    <n v="0"/>
    <n v="9"/>
    <n v="7"/>
    <n v="7"/>
    <n v="7"/>
    <n v="7"/>
    <n v="6"/>
    <n v="6"/>
    <n v="6"/>
    <n v="6"/>
    <n v="6"/>
    <m/>
    <n v="2021"/>
    <s v="Y"/>
    <n v="1375"/>
    <n v="0.5"/>
    <s v="300N"/>
    <n v="3.5"/>
    <x v="0"/>
    <n v="1988.6363636363637"/>
    <m/>
    <n v="0"/>
    <x v="4"/>
  </r>
  <r>
    <x v="206"/>
    <s v="100E/S.CO. LINE"/>
    <m/>
    <x v="47"/>
    <x v="91"/>
    <n v="5645"/>
    <n v="20"/>
    <s v="AC"/>
    <s v="BW"/>
    <n v="0"/>
    <n v="7"/>
    <n v="7"/>
    <n v="7"/>
    <n v="6"/>
    <n v="5"/>
    <n v="5"/>
    <n v="8"/>
    <n v="8"/>
    <n v="7"/>
    <n v="7"/>
    <m/>
    <m/>
    <m/>
    <n v="515"/>
    <n v="0.5"/>
    <s v="100E"/>
    <n v="5.5"/>
    <x v="0"/>
    <n v="22451.704545454544"/>
    <m/>
    <n v="0"/>
    <x v="6"/>
  </r>
  <r>
    <x v="207"/>
    <s v="300N/600E"/>
    <m/>
    <x v="90"/>
    <x v="24"/>
    <n v="3938"/>
    <n v="20"/>
    <s v="AC"/>
    <s v="J"/>
    <n v="0"/>
    <n v="7"/>
    <n v="7"/>
    <n v="7"/>
    <n v="7"/>
    <n v="7"/>
    <n v="7"/>
    <n v="7"/>
    <n v="7"/>
    <n v="7"/>
    <n v="8"/>
    <n v="2022"/>
    <m/>
    <s v="Y"/>
    <n v="1367"/>
    <n v="0.5"/>
    <s v="300N"/>
    <n v="3.5"/>
    <x v="4"/>
    <n v="82041.666666666672"/>
    <m/>
    <n v="0"/>
    <x v="5"/>
  </r>
  <r>
    <x v="208"/>
    <s v="300N/600W"/>
    <m/>
    <x v="43"/>
    <x v="48"/>
    <n v="5360"/>
    <n v="20"/>
    <s v="CS"/>
    <s v="BC"/>
    <n v="0"/>
    <n v="7"/>
    <n v="7"/>
    <n v="7"/>
    <n v="7"/>
    <n v="7"/>
    <n v="7"/>
    <n v="7"/>
    <n v="6"/>
    <n v="6"/>
    <n v="6"/>
    <n v="2023"/>
    <n v="2023"/>
    <s v="Y"/>
    <n v="4504"/>
    <n v="1.5"/>
    <s v="300N"/>
    <n v="4.5"/>
    <x v="4"/>
    <n v="111666.66666666667"/>
    <n v="1"/>
    <n v="111666.66666666667"/>
    <x v="0"/>
  </r>
  <r>
    <x v="209"/>
    <s v="300N/700E"/>
    <m/>
    <x v="14"/>
    <x v="68"/>
    <n v="4432"/>
    <n v="20"/>
    <s v="CS"/>
    <s v="J"/>
    <n v="0"/>
    <n v="8"/>
    <n v="9"/>
    <n v="7"/>
    <n v="7"/>
    <n v="7"/>
    <n v="7"/>
    <n v="7"/>
    <n v="7"/>
    <n v="7"/>
    <n v="7"/>
    <m/>
    <m/>
    <m/>
    <n v="114"/>
    <n v="0"/>
    <s v="300N"/>
    <n v="3"/>
    <x v="0"/>
    <n v="17627.272727272728"/>
    <n v="1"/>
    <n v="17627.272727272728"/>
    <x v="3"/>
  </r>
  <r>
    <x v="210"/>
    <s v="300N/700W"/>
    <m/>
    <x v="33"/>
    <x v="74"/>
    <n v="5320"/>
    <n v="20"/>
    <s v="AC"/>
    <s v="BC"/>
    <n v="0"/>
    <n v="8"/>
    <n v="8"/>
    <n v="8"/>
    <n v="8"/>
    <n v="8"/>
    <n v="7"/>
    <n v="7"/>
    <n v="7"/>
    <n v="7"/>
    <n v="7"/>
    <n v="2024"/>
    <m/>
    <s v="Y"/>
    <n v="2113"/>
    <n v="1"/>
    <s v="300N"/>
    <n v="3"/>
    <x v="0"/>
    <n v="21159.090909090908"/>
    <m/>
    <n v="0"/>
    <x v="4"/>
  </r>
  <r>
    <x v="211"/>
    <s v="300N/800E"/>
    <m/>
    <x v="37"/>
    <x v="38"/>
    <n v="5420"/>
    <n v="20"/>
    <s v="CS"/>
    <s v="J"/>
    <n v="0"/>
    <n v="8"/>
    <n v="9"/>
    <n v="8"/>
    <n v="8"/>
    <n v="7"/>
    <n v="7"/>
    <n v="7"/>
    <n v="7"/>
    <n v="6"/>
    <n v="6"/>
    <m/>
    <m/>
    <m/>
    <n v="50"/>
    <n v="0"/>
    <s v="300N"/>
    <n v="3"/>
    <x v="0"/>
    <n v="21556.81818181818"/>
    <n v="1"/>
    <n v="21556.81818181818"/>
    <x v="3"/>
  </r>
  <r>
    <x v="212"/>
    <s v="300N/850E"/>
    <m/>
    <x v="38"/>
    <x v="39"/>
    <n v="2640"/>
    <n v="20"/>
    <s v="CS"/>
    <s v="J"/>
    <n v="0"/>
    <n v="8"/>
    <n v="9"/>
    <n v="8"/>
    <n v="8"/>
    <n v="7"/>
    <n v="7"/>
    <n v="7"/>
    <n v="7"/>
    <n v="6"/>
    <n v="6"/>
    <m/>
    <m/>
    <m/>
    <n v="64"/>
    <n v="0"/>
    <s v="300N"/>
    <n v="3"/>
    <x v="2"/>
    <n v="16000"/>
    <n v="1"/>
    <n v="16000"/>
    <x v="0"/>
  </r>
  <r>
    <x v="213"/>
    <s v="300N/FORTVILLE PK"/>
    <m/>
    <x v="91"/>
    <x v="37"/>
    <n v="4663"/>
    <n v="20"/>
    <s v="AC"/>
    <s v="C"/>
    <n v="0"/>
    <n v="8"/>
    <n v="7"/>
    <n v="7"/>
    <n v="7"/>
    <n v="7"/>
    <n v="6"/>
    <n v="6"/>
    <n v="6"/>
    <n v="6"/>
    <n v="6"/>
    <n v="2024"/>
    <n v="2016"/>
    <s v="Y"/>
    <n v="1793"/>
    <n v="1"/>
    <s v="300N"/>
    <n v="4"/>
    <x v="4"/>
    <n v="97145.833333333328"/>
    <n v="1"/>
    <n v="97145.833333333328"/>
    <x v="0"/>
  </r>
  <r>
    <x v="214"/>
    <s v="300N/GRANDISON RD"/>
    <m/>
    <x v="80"/>
    <x v="39"/>
    <n v="5410"/>
    <n v="20"/>
    <s v="CS"/>
    <s v="J"/>
    <n v="0"/>
    <n v="7"/>
    <n v="9"/>
    <n v="7"/>
    <n v="7"/>
    <n v="7"/>
    <n v="6"/>
    <n v="6"/>
    <n v="6"/>
    <n v="6"/>
    <n v="6"/>
    <m/>
    <m/>
    <m/>
    <n v="50"/>
    <n v="0"/>
    <s v="300N"/>
    <n v="3"/>
    <x v="2"/>
    <n v="32787.878787878784"/>
    <n v="1"/>
    <n v="32787.878787878784"/>
    <x v="0"/>
  </r>
  <r>
    <x v="215"/>
    <s v="100S/675E"/>
    <m/>
    <x v="22"/>
    <x v="24"/>
    <n v="3410"/>
    <n v="20"/>
    <s v="AC"/>
    <s v="BR"/>
    <n v="0"/>
    <n v="7"/>
    <n v="7"/>
    <n v="7"/>
    <n v="6"/>
    <n v="5"/>
    <n v="5"/>
    <n v="9"/>
    <n v="8"/>
    <n v="7"/>
    <n v="7"/>
    <m/>
    <m/>
    <m/>
    <n v="487"/>
    <n v="0"/>
    <s v="100S"/>
    <n v="5"/>
    <x v="0"/>
    <n v="13562.5"/>
    <m/>
    <n v="0"/>
    <x v="6"/>
  </r>
  <r>
    <x v="216"/>
    <s v="300S/100E"/>
    <m/>
    <x v="49"/>
    <x v="75"/>
    <n v="5130"/>
    <n v="20"/>
    <s v="AC"/>
    <s v="BW"/>
    <n v="0"/>
    <n v="7"/>
    <n v="7"/>
    <n v="7"/>
    <n v="7"/>
    <n v="7"/>
    <n v="7"/>
    <n v="6"/>
    <n v="6"/>
    <n v="6"/>
    <n v="6"/>
    <n v="2024"/>
    <m/>
    <s v="N"/>
    <n v="1070"/>
    <n v="0.5"/>
    <s v="300S"/>
    <n v="3.5"/>
    <x v="4"/>
    <n v="106875"/>
    <n v="1"/>
    <n v="106875"/>
    <x v="3"/>
  </r>
  <r>
    <x v="217"/>
    <s v="300S/125W"/>
    <m/>
    <x v="26"/>
    <x v="13"/>
    <n v="1325"/>
    <n v="20"/>
    <s v="AC"/>
    <s v="BW"/>
    <n v="0"/>
    <n v="7"/>
    <n v="7"/>
    <n v="7"/>
    <n v="7"/>
    <n v="7"/>
    <n v="6"/>
    <n v="6"/>
    <n v="6"/>
    <n v="6"/>
    <n v="7"/>
    <n v="2024"/>
    <m/>
    <s v="N"/>
    <n v="877"/>
    <n v="0.5"/>
    <s v="300S"/>
    <n v="3.5"/>
    <x v="4"/>
    <n v="27604.166666666668"/>
    <n v="1"/>
    <n v="27604.166666666668"/>
    <x v="3"/>
  </r>
  <r>
    <x v="218"/>
    <s v="300S/150W"/>
    <m/>
    <x v="27"/>
    <x v="27"/>
    <n v="2685"/>
    <n v="20"/>
    <s v="AC"/>
    <s v="BW"/>
    <n v="0"/>
    <n v="7"/>
    <n v="7"/>
    <n v="7"/>
    <n v="7"/>
    <n v="7"/>
    <n v="7"/>
    <n v="6"/>
    <n v="6"/>
    <n v="7"/>
    <n v="7"/>
    <n v="2024"/>
    <m/>
    <s v="N"/>
    <n v="1205"/>
    <n v="0.5"/>
    <s v="300S"/>
    <n v="3.5"/>
    <x v="3"/>
    <n v="23392.045454545456"/>
    <m/>
    <n v="0"/>
    <x v="5"/>
  </r>
  <r>
    <x v="219"/>
    <s v="300S/200W"/>
    <m/>
    <x v="42"/>
    <x v="28"/>
    <n v="2645"/>
    <n v="20"/>
    <s v="AC"/>
    <s v="SC"/>
    <n v="0"/>
    <n v="8"/>
    <n v="7"/>
    <n v="7"/>
    <n v="7"/>
    <n v="7"/>
    <n v="7"/>
    <n v="7"/>
    <n v="7"/>
    <n v="6"/>
    <n v="7"/>
    <n v="2024"/>
    <m/>
    <s v="N"/>
    <n v="1320"/>
    <n v="0.5"/>
    <s v="300S"/>
    <n v="3.5"/>
    <x v="2"/>
    <n v="16030.30303030303"/>
    <m/>
    <n v="0"/>
    <x v="5"/>
  </r>
  <r>
    <x v="220"/>
    <s v="300S/250W"/>
    <m/>
    <x v="28"/>
    <x v="43"/>
    <n v="2645"/>
    <n v="20"/>
    <s v="AC"/>
    <s v="SC"/>
    <n v="0"/>
    <n v="8"/>
    <n v="7"/>
    <n v="7"/>
    <n v="7"/>
    <n v="7"/>
    <n v="7"/>
    <n v="7"/>
    <n v="7"/>
    <n v="7"/>
    <n v="7"/>
    <n v="2024"/>
    <m/>
    <s v="N"/>
    <n v="1389"/>
    <n v="0.5"/>
    <s v="300S"/>
    <n v="3.5"/>
    <x v="2"/>
    <n v="16030.30303030303"/>
    <m/>
    <n v="0"/>
    <x v="5"/>
  </r>
  <r>
    <x v="221"/>
    <s v="1000N/400E"/>
    <m/>
    <x v="30"/>
    <x v="96"/>
    <n v="6697"/>
    <n v="20"/>
    <s v="AC"/>
    <s v="G"/>
    <n v="0"/>
    <n v="7"/>
    <n v="7"/>
    <n v="7"/>
    <n v="7"/>
    <n v="7"/>
    <n v="7"/>
    <n v="7"/>
    <n v="7"/>
    <n v="7"/>
    <n v="6"/>
    <n v="2023"/>
    <n v="2023"/>
    <s v="Y"/>
    <n v="464"/>
    <n v="0"/>
    <s v="1000N"/>
    <n v="3"/>
    <x v="0"/>
    <n v="26635.795454545456"/>
    <m/>
    <n v="0"/>
    <x v="6"/>
  </r>
  <r>
    <x v="222"/>
    <s v="300S/300W"/>
    <m/>
    <x v="75"/>
    <x v="29"/>
    <n v="2680"/>
    <n v="20"/>
    <s v="AC"/>
    <s v="SC"/>
    <n v="0"/>
    <n v="8"/>
    <n v="7"/>
    <n v="7"/>
    <n v="7"/>
    <n v="7"/>
    <n v="7"/>
    <n v="7"/>
    <n v="7"/>
    <n v="7"/>
    <n v="7"/>
    <n v="2024"/>
    <m/>
    <s v="N"/>
    <n v="1427"/>
    <n v="0.5"/>
    <s v="300S"/>
    <n v="3.5"/>
    <x v="2"/>
    <n v="16242.424242424242"/>
    <m/>
    <n v="0"/>
    <x v="5"/>
  </r>
  <r>
    <x v="223"/>
    <s v="300S/400E"/>
    <m/>
    <x v="76"/>
    <x v="73"/>
    <n v="1750"/>
    <n v="20"/>
    <s v="CS"/>
    <s v="BW"/>
    <n v="0"/>
    <n v="9"/>
    <n v="8"/>
    <n v="8"/>
    <n v="7"/>
    <n v="7"/>
    <n v="7"/>
    <n v="7"/>
    <n v="7"/>
    <n v="7"/>
    <n v="7"/>
    <m/>
    <m/>
    <m/>
    <n v="856"/>
    <n v="0.5"/>
    <s v="300S"/>
    <n v="3.5"/>
    <x v="0"/>
    <n v="6960.227272727273"/>
    <m/>
    <n v="0"/>
    <x v="4"/>
  </r>
  <r>
    <x v="224"/>
    <s v="400W/400N"/>
    <m/>
    <x v="3"/>
    <x v="36"/>
    <n v="5320"/>
    <n v="20"/>
    <s v="CS"/>
    <s v="BC"/>
    <n v="0"/>
    <n v="8"/>
    <n v="7"/>
    <n v="6"/>
    <n v="5"/>
    <n v="4"/>
    <n v="4"/>
    <n v="9"/>
    <n v="8"/>
    <n v="8"/>
    <n v="8"/>
    <m/>
    <m/>
    <m/>
    <n v="445"/>
    <n v="0"/>
    <s v="400W"/>
    <n v="6"/>
    <x v="0"/>
    <n v="21159.090909090908"/>
    <m/>
    <n v="0"/>
    <x v="6"/>
  </r>
  <r>
    <x v="225"/>
    <s v="500S/MERIDIAN RD"/>
    <m/>
    <x v="12"/>
    <x v="42"/>
    <n v="2675"/>
    <n v="20"/>
    <s v="AC"/>
    <s v="BW"/>
    <n v="0"/>
    <n v="7"/>
    <n v="6"/>
    <n v="5"/>
    <n v="5"/>
    <n v="5"/>
    <n v="5"/>
    <n v="8"/>
    <n v="8"/>
    <n v="7"/>
    <n v="7"/>
    <m/>
    <m/>
    <m/>
    <n v="407"/>
    <n v="0"/>
    <s v="500S"/>
    <n v="5"/>
    <x v="0"/>
    <n v="10639.204545454546"/>
    <m/>
    <n v="0"/>
    <x v="6"/>
  </r>
  <r>
    <x v="226"/>
    <s v="300S/450W"/>
    <m/>
    <x v="92"/>
    <x v="46"/>
    <n v="875"/>
    <n v="20"/>
    <s v="AC"/>
    <s v="SC"/>
    <n v="0"/>
    <n v="8"/>
    <n v="7"/>
    <n v="7"/>
    <n v="7"/>
    <n v="7"/>
    <n v="7"/>
    <n v="6"/>
    <n v="6"/>
    <n v="6"/>
    <n v="8"/>
    <n v="2024"/>
    <m/>
    <s v="N"/>
    <n v="2473"/>
    <n v="1"/>
    <s v="300S"/>
    <n v="4"/>
    <x v="5"/>
    <n v="13257.575757575758"/>
    <n v="1"/>
    <n v="13257.575757575758"/>
    <x v="3"/>
  </r>
  <r>
    <x v="227"/>
    <s v="300S/500E"/>
    <m/>
    <x v="30"/>
    <x v="14"/>
    <n v="5350"/>
    <n v="20"/>
    <s v="CS"/>
    <s v="BR"/>
    <n v="0"/>
    <n v="8"/>
    <n v="7"/>
    <n v="7"/>
    <n v="7"/>
    <n v="7"/>
    <n v="7"/>
    <n v="6"/>
    <n v="7"/>
    <n v="7"/>
    <n v="7"/>
    <m/>
    <m/>
    <m/>
    <n v="856"/>
    <n v="0.5"/>
    <s v="300S"/>
    <n v="3.5"/>
    <x v="0"/>
    <n v="21278.409090909092"/>
    <m/>
    <n v="0"/>
    <x v="4"/>
  </r>
  <r>
    <x v="228"/>
    <s v="300S/500W"/>
    <m/>
    <x v="43"/>
    <x v="46"/>
    <n v="5215"/>
    <n v="20"/>
    <s v="AC"/>
    <s v="SC"/>
    <n v="0"/>
    <n v="7"/>
    <n v="7"/>
    <n v="7"/>
    <n v="7"/>
    <n v="7"/>
    <n v="7"/>
    <n v="7"/>
    <n v="7"/>
    <n v="7"/>
    <n v="7"/>
    <n v="2024"/>
    <m/>
    <s v="N"/>
    <n v="2315"/>
    <n v="1"/>
    <s v="300S"/>
    <n v="4"/>
    <x v="5"/>
    <n v="79015.15151515152"/>
    <m/>
    <n v="0"/>
    <x v="5"/>
  </r>
  <r>
    <x v="229"/>
    <s v="300S/50W"/>
    <m/>
    <x v="9"/>
    <x v="20"/>
    <n v="4038"/>
    <n v="20"/>
    <s v="AC"/>
    <s v="BW"/>
    <n v="0"/>
    <n v="7"/>
    <n v="7"/>
    <n v="6"/>
    <n v="6"/>
    <n v="6"/>
    <n v="6"/>
    <n v="6"/>
    <n v="6"/>
    <n v="6"/>
    <n v="6"/>
    <n v="2024"/>
    <m/>
    <s v="N"/>
    <n v="1217"/>
    <n v="0.5"/>
    <s v="300S"/>
    <n v="4.5"/>
    <x v="4"/>
    <n v="84125"/>
    <m/>
    <n v="0"/>
    <x v="3"/>
  </r>
  <r>
    <x v="230"/>
    <s v="300S/600E"/>
    <m/>
    <x v="32"/>
    <x v="24"/>
    <n v="5320"/>
    <n v="20"/>
    <s v="CS"/>
    <s v="BR"/>
    <n v="0"/>
    <n v="6"/>
    <n v="8"/>
    <n v="8"/>
    <n v="8"/>
    <n v="8"/>
    <n v="8"/>
    <n v="8"/>
    <n v="7"/>
    <n v="7"/>
    <n v="7"/>
    <m/>
    <m/>
    <m/>
    <n v="833"/>
    <n v="0.5"/>
    <s v="300S"/>
    <n v="2.5"/>
    <x v="0"/>
    <n v="21159.090909090908"/>
    <m/>
    <n v="0"/>
    <x v="4"/>
  </r>
  <r>
    <x v="231"/>
    <s v="300S/600W"/>
    <m/>
    <x v="33"/>
    <x v="34"/>
    <n v="5300"/>
    <n v="20"/>
    <s v="AC"/>
    <s v="SC"/>
    <n v="0"/>
    <n v="6"/>
    <n v="8"/>
    <n v="8"/>
    <n v="8"/>
    <n v="8"/>
    <n v="7"/>
    <n v="7"/>
    <n v="7"/>
    <n v="7"/>
    <n v="7"/>
    <n v="2024"/>
    <n v="2018"/>
    <s v="Y"/>
    <n v="1958"/>
    <n v="1"/>
    <s v="300S"/>
    <n v="3"/>
    <x v="5"/>
    <n v="80303.030303030304"/>
    <m/>
    <n v="0"/>
    <x v="5"/>
  </r>
  <r>
    <x v="232"/>
    <s v="300S/700E"/>
    <m/>
    <x v="14"/>
    <x v="68"/>
    <n v="4768"/>
    <n v="20"/>
    <s v="CS"/>
    <s v="BR"/>
    <n v="0"/>
    <n v="6"/>
    <n v="6"/>
    <n v="6"/>
    <n v="6"/>
    <n v="7"/>
    <n v="7"/>
    <n v="7"/>
    <n v="7"/>
    <n v="7"/>
    <n v="7"/>
    <m/>
    <m/>
    <m/>
    <n v="698"/>
    <n v="0.5"/>
    <s v="300S"/>
    <n v="3.5"/>
    <x v="0"/>
    <n v="18963.636363636364"/>
    <n v="1"/>
    <n v="18963.636363636364"/>
    <x v="0"/>
  </r>
  <r>
    <x v="233"/>
    <s v="300W/900N"/>
    <m/>
    <x v="7"/>
    <x v="88"/>
    <n v="5289"/>
    <n v="20"/>
    <s v="AC"/>
    <s v="V"/>
    <n v="0"/>
    <n v="6"/>
    <n v="6"/>
    <n v="6"/>
    <n v="6"/>
    <n v="6"/>
    <n v="6"/>
    <n v="8"/>
    <n v="7"/>
    <n v="7"/>
    <n v="7"/>
    <m/>
    <m/>
    <m/>
    <n v="370"/>
    <n v="0"/>
    <s v="300W"/>
    <n v="4"/>
    <x v="0"/>
    <n v="21035.795454545456"/>
    <m/>
    <n v="0"/>
    <x v="6"/>
  </r>
  <r>
    <x v="234"/>
    <s v="300S/800E"/>
    <m/>
    <x v="93"/>
    <x v="38"/>
    <n v="4440"/>
    <n v="20"/>
    <s v="AC"/>
    <s v="BR"/>
    <n v="0"/>
    <n v="7"/>
    <n v="6"/>
    <n v="9"/>
    <n v="9"/>
    <n v="8"/>
    <n v="7"/>
    <n v="7"/>
    <n v="7"/>
    <n v="7"/>
    <n v="7"/>
    <m/>
    <m/>
    <m/>
    <n v="383"/>
    <n v="0"/>
    <s v="300S"/>
    <n v="2"/>
    <x v="0"/>
    <n v="17659.090909090908"/>
    <m/>
    <n v="0"/>
    <x v="4"/>
  </r>
  <r>
    <x v="235"/>
    <s v="300S/900E"/>
    <m/>
    <x v="38"/>
    <x v="77"/>
    <n v="5435"/>
    <n v="20"/>
    <s v="AC"/>
    <s v="BR"/>
    <n v="0"/>
    <n v="5"/>
    <n v="5"/>
    <n v="9"/>
    <n v="9"/>
    <n v="8"/>
    <n v="8"/>
    <n v="7"/>
    <n v="7"/>
    <n v="7"/>
    <n v="7"/>
    <m/>
    <m/>
    <m/>
    <n v="398"/>
    <n v="0"/>
    <s v="300S"/>
    <n v="2"/>
    <x v="0"/>
    <n v="21616.477272727272"/>
    <m/>
    <n v="0"/>
    <x v="2"/>
  </r>
  <r>
    <x v="236"/>
    <s v="300S/BINFORD RD"/>
    <m/>
    <x v="37"/>
    <x v="97"/>
    <n v="1015"/>
    <n v="20"/>
    <s v="AC"/>
    <s v="BR"/>
    <n v="0"/>
    <n v="5"/>
    <n v="5"/>
    <n v="7"/>
    <n v="9"/>
    <n v="8"/>
    <n v="7"/>
    <n v="6"/>
    <n v="7"/>
    <n v="7"/>
    <n v="7"/>
    <m/>
    <m/>
    <m/>
    <n v="383"/>
    <n v="0"/>
    <s v="300S"/>
    <n v="2"/>
    <x v="0"/>
    <n v="4036.931818181818"/>
    <m/>
    <n v="0"/>
    <x v="2"/>
  </r>
  <r>
    <x v="237"/>
    <s v="300S/JACOBI RD"/>
    <m/>
    <x v="11"/>
    <x v="44"/>
    <n v="2675"/>
    <n v="20"/>
    <s v="AC"/>
    <s v="SC"/>
    <n v="0"/>
    <n v="8"/>
    <n v="7"/>
    <n v="7"/>
    <n v="6"/>
    <n v="6"/>
    <n v="6"/>
    <n v="6"/>
    <n v="6"/>
    <n v="6"/>
    <n v="6"/>
    <n v="2024"/>
    <m/>
    <s v="N"/>
    <n v="1427"/>
    <n v="0.5"/>
    <s v="300S"/>
    <n v="4.5"/>
    <x v="3"/>
    <n v="23304.924242424244"/>
    <m/>
    <n v="0"/>
    <x v="4"/>
  </r>
  <r>
    <x v="238"/>
    <s v="300S/MERIDIAN RD"/>
    <m/>
    <x v="12"/>
    <x v="42"/>
    <n v="2580"/>
    <n v="20"/>
    <s v="AC"/>
    <s v="BW"/>
    <n v="0"/>
    <n v="7"/>
    <n v="7"/>
    <n v="6"/>
    <n v="6"/>
    <n v="6"/>
    <n v="6"/>
    <n v="6"/>
    <n v="6"/>
    <n v="6"/>
    <n v="6"/>
    <n v="2024"/>
    <m/>
    <s v="N"/>
    <n v="1250"/>
    <n v="0.5"/>
    <s v="300S"/>
    <n v="4.5"/>
    <x v="4"/>
    <n v="53750"/>
    <n v="1"/>
    <n v="53750"/>
    <x v="3"/>
  </r>
  <r>
    <x v="239"/>
    <s v="300S/MORRISTOWN PK"/>
    <m/>
    <x v="94"/>
    <x v="66"/>
    <n v="4890"/>
    <n v="20"/>
    <s v="AC"/>
    <s v="BW"/>
    <n v="0"/>
    <n v="9"/>
    <n v="8"/>
    <n v="8"/>
    <n v="8"/>
    <n v="8"/>
    <n v="8"/>
    <n v="8"/>
    <n v="7"/>
    <n v="7"/>
    <n v="7"/>
    <m/>
    <m/>
    <m/>
    <n v="992"/>
    <n v="0.5"/>
    <s v="300S"/>
    <n v="2.5"/>
    <x v="0"/>
    <n v="19448.863636363636"/>
    <m/>
    <n v="0"/>
    <x v="4"/>
  </r>
  <r>
    <x v="240"/>
    <s v="500S/50W"/>
    <m/>
    <x v="25"/>
    <x v="20"/>
    <n v="2670"/>
    <n v="20"/>
    <s v="AC"/>
    <s v="BW"/>
    <n v="0"/>
    <n v="7"/>
    <n v="6"/>
    <n v="5"/>
    <n v="5"/>
    <n v="5"/>
    <n v="5"/>
    <n v="8"/>
    <n v="7"/>
    <n v="7"/>
    <n v="7"/>
    <m/>
    <m/>
    <m/>
    <n v="368"/>
    <n v="0"/>
    <s v="500S"/>
    <n v="5"/>
    <x v="0"/>
    <n v="10619.318181818182"/>
    <m/>
    <n v="0"/>
    <x v="6"/>
  </r>
  <r>
    <x v="241"/>
    <s v="300W/100N"/>
    <m/>
    <x v="59"/>
    <x v="70"/>
    <n v="6342"/>
    <n v="20"/>
    <s v="CS"/>
    <s v="BC"/>
    <n v="0"/>
    <n v="6"/>
    <n v="6"/>
    <n v="6"/>
    <n v="6"/>
    <n v="6"/>
    <n v="5"/>
    <n v="6"/>
    <n v="6"/>
    <n v="7"/>
    <n v="7"/>
    <n v="2023"/>
    <n v="2023"/>
    <s v="Y"/>
    <n v="560"/>
    <n v="0.5"/>
    <s v="300W"/>
    <n v="4.5"/>
    <x v="2"/>
    <n v="38436.36363636364"/>
    <n v="1"/>
    <n v="38436.36363636364"/>
    <x v="0"/>
  </r>
  <r>
    <x v="242"/>
    <s v="300W/200N"/>
    <m/>
    <x v="44"/>
    <x v="51"/>
    <n v="5300"/>
    <n v="20"/>
    <s v="AC"/>
    <s v="BC"/>
    <n v="0"/>
    <n v="6"/>
    <n v="6"/>
    <n v="10"/>
    <n v="9"/>
    <n v="8"/>
    <n v="7"/>
    <n v="7"/>
    <n v="7"/>
    <n v="7"/>
    <n v="7"/>
    <m/>
    <m/>
    <m/>
    <n v="535"/>
    <n v="0.5"/>
    <s v="300W"/>
    <n v="2.5"/>
    <x v="2"/>
    <n v="32121.21212121212"/>
    <m/>
    <n v="0"/>
    <x v="5"/>
  </r>
  <r>
    <x v="243"/>
    <s v="400W/1000N"/>
    <m/>
    <x v="81"/>
    <x v="61"/>
    <n v="4340"/>
    <n v="20"/>
    <s v="CS"/>
    <s v="V"/>
    <n v="0"/>
    <n v="7"/>
    <n v="7"/>
    <n v="7"/>
    <n v="7"/>
    <n v="6"/>
    <n v="6"/>
    <n v="5"/>
    <n v="8"/>
    <n v="7"/>
    <n v="7"/>
    <n v="2023"/>
    <n v="2023"/>
    <s v="Y"/>
    <n v="366"/>
    <n v="0"/>
    <s v="400W"/>
    <n v="4"/>
    <x v="0"/>
    <n v="17261.363636363636"/>
    <m/>
    <n v="0"/>
    <x v="6"/>
  </r>
  <r>
    <x v="244"/>
    <s v="300W/300N"/>
    <m/>
    <x v="50"/>
    <x v="53"/>
    <n v="2624"/>
    <n v="20"/>
    <s v="CS"/>
    <s v="BC"/>
    <n v="0"/>
    <n v="8"/>
    <n v="5"/>
    <n v="5"/>
    <n v="5"/>
    <n v="5"/>
    <n v="4"/>
    <n v="3"/>
    <n v="8"/>
    <n v="7"/>
    <n v="7"/>
    <m/>
    <m/>
    <m/>
    <n v="50"/>
    <n v="0"/>
    <s v="300W"/>
    <n v="5"/>
    <x v="0"/>
    <n v="10436.363636363636"/>
    <m/>
    <n v="0"/>
    <x v="4"/>
  </r>
  <r>
    <x v="245"/>
    <s v="300W/300S"/>
    <m/>
    <x v="63"/>
    <x v="26"/>
    <n v="5335"/>
    <n v="20"/>
    <s v="CS"/>
    <s v="SC"/>
    <n v="0"/>
    <n v="6"/>
    <n v="8"/>
    <n v="8"/>
    <n v="7"/>
    <n v="8"/>
    <n v="8"/>
    <n v="7"/>
    <n v="7"/>
    <n v="7"/>
    <n v="7"/>
    <m/>
    <m/>
    <m/>
    <n v="521"/>
    <n v="0.5"/>
    <s v="300W"/>
    <n v="2.5"/>
    <x v="0"/>
    <n v="21218.75"/>
    <m/>
    <n v="0"/>
    <x v="3"/>
  </r>
  <r>
    <x v="246"/>
    <s v="300W/400N"/>
    <m/>
    <x v="3"/>
    <x v="36"/>
    <n v="5288"/>
    <n v="20"/>
    <s v="P"/>
    <s v="BC"/>
    <n v="0"/>
    <n v="4"/>
    <n v="4"/>
    <n v="7"/>
    <n v="9"/>
    <n v="8"/>
    <n v="8"/>
    <n v="8"/>
    <n v="8"/>
    <n v="7"/>
    <n v="7"/>
    <m/>
    <m/>
    <m/>
    <n v="218"/>
    <n v="0"/>
    <s v="300W"/>
    <n v="2"/>
    <x v="0"/>
    <n v="21031.81818181818"/>
    <m/>
    <n v="0"/>
    <x v="5"/>
  </r>
  <r>
    <x v="247"/>
    <s v="300W/400S"/>
    <m/>
    <x v="10"/>
    <x v="71"/>
    <n v="4000"/>
    <n v="20"/>
    <s v="AC"/>
    <s v="SC"/>
    <n v="0"/>
    <n v="6"/>
    <n v="6"/>
    <n v="6"/>
    <n v="6"/>
    <n v="6"/>
    <n v="6"/>
    <n v="6"/>
    <n v="6"/>
    <n v="6"/>
    <n v="7"/>
    <m/>
    <m/>
    <m/>
    <n v="500"/>
    <n v="0"/>
    <s v="300W"/>
    <n v="4"/>
    <x v="3"/>
    <n v="34848.484848484848"/>
    <m/>
    <m/>
    <x v="5"/>
  </r>
  <r>
    <x v="248"/>
    <s v="300W/500N"/>
    <m/>
    <x v="1"/>
    <x v="2"/>
    <n v="5326"/>
    <n v="20"/>
    <s v="CS"/>
    <s v="BC"/>
    <n v="0"/>
    <n v="8"/>
    <n v="7"/>
    <n v="7"/>
    <n v="7"/>
    <n v="7"/>
    <n v="6"/>
    <n v="6"/>
    <n v="6"/>
    <n v="6"/>
    <n v="8"/>
    <m/>
    <m/>
    <m/>
    <n v="187"/>
    <n v="0"/>
    <s v="300W"/>
    <n v="3"/>
    <x v="0"/>
    <n v="21182.954545454544"/>
    <m/>
    <n v="0"/>
    <x v="2"/>
  </r>
  <r>
    <x v="249"/>
    <s v="50W/900N"/>
    <m/>
    <x v="95"/>
    <x v="88"/>
    <n v="2640"/>
    <n v="20"/>
    <s v="CS"/>
    <s v="V"/>
    <n v="0"/>
    <n v="7"/>
    <n v="7"/>
    <n v="6"/>
    <n v="6"/>
    <n v="5"/>
    <n v="5"/>
    <n v="7"/>
    <n v="8"/>
    <n v="7"/>
    <n v="7"/>
    <m/>
    <m/>
    <m/>
    <n v="366"/>
    <n v="0"/>
    <s v="50W"/>
    <n v="5"/>
    <x v="0"/>
    <n v="10500"/>
    <m/>
    <n v="0"/>
    <x v="6"/>
  </r>
  <r>
    <x v="250"/>
    <s v="50W/850N"/>
    <m/>
    <x v="7"/>
    <x v="98"/>
    <n v="2642"/>
    <n v="20"/>
    <s v="CS"/>
    <s v="V"/>
    <n v="0"/>
    <n v="8"/>
    <n v="7"/>
    <n v="6"/>
    <n v="6"/>
    <n v="5"/>
    <n v="5"/>
    <n v="7"/>
    <n v="8"/>
    <n v="7"/>
    <n v="7"/>
    <m/>
    <m/>
    <m/>
    <n v="360"/>
    <n v="0"/>
    <s v="50W"/>
    <n v="5"/>
    <x v="0"/>
    <n v="10507.954545454546"/>
    <m/>
    <n v="0"/>
    <x v="6"/>
  </r>
  <r>
    <x v="251"/>
    <s v="850E/250N"/>
    <m/>
    <x v="44"/>
    <x v="56"/>
    <n v="7950"/>
    <n v="20"/>
    <s v="CS"/>
    <s v="J"/>
    <n v="0"/>
    <n v="6"/>
    <n v="7"/>
    <n v="7"/>
    <n v="7"/>
    <n v="7"/>
    <n v="7"/>
    <n v="7"/>
    <n v="8"/>
    <n v="7"/>
    <n v="7"/>
    <m/>
    <m/>
    <m/>
    <n v="335"/>
    <n v="0"/>
    <s v="850E"/>
    <n v="3"/>
    <x v="0"/>
    <n v="31619.31818181818"/>
    <m/>
    <n v="0"/>
    <x v="6"/>
  </r>
  <r>
    <x v="252"/>
    <s v="300W/925N"/>
    <m/>
    <x v="5"/>
    <x v="99"/>
    <n v="1373"/>
    <n v="20"/>
    <s v="AC"/>
    <s v="V"/>
    <n v="0"/>
    <n v="7"/>
    <n v="7"/>
    <n v="7"/>
    <n v="7"/>
    <n v="6"/>
    <n v="8"/>
    <n v="8"/>
    <n v="7"/>
    <n v="7"/>
    <n v="7"/>
    <m/>
    <m/>
    <m/>
    <n v="309"/>
    <n v="0"/>
    <s v="300W"/>
    <n v="4"/>
    <x v="0"/>
    <n v="5460.795454545455"/>
    <m/>
    <n v="0"/>
    <x v="3"/>
  </r>
  <r>
    <x v="253"/>
    <s v="300W/FAUT RD"/>
    <m/>
    <x v="96"/>
    <x v="54"/>
    <n v="3960"/>
    <n v="20"/>
    <s v="AC"/>
    <s v="SC"/>
    <n v="0"/>
    <n v="6"/>
    <n v="6"/>
    <n v="6"/>
    <n v="6"/>
    <n v="9"/>
    <n v="8"/>
    <n v="8"/>
    <n v="7"/>
    <n v="7"/>
    <n v="7"/>
    <m/>
    <m/>
    <m/>
    <n v="495"/>
    <n v="0"/>
    <s v="300W"/>
    <n v="1"/>
    <x v="1"/>
    <n v="4050"/>
    <m/>
    <n v="0"/>
    <x v="2"/>
  </r>
  <r>
    <x v="254"/>
    <s v="300W/I70"/>
    <m/>
    <x v="35"/>
    <x v="25"/>
    <n v="1740"/>
    <n v="20"/>
    <s v="CS"/>
    <s v="BC"/>
    <n v="0"/>
    <n v="4"/>
    <n v="4"/>
    <n v="10"/>
    <n v="9"/>
    <n v="8"/>
    <n v="9"/>
    <n v="8"/>
    <n v="8"/>
    <n v="8"/>
    <n v="8"/>
    <m/>
    <m/>
    <m/>
    <n v="50"/>
    <n v="0"/>
    <s v="300W"/>
    <n v="2"/>
    <x v="0"/>
    <n v="6920.454545454545"/>
    <m/>
    <n v="0"/>
    <x v="4"/>
  </r>
  <r>
    <x v="255"/>
    <s v="300W/SR234"/>
    <m/>
    <x v="65"/>
    <x v="6"/>
    <n v="5438"/>
    <n v="20"/>
    <s v="P"/>
    <s v="V"/>
    <n v="0"/>
    <n v="6"/>
    <n v="6"/>
    <n v="6"/>
    <n v="6"/>
    <n v="6"/>
    <n v="8"/>
    <n v="7"/>
    <n v="7"/>
    <n v="7"/>
    <n v="7"/>
    <m/>
    <m/>
    <m/>
    <n v="184"/>
    <n v="0"/>
    <s v="300W"/>
    <n v="4"/>
    <x v="1"/>
    <n v="5561.590909090909"/>
    <m/>
    <n v="0"/>
    <x v="2"/>
  </r>
  <r>
    <x v="256"/>
    <s v="300W/SR67"/>
    <m/>
    <x v="97"/>
    <x v="100"/>
    <n v="2706"/>
    <n v="20"/>
    <s v="AC"/>
    <s v="V"/>
    <n v="0"/>
    <n v="7"/>
    <n v="6"/>
    <n v="6"/>
    <n v="5"/>
    <n v="5"/>
    <n v="8"/>
    <n v="8"/>
    <n v="7"/>
    <n v="7"/>
    <n v="7"/>
    <m/>
    <m/>
    <m/>
    <n v="309"/>
    <n v="0"/>
    <s v="300W"/>
    <n v="5"/>
    <x v="0"/>
    <n v="10762.5"/>
    <m/>
    <n v="0"/>
    <x v="3"/>
  </r>
  <r>
    <x v="257"/>
    <s v="50W/1000N"/>
    <m/>
    <x v="66"/>
    <x v="61"/>
    <n v="2798"/>
    <n v="20"/>
    <s v="CS"/>
    <s v="V"/>
    <n v="0"/>
    <n v="6"/>
    <n v="6"/>
    <n v="6"/>
    <n v="6"/>
    <n v="6"/>
    <n v="7"/>
    <n v="7"/>
    <n v="7"/>
    <n v="7"/>
    <n v="7"/>
    <m/>
    <m/>
    <m/>
    <n v="292"/>
    <n v="0"/>
    <s v="50W"/>
    <n v="4"/>
    <x v="0"/>
    <n v="11128.40909090909"/>
    <m/>
    <n v="0"/>
    <x v="6"/>
  </r>
  <r>
    <x v="258"/>
    <s v="300W/US52"/>
    <m/>
    <x v="52"/>
    <x v="101"/>
    <n v="1478"/>
    <n v="20"/>
    <s v="CS"/>
    <s v="SC"/>
    <n v="0"/>
    <n v="6"/>
    <n v="6"/>
    <n v="6"/>
    <n v="6"/>
    <n v="9"/>
    <n v="8"/>
    <n v="8"/>
    <n v="8"/>
    <n v="8"/>
    <n v="7"/>
    <m/>
    <m/>
    <m/>
    <n v="495"/>
    <n v="0"/>
    <s v="300W"/>
    <n v="1"/>
    <x v="0"/>
    <n v="5878.409090909091"/>
    <m/>
    <n v="0"/>
    <x v="3"/>
  </r>
  <r>
    <x v="259"/>
    <s v="325N/E. CO. LINE"/>
    <m/>
    <x v="67"/>
    <x v="69"/>
    <n v="2720"/>
    <n v="20"/>
    <s v="AC"/>
    <s v="J"/>
    <n v="0"/>
    <n v="4"/>
    <n v="7"/>
    <n v="6"/>
    <n v="6"/>
    <n v="6"/>
    <n v="4"/>
    <n v="10"/>
    <n v="9"/>
    <n v="8"/>
    <n v="8"/>
    <m/>
    <m/>
    <m/>
    <n v="50"/>
    <n v="0"/>
    <s v="325N"/>
    <n v="4"/>
    <x v="0"/>
    <n v="10818.181818181818"/>
    <m/>
    <n v="0"/>
    <x v="4"/>
  </r>
  <r>
    <x v="260"/>
    <s v="350N/1000E"/>
    <m/>
    <x v="80"/>
    <x v="102"/>
    <n v="2904"/>
    <n v="20"/>
    <s v="AC"/>
    <s v="J"/>
    <n v="0"/>
    <n v="5"/>
    <n v="5"/>
    <n v="5"/>
    <n v="5"/>
    <n v="5"/>
    <n v="9"/>
    <n v="8"/>
    <n v="8"/>
    <n v="7"/>
    <n v="7"/>
    <m/>
    <m/>
    <m/>
    <n v="124"/>
    <n v="0"/>
    <s v="350N"/>
    <n v="5"/>
    <x v="0"/>
    <n v="11550"/>
    <n v="1"/>
    <n v="11550"/>
    <x v="3"/>
  </r>
  <r>
    <x v="261"/>
    <s v="350N/1050E"/>
    <m/>
    <x v="67"/>
    <x v="102"/>
    <n v="2690"/>
    <n v="20"/>
    <s v="CS"/>
    <s v="J"/>
    <n v="0"/>
    <n v="6"/>
    <n v="6"/>
    <n v="6"/>
    <n v="6"/>
    <n v="6"/>
    <n v="9"/>
    <n v="8"/>
    <n v="8"/>
    <n v="7"/>
    <n v="7"/>
    <m/>
    <m/>
    <m/>
    <n v="124"/>
    <n v="0"/>
    <s v="350N"/>
    <n v="4"/>
    <x v="0"/>
    <n v="10698.863636363636"/>
    <n v="1"/>
    <n v="10698.863636363636"/>
    <x v="3"/>
  </r>
  <r>
    <x v="262"/>
    <s v="350N/600W"/>
    <m/>
    <x v="33"/>
    <x v="34"/>
    <n v="5410"/>
    <n v="20"/>
    <s v="AC"/>
    <s v="BC"/>
    <n v="0"/>
    <n v="7"/>
    <n v="7"/>
    <n v="7"/>
    <n v="7"/>
    <n v="6"/>
    <n v="6"/>
    <n v="7"/>
    <n v="7"/>
    <n v="6"/>
    <n v="7"/>
    <n v="2024"/>
    <n v="2019"/>
    <s v="Y"/>
    <n v="785"/>
    <n v="0.5"/>
    <s v="350N"/>
    <n v="4.5"/>
    <x v="0"/>
    <n v="21517.045454545456"/>
    <m/>
    <n v="0"/>
    <x v="3"/>
  </r>
  <r>
    <x v="263"/>
    <s v="50W/950N"/>
    <m/>
    <x v="5"/>
    <x v="103"/>
    <n v="2648"/>
    <n v="20"/>
    <s v="CS"/>
    <s v="V"/>
    <n v="0"/>
    <n v="7"/>
    <n v="7"/>
    <n v="6"/>
    <n v="6"/>
    <n v="5"/>
    <n v="5"/>
    <n v="7"/>
    <n v="8"/>
    <n v="7"/>
    <n v="7"/>
    <m/>
    <m/>
    <m/>
    <n v="292"/>
    <n v="0"/>
    <s v="50W"/>
    <n v="5"/>
    <x v="0"/>
    <n v="10531.818181818182"/>
    <m/>
    <n v="0"/>
    <x v="6"/>
  </r>
  <r>
    <x v="264"/>
    <s v="350N/GRANDISON RD"/>
    <m/>
    <x v="40"/>
    <x v="41"/>
    <n v="5491"/>
    <n v="20"/>
    <s v="CS"/>
    <s v="J"/>
    <n v="0"/>
    <n v="5"/>
    <n v="5"/>
    <n v="5"/>
    <n v="5"/>
    <n v="5"/>
    <n v="9"/>
    <n v="8"/>
    <n v="7"/>
    <n v="7"/>
    <n v="7"/>
    <m/>
    <m/>
    <m/>
    <n v="124"/>
    <n v="0"/>
    <s v="350N"/>
    <n v="5"/>
    <x v="0"/>
    <n v="21839.204545454544"/>
    <n v="1"/>
    <n v="21839.204545454544"/>
    <x v="3"/>
  </r>
  <r>
    <x v="265"/>
    <s v="350S/300E"/>
    <m/>
    <x v="94"/>
    <x v="104"/>
    <n v="1380"/>
    <n v="20"/>
    <s v="P"/>
    <s v="BW"/>
    <n v="0"/>
    <n v="5"/>
    <n v="5"/>
    <n v="10"/>
    <n v="9"/>
    <n v="8"/>
    <n v="8"/>
    <n v="7"/>
    <n v="7"/>
    <n v="7"/>
    <n v="7"/>
    <m/>
    <m/>
    <m/>
    <n v="50"/>
    <n v="0"/>
    <s v="350S"/>
    <n v="2"/>
    <x v="2"/>
    <n v="8363.636363636364"/>
    <m/>
    <n v="0"/>
    <x v="5"/>
  </r>
  <r>
    <x v="266"/>
    <s v="350W/100N"/>
    <m/>
    <x v="44"/>
    <x v="105"/>
    <n v="7010"/>
    <n v="20"/>
    <s v="AC"/>
    <s v="BC"/>
    <n v="0"/>
    <n v="7"/>
    <n v="7"/>
    <n v="7"/>
    <n v="5"/>
    <n v="4"/>
    <n v="9"/>
    <n v="8"/>
    <n v="8"/>
    <n v="8"/>
    <n v="8"/>
    <m/>
    <m/>
    <m/>
    <n v="559"/>
    <n v="0.5"/>
    <s v="350W"/>
    <n v="6.5"/>
    <x v="0"/>
    <n v="27880.68181818182"/>
    <m/>
    <n v="0"/>
    <x v="3"/>
  </r>
  <r>
    <x v="267"/>
    <s v="300W/600N"/>
    <m/>
    <x v="77"/>
    <x v="3"/>
    <n v="5070"/>
    <n v="20"/>
    <s v="AC"/>
    <s v="BC"/>
    <n v="0"/>
    <n v="6"/>
    <n v="6"/>
    <n v="6"/>
    <n v="6"/>
    <n v="5"/>
    <n v="5"/>
    <n v="8"/>
    <n v="7"/>
    <n v="7"/>
    <n v="8"/>
    <m/>
    <m/>
    <m/>
    <n v="289"/>
    <n v="0"/>
    <s v="300W"/>
    <n v="5"/>
    <x v="0"/>
    <n v="20164.772727272728"/>
    <m/>
    <n v="0"/>
    <x v="6"/>
  </r>
  <r>
    <x v="268"/>
    <s v="350W/700N"/>
    <m/>
    <x v="77"/>
    <x v="82"/>
    <n v="5315"/>
    <n v="20"/>
    <s v="DS"/>
    <s v="V"/>
    <n v="0"/>
    <n v="8"/>
    <n v="7"/>
    <n v="7"/>
    <n v="6"/>
    <n v="6"/>
    <n v="5"/>
    <n v="5"/>
    <n v="5"/>
    <n v="5"/>
    <n v="8"/>
    <m/>
    <m/>
    <m/>
    <n v="17"/>
    <n v="0"/>
    <s v="350W"/>
    <n v="4"/>
    <x v="2"/>
    <n v="32212.121212121212"/>
    <m/>
    <n v="0"/>
    <x v="2"/>
  </r>
  <r>
    <x v="269"/>
    <s v="500E/100N"/>
    <m/>
    <x v="23"/>
    <x v="70"/>
    <n v="4400"/>
    <n v="20"/>
    <s v="AC"/>
    <s v="C"/>
    <n v="0"/>
    <n v="7"/>
    <n v="6"/>
    <n v="6"/>
    <n v="5"/>
    <n v="7"/>
    <n v="6"/>
    <n v="8"/>
    <n v="7"/>
    <n v="7"/>
    <n v="7"/>
    <m/>
    <m/>
    <m/>
    <n v="275"/>
    <n v="0"/>
    <s v="500E"/>
    <n v="3"/>
    <x v="0"/>
    <n v="17500"/>
    <m/>
    <n v="0"/>
    <x v="6"/>
  </r>
  <r>
    <x v="270"/>
    <s v="375E/400N"/>
    <m/>
    <x v="50"/>
    <x v="2"/>
    <n v="5300"/>
    <n v="20"/>
    <s v="CS"/>
    <s v="C"/>
    <n v="0"/>
    <n v="6"/>
    <n v="6"/>
    <n v="6"/>
    <n v="6"/>
    <n v="6"/>
    <n v="5"/>
    <n v="5"/>
    <n v="7"/>
    <n v="7"/>
    <n v="7"/>
    <m/>
    <m/>
    <m/>
    <n v="50"/>
    <n v="0"/>
    <s v="375E"/>
    <n v="4"/>
    <x v="2"/>
    <n v="32121.21212121212"/>
    <m/>
    <n v="0"/>
    <x v="4"/>
  </r>
  <r>
    <x v="271"/>
    <s v="375N/100W"/>
    <m/>
    <x v="98"/>
    <x v="37"/>
    <n v="5190"/>
    <n v="20"/>
    <s v="AC"/>
    <s v="C"/>
    <n v="0"/>
    <n v="7"/>
    <n v="8"/>
    <n v="7"/>
    <n v="7"/>
    <n v="7"/>
    <n v="7"/>
    <n v="7"/>
    <n v="7"/>
    <n v="7"/>
    <n v="7"/>
    <m/>
    <m/>
    <m/>
    <n v="397"/>
    <n v="0"/>
    <s v="375N"/>
    <n v="3"/>
    <x v="0"/>
    <n v="20642.045454545456"/>
    <n v="1"/>
    <n v="20642.045454545456"/>
    <x v="0"/>
  </r>
  <r>
    <x v="272"/>
    <s v="400E/1000N"/>
    <m/>
    <x v="5"/>
    <x v="61"/>
    <n v="5340"/>
    <n v="20"/>
    <s v="AC"/>
    <s v="G"/>
    <n v="0"/>
    <n v="6"/>
    <n v="6"/>
    <n v="6"/>
    <n v="6"/>
    <n v="6"/>
    <n v="9"/>
    <n v="8"/>
    <n v="7"/>
    <n v="7"/>
    <n v="7"/>
    <m/>
    <m/>
    <m/>
    <n v="297"/>
    <n v="0"/>
    <s v="400E"/>
    <n v="4"/>
    <x v="2"/>
    <n v="32363.636363636364"/>
    <n v="1"/>
    <n v="32363.636363636364"/>
    <x v="3"/>
  </r>
  <r>
    <x v="273"/>
    <s v="400E/100S"/>
    <m/>
    <x v="71"/>
    <x v="64"/>
    <n v="5320"/>
    <n v="20"/>
    <s v="CS"/>
    <s v="C"/>
    <n v="0"/>
    <n v="7"/>
    <n v="7"/>
    <n v="6"/>
    <n v="6"/>
    <n v="6"/>
    <n v="6"/>
    <n v="6"/>
    <n v="6"/>
    <n v="7"/>
    <n v="7"/>
    <m/>
    <m/>
    <m/>
    <n v="116"/>
    <n v="0"/>
    <s v="400E"/>
    <n v="4"/>
    <x v="0"/>
    <n v="21159.090909090908"/>
    <m/>
    <n v="0"/>
    <x v="4"/>
  </r>
  <r>
    <x v="274"/>
    <s v="400E/1100N"/>
    <m/>
    <x v="60"/>
    <x v="62"/>
    <n v="5333"/>
    <n v="20"/>
    <s v="AC"/>
    <s v="G"/>
    <n v="0"/>
    <n v="6"/>
    <n v="5"/>
    <n v="5"/>
    <n v="5"/>
    <n v="5"/>
    <n v="9"/>
    <n v="8"/>
    <n v="7"/>
    <n v="7"/>
    <n v="7"/>
    <m/>
    <m/>
    <m/>
    <n v="317"/>
    <n v="0"/>
    <s v="400E"/>
    <n v="5"/>
    <x v="2"/>
    <n v="32321.21212121212"/>
    <n v="1"/>
    <n v="32321.21212121212"/>
    <x v="3"/>
  </r>
  <r>
    <x v="275"/>
    <s v="500E/200N"/>
    <m/>
    <x v="44"/>
    <x v="51"/>
    <n v="5304"/>
    <n v="20"/>
    <s v="CS"/>
    <s v="C"/>
    <n v="0"/>
    <n v="6"/>
    <n v="6"/>
    <n v="6"/>
    <n v="6"/>
    <n v="8"/>
    <n v="8"/>
    <n v="7"/>
    <n v="7"/>
    <n v="7"/>
    <n v="7"/>
    <m/>
    <m/>
    <m/>
    <n v="273"/>
    <n v="0"/>
    <s v="500E"/>
    <n v="2"/>
    <x v="0"/>
    <n v="21095.454545454544"/>
    <m/>
    <n v="0"/>
    <x v="6"/>
  </r>
  <r>
    <x v="276"/>
    <s v="400E/200S"/>
    <m/>
    <x v="62"/>
    <x v="11"/>
    <n v="5319"/>
    <n v="20"/>
    <s v="G"/>
    <s v="BW"/>
    <n v="0"/>
    <n v="6"/>
    <n v="6"/>
    <n v="6"/>
    <n v="6"/>
    <n v="6"/>
    <n v="7"/>
    <n v="7"/>
    <n v="6"/>
    <n v="6"/>
    <n v="7"/>
    <m/>
    <m/>
    <m/>
    <n v="100"/>
    <n v="0"/>
    <s v="400E"/>
    <n v="4"/>
    <x v="2"/>
    <n v="32236.363636363636"/>
    <m/>
    <n v="0"/>
    <x v="4"/>
  </r>
  <r>
    <x v="277"/>
    <s v="400E/300N"/>
    <m/>
    <x v="35"/>
    <x v="36"/>
    <n v="5290"/>
    <n v="20"/>
    <s v="AC"/>
    <s v="C"/>
    <n v="0"/>
    <n v="7"/>
    <n v="7"/>
    <n v="7"/>
    <n v="7"/>
    <n v="7"/>
    <n v="7"/>
    <n v="8"/>
    <n v="7"/>
    <n v="7"/>
    <n v="7"/>
    <m/>
    <m/>
    <m/>
    <n v="1039"/>
    <n v="0.5"/>
    <s v="400E"/>
    <n v="3.5"/>
    <x v="0"/>
    <n v="21039.772727272728"/>
    <n v="1"/>
    <n v="21039.772727272728"/>
    <x v="0"/>
  </r>
  <r>
    <x v="278"/>
    <s v="400E/400N"/>
    <m/>
    <x v="50"/>
    <x v="2"/>
    <n v="5300"/>
    <n v="20"/>
    <s v="AC"/>
    <s v="C"/>
    <n v="0"/>
    <n v="7"/>
    <n v="5"/>
    <n v="4"/>
    <n v="9"/>
    <n v="9"/>
    <n v="9"/>
    <n v="8"/>
    <n v="7"/>
    <n v="7"/>
    <n v="7"/>
    <m/>
    <m/>
    <m/>
    <n v="997"/>
    <n v="0.5"/>
    <s v="400E"/>
    <n v="1.5"/>
    <x v="2"/>
    <n v="32121.21212121212"/>
    <m/>
    <n v="0"/>
    <x v="5"/>
  </r>
  <r>
    <x v="279"/>
    <s v="400E/500N"/>
    <m/>
    <x v="3"/>
    <x v="3"/>
    <n v="5300"/>
    <n v="20"/>
    <s v="AC"/>
    <s v="C"/>
    <n v="0"/>
    <n v="5"/>
    <n v="5"/>
    <n v="5"/>
    <n v="5"/>
    <n v="5"/>
    <n v="9"/>
    <n v="8"/>
    <n v="7"/>
    <n v="7"/>
    <n v="7"/>
    <m/>
    <m/>
    <m/>
    <n v="786"/>
    <n v="0.5"/>
    <s v="400E"/>
    <n v="5.5"/>
    <x v="0"/>
    <n v="21079.545454545456"/>
    <m/>
    <n v="0"/>
    <x v="3"/>
  </r>
  <r>
    <x v="280"/>
    <s v="400E/500S"/>
    <m/>
    <x v="72"/>
    <x v="91"/>
    <n v="5315"/>
    <n v="20"/>
    <s v="AC"/>
    <s v="BW"/>
    <n v="0"/>
    <n v="4"/>
    <n v="4"/>
    <n v="4"/>
    <n v="4"/>
    <n v="3"/>
    <n v="8"/>
    <n v="7"/>
    <n v="7"/>
    <n v="7"/>
    <n v="7"/>
    <m/>
    <m/>
    <m/>
    <n v="50"/>
    <n v="0"/>
    <s v="400E"/>
    <n v="7"/>
    <x v="0"/>
    <n v="21139.204545454544"/>
    <m/>
    <n v="0"/>
    <x v="3"/>
  </r>
  <r>
    <x v="281"/>
    <s v="400E/600N"/>
    <m/>
    <x v="1"/>
    <x v="1"/>
    <n v="5050"/>
    <n v="20"/>
    <s v="AC"/>
    <s v="C"/>
    <n v="0"/>
    <n v="7"/>
    <n v="7"/>
    <n v="7"/>
    <n v="7"/>
    <n v="7"/>
    <n v="7"/>
    <n v="7"/>
    <n v="7"/>
    <n v="7"/>
    <n v="7"/>
    <m/>
    <m/>
    <m/>
    <n v="706"/>
    <n v="0.5"/>
    <s v="400E"/>
    <n v="3.5"/>
    <x v="0"/>
    <n v="20085.227272727272"/>
    <m/>
    <n v="0"/>
    <x v="4"/>
  </r>
  <r>
    <x v="282"/>
    <s v="400E/650N"/>
    <m/>
    <x v="99"/>
    <x v="1"/>
    <n v="2645"/>
    <n v="20"/>
    <s v="AC"/>
    <s v="G"/>
    <n v="0"/>
    <n v="6"/>
    <n v="6"/>
    <n v="6"/>
    <n v="6"/>
    <n v="6"/>
    <n v="8"/>
    <n v="8"/>
    <n v="7"/>
    <n v="7"/>
    <n v="7"/>
    <m/>
    <m/>
    <m/>
    <n v="201"/>
    <n v="0"/>
    <s v="400E"/>
    <n v="4"/>
    <x v="2"/>
    <n v="16030.30303030303"/>
    <m/>
    <n v="0"/>
    <x v="3"/>
  </r>
  <r>
    <x v="283"/>
    <s v="850E/300N"/>
    <m/>
    <x v="56"/>
    <x v="36"/>
    <n v="2388"/>
    <n v="20"/>
    <s v="AC"/>
    <s v="J"/>
    <n v="0"/>
    <n v="8"/>
    <n v="8"/>
    <n v="7"/>
    <n v="7"/>
    <n v="7"/>
    <n v="7"/>
    <n v="7"/>
    <n v="7"/>
    <n v="7"/>
    <n v="7"/>
    <m/>
    <m/>
    <m/>
    <n v="271"/>
    <n v="0"/>
    <s v="850E"/>
    <n v="3"/>
    <x v="0"/>
    <n v="9497.7272727272721"/>
    <m/>
    <n v="0"/>
    <x v="6"/>
  </r>
  <r>
    <x v="284"/>
    <s v="400E/900N"/>
    <m/>
    <x v="7"/>
    <x v="88"/>
    <n v="5460"/>
    <n v="20"/>
    <s v="CS"/>
    <s v="G"/>
    <n v="0"/>
    <n v="6"/>
    <n v="6"/>
    <n v="6"/>
    <n v="7"/>
    <n v="6"/>
    <n v="9"/>
    <n v="8"/>
    <n v="7"/>
    <n v="7"/>
    <n v="7"/>
    <m/>
    <m/>
    <m/>
    <n v="286"/>
    <n v="0"/>
    <s v="400E"/>
    <n v="4"/>
    <x v="2"/>
    <n v="33090.909090909088"/>
    <n v="1"/>
    <n v="33090.909090909088"/>
    <x v="3"/>
  </r>
  <r>
    <x v="285"/>
    <s v="350W/200N"/>
    <m/>
    <x v="35"/>
    <x v="70"/>
    <n v="5330"/>
    <n v="20"/>
    <s v="AC"/>
    <s v="BC"/>
    <n v="0"/>
    <n v="7"/>
    <n v="7"/>
    <n v="7"/>
    <n v="5"/>
    <n v="4"/>
    <n v="5"/>
    <n v="7"/>
    <n v="7"/>
    <n v="7"/>
    <n v="7"/>
    <m/>
    <m/>
    <m/>
    <n v="269"/>
    <n v="0"/>
    <s v="350W"/>
    <n v="6"/>
    <x v="0"/>
    <n v="21198.863636363636"/>
    <m/>
    <n v="0"/>
    <x v="6"/>
  </r>
  <r>
    <x v="286"/>
    <s v="400E/700N"/>
    <m/>
    <x v="99"/>
    <x v="82"/>
    <n v="2659"/>
    <n v="20"/>
    <s v="AC"/>
    <s v="G"/>
    <n v="0"/>
    <n v="6"/>
    <n v="6"/>
    <n v="6"/>
    <n v="6"/>
    <n v="6"/>
    <n v="6"/>
    <n v="8"/>
    <n v="7"/>
    <n v="7"/>
    <n v="7"/>
    <m/>
    <m/>
    <m/>
    <n v="231"/>
    <n v="0"/>
    <s v="400E"/>
    <n v="4"/>
    <x v="0"/>
    <n v="10575.568181818182"/>
    <m/>
    <n v="0"/>
    <x v="6"/>
  </r>
  <r>
    <x v="287"/>
    <s v="400N/1000E"/>
    <m/>
    <x v="8"/>
    <x v="77"/>
    <n v="5411"/>
    <n v="20"/>
    <s v="CS"/>
    <s v="J"/>
    <n v="0"/>
    <n v="7"/>
    <n v="7"/>
    <n v="7"/>
    <n v="7"/>
    <n v="7"/>
    <n v="7"/>
    <n v="7"/>
    <n v="6"/>
    <n v="6"/>
    <n v="7"/>
    <m/>
    <m/>
    <m/>
    <n v="50"/>
    <n v="0"/>
    <s v="400N"/>
    <n v="3"/>
    <x v="3"/>
    <n v="47141.28787878788"/>
    <m/>
    <n v="0"/>
    <x v="5"/>
  </r>
  <r>
    <x v="288"/>
    <s v="400N/100W"/>
    <m/>
    <x v="25"/>
    <x v="28"/>
    <n v="5302"/>
    <n v="20"/>
    <s v="CS"/>
    <s v="C"/>
    <n v="0"/>
    <n v="5"/>
    <n v="5"/>
    <n v="8"/>
    <n v="8"/>
    <n v="8"/>
    <n v="7"/>
    <n v="7"/>
    <n v="7"/>
    <n v="7"/>
    <n v="7"/>
    <m/>
    <m/>
    <m/>
    <n v="342"/>
    <n v="0"/>
    <s v="400N"/>
    <n v="2"/>
    <x v="0"/>
    <n v="21087.5"/>
    <m/>
    <n v="0"/>
    <x v="2"/>
  </r>
  <r>
    <x v="289"/>
    <s v="400N/200W"/>
    <m/>
    <x v="27"/>
    <x v="29"/>
    <n v="5320"/>
    <n v="20"/>
    <s v="AC"/>
    <s v="BC"/>
    <n v="0"/>
    <n v="5"/>
    <n v="5"/>
    <n v="5"/>
    <n v="5"/>
    <n v="4"/>
    <n v="8"/>
    <n v="8"/>
    <n v="7"/>
    <n v="7"/>
    <n v="7"/>
    <m/>
    <m/>
    <m/>
    <n v="163"/>
    <n v="0"/>
    <s v="400N"/>
    <n v="6"/>
    <x v="4"/>
    <n v="110833.33333333333"/>
    <n v="1"/>
    <n v="110833.33333333333"/>
    <x v="3"/>
  </r>
  <r>
    <x v="290"/>
    <s v="400N/300E"/>
    <m/>
    <x v="85"/>
    <x v="19"/>
    <n v="6370"/>
    <n v="20"/>
    <s v="AC"/>
    <s v="C"/>
    <n v="0"/>
    <n v="8"/>
    <n v="7"/>
    <n v="7"/>
    <n v="7"/>
    <n v="7"/>
    <n v="6"/>
    <n v="6"/>
    <n v="6"/>
    <m/>
    <n v="7"/>
    <n v="2024"/>
    <n v="2021"/>
    <s v="Y"/>
    <n v="469"/>
    <n v="0"/>
    <s v="400N"/>
    <n v="3"/>
    <x v="3"/>
    <n v="55496.21212121212"/>
    <n v="1"/>
    <n v="55496.21212121212"/>
    <x v="0"/>
  </r>
  <r>
    <x v="291"/>
    <s v="400N/300W"/>
    <m/>
    <x v="11"/>
    <x v="29"/>
    <n v="5292"/>
    <n v="20"/>
    <s v="CS"/>
    <s v="BC"/>
    <n v="0"/>
    <n v="4"/>
    <n v="9"/>
    <n v="8"/>
    <n v="8"/>
    <n v="8"/>
    <n v="8"/>
    <n v="8"/>
    <n v="8"/>
    <n v="8"/>
    <n v="8"/>
    <m/>
    <m/>
    <m/>
    <n v="152"/>
    <n v="0"/>
    <s v="400N"/>
    <n v="2"/>
    <x v="0"/>
    <n v="21047.727272727272"/>
    <m/>
    <n v="0"/>
    <x v="4"/>
  </r>
  <r>
    <x v="292"/>
    <s v="400N/375E"/>
    <m/>
    <x v="85"/>
    <x v="94"/>
    <n v="4540"/>
    <n v="20"/>
    <s v="AC"/>
    <s v="C"/>
    <n v="0"/>
    <n v="8"/>
    <n v="7"/>
    <n v="7"/>
    <n v="7"/>
    <n v="7"/>
    <n v="7"/>
    <n v="7"/>
    <n v="7"/>
    <n v="7"/>
    <n v="7"/>
    <n v="2024"/>
    <n v="2021"/>
    <s v="Y"/>
    <n v="228"/>
    <n v="0"/>
    <s v="400N"/>
    <n v="3"/>
    <x v="0"/>
    <n v="18056.81818181818"/>
    <m/>
    <n v="0"/>
    <x v="4"/>
  </r>
  <r>
    <x v="293"/>
    <s v="400N/400E"/>
    <m/>
    <x v="86"/>
    <x v="73"/>
    <n v="1373"/>
    <n v="20"/>
    <s v="AC"/>
    <s v="C"/>
    <n v="0"/>
    <n v="8"/>
    <n v="7"/>
    <n v="7"/>
    <n v="7"/>
    <n v="7"/>
    <n v="7"/>
    <n v="7"/>
    <n v="7"/>
    <n v="7"/>
    <n v="7"/>
    <n v="2024"/>
    <n v="2021"/>
    <s v="Y"/>
    <n v="228"/>
    <n v="0"/>
    <s v="400N"/>
    <n v="3"/>
    <x v="0"/>
    <n v="5460.795454545455"/>
    <m/>
    <n v="0"/>
    <x v="4"/>
  </r>
  <r>
    <x v="294"/>
    <s v="400N/400W"/>
    <m/>
    <x v="11"/>
    <x v="25"/>
    <n v="2198"/>
    <n v="20"/>
    <s v="G"/>
    <s v="BC"/>
    <n v="0"/>
    <n v="6"/>
    <n v="8"/>
    <n v="8"/>
    <n v="8"/>
    <n v="7"/>
    <n v="7"/>
    <n v="7"/>
    <n v="7"/>
    <n v="6"/>
    <n v="6"/>
    <m/>
    <m/>
    <m/>
    <n v="50"/>
    <n v="0"/>
    <s v="400N"/>
    <n v="3"/>
    <x v="8"/>
    <n v="5828.030303030303"/>
    <m/>
    <n v="0"/>
    <x v="0"/>
  </r>
  <r>
    <x v="295"/>
    <s v="400N/450E"/>
    <m/>
    <x v="30"/>
    <x v="65"/>
    <n v="2746"/>
    <n v="20"/>
    <s v="CS"/>
    <s v="C"/>
    <n v="0"/>
    <n v="8"/>
    <n v="7"/>
    <n v="7"/>
    <n v="7"/>
    <n v="7"/>
    <n v="7"/>
    <n v="7"/>
    <n v="7"/>
    <n v="7"/>
    <n v="7"/>
    <m/>
    <m/>
    <m/>
    <n v="195"/>
    <n v="0"/>
    <s v="400N"/>
    <n v="3"/>
    <x v="0"/>
    <n v="10921.59090909091"/>
    <m/>
    <n v="0"/>
    <x v="3"/>
  </r>
  <r>
    <x v="296"/>
    <s v="400N/50E"/>
    <m/>
    <x v="89"/>
    <x v="95"/>
    <n v="4360"/>
    <n v="20"/>
    <s v="AC"/>
    <s v="C"/>
    <n v="0"/>
    <n v="8"/>
    <n v="6"/>
    <n v="6"/>
    <n v="5"/>
    <n v="8"/>
    <n v="8"/>
    <n v="8"/>
    <n v="7"/>
    <n v="7"/>
    <n v="7"/>
    <m/>
    <m/>
    <m/>
    <n v="200"/>
    <n v="0"/>
    <s v="400N"/>
    <n v="2"/>
    <x v="1"/>
    <n v="4459.090909090909"/>
    <m/>
    <n v="0"/>
    <x v="2"/>
  </r>
  <r>
    <x v="297"/>
    <s v="400N/525E"/>
    <m/>
    <x v="100"/>
    <x v="106"/>
    <n v="4066"/>
    <n v="20"/>
    <s v="AC"/>
    <s v="C"/>
    <n v="0"/>
    <n v="5"/>
    <n v="5"/>
    <n v="5"/>
    <n v="5"/>
    <n v="8"/>
    <n v="8"/>
    <n v="8"/>
    <n v="7"/>
    <n v="7"/>
    <n v="7"/>
    <m/>
    <m/>
    <m/>
    <n v="195"/>
    <n v="0"/>
    <s v="400N"/>
    <n v="2"/>
    <x v="1"/>
    <n v="4158.409090909091"/>
    <m/>
    <n v="0"/>
    <x v="2"/>
  </r>
  <r>
    <x v="298"/>
    <s v="400N/600E"/>
    <m/>
    <x v="90"/>
    <x v="24"/>
    <n v="4066"/>
    <n v="20"/>
    <s v="CS"/>
    <s v="J"/>
    <n v="0"/>
    <n v="6"/>
    <n v="6"/>
    <n v="5"/>
    <n v="5"/>
    <n v="8"/>
    <n v="8"/>
    <n v="8"/>
    <n v="7"/>
    <n v="7"/>
    <n v="7"/>
    <m/>
    <m/>
    <m/>
    <n v="205"/>
    <n v="0"/>
    <s v="400N"/>
    <n v="2"/>
    <x v="0"/>
    <n v="16171.59090909091"/>
    <n v="1"/>
    <n v="16171.59090909091"/>
    <x v="0"/>
  </r>
  <r>
    <x v="299"/>
    <s v="BUCK CREEK RD./I70"/>
    <m/>
    <x v="44"/>
    <x v="53"/>
    <n v="4380"/>
    <n v="20"/>
    <s v="AC"/>
    <s v="BC"/>
    <n v="0"/>
    <n v="7"/>
    <n v="6"/>
    <n v="6"/>
    <n v="5"/>
    <n v="4"/>
    <n v="4"/>
    <n v="8"/>
    <n v="8"/>
    <n v="8"/>
    <n v="8"/>
    <m/>
    <m/>
    <s v="Y"/>
    <n v="226"/>
    <n v="0"/>
    <s v="BUCK CREEK RD./I70"/>
    <n v="6"/>
    <x v="0"/>
    <n v="17420.454545454544"/>
    <m/>
    <n v="0"/>
    <x v="6"/>
  </r>
  <r>
    <x v="300"/>
    <s v="400N/700E"/>
    <m/>
    <x v="14"/>
    <x v="68"/>
    <n v="4488"/>
    <n v="20"/>
    <s v="CS"/>
    <s v="J"/>
    <n v="0"/>
    <n v="8"/>
    <n v="5"/>
    <n v="5"/>
    <n v="5"/>
    <n v="9"/>
    <n v="8"/>
    <n v="8"/>
    <n v="7"/>
    <n v="7"/>
    <n v="7"/>
    <m/>
    <m/>
    <m/>
    <n v="50"/>
    <n v="0"/>
    <s v="400N"/>
    <n v="1"/>
    <x v="2"/>
    <n v="27200"/>
    <n v="1"/>
    <n v="27200"/>
    <x v="0"/>
  </r>
  <r>
    <x v="301"/>
    <s v="400N/800E"/>
    <m/>
    <x v="37"/>
    <x v="38"/>
    <n v="5491"/>
    <n v="20"/>
    <s v="AC"/>
    <s v="J"/>
    <n v="0"/>
    <n v="7"/>
    <n v="5"/>
    <n v="5"/>
    <n v="5"/>
    <n v="9"/>
    <n v="8"/>
    <n v="8"/>
    <n v="7"/>
    <n v="7"/>
    <n v="7"/>
    <m/>
    <m/>
    <m/>
    <n v="50"/>
    <n v="0"/>
    <s v="400N"/>
    <n v="1"/>
    <x v="1"/>
    <n v="5615.795454545455"/>
    <m/>
    <n v="0"/>
    <x v="2"/>
  </r>
  <r>
    <x v="302"/>
    <s v="400N/850E"/>
    <m/>
    <x v="38"/>
    <x v="39"/>
    <n v="2746"/>
    <n v="20"/>
    <s v="AC"/>
    <s v="J"/>
    <n v="0"/>
    <n v="7"/>
    <n v="8"/>
    <n v="4"/>
    <n v="7"/>
    <n v="7"/>
    <n v="7"/>
    <n v="7"/>
    <n v="6"/>
    <n v="7"/>
    <n v="7"/>
    <m/>
    <m/>
    <m/>
    <n v="50"/>
    <n v="0"/>
    <s v="400N"/>
    <n v="3"/>
    <x v="3"/>
    <n v="23923.484848484848"/>
    <m/>
    <n v="0"/>
    <x v="5"/>
  </r>
  <r>
    <x v="303"/>
    <s v="400N/900E"/>
    <m/>
    <x v="101"/>
    <x v="107"/>
    <n v="2779"/>
    <n v="20"/>
    <s v="CS"/>
    <s v="J"/>
    <n v="0"/>
    <n v="8"/>
    <n v="7"/>
    <n v="8"/>
    <n v="8"/>
    <n v="8"/>
    <n v="8"/>
    <n v="8"/>
    <n v="7"/>
    <n v="7"/>
    <n v="7"/>
    <m/>
    <m/>
    <m/>
    <n v="50"/>
    <n v="0"/>
    <s v="400N"/>
    <n v="2"/>
    <x v="0"/>
    <n v="11052.84090909091"/>
    <n v="1"/>
    <n v="11052.84090909091"/>
    <x v="3"/>
  </r>
  <r>
    <x v="304"/>
    <s v="700N/FORTVILLE PK"/>
    <m/>
    <x v="91"/>
    <x v="28"/>
    <n v="5791"/>
    <n v="20"/>
    <s v="CS"/>
    <s v="V"/>
    <n v="0"/>
    <n v="5"/>
    <n v="5"/>
    <n v="6"/>
    <n v="5"/>
    <n v="8"/>
    <n v="7"/>
    <n v="7"/>
    <n v="7"/>
    <n v="7"/>
    <n v="7"/>
    <m/>
    <m/>
    <m/>
    <n v="215"/>
    <n v="0"/>
    <s v="700N"/>
    <n v="2"/>
    <x v="0"/>
    <n v="23032.386363636364"/>
    <m/>
    <n v="0"/>
    <x v="6"/>
  </r>
  <r>
    <x v="305"/>
    <s v="700N/50W"/>
    <m/>
    <x v="12"/>
    <x v="95"/>
    <n v="2217"/>
    <n v="20"/>
    <s v="CS"/>
    <s v="V"/>
    <n v="0"/>
    <n v="7"/>
    <n v="6"/>
    <n v="6"/>
    <n v="6"/>
    <n v="8"/>
    <n v="8"/>
    <n v="7"/>
    <n v="7"/>
    <n v="7"/>
    <n v="7"/>
    <m/>
    <m/>
    <m/>
    <n v="209"/>
    <n v="0"/>
    <s v="700N"/>
    <n v="2"/>
    <x v="0"/>
    <n v="8817.613636363636"/>
    <m/>
    <n v="0"/>
    <x v="6"/>
  </r>
  <r>
    <x v="306"/>
    <s v="700N/MERIDIAN RD"/>
    <m/>
    <x v="18"/>
    <x v="20"/>
    <n v="2667"/>
    <n v="20"/>
    <s v="CS"/>
    <s v="V"/>
    <n v="0"/>
    <n v="5"/>
    <n v="5"/>
    <n v="5"/>
    <n v="8"/>
    <n v="8"/>
    <n v="7"/>
    <n v="7"/>
    <n v="7"/>
    <n v="7"/>
    <n v="7"/>
    <m/>
    <m/>
    <m/>
    <n v="205"/>
    <n v="0"/>
    <s v="700N"/>
    <n v="2"/>
    <x v="0"/>
    <n v="10607.386363636364"/>
    <m/>
    <n v="0"/>
    <x v="6"/>
  </r>
  <r>
    <x v="307"/>
    <s v="400S/200W"/>
    <m/>
    <x v="27"/>
    <x v="29"/>
    <n v="5290"/>
    <n v="20"/>
    <s v="AC"/>
    <s v="SC"/>
    <n v="0"/>
    <n v="7"/>
    <n v="6"/>
    <n v="6"/>
    <n v="6"/>
    <n v="6"/>
    <n v="6"/>
    <n v="6"/>
    <n v="8"/>
    <n v="7"/>
    <n v="7"/>
    <m/>
    <m/>
    <m/>
    <n v="580"/>
    <n v="0.5"/>
    <s v="400S"/>
    <n v="4.5"/>
    <x v="0"/>
    <n v="21039.772727272728"/>
    <m/>
    <n v="0"/>
    <x v="4"/>
  </r>
  <r>
    <x v="308"/>
    <s v="400S/300E"/>
    <m/>
    <x v="85"/>
    <x v="79"/>
    <n v="5935"/>
    <n v="20"/>
    <s v="CS"/>
    <s v="BW"/>
    <n v="0"/>
    <n v="5"/>
    <n v="7"/>
    <n v="7"/>
    <n v="7"/>
    <n v="7"/>
    <n v="8"/>
    <n v="7"/>
    <n v="7"/>
    <n v="7"/>
    <n v="7"/>
    <m/>
    <m/>
    <m/>
    <n v="221"/>
    <n v="0"/>
    <s v="400S"/>
    <n v="3"/>
    <x v="1"/>
    <n v="6069.886363636364"/>
    <m/>
    <n v="0"/>
    <x v="2"/>
  </r>
  <r>
    <x v="309"/>
    <s v="400S/300W"/>
    <m/>
    <x v="28"/>
    <x v="31"/>
    <n v="5350"/>
    <n v="20"/>
    <s v="AC"/>
    <s v="SC"/>
    <n v="0"/>
    <n v="7"/>
    <n v="7"/>
    <n v="6"/>
    <n v="6"/>
    <n v="6"/>
    <n v="5"/>
    <n v="5"/>
    <n v="8"/>
    <n v="7"/>
    <n v="7"/>
    <m/>
    <m/>
    <m/>
    <n v="532"/>
    <n v="0.5"/>
    <s v="400S"/>
    <n v="4.5"/>
    <x v="0"/>
    <n v="21278.409090909092"/>
    <m/>
    <n v="0"/>
    <x v="4"/>
  </r>
  <r>
    <x v="310"/>
    <s v="400E/SR234"/>
    <m/>
    <x v="65"/>
    <x v="6"/>
    <n v="5544"/>
    <n v="20"/>
    <s v="AC"/>
    <s v="G"/>
    <n v="0"/>
    <n v="6"/>
    <n v="6"/>
    <n v="6"/>
    <n v="6"/>
    <n v="6"/>
    <n v="6"/>
    <n v="8"/>
    <n v="7"/>
    <n v="7"/>
    <n v="7"/>
    <m/>
    <m/>
    <m/>
    <n v="202"/>
    <n v="0"/>
    <s v="400E"/>
    <n v="4"/>
    <x v="0"/>
    <n v="22050"/>
    <m/>
    <n v="0"/>
    <x v="6"/>
  </r>
  <r>
    <x v="311"/>
    <s v="400S/500E"/>
    <m/>
    <x v="32"/>
    <x v="66"/>
    <n v="4470"/>
    <n v="20"/>
    <s v="CS"/>
    <s v="BR"/>
    <n v="0"/>
    <n v="8"/>
    <n v="8"/>
    <n v="8"/>
    <n v="7"/>
    <n v="7"/>
    <n v="7"/>
    <n v="7"/>
    <n v="7"/>
    <n v="7"/>
    <n v="7"/>
    <m/>
    <m/>
    <m/>
    <n v="106"/>
    <n v="0"/>
    <s v="400S"/>
    <n v="3"/>
    <x v="0"/>
    <n v="17778.409090909092"/>
    <m/>
    <n v="0"/>
    <x v="3"/>
  </r>
  <r>
    <x v="312"/>
    <s v="ROCKWOOD LN (W)"/>
    <s v="Rockwood"/>
    <x v="102"/>
    <x v="108"/>
    <n v="1162"/>
    <n v="26"/>
    <s v="NC"/>
    <s v="SC"/>
    <n v="0"/>
    <n v="7"/>
    <n v="7"/>
    <n v="7"/>
    <n v="7"/>
    <n v="7"/>
    <n v="6"/>
    <n v="8"/>
    <n v="8"/>
    <n v="7"/>
    <n v="7"/>
    <m/>
    <m/>
    <m/>
    <n v="188"/>
    <n v="0"/>
    <s v="ROCKWOOD LN (W)"/>
    <n v="3"/>
    <x v="0"/>
    <n v="4621.590909090909"/>
    <m/>
    <n v="0"/>
    <x v="6"/>
  </r>
  <r>
    <x v="313"/>
    <s v="400S/600E"/>
    <m/>
    <x v="14"/>
    <x v="14"/>
    <n v="5310"/>
    <n v="20"/>
    <s v="CS"/>
    <s v="BR"/>
    <n v="0"/>
    <n v="8"/>
    <n v="7"/>
    <n v="7"/>
    <n v="7"/>
    <n v="6"/>
    <n v="8"/>
    <n v="7"/>
    <n v="7"/>
    <n v="7"/>
    <n v="7"/>
    <m/>
    <m/>
    <m/>
    <n v="175"/>
    <n v="0"/>
    <s v="400S"/>
    <n v="4"/>
    <x v="0"/>
    <n v="21119.31818181818"/>
    <m/>
    <n v="0"/>
    <x v="3"/>
  </r>
  <r>
    <x v="314"/>
    <s v="400S/600E"/>
    <m/>
    <x v="37"/>
    <x v="24"/>
    <n v="4800"/>
    <n v="20"/>
    <s v="AC"/>
    <s v="BR"/>
    <n v="0"/>
    <n v="7"/>
    <n v="7"/>
    <n v="7"/>
    <n v="7"/>
    <n v="6"/>
    <n v="8"/>
    <n v="8"/>
    <n v="8"/>
    <n v="7"/>
    <n v="7"/>
    <m/>
    <m/>
    <m/>
    <n v="287"/>
    <n v="0"/>
    <s v="400S"/>
    <n v="4"/>
    <x v="2"/>
    <n v="29090.909090909092"/>
    <m/>
    <n v="0"/>
    <x v="3"/>
  </r>
  <r>
    <x v="315"/>
    <s v="400S/800E"/>
    <m/>
    <x v="38"/>
    <x v="68"/>
    <n v="5400"/>
    <n v="20"/>
    <s v="AC"/>
    <s v="BR"/>
    <n v="0"/>
    <n v="5"/>
    <n v="7"/>
    <n v="7"/>
    <n v="7"/>
    <n v="6"/>
    <n v="8"/>
    <n v="8"/>
    <n v="8"/>
    <n v="7"/>
    <n v="7"/>
    <m/>
    <m/>
    <m/>
    <n v="219"/>
    <n v="0"/>
    <s v="400S"/>
    <n v="4"/>
    <x v="0"/>
    <n v="21477.272727272728"/>
    <m/>
    <n v="0"/>
    <x v="3"/>
  </r>
  <r>
    <x v="316"/>
    <s v="400S/900E"/>
    <m/>
    <x v="70"/>
    <x v="97"/>
    <n v="2975"/>
    <n v="20"/>
    <s v="AC"/>
    <s v="BR"/>
    <n v="0"/>
    <n v="7"/>
    <n v="7"/>
    <n v="7"/>
    <n v="7"/>
    <n v="6"/>
    <n v="8"/>
    <n v="7"/>
    <n v="7"/>
    <n v="7"/>
    <n v="7"/>
    <m/>
    <m/>
    <m/>
    <n v="227"/>
    <n v="0"/>
    <s v="400S"/>
    <n v="4"/>
    <x v="0"/>
    <n v="11832.386363636364"/>
    <m/>
    <n v="0"/>
    <x v="3"/>
  </r>
  <r>
    <x v="317"/>
    <s v="400S/BINFORD RD"/>
    <m/>
    <x v="93"/>
    <x v="38"/>
    <n v="2425"/>
    <n v="20"/>
    <s v="AC"/>
    <s v="BR"/>
    <n v="0"/>
    <n v="6"/>
    <n v="6"/>
    <n v="6"/>
    <n v="9"/>
    <n v="8"/>
    <n v="8"/>
    <n v="6"/>
    <n v="6"/>
    <n v="7"/>
    <n v="7"/>
    <m/>
    <m/>
    <m/>
    <n v="155"/>
    <n v="0"/>
    <s v="400S"/>
    <n v="2"/>
    <x v="2"/>
    <n v="14696.969696969696"/>
    <m/>
    <n v="0"/>
    <x v="2"/>
  </r>
  <r>
    <x v="318"/>
    <s v="250W/200S"/>
    <m/>
    <x v="63"/>
    <x v="64"/>
    <n v="5350"/>
    <n v="20"/>
    <s v="AC"/>
    <s v="SC"/>
    <n v="0"/>
    <n v="6"/>
    <n v="6"/>
    <n v="6"/>
    <n v="6"/>
    <n v="6"/>
    <n v="6"/>
    <n v="7"/>
    <n v="7"/>
    <n v="7"/>
    <n v="7"/>
    <m/>
    <m/>
    <m/>
    <n v="180"/>
    <n v="0"/>
    <s v="250W"/>
    <n v="4"/>
    <x v="0"/>
    <n v="21278.409090909092"/>
    <m/>
    <n v="0"/>
    <x v="6"/>
  </r>
  <r>
    <x v="319"/>
    <s v="400S/MORRISTOWN PK"/>
    <m/>
    <x v="76"/>
    <x v="104"/>
    <n v="6175"/>
    <n v="20"/>
    <s v="CS"/>
    <s v="BW"/>
    <n v="0"/>
    <n v="6"/>
    <n v="6"/>
    <n v="6"/>
    <n v="6"/>
    <n v="8"/>
    <n v="8"/>
    <n v="7"/>
    <n v="7"/>
    <n v="7"/>
    <n v="7"/>
    <m/>
    <m/>
    <m/>
    <n v="241"/>
    <n v="0"/>
    <s v="400S"/>
    <n v="2"/>
    <x v="0"/>
    <n v="24559.659090909092"/>
    <n v="1"/>
    <n v="24559.659090909092"/>
    <x v="0"/>
  </r>
  <r>
    <x v="320"/>
    <s v="400S/SR9"/>
    <m/>
    <x v="73"/>
    <x v="75"/>
    <n v="4630"/>
    <n v="20"/>
    <s v="AC"/>
    <s v="BW"/>
    <n v="0"/>
    <n v="8"/>
    <n v="7"/>
    <n v="8"/>
    <n v="7"/>
    <n v="7"/>
    <n v="7"/>
    <n v="6"/>
    <n v="7"/>
    <n v="7"/>
    <n v="7"/>
    <m/>
    <m/>
    <m/>
    <n v="431"/>
    <n v="0"/>
    <s v="400S"/>
    <n v="3"/>
    <x v="0"/>
    <n v="18414.772727272728"/>
    <m/>
    <n v="0"/>
    <x v="4"/>
  </r>
  <r>
    <x v="321"/>
    <s v="50W/700N"/>
    <m/>
    <x v="65"/>
    <x v="1"/>
    <n v="5320"/>
    <n v="20"/>
    <s v="CS"/>
    <s v="V"/>
    <n v="0"/>
    <n v="7"/>
    <n v="7"/>
    <n v="6"/>
    <n v="6"/>
    <n v="6"/>
    <n v="5"/>
    <n v="7"/>
    <n v="8"/>
    <n v="7"/>
    <n v="7"/>
    <m/>
    <m/>
    <m/>
    <n v="168"/>
    <n v="0"/>
    <s v="50W"/>
    <n v="4"/>
    <x v="0"/>
    <n v="21159.090909090908"/>
    <m/>
    <n v="0"/>
    <x v="6"/>
  </r>
  <r>
    <x v="322"/>
    <s v="1000E/1100N"/>
    <m/>
    <x v="60"/>
    <x v="62"/>
    <n v="5345"/>
    <n v="20"/>
    <s v="AC"/>
    <s v="B"/>
    <n v="0"/>
    <n v="6"/>
    <n v="6"/>
    <n v="6"/>
    <n v="6"/>
    <n v="5"/>
    <n v="5"/>
    <n v="9"/>
    <n v="8"/>
    <n v="8"/>
    <n v="8"/>
    <m/>
    <m/>
    <m/>
    <n v="167"/>
    <n v="0"/>
    <s v="1000E"/>
    <n v="5"/>
    <x v="0"/>
    <n v="21258.522727272728"/>
    <m/>
    <n v="0"/>
    <x v="6"/>
  </r>
  <r>
    <x v="323"/>
    <s v="650N/1200E"/>
    <m/>
    <x v="103"/>
    <x v="109"/>
    <n v="4071"/>
    <n v="20"/>
    <s v="CS"/>
    <s v="B"/>
    <n v="0"/>
    <n v="7"/>
    <n v="7"/>
    <n v="7"/>
    <n v="6"/>
    <n v="6"/>
    <n v="6"/>
    <n v="6"/>
    <n v="7"/>
    <n v="7"/>
    <n v="7"/>
    <m/>
    <m/>
    <m/>
    <n v="167"/>
    <n v="0"/>
    <s v="650N"/>
    <n v="4"/>
    <x v="0"/>
    <n v="16191.477272727272"/>
    <m/>
    <n v="0"/>
    <x v="6"/>
  </r>
  <r>
    <x v="324"/>
    <s v="400W/150N"/>
    <m/>
    <x v="44"/>
    <x v="55"/>
    <n v="2693"/>
    <n v="20"/>
    <s v="AC"/>
    <s v="BC"/>
    <n v="0"/>
    <n v="7"/>
    <n v="8"/>
    <n v="8"/>
    <n v="7"/>
    <n v="7"/>
    <n v="7"/>
    <n v="7"/>
    <n v="7"/>
    <n v="7"/>
    <n v="7"/>
    <n v="2024"/>
    <n v="2023"/>
    <s v="Y"/>
    <n v="927"/>
    <n v="0.5"/>
    <s v="400W"/>
    <n v="3.5"/>
    <x v="4"/>
    <n v="56104.166666666664"/>
    <m/>
    <n v="0"/>
    <x v="3"/>
  </r>
  <r>
    <x v="325"/>
    <s v="400W/200N"/>
    <m/>
    <x v="55"/>
    <x v="51"/>
    <n v="2693"/>
    <n v="20"/>
    <s v="AC"/>
    <s v="BC"/>
    <n v="0"/>
    <n v="7"/>
    <n v="7"/>
    <n v="7"/>
    <n v="6"/>
    <n v="6"/>
    <n v="7"/>
    <n v="7"/>
    <n v="7"/>
    <n v="6"/>
    <n v="6"/>
    <n v="2024"/>
    <n v="2023"/>
    <s v="Y"/>
    <n v="922"/>
    <n v="0.5"/>
    <s v="400W"/>
    <n v="4.5"/>
    <x v="4"/>
    <n v="56104.166666666664"/>
    <m/>
    <n v="0"/>
    <x v="3"/>
  </r>
  <r>
    <x v="326"/>
    <s v="400W/300N"/>
    <m/>
    <x v="35"/>
    <x v="36"/>
    <n v="5386"/>
    <n v="20"/>
    <s v="CS"/>
    <s v="BC"/>
    <n v="0"/>
    <n v="7"/>
    <n v="7"/>
    <n v="7"/>
    <n v="7"/>
    <n v="7"/>
    <n v="6"/>
    <n v="6"/>
    <n v="6"/>
    <n v="6"/>
    <n v="6"/>
    <n v="2023"/>
    <n v="2023"/>
    <s v="Y"/>
    <n v="665"/>
    <n v="0.5"/>
    <s v="400W"/>
    <n v="3.5"/>
    <x v="0"/>
    <n v="21421.590909090908"/>
    <m/>
    <n v="0"/>
    <x v="4"/>
  </r>
  <r>
    <x v="327"/>
    <s v="400W/300S"/>
    <m/>
    <x v="63"/>
    <x v="26"/>
    <n v="5345"/>
    <n v="20"/>
    <s v="CS"/>
    <s v="SC"/>
    <n v="0"/>
    <n v="7"/>
    <n v="7"/>
    <n v="6"/>
    <n v="6"/>
    <n v="6"/>
    <n v="7"/>
    <n v="7"/>
    <n v="7"/>
    <n v="7"/>
    <n v="7"/>
    <m/>
    <m/>
    <m/>
    <n v="240"/>
    <n v="0"/>
    <s v="400W"/>
    <n v="4"/>
    <x v="0"/>
    <n v="21258.522727272728"/>
    <m/>
    <n v="0"/>
    <x v="3"/>
  </r>
  <r>
    <x v="328"/>
    <s v="1000N/1200E"/>
    <m/>
    <x v="104"/>
    <x v="109"/>
    <n v="5485"/>
    <n v="20"/>
    <s v="AC"/>
    <s v="B"/>
    <n v="0"/>
    <n v="8"/>
    <n v="7"/>
    <n v="7"/>
    <n v="7"/>
    <n v="7"/>
    <n v="6"/>
    <n v="7"/>
    <n v="7"/>
    <n v="7"/>
    <n v="7"/>
    <m/>
    <m/>
    <m/>
    <n v="159"/>
    <n v="0"/>
    <s v="1000N"/>
    <n v="3"/>
    <x v="0"/>
    <n v="21815.340909090908"/>
    <m/>
    <n v="0"/>
    <x v="6"/>
  </r>
  <r>
    <x v="329"/>
    <s v="400W/400S"/>
    <m/>
    <x v="10"/>
    <x v="52"/>
    <n v="3500"/>
    <n v="20"/>
    <s v="CS"/>
    <s v="SC"/>
    <n v="0"/>
    <n v="8"/>
    <n v="6"/>
    <n v="7"/>
    <n v="6"/>
    <n v="6"/>
    <n v="6"/>
    <n v="6"/>
    <n v="6"/>
    <n v="6"/>
    <n v="7"/>
    <m/>
    <m/>
    <m/>
    <n v="356"/>
    <n v="0"/>
    <s v="400W"/>
    <n v="4"/>
    <x v="0"/>
    <n v="13920.454545454546"/>
    <m/>
    <n v="0"/>
    <x v="2"/>
  </r>
  <r>
    <x v="330"/>
    <s v="900N/1000E"/>
    <m/>
    <x v="20"/>
    <x v="102"/>
    <n v="5240"/>
    <n v="20"/>
    <s v="AC"/>
    <s v="B"/>
    <n v="0"/>
    <n v="5"/>
    <n v="5"/>
    <n v="5"/>
    <n v="5"/>
    <n v="5"/>
    <n v="5"/>
    <n v="8"/>
    <n v="8"/>
    <n v="8"/>
    <n v="8"/>
    <m/>
    <m/>
    <m/>
    <n v="149"/>
    <n v="0"/>
    <s v="900N"/>
    <n v="5"/>
    <x v="0"/>
    <n v="20840.909090909092"/>
    <m/>
    <n v="0"/>
    <x v="6"/>
  </r>
  <r>
    <x v="331"/>
    <s v="400W/600N"/>
    <m/>
    <x v="77"/>
    <x v="3"/>
    <n v="5110"/>
    <n v="20"/>
    <s v="AC"/>
    <s v="BC"/>
    <n v="0"/>
    <n v="6"/>
    <n v="6"/>
    <n v="6"/>
    <n v="5"/>
    <n v="4"/>
    <n v="7"/>
    <n v="6"/>
    <n v="6"/>
    <n v="6"/>
    <n v="8"/>
    <m/>
    <m/>
    <m/>
    <n v="214"/>
    <n v="0"/>
    <s v="400W"/>
    <n v="6"/>
    <x v="4"/>
    <n v="106458.33333333333"/>
    <m/>
    <n v="0"/>
    <x v="2"/>
  </r>
  <r>
    <x v="332"/>
    <s v="400W/700N"/>
    <m/>
    <x v="77"/>
    <x v="82"/>
    <n v="5330"/>
    <n v="20"/>
    <s v="G"/>
    <s v="V"/>
    <n v="0"/>
    <n v="6"/>
    <n v="6"/>
    <n v="6"/>
    <n v="6"/>
    <n v="6"/>
    <n v="6"/>
    <n v="6"/>
    <n v="6"/>
    <n v="6"/>
    <n v="6"/>
    <m/>
    <m/>
    <m/>
    <n v="124"/>
    <n v="0"/>
    <s v="400W"/>
    <n v="4"/>
    <x v="4"/>
    <n v="111041.66666666667"/>
    <n v="1"/>
    <n v="111041.66666666667"/>
    <x v="0"/>
  </r>
  <r>
    <x v="333"/>
    <s v="400W/900N"/>
    <m/>
    <x v="7"/>
    <x v="88"/>
    <n v="5285"/>
    <n v="20"/>
    <s v="CS"/>
    <s v="V"/>
    <n v="0"/>
    <n v="6"/>
    <n v="6"/>
    <n v="6"/>
    <n v="5"/>
    <n v="5"/>
    <n v="8"/>
    <n v="8"/>
    <n v="8"/>
    <n v="7"/>
    <n v="7"/>
    <m/>
    <m/>
    <m/>
    <n v="178"/>
    <n v="0"/>
    <s v="400W"/>
    <n v="5"/>
    <x v="0"/>
    <n v="21019.886363636364"/>
    <m/>
    <n v="0"/>
    <x v="3"/>
  </r>
  <r>
    <x v="334"/>
    <s v="400W/FAUT RD"/>
    <m/>
    <x v="96"/>
    <x v="54"/>
    <n v="2644"/>
    <n v="20"/>
    <s v="AC"/>
    <s v="SC"/>
    <n v="0"/>
    <n v="7"/>
    <n v="7"/>
    <n v="7"/>
    <n v="6"/>
    <n v="6"/>
    <n v="5"/>
    <n v="5"/>
    <n v="8"/>
    <n v="8"/>
    <n v="8"/>
    <m/>
    <m/>
    <m/>
    <n v="173"/>
    <n v="0"/>
    <s v="400W"/>
    <n v="4"/>
    <x v="0"/>
    <n v="10515.90909090909"/>
    <m/>
    <n v="0"/>
    <x v="4"/>
  </r>
  <r>
    <x v="335"/>
    <s v="400W/SR234"/>
    <m/>
    <x v="65"/>
    <x v="6"/>
    <n v="5386"/>
    <n v="20"/>
    <s v="AC"/>
    <s v="V"/>
    <n v="0"/>
    <n v="6"/>
    <n v="6"/>
    <n v="6"/>
    <n v="6"/>
    <n v="6"/>
    <n v="6"/>
    <n v="6"/>
    <n v="8"/>
    <n v="7"/>
    <n v="7"/>
    <m/>
    <m/>
    <m/>
    <n v="147"/>
    <n v="0"/>
    <s v="400W"/>
    <n v="4"/>
    <x v="4"/>
    <n v="112208.33333333333"/>
    <m/>
    <n v="0"/>
    <x v="2"/>
  </r>
  <r>
    <x v="336"/>
    <s v="400W/SR67"/>
    <m/>
    <x v="5"/>
    <x v="100"/>
    <n v="785"/>
    <n v="20"/>
    <s v="AC"/>
    <s v="V"/>
    <n v="0"/>
    <n v="7"/>
    <n v="7"/>
    <n v="7"/>
    <n v="7"/>
    <n v="7"/>
    <n v="6"/>
    <n v="7"/>
    <n v="7"/>
    <n v="7"/>
    <n v="7"/>
    <m/>
    <m/>
    <m/>
    <n v="209"/>
    <n v="0"/>
    <s v="400W"/>
    <n v="3"/>
    <x v="4"/>
    <n v="16354.166666666666"/>
    <n v="1"/>
    <n v="16354.166666666666"/>
    <x v="3"/>
  </r>
  <r>
    <x v="337"/>
    <s v="400W/US40"/>
    <m/>
    <x v="71"/>
    <x v="83"/>
    <n v="3110"/>
    <n v="20"/>
    <s v="AC"/>
    <s v="SC"/>
    <n v="0"/>
    <n v="8"/>
    <n v="7"/>
    <n v="8"/>
    <n v="8"/>
    <n v="8"/>
    <n v="8"/>
    <n v="8"/>
    <n v="8"/>
    <n v="8"/>
    <n v="8"/>
    <n v="2023"/>
    <n v="2023"/>
    <s v="Y"/>
    <n v="1221"/>
    <n v="0.5"/>
    <s v="400W"/>
    <n v="2.5"/>
    <x v="0"/>
    <n v="12369.318181818182"/>
    <m/>
    <n v="0"/>
    <x v="4"/>
  </r>
  <r>
    <x v="338"/>
    <s v="400W/US52"/>
    <m/>
    <x v="52"/>
    <x v="101"/>
    <n v="4468"/>
    <n v="20"/>
    <s v="AC"/>
    <s v="SC"/>
    <n v="0"/>
    <n v="7"/>
    <n v="6"/>
    <n v="7"/>
    <n v="6"/>
    <n v="6"/>
    <n v="5"/>
    <n v="5"/>
    <n v="8"/>
    <n v="8"/>
    <n v="8"/>
    <m/>
    <m/>
    <m/>
    <n v="173"/>
    <n v="0"/>
    <s v="400W"/>
    <n v="4"/>
    <x v="0"/>
    <n v="17770.454545454544"/>
    <m/>
    <n v="0"/>
    <x v="4"/>
  </r>
  <r>
    <x v="339"/>
    <s v="425W/200S"/>
    <m/>
    <x v="63"/>
    <x v="64"/>
    <n v="5340"/>
    <n v="20"/>
    <s v="AC"/>
    <s v="SC"/>
    <n v="0"/>
    <n v="6"/>
    <n v="6"/>
    <n v="4"/>
    <n v="8"/>
    <n v="8"/>
    <n v="8"/>
    <n v="7"/>
    <n v="7"/>
    <n v="7"/>
    <n v="7"/>
    <m/>
    <m/>
    <m/>
    <n v="240"/>
    <n v="0"/>
    <s v="425W"/>
    <n v="2"/>
    <x v="0"/>
    <n v="21238.636363636364"/>
    <m/>
    <n v="0"/>
    <x v="3"/>
  </r>
  <r>
    <x v="340"/>
    <s v="450E/400N"/>
    <m/>
    <x v="3"/>
    <x v="36"/>
    <n v="5320"/>
    <n v="20"/>
    <s v="P"/>
    <s v="C"/>
    <n v="0"/>
    <n v="4"/>
    <n v="4"/>
    <n v="10"/>
    <n v="9"/>
    <n v="9"/>
    <n v="8"/>
    <n v="8"/>
    <n v="7"/>
    <n v="7"/>
    <n v="7"/>
    <m/>
    <m/>
    <m/>
    <n v="447"/>
    <n v="0"/>
    <s v="450E"/>
    <n v="1"/>
    <x v="2"/>
    <n v="32242.424242424244"/>
    <m/>
    <n v="0"/>
    <x v="5"/>
  </r>
  <r>
    <x v="341"/>
    <s v="450N/E. CO. LINE"/>
    <m/>
    <x v="67"/>
    <x v="69"/>
    <n v="2950"/>
    <n v="20"/>
    <s v="AC"/>
    <s v="J"/>
    <n v="0"/>
    <n v="5"/>
    <n v="5"/>
    <n v="5"/>
    <n v="5"/>
    <n v="5"/>
    <n v="9"/>
    <n v="8"/>
    <n v="7"/>
    <n v="7"/>
    <n v="7"/>
    <m/>
    <m/>
    <m/>
    <n v="50"/>
    <n v="0"/>
    <s v="450N"/>
    <n v="5"/>
    <x v="0"/>
    <n v="11732.954545454546"/>
    <n v="1"/>
    <n v="11732.954545454546"/>
    <x v="3"/>
  </r>
  <r>
    <x v="342"/>
    <s v="450S/800E"/>
    <m/>
    <x v="38"/>
    <x v="68"/>
    <n v="5370"/>
    <n v="20"/>
    <s v="CS"/>
    <s v="BR"/>
    <n v="0"/>
    <n v="5"/>
    <n v="4"/>
    <n v="4"/>
    <n v="9"/>
    <n v="9"/>
    <n v="9"/>
    <n v="7"/>
    <n v="7"/>
    <n v="7"/>
    <n v="7"/>
    <m/>
    <m/>
    <m/>
    <n v="50"/>
    <n v="0"/>
    <s v="450S"/>
    <n v="1"/>
    <x v="0"/>
    <n v="21357.954545454544"/>
    <n v="1"/>
    <n v="21357.954545454544"/>
    <x v="0"/>
  </r>
  <r>
    <x v="343"/>
    <s v="450S/900E"/>
    <m/>
    <x v="38"/>
    <x v="77"/>
    <n v="5430"/>
    <n v="20"/>
    <s v="CS"/>
    <s v="BR"/>
    <n v="0"/>
    <n v="4"/>
    <n v="4"/>
    <n v="4"/>
    <n v="10"/>
    <n v="9"/>
    <n v="9"/>
    <n v="8"/>
    <n v="7"/>
    <n v="7"/>
    <n v="7"/>
    <m/>
    <m/>
    <m/>
    <n v="50"/>
    <n v="0"/>
    <s v="450S"/>
    <n v="1"/>
    <x v="1"/>
    <n v="5553.409090909091"/>
    <m/>
    <n v="0"/>
    <x v="2"/>
  </r>
  <r>
    <x v="344"/>
    <s v="GRANDISON RD/250N"/>
    <m/>
    <x v="55"/>
    <x v="56"/>
    <n v="5304"/>
    <n v="20"/>
    <s v="AC"/>
    <s v="J"/>
    <n v="0"/>
    <n v="6"/>
    <n v="6"/>
    <n v="6"/>
    <n v="5"/>
    <n v="5"/>
    <n v="5"/>
    <n v="7"/>
    <n v="7"/>
    <n v="7"/>
    <n v="7"/>
    <m/>
    <m/>
    <m/>
    <n v="148"/>
    <n v="0"/>
    <s v="GRANDISON RD."/>
    <n v="5"/>
    <x v="0"/>
    <n v="21095.454545454544"/>
    <m/>
    <n v="0"/>
    <x v="6"/>
  </r>
  <r>
    <x v="345"/>
    <s v="450W/S. NEW PAL"/>
    <m/>
    <x v="72"/>
    <x v="110"/>
    <n v="6470"/>
    <n v="20"/>
    <s v="CS"/>
    <s v="SC"/>
    <n v="0"/>
    <n v="6"/>
    <n v="6"/>
    <n v="6"/>
    <n v="6"/>
    <n v="9"/>
    <n v="8"/>
    <n v="8"/>
    <n v="8"/>
    <n v="7"/>
    <n v="7"/>
    <m/>
    <m/>
    <m/>
    <n v="716"/>
    <n v="0.5"/>
    <s v="450W"/>
    <n v="1.5"/>
    <x v="3"/>
    <n v="56367.42424242424"/>
    <n v="1"/>
    <n v="56367.42424242424"/>
    <x v="0"/>
  </r>
  <r>
    <x v="346"/>
    <s v="475W/SR234"/>
    <m/>
    <x v="7"/>
    <x v="82"/>
    <n v="5287"/>
    <n v="20"/>
    <s v="CS"/>
    <s v="V"/>
    <n v="0"/>
    <n v="4"/>
    <n v="3"/>
    <n v="10"/>
    <n v="9"/>
    <n v="8"/>
    <n v="7"/>
    <n v="7"/>
    <n v="6"/>
    <n v="6"/>
    <n v="6"/>
    <m/>
    <m/>
    <m/>
    <n v="27"/>
    <n v="0"/>
    <s v="475W"/>
    <n v="2"/>
    <x v="0"/>
    <n v="21027.840909090908"/>
    <m/>
    <n v="0"/>
    <x v="2"/>
  </r>
  <r>
    <x v="347"/>
    <s v="500E/1000N"/>
    <m/>
    <x v="5"/>
    <x v="61"/>
    <n v="5280"/>
    <n v="20"/>
    <s v="CS"/>
    <s v="G"/>
    <n v="0"/>
    <n v="7"/>
    <n v="7"/>
    <n v="7"/>
    <n v="7"/>
    <n v="7"/>
    <n v="8"/>
    <n v="8"/>
    <n v="6"/>
    <n v="6"/>
    <n v="8"/>
    <m/>
    <m/>
    <m/>
    <n v="49"/>
    <n v="0"/>
    <s v="500E"/>
    <n v="3"/>
    <x v="0"/>
    <n v="21000"/>
    <m/>
    <n v="0"/>
    <x v="2"/>
  </r>
  <r>
    <x v="348"/>
    <s v="300W/700N"/>
    <m/>
    <x v="77"/>
    <x v="82"/>
    <n v="5326"/>
    <n v="20"/>
    <s v="CS"/>
    <s v="V"/>
    <n v="0"/>
    <n v="7"/>
    <n v="7"/>
    <n v="7"/>
    <n v="5"/>
    <n v="5"/>
    <n v="5"/>
    <n v="7"/>
    <n v="7"/>
    <n v="6"/>
    <n v="6"/>
    <m/>
    <m/>
    <m/>
    <n v="147"/>
    <n v="0"/>
    <s v="300W"/>
    <n v="5"/>
    <x v="0"/>
    <n v="21182.954545454544"/>
    <m/>
    <n v="0"/>
    <x v="6"/>
  </r>
  <r>
    <x v="349"/>
    <s v="500E/100S"/>
    <m/>
    <x v="62"/>
    <x v="63"/>
    <n v="5374"/>
    <n v="20"/>
    <s v="AC"/>
    <s v="BR"/>
    <n v="0"/>
    <n v="5"/>
    <n v="5"/>
    <n v="5"/>
    <n v="8"/>
    <n v="8"/>
    <n v="7"/>
    <n v="7"/>
    <n v="7"/>
    <n v="7"/>
    <n v="7"/>
    <m/>
    <m/>
    <m/>
    <n v="300"/>
    <n v="0"/>
    <s v="500E"/>
    <n v="2"/>
    <x v="0"/>
    <n v="21373.863636363636"/>
    <m/>
    <n v="0"/>
    <x v="2"/>
  </r>
  <r>
    <x v="350"/>
    <s v="500E/1100N"/>
    <m/>
    <x v="105"/>
    <x v="61"/>
    <n v="5280"/>
    <n v="20"/>
    <s v="CS"/>
    <s v="G"/>
    <n v="0"/>
    <n v="7"/>
    <n v="7"/>
    <n v="7"/>
    <n v="6"/>
    <n v="6"/>
    <n v="9"/>
    <n v="8"/>
    <n v="6"/>
    <n v="5"/>
    <n v="8"/>
    <m/>
    <m/>
    <m/>
    <n v="64"/>
    <n v="0"/>
    <s v="500E"/>
    <n v="4"/>
    <x v="0"/>
    <n v="21000"/>
    <m/>
    <n v="0"/>
    <x v="2"/>
  </r>
  <r>
    <x v="351"/>
    <s v="200S/500E"/>
    <m/>
    <x v="30"/>
    <x v="14"/>
    <n v="5360"/>
    <n v="20"/>
    <s v="AC"/>
    <s v="BR"/>
    <n v="0"/>
    <n v="6"/>
    <n v="5"/>
    <n v="5"/>
    <n v="5"/>
    <n v="5"/>
    <n v="5"/>
    <n v="9"/>
    <n v="8"/>
    <n v="7"/>
    <n v="7"/>
    <m/>
    <m/>
    <m/>
    <n v="141"/>
    <n v="0"/>
    <s v="200S"/>
    <n v="5"/>
    <x v="0"/>
    <n v="21318.18181818182"/>
    <m/>
    <n v="0"/>
    <x v="6"/>
  </r>
  <r>
    <x v="352"/>
    <s v="500E/200S"/>
    <m/>
    <x v="63"/>
    <x v="64"/>
    <n v="5300"/>
    <n v="20"/>
    <s v="AC"/>
    <s v="BR"/>
    <n v="0"/>
    <n v="6"/>
    <n v="6"/>
    <n v="6"/>
    <n v="6"/>
    <n v="6"/>
    <n v="8"/>
    <n v="7"/>
    <n v="7"/>
    <n v="7"/>
    <n v="7"/>
    <m/>
    <m/>
    <m/>
    <n v="226"/>
    <n v="0"/>
    <s v="500E"/>
    <n v="4"/>
    <x v="0"/>
    <n v="21079.545454545456"/>
    <m/>
    <n v="0"/>
    <x v="4"/>
  </r>
  <r>
    <x v="353"/>
    <s v="300E/600N"/>
    <m/>
    <x v="77"/>
    <x v="3"/>
    <n v="5110"/>
    <n v="20"/>
    <s v="CS"/>
    <s v="C"/>
    <n v="0"/>
    <n v="7"/>
    <n v="6"/>
    <n v="6"/>
    <n v="6"/>
    <n v="6"/>
    <n v="6"/>
    <n v="8"/>
    <n v="7"/>
    <n v="7"/>
    <n v="7"/>
    <m/>
    <m/>
    <m/>
    <n v="141"/>
    <n v="0"/>
    <s v="300E"/>
    <n v="4"/>
    <x v="0"/>
    <n v="20323.863636363636"/>
    <m/>
    <n v="0"/>
    <x v="6"/>
  </r>
  <r>
    <x v="354"/>
    <s v="500E/300N"/>
    <m/>
    <x v="50"/>
    <x v="53"/>
    <n v="1307"/>
    <n v="20"/>
    <s v="CS"/>
    <s v="C"/>
    <n v="0"/>
    <n v="5"/>
    <n v="4"/>
    <n v="4"/>
    <n v="8"/>
    <n v="8"/>
    <n v="8"/>
    <n v="7"/>
    <n v="7"/>
    <n v="7"/>
    <n v="7"/>
    <m/>
    <m/>
    <m/>
    <n v="50"/>
    <n v="0"/>
    <s v="500E"/>
    <n v="2"/>
    <x v="0"/>
    <n v="5198.295454545455"/>
    <m/>
    <n v="0"/>
    <x v="2"/>
  </r>
  <r>
    <x v="355"/>
    <s v="500E/300S"/>
    <m/>
    <x v="10"/>
    <x v="11"/>
    <n v="5338"/>
    <n v="20"/>
    <s v="AC"/>
    <s v="BR"/>
    <n v="0"/>
    <n v="6"/>
    <n v="6"/>
    <n v="6"/>
    <n v="6"/>
    <n v="6"/>
    <n v="8"/>
    <n v="7"/>
    <n v="7"/>
    <n v="7"/>
    <n v="7"/>
    <m/>
    <m/>
    <m/>
    <n v="194"/>
    <n v="0"/>
    <s v="500E"/>
    <n v="4"/>
    <x v="0"/>
    <n v="21230.68181818182"/>
    <m/>
    <n v="0"/>
    <x v="4"/>
  </r>
  <r>
    <x v="356"/>
    <s v="500E/400S"/>
    <m/>
    <x v="24"/>
    <x v="26"/>
    <n v="5323"/>
    <n v="20"/>
    <s v="AC"/>
    <s v="BR"/>
    <n v="0"/>
    <n v="5"/>
    <n v="7"/>
    <n v="7"/>
    <n v="6"/>
    <n v="5"/>
    <n v="8"/>
    <n v="7"/>
    <n v="7"/>
    <n v="7"/>
    <n v="7"/>
    <m/>
    <m/>
    <m/>
    <n v="148"/>
    <n v="0"/>
    <s v="500E"/>
    <n v="5"/>
    <x v="0"/>
    <n v="21171.022727272728"/>
    <m/>
    <n v="0"/>
    <x v="4"/>
  </r>
  <r>
    <x v="357"/>
    <s v="500E/500S"/>
    <m/>
    <x v="24"/>
    <x v="111"/>
    <n v="2650"/>
    <n v="20"/>
    <s v="CS"/>
    <s v="BR"/>
    <n v="0"/>
    <n v="8"/>
    <n v="7"/>
    <n v="7"/>
    <n v="7"/>
    <n v="7"/>
    <n v="7"/>
    <n v="7"/>
    <n v="7"/>
    <n v="7"/>
    <n v="7"/>
    <m/>
    <m/>
    <m/>
    <n v="50"/>
    <n v="0"/>
    <s v="500E"/>
    <n v="3"/>
    <x v="0"/>
    <n v="10539.772727272728"/>
    <m/>
    <n v="0"/>
    <x v="5"/>
  </r>
  <r>
    <x v="358"/>
    <s v="500E/550S"/>
    <m/>
    <x v="106"/>
    <x v="54"/>
    <n v="2880"/>
    <n v="20"/>
    <s v="CS"/>
    <s v="BR"/>
    <n v="0"/>
    <n v="7"/>
    <n v="7"/>
    <n v="7"/>
    <n v="6"/>
    <n v="6"/>
    <n v="6"/>
    <n v="6"/>
    <n v="6"/>
    <n v="8"/>
    <n v="8"/>
    <m/>
    <m/>
    <m/>
    <n v="50"/>
    <n v="0"/>
    <s v="500E"/>
    <n v="4"/>
    <x v="0"/>
    <n v="11454.545454545454"/>
    <m/>
    <n v="0"/>
    <x v="5"/>
  </r>
  <r>
    <x v="359"/>
    <s v="500E/650N"/>
    <m/>
    <x v="99"/>
    <x v="1"/>
    <n v="2693"/>
    <n v="20"/>
    <s v="P"/>
    <s v="G"/>
    <n v="0"/>
    <n v="4"/>
    <n v="3"/>
    <n v="10"/>
    <n v="9"/>
    <n v="8"/>
    <n v="7"/>
    <n v="7"/>
    <n v="7"/>
    <n v="7"/>
    <n v="7"/>
    <m/>
    <m/>
    <m/>
    <n v="105"/>
    <n v="0"/>
    <s v="500E"/>
    <n v="2"/>
    <x v="2"/>
    <n v="16321.212121212122"/>
    <m/>
    <n v="0"/>
    <x v="5"/>
  </r>
  <r>
    <x v="360"/>
    <s v="500E/700N"/>
    <m/>
    <x v="65"/>
    <x v="5"/>
    <n v="2851"/>
    <n v="20"/>
    <s v="CS"/>
    <s v="G"/>
    <n v="0"/>
    <n v="7"/>
    <n v="7"/>
    <n v="7"/>
    <n v="7"/>
    <n v="7"/>
    <n v="6"/>
    <n v="6"/>
    <n v="6"/>
    <n v="7"/>
    <n v="7"/>
    <m/>
    <m/>
    <m/>
    <n v="36"/>
    <n v="0"/>
    <s v="500E"/>
    <n v="3"/>
    <x v="0"/>
    <n v="11339.204545454546"/>
    <m/>
    <n v="0"/>
    <x v="5"/>
  </r>
  <r>
    <x v="361"/>
    <s v="500E/900N"/>
    <m/>
    <x v="7"/>
    <x v="88"/>
    <n v="5370"/>
    <n v="20"/>
    <s v="G"/>
    <s v="G"/>
    <n v="0"/>
    <n v="6"/>
    <n v="6"/>
    <n v="6"/>
    <n v="7"/>
    <n v="7"/>
    <n v="7"/>
    <n v="7"/>
    <n v="7"/>
    <n v="7"/>
    <n v="7"/>
    <m/>
    <m/>
    <m/>
    <n v="113"/>
    <n v="0"/>
    <s v="500E"/>
    <n v="3"/>
    <x v="2"/>
    <n v="32545.454545454544"/>
    <m/>
    <n v="0"/>
    <x v="3"/>
  </r>
  <r>
    <x v="362"/>
    <s v="500E/I70"/>
    <m/>
    <x v="56"/>
    <x v="53"/>
    <n v="654"/>
    <n v="20"/>
    <s v="CS"/>
    <s v="C"/>
    <n v="0"/>
    <n v="4"/>
    <n v="3"/>
    <n v="8"/>
    <n v="8"/>
    <n v="8"/>
    <n v="7"/>
    <n v="7"/>
    <n v="7"/>
    <n v="7"/>
    <n v="7"/>
    <m/>
    <m/>
    <m/>
    <n v="50"/>
    <n v="0"/>
    <s v="500E"/>
    <n v="2"/>
    <x v="0"/>
    <n v="2601.1363636363635"/>
    <m/>
    <n v="0"/>
    <x v="2"/>
  </r>
  <r>
    <x v="363"/>
    <s v="500E/N. TWP LINE"/>
    <m/>
    <x v="71"/>
    <x v="112"/>
    <n v="5011"/>
    <n v="20"/>
    <s v="CS"/>
    <s v="BR"/>
    <n v="0"/>
    <n v="6"/>
    <n v="6"/>
    <n v="6"/>
    <n v="5"/>
    <n v="8"/>
    <n v="8"/>
    <n v="7"/>
    <n v="7"/>
    <n v="7"/>
    <n v="7"/>
    <m/>
    <m/>
    <m/>
    <n v="326"/>
    <n v="0"/>
    <s v="500E"/>
    <n v="2"/>
    <x v="0"/>
    <n v="19930.113636363636"/>
    <n v="1"/>
    <n v="19930.113636363636"/>
    <x v="0"/>
  </r>
  <r>
    <x v="364"/>
    <s v="500E/SR234"/>
    <m/>
    <x v="7"/>
    <x v="82"/>
    <n v="7974"/>
    <n v="20"/>
    <s v="CS"/>
    <s v="G"/>
    <n v="0"/>
    <n v="7"/>
    <n v="7"/>
    <n v="7"/>
    <n v="7"/>
    <n v="7"/>
    <n v="6"/>
    <n v="6"/>
    <n v="6"/>
    <n v="7"/>
    <n v="7"/>
    <m/>
    <m/>
    <m/>
    <n v="26"/>
    <n v="0"/>
    <s v="500E"/>
    <n v="3"/>
    <x v="3"/>
    <n v="69470.454545454544"/>
    <m/>
    <n v="0"/>
    <x v="5"/>
  </r>
  <r>
    <x v="365"/>
    <s v="500E/US40"/>
    <m/>
    <x v="107"/>
    <x v="83"/>
    <n v="760"/>
    <n v="20"/>
    <s v="AC"/>
    <s v="C"/>
    <n v="0"/>
    <n v="8"/>
    <n v="6"/>
    <n v="6"/>
    <n v="8"/>
    <n v="8"/>
    <n v="8"/>
    <n v="8"/>
    <n v="8"/>
    <n v="7"/>
    <n v="7"/>
    <m/>
    <m/>
    <m/>
    <n v="326"/>
    <n v="0"/>
    <s v="500E"/>
    <n v="2"/>
    <x v="0"/>
    <n v="3022.7272727272725"/>
    <n v="1"/>
    <n v="3022.7272727272725"/>
    <x v="0"/>
  </r>
  <r>
    <x v="366"/>
    <s v="500N/1000E"/>
    <m/>
    <x v="70"/>
    <x v="102"/>
    <n v="5445"/>
    <n v="20"/>
    <s v="AC"/>
    <s v="J"/>
    <n v="0"/>
    <n v="9"/>
    <n v="7"/>
    <n v="7"/>
    <n v="7"/>
    <n v="7"/>
    <n v="7"/>
    <n v="7"/>
    <n v="7"/>
    <n v="7"/>
    <n v="7"/>
    <m/>
    <m/>
    <m/>
    <n v="50"/>
    <n v="0"/>
    <s v="500N"/>
    <n v="3"/>
    <x v="0"/>
    <n v="21656.25"/>
    <m/>
    <n v="0"/>
    <x v="4"/>
  </r>
  <r>
    <x v="367"/>
    <s v="500N/1050E"/>
    <m/>
    <x v="8"/>
    <x v="86"/>
    <n v="2746"/>
    <n v="20"/>
    <s v="AC"/>
    <s v="J"/>
    <n v="0"/>
    <n v="7"/>
    <n v="7"/>
    <n v="7"/>
    <n v="7"/>
    <n v="6"/>
    <n v="6"/>
    <n v="6"/>
    <n v="6"/>
    <n v="7"/>
    <n v="7"/>
    <m/>
    <m/>
    <m/>
    <n v="50"/>
    <n v="0"/>
    <s v="500N"/>
    <n v="4"/>
    <x v="3"/>
    <n v="23923.484848484848"/>
    <m/>
    <n v="0"/>
    <x v="5"/>
  </r>
  <r>
    <x v="368"/>
    <s v="500N/200W"/>
    <m/>
    <x v="28"/>
    <x v="28"/>
    <n v="5290"/>
    <n v="20"/>
    <s v="CS"/>
    <s v="V"/>
    <n v="0"/>
    <n v="6"/>
    <n v="6"/>
    <n v="6"/>
    <n v="6"/>
    <n v="8"/>
    <n v="7"/>
    <n v="7"/>
    <n v="7"/>
    <n v="6"/>
    <n v="6"/>
    <n v="2023"/>
    <n v="2023"/>
    <s v="Y"/>
    <n v="288"/>
    <n v="0"/>
    <s v="500N"/>
    <n v="2"/>
    <x v="4"/>
    <n v="110208.33333333333"/>
    <n v="1"/>
    <n v="110208.33333333333"/>
    <x v="0"/>
  </r>
  <r>
    <x v="369"/>
    <s v="500N/25W"/>
    <m/>
    <x v="91"/>
    <x v="113"/>
    <n v="3515"/>
    <n v="20"/>
    <s v="CS"/>
    <s v="C"/>
    <n v="0"/>
    <n v="8"/>
    <n v="7"/>
    <n v="8"/>
    <n v="7"/>
    <n v="7"/>
    <n v="7"/>
    <n v="7"/>
    <n v="6"/>
    <n v="6"/>
    <n v="7"/>
    <m/>
    <m/>
    <m/>
    <n v="100"/>
    <n v="0"/>
    <s v="500N"/>
    <n v="3"/>
    <x v="0"/>
    <n v="13980.113636363636"/>
    <m/>
    <n v="0"/>
    <x v="2"/>
  </r>
  <r>
    <x v="370"/>
    <s v="500N/300E"/>
    <m/>
    <x v="21"/>
    <x v="104"/>
    <n v="8817"/>
    <n v="20"/>
    <s v="P"/>
    <s v="C"/>
    <n v="0"/>
    <n v="5"/>
    <n v="5"/>
    <n v="10"/>
    <n v="9"/>
    <n v="9"/>
    <n v="8"/>
    <n v="8"/>
    <n v="7"/>
    <n v="7"/>
    <n v="7"/>
    <m/>
    <m/>
    <m/>
    <n v="250"/>
    <n v="0"/>
    <s v="500N"/>
    <n v="1"/>
    <x v="2"/>
    <n v="53436.36363636364"/>
    <m/>
    <n v="0"/>
    <x v="5"/>
  </r>
  <r>
    <x v="371"/>
    <s v="500N/300W"/>
    <m/>
    <x v="28"/>
    <x v="31"/>
    <n v="5385"/>
    <n v="20"/>
    <s v="CS"/>
    <s v="BC"/>
    <n v="0"/>
    <n v="6"/>
    <n v="7"/>
    <n v="8"/>
    <n v="8"/>
    <n v="7"/>
    <n v="7"/>
    <n v="7"/>
    <n v="6"/>
    <n v="6"/>
    <n v="7"/>
    <n v="2023"/>
    <n v="2023"/>
    <s v="Y"/>
    <n v="685"/>
    <n v="0.5"/>
    <s v="500N"/>
    <n v="3.5"/>
    <x v="0"/>
    <n v="21417.613636363636"/>
    <m/>
    <n v="0"/>
    <x v="4"/>
  </r>
  <r>
    <x v="372"/>
    <s v="500N/400E"/>
    <m/>
    <x v="85"/>
    <x v="73"/>
    <n v="5385"/>
    <n v="20"/>
    <s v="AC"/>
    <s v="C"/>
    <n v="0"/>
    <n v="6"/>
    <n v="6"/>
    <n v="6"/>
    <n v="6"/>
    <n v="6"/>
    <n v="6"/>
    <n v="8"/>
    <n v="8"/>
    <n v="7"/>
    <n v="7"/>
    <m/>
    <m/>
    <m/>
    <n v="175"/>
    <n v="0"/>
    <s v="500N"/>
    <n v="4"/>
    <x v="0"/>
    <n v="21417.613636363636"/>
    <m/>
    <n v="0"/>
    <x v="5"/>
  </r>
  <r>
    <x v="373"/>
    <s v="500N/400W"/>
    <m/>
    <x v="11"/>
    <x v="46"/>
    <n v="2710"/>
    <n v="20"/>
    <s v="AC"/>
    <s v="BC"/>
    <n v="0"/>
    <n v="5"/>
    <n v="5"/>
    <n v="7"/>
    <n v="7"/>
    <n v="7"/>
    <n v="7"/>
    <n v="7"/>
    <n v="6"/>
    <n v="6"/>
    <n v="7"/>
    <n v="2023"/>
    <n v="2023"/>
    <s v="Y"/>
    <n v="655"/>
    <n v="0.5"/>
    <s v="500N"/>
    <n v="3.5"/>
    <x v="0"/>
    <n v="10778.40909090909"/>
    <m/>
    <n v="0"/>
    <x v="4"/>
  </r>
  <r>
    <x v="374"/>
    <s v="500N/500W"/>
    <m/>
    <x v="43"/>
    <x v="46"/>
    <n v="4960"/>
    <n v="20"/>
    <s v="AC"/>
    <s v="BC"/>
    <n v="0"/>
    <n v="6"/>
    <n v="6"/>
    <n v="6"/>
    <n v="8"/>
    <n v="7"/>
    <n v="7"/>
    <n v="7"/>
    <n v="4"/>
    <n v="4"/>
    <n v="5"/>
    <n v="2023"/>
    <n v="2023"/>
    <s v="Y"/>
    <n v="954"/>
    <n v="0.5"/>
    <s v="500N"/>
    <n v="3.5"/>
    <x v="0"/>
    <n v="19727.272727272728"/>
    <m/>
    <n v="0"/>
    <x v="4"/>
  </r>
  <r>
    <x v="375"/>
    <s v="500N/50E"/>
    <m/>
    <x v="108"/>
    <x v="45"/>
    <n v="5068"/>
    <n v="20"/>
    <s v="AC"/>
    <s v="C"/>
    <n v="0"/>
    <n v="8"/>
    <n v="6"/>
    <n v="6"/>
    <n v="6"/>
    <n v="6"/>
    <n v="6"/>
    <n v="6"/>
    <n v="6"/>
    <n v="6"/>
    <n v="6"/>
    <m/>
    <m/>
    <m/>
    <n v="280"/>
    <n v="0"/>
    <s v="500N"/>
    <n v="4"/>
    <x v="3"/>
    <n v="44153.030303030304"/>
    <n v="1"/>
    <n v="44153.030303030304"/>
    <x v="0"/>
  </r>
  <r>
    <x v="376"/>
    <s v="500N/600E"/>
    <m/>
    <x v="30"/>
    <x v="24"/>
    <n v="10650"/>
    <n v="20"/>
    <s v="P"/>
    <s v="C"/>
    <n v="0"/>
    <n v="5"/>
    <n v="4"/>
    <n v="10"/>
    <n v="9"/>
    <n v="8"/>
    <n v="8"/>
    <n v="8"/>
    <n v="7"/>
    <n v="7"/>
    <n v="8"/>
    <m/>
    <m/>
    <m/>
    <n v="49"/>
    <n v="0"/>
    <s v="500N"/>
    <n v="2"/>
    <x v="2"/>
    <n v="64545.454545454544"/>
    <m/>
    <n v="0"/>
    <x v="5"/>
  </r>
  <r>
    <x v="377"/>
    <s v="500N/600W"/>
    <m/>
    <x v="33"/>
    <x v="34"/>
    <n v="5380"/>
    <n v="20"/>
    <s v="AC"/>
    <s v="BC"/>
    <n v="0"/>
    <n v="7"/>
    <n v="7"/>
    <n v="7"/>
    <n v="7"/>
    <n v="6"/>
    <n v="6"/>
    <n v="6"/>
    <n v="6"/>
    <n v="6"/>
    <n v="7"/>
    <n v="2023"/>
    <n v="2023"/>
    <s v="Y"/>
    <n v="1765"/>
    <n v="1"/>
    <s v="500N"/>
    <n v="5"/>
    <x v="0"/>
    <n v="21397.727272727272"/>
    <m/>
    <n v="0"/>
    <x v="2"/>
  </r>
  <r>
    <x v="378"/>
    <s v="500N/700E"/>
    <m/>
    <x v="37"/>
    <x v="24"/>
    <n v="4475"/>
    <n v="20"/>
    <s v="CS"/>
    <s v="J"/>
    <n v="0"/>
    <n v="8"/>
    <n v="6"/>
    <n v="6"/>
    <n v="6"/>
    <m/>
    <n v="7"/>
    <n v="7"/>
    <n v="7"/>
    <n v="7"/>
    <n v="7"/>
    <m/>
    <m/>
    <m/>
    <n v="161"/>
    <n v="0"/>
    <s v="500N"/>
    <n v="10"/>
    <x v="0"/>
    <n v="17798.295454545456"/>
    <n v="1"/>
    <n v="17798.295454545456"/>
    <x v="0"/>
  </r>
  <r>
    <x v="379"/>
    <s v="500N/700W"/>
    <m/>
    <x v="51"/>
    <x v="48"/>
    <n v="5290"/>
    <n v="20"/>
    <s v="AC"/>
    <s v="BC"/>
    <n v="0"/>
    <n v="8"/>
    <n v="7"/>
    <n v="7"/>
    <n v="7"/>
    <n v="6"/>
    <n v="6"/>
    <n v="6"/>
    <n v="6"/>
    <n v="6"/>
    <n v="6"/>
    <n v="2023"/>
    <n v="2023"/>
    <s v="Y"/>
    <n v="2965"/>
    <n v="1.5"/>
    <s v="500N"/>
    <n v="5.5"/>
    <x v="4"/>
    <n v="110208.33333333333"/>
    <n v="1"/>
    <n v="110208.33333333333"/>
    <x v="0"/>
  </r>
  <r>
    <x v="380"/>
    <s v="500N/800E"/>
    <m/>
    <x v="37"/>
    <x v="38"/>
    <n v="5420"/>
    <n v="20"/>
    <s v="AC"/>
    <s v="J"/>
    <n v="0"/>
    <n v="7"/>
    <n v="7"/>
    <n v="7"/>
    <n v="7"/>
    <n v="7"/>
    <n v="7"/>
    <n v="7"/>
    <n v="7"/>
    <n v="7"/>
    <n v="7"/>
    <m/>
    <m/>
    <m/>
    <n v="50"/>
    <n v="0"/>
    <s v="500N"/>
    <n v="3"/>
    <x v="0"/>
    <n v="21556.81818181818"/>
    <m/>
    <n v="0"/>
    <x v="5"/>
  </r>
  <r>
    <x v="381"/>
    <s v="500N/850E"/>
    <m/>
    <x v="38"/>
    <x v="39"/>
    <n v="2710"/>
    <n v="20"/>
    <s v="AC"/>
    <s v="J"/>
    <n v="0"/>
    <n v="9"/>
    <n v="7"/>
    <n v="7"/>
    <n v="7"/>
    <n v="7"/>
    <n v="7"/>
    <n v="7"/>
    <n v="7"/>
    <n v="7"/>
    <n v="7"/>
    <m/>
    <m/>
    <m/>
    <n v="50"/>
    <n v="0"/>
    <s v="500N"/>
    <n v="3"/>
    <x v="0"/>
    <n v="10778.40909090909"/>
    <m/>
    <n v="0"/>
    <x v="4"/>
  </r>
  <r>
    <x v="382"/>
    <s v="500N/900E"/>
    <m/>
    <x v="40"/>
    <x v="77"/>
    <n v="2745"/>
    <n v="20"/>
    <s v="AC"/>
    <s v="J"/>
    <n v="0"/>
    <n v="9"/>
    <n v="7"/>
    <n v="7"/>
    <n v="7"/>
    <n v="7"/>
    <n v="7"/>
    <n v="7"/>
    <n v="7"/>
    <n v="7"/>
    <n v="7"/>
    <m/>
    <m/>
    <m/>
    <n v="50"/>
    <n v="0"/>
    <s v="500N"/>
    <n v="3"/>
    <x v="0"/>
    <n v="10917.613636363636"/>
    <m/>
    <n v="0"/>
    <x v="4"/>
  </r>
  <r>
    <x v="383"/>
    <s v="500N/FORTVILLE PK"/>
    <m/>
    <x v="27"/>
    <x v="95"/>
    <n v="4530"/>
    <n v="20"/>
    <s v="AC"/>
    <s v="C"/>
    <n v="0"/>
    <n v="5"/>
    <n v="5"/>
    <n v="8"/>
    <n v="7"/>
    <n v="7"/>
    <n v="7"/>
    <n v="7"/>
    <n v="7"/>
    <n v="7"/>
    <n v="7"/>
    <m/>
    <m/>
    <m/>
    <n v="560"/>
    <n v="0.5"/>
    <s v="500N"/>
    <n v="3.5"/>
    <x v="0"/>
    <n v="18017.045454545456"/>
    <m/>
    <n v="0"/>
    <x v="4"/>
  </r>
  <r>
    <x v="384"/>
    <s v="500N/SR9"/>
    <m/>
    <x v="89"/>
    <x v="19"/>
    <n v="5914"/>
    <n v="20"/>
    <s v="CS"/>
    <s v="C"/>
    <n v="0"/>
    <n v="5"/>
    <n v="7"/>
    <n v="7"/>
    <n v="7"/>
    <n v="7"/>
    <n v="7"/>
    <n v="7"/>
    <n v="7"/>
    <n v="7"/>
    <n v="7"/>
    <m/>
    <m/>
    <m/>
    <n v="280"/>
    <n v="0"/>
    <s v="500N"/>
    <n v="3"/>
    <x v="0"/>
    <n v="23521.590909090908"/>
    <n v="1"/>
    <n v="23521.590909090908"/>
    <x v="0"/>
  </r>
  <r>
    <x v="385"/>
    <s v="500S/100E"/>
    <m/>
    <x v="49"/>
    <x v="75"/>
    <n v="5100"/>
    <n v="20"/>
    <s v="CS"/>
    <s v="BW"/>
    <n v="0"/>
    <n v="7"/>
    <n v="7"/>
    <n v="7"/>
    <n v="7"/>
    <n v="7"/>
    <n v="7"/>
    <n v="7"/>
    <n v="7"/>
    <n v="7"/>
    <n v="7"/>
    <m/>
    <m/>
    <m/>
    <n v="470"/>
    <n v="0"/>
    <s v="500S"/>
    <n v="3"/>
    <x v="0"/>
    <n v="20284.090909090908"/>
    <m/>
    <n v="0"/>
    <x v="3"/>
  </r>
  <r>
    <x v="386"/>
    <s v="500S/200E"/>
    <m/>
    <x v="73"/>
    <x v="114"/>
    <n v="2470"/>
    <n v="20"/>
    <s v="AC"/>
    <s v="BW"/>
    <n v="0"/>
    <n v="9"/>
    <n v="8"/>
    <n v="6"/>
    <n v="8"/>
    <n v="8"/>
    <n v="8"/>
    <n v="8"/>
    <n v="8"/>
    <n v="8"/>
    <n v="8"/>
    <m/>
    <m/>
    <m/>
    <n v="565"/>
    <n v="0.5"/>
    <s v="500S"/>
    <n v="2.5"/>
    <x v="0"/>
    <n v="9823.863636363636"/>
    <m/>
    <n v="0"/>
    <x v="4"/>
  </r>
  <r>
    <x v="387"/>
    <s v="500S/300E"/>
    <m/>
    <x v="109"/>
    <x v="104"/>
    <n v="5325"/>
    <n v="20"/>
    <s v="AC"/>
    <s v="BW"/>
    <n v="0"/>
    <n v="7"/>
    <n v="7"/>
    <n v="7"/>
    <n v="7"/>
    <n v="6"/>
    <n v="6"/>
    <n v="6"/>
    <n v="7"/>
    <n v="7"/>
    <n v="7"/>
    <m/>
    <m/>
    <m/>
    <n v="402"/>
    <n v="0"/>
    <s v="500S"/>
    <n v="4"/>
    <x v="0"/>
    <n v="21178.977272727272"/>
    <m/>
    <n v="0"/>
    <x v="4"/>
  </r>
  <r>
    <x v="388"/>
    <s v="500S/400E"/>
    <m/>
    <x v="85"/>
    <x v="73"/>
    <n v="5350"/>
    <n v="20"/>
    <s v="CS"/>
    <s v="BW"/>
    <n v="0"/>
    <n v="8"/>
    <n v="8"/>
    <n v="8"/>
    <n v="7"/>
    <n v="6"/>
    <n v="6"/>
    <n v="6"/>
    <n v="7"/>
    <n v="7"/>
    <n v="7"/>
    <m/>
    <m/>
    <m/>
    <n v="355"/>
    <n v="0"/>
    <s v="500S"/>
    <n v="4"/>
    <x v="0"/>
    <n v="21278.409090909092"/>
    <m/>
    <n v="0"/>
    <x v="4"/>
  </r>
  <r>
    <x v="389"/>
    <s v="500S/500E"/>
    <m/>
    <x v="30"/>
    <x v="14"/>
    <n v="4689"/>
    <n v="20"/>
    <s v="CS"/>
    <s v="BR"/>
    <n v="0"/>
    <n v="7"/>
    <n v="7"/>
    <n v="7"/>
    <n v="7"/>
    <n v="7"/>
    <n v="7"/>
    <n v="7"/>
    <n v="7"/>
    <n v="7"/>
    <n v="7"/>
    <m/>
    <m/>
    <m/>
    <n v="652"/>
    <n v="0.5"/>
    <s v="500S"/>
    <n v="3.5"/>
    <x v="1"/>
    <n v="4795.568181818182"/>
    <m/>
    <n v="0"/>
    <x v="2"/>
  </r>
  <r>
    <x v="390"/>
    <s v="900N/550E"/>
    <m/>
    <x v="13"/>
    <x v="14"/>
    <n v="2692"/>
    <n v="20"/>
    <s v="AC"/>
    <s v="G"/>
    <n v="0"/>
    <n v="6"/>
    <n v="5"/>
    <n v="5"/>
    <n v="5"/>
    <n v="5"/>
    <n v="5"/>
    <n v="9"/>
    <n v="8"/>
    <n v="8"/>
    <n v="8"/>
    <m/>
    <m/>
    <m/>
    <n v="137"/>
    <n v="0"/>
    <s v="900N"/>
    <n v="5"/>
    <x v="0"/>
    <n v="10706.818181818182"/>
    <m/>
    <n v="0"/>
    <x v="6"/>
  </r>
  <r>
    <x v="391"/>
    <s v="900N/600E"/>
    <m/>
    <x v="14"/>
    <x v="15"/>
    <n v="2663"/>
    <n v="20"/>
    <s v="AC"/>
    <s v="G"/>
    <n v="0"/>
    <n v="6"/>
    <n v="6"/>
    <n v="5"/>
    <n v="5"/>
    <n v="5"/>
    <n v="5"/>
    <n v="9"/>
    <n v="8"/>
    <n v="8"/>
    <n v="8"/>
    <m/>
    <m/>
    <m/>
    <n v="137"/>
    <n v="0"/>
    <s v="900N"/>
    <n v="5"/>
    <x v="0"/>
    <n v="10591.477272727272"/>
    <m/>
    <n v="0"/>
    <x v="6"/>
  </r>
  <r>
    <x v="392"/>
    <s v="500S/575E"/>
    <m/>
    <x v="32"/>
    <x v="115"/>
    <n v="4005"/>
    <n v="20"/>
    <s v="CS"/>
    <s v="BR"/>
    <n v="0"/>
    <n v="7"/>
    <n v="7"/>
    <n v="7"/>
    <n v="8"/>
    <n v="8"/>
    <n v="8"/>
    <n v="7"/>
    <n v="7"/>
    <n v="7"/>
    <n v="7"/>
    <n v="2023"/>
    <n v="2023"/>
    <s v="Y"/>
    <n v="710"/>
    <n v="0.5"/>
    <s v="500S"/>
    <n v="2.5"/>
    <x v="0"/>
    <n v="15928.977272727272"/>
    <m/>
    <n v="0"/>
    <x v="2"/>
  </r>
  <r>
    <x v="393"/>
    <s v="500S/600E"/>
    <m/>
    <x v="110"/>
    <x v="24"/>
    <n v="1342"/>
    <n v="20"/>
    <s v="CS"/>
    <s v="BR"/>
    <n v="0"/>
    <n v="8"/>
    <n v="8"/>
    <n v="8"/>
    <n v="8"/>
    <n v="8"/>
    <n v="8"/>
    <n v="8"/>
    <n v="8"/>
    <n v="7"/>
    <n v="7"/>
    <m/>
    <n v="2021"/>
    <s v="Y"/>
    <n v="710"/>
    <n v="0.5"/>
    <s v="500S"/>
    <n v="2.5"/>
    <x v="0"/>
    <n v="5337.5"/>
    <m/>
    <n v="0"/>
    <x v="4"/>
  </r>
  <r>
    <x v="394"/>
    <s v="500S/900E"/>
    <m/>
    <x v="70"/>
    <x v="38"/>
    <n v="5375"/>
    <n v="20"/>
    <s v="P"/>
    <s v="BR"/>
    <n v="0"/>
    <n v="2"/>
    <n v="4"/>
    <n v="10"/>
    <n v="9"/>
    <n v="9"/>
    <n v="8"/>
    <n v="8"/>
    <n v="7"/>
    <n v="7"/>
    <n v="7"/>
    <m/>
    <m/>
    <m/>
    <n v="50"/>
    <n v="0"/>
    <s v="500S"/>
    <n v="1"/>
    <x v="2"/>
    <n v="32575.757575757576"/>
    <m/>
    <n v="0"/>
    <x v="5"/>
  </r>
  <r>
    <x v="395"/>
    <s v="1200E/1100N"/>
    <m/>
    <x v="60"/>
    <x v="62"/>
    <n v="5250"/>
    <n v="20"/>
    <s v="AC"/>
    <s v="B"/>
    <n v="0"/>
    <n v="6"/>
    <n v="6"/>
    <n v="6"/>
    <n v="6"/>
    <n v="5"/>
    <n v="5"/>
    <n v="9"/>
    <n v="8"/>
    <n v="8"/>
    <n v="8"/>
    <m/>
    <m/>
    <m/>
    <n v="126"/>
    <n v="0"/>
    <s v="1200E"/>
    <n v="5"/>
    <x v="0"/>
    <n v="20880.68181818182"/>
    <m/>
    <n v="0"/>
    <x v="6"/>
  </r>
  <r>
    <x v="396"/>
    <s v="500S/SR9"/>
    <m/>
    <x v="41"/>
    <x v="79"/>
    <n v="2790"/>
    <n v="20"/>
    <s v="AC"/>
    <s v="BW"/>
    <n v="0"/>
    <n v="7"/>
    <n v="6"/>
    <n v="6"/>
    <n v="6"/>
    <n v="6"/>
    <n v="5"/>
    <n v="5"/>
    <n v="5"/>
    <n v="5"/>
    <n v="7"/>
    <m/>
    <m/>
    <m/>
    <n v="502"/>
    <n v="0.5"/>
    <s v="500S"/>
    <n v="4.5"/>
    <x v="0"/>
    <n v="11096.59090909091"/>
    <m/>
    <n v="0"/>
    <x v="2"/>
  </r>
  <r>
    <x v="397"/>
    <s v="500W"/>
    <m/>
    <x v="1"/>
    <x v="116"/>
    <n v="4166"/>
    <n v="20"/>
    <m/>
    <s v="BC"/>
    <n v="0"/>
    <m/>
    <m/>
    <m/>
    <m/>
    <m/>
    <m/>
    <m/>
    <m/>
    <m/>
    <m/>
    <m/>
    <m/>
    <m/>
    <m/>
    <m/>
    <s v="500W"/>
    <m/>
    <x v="4"/>
    <n v="86791.666666666672"/>
    <n v="1"/>
    <m/>
    <x v="0"/>
  </r>
  <r>
    <x v="398"/>
    <s v="500W/1000N"/>
    <m/>
    <x v="111"/>
    <x v="61"/>
    <n v="1308"/>
    <n v="20"/>
    <s v="AC"/>
    <s v="V"/>
    <n v="0"/>
    <n v="7"/>
    <n v="7"/>
    <n v="7"/>
    <n v="7"/>
    <n v="7"/>
    <n v="7"/>
    <n v="7"/>
    <n v="7"/>
    <n v="7"/>
    <n v="7"/>
    <m/>
    <m/>
    <m/>
    <n v="1172"/>
    <n v="0.5"/>
    <s v="500W"/>
    <n v="3.5"/>
    <x v="0"/>
    <n v="5202.272727272727"/>
    <m/>
    <n v="0"/>
    <x v="3"/>
  </r>
  <r>
    <x v="399"/>
    <s v="500W/100S"/>
    <m/>
    <x v="71"/>
    <x v="64"/>
    <n v="5275"/>
    <n v="20"/>
    <s v="CS"/>
    <s v="SC"/>
    <n v="0"/>
    <n v="7"/>
    <n v="7"/>
    <n v="7"/>
    <n v="7"/>
    <n v="7"/>
    <n v="7"/>
    <n v="7"/>
    <n v="7"/>
    <n v="7"/>
    <n v="7"/>
    <n v="2022"/>
    <n v="2022"/>
    <s v="Y"/>
    <n v="5368"/>
    <n v="1.5"/>
    <s v="500W"/>
    <n v="4.5"/>
    <x v="5"/>
    <n v="79924.242424242431"/>
    <n v="1"/>
    <n v="79924.242424242431"/>
    <x v="3"/>
  </r>
  <r>
    <x v="400"/>
    <s v="500W/200S"/>
    <m/>
    <x v="62"/>
    <x v="11"/>
    <n v="5310"/>
    <n v="20"/>
    <s v="AC"/>
    <s v="SC"/>
    <n v="0"/>
    <n v="7"/>
    <n v="7"/>
    <n v="7"/>
    <n v="7"/>
    <n v="7"/>
    <n v="6"/>
    <n v="6"/>
    <n v="6"/>
    <n v="7"/>
    <n v="7"/>
    <n v="2022"/>
    <n v="2022"/>
    <s v="Y"/>
    <n v="5316"/>
    <n v="1.5"/>
    <s v="500W"/>
    <n v="4.5"/>
    <x v="5"/>
    <n v="80454.545454545456"/>
    <n v="1"/>
    <n v="80454.545454545456"/>
    <x v="3"/>
  </r>
  <r>
    <x v="401"/>
    <s v="1200E/900N"/>
    <m/>
    <x v="7"/>
    <x v="88"/>
    <n v="5490"/>
    <n v="20"/>
    <s v="AC"/>
    <s v="B"/>
    <n v="0"/>
    <n v="6"/>
    <n v="6"/>
    <n v="6"/>
    <n v="5"/>
    <n v="5"/>
    <n v="5"/>
    <n v="9"/>
    <n v="8"/>
    <n v="8"/>
    <n v="8"/>
    <m/>
    <m/>
    <m/>
    <n v="126"/>
    <n v="0"/>
    <s v="1200E"/>
    <n v="5"/>
    <x v="0"/>
    <n v="21835.227272727272"/>
    <m/>
    <n v="0"/>
    <x v="6"/>
  </r>
  <r>
    <x v="402"/>
    <s v="500W/300S"/>
    <m/>
    <x v="63"/>
    <x v="110"/>
    <n v="3683"/>
    <n v="20"/>
    <s v="CS"/>
    <s v="SC"/>
    <n v="0"/>
    <n v="7"/>
    <n v="7"/>
    <n v="7"/>
    <n v="7"/>
    <n v="7"/>
    <n v="6"/>
    <n v="6"/>
    <n v="6"/>
    <n v="7"/>
    <n v="7"/>
    <n v="2022"/>
    <n v="2022"/>
    <s v="Y"/>
    <n v="4705"/>
    <n v="1.5"/>
    <s v="500W"/>
    <n v="4.5"/>
    <x v="5"/>
    <n v="55803.030303030304"/>
    <n v="1"/>
    <n v="55803.030303030304"/>
    <x v="3"/>
  </r>
  <r>
    <x v="403"/>
    <s v="500W/600N"/>
    <m/>
    <x v="1"/>
    <x v="1"/>
    <n v="5020"/>
    <n v="20"/>
    <s v="AC"/>
    <s v="BC"/>
    <n v="0"/>
    <n v="5"/>
    <n v="5"/>
    <n v="5"/>
    <n v="5"/>
    <n v="9"/>
    <n v="8"/>
    <n v="7"/>
    <n v="5"/>
    <n v="7"/>
    <n v="7"/>
    <m/>
    <m/>
    <m/>
    <n v="141"/>
    <n v="0"/>
    <s v="500W"/>
    <n v="1"/>
    <x v="0"/>
    <n v="19965.909090909092"/>
    <m/>
    <n v="0"/>
    <x v="5"/>
  </r>
  <r>
    <x v="404"/>
    <s v="500W/700N"/>
    <m/>
    <x v="77"/>
    <x v="82"/>
    <n v="5371"/>
    <n v="20"/>
    <s v="CS"/>
    <s v="V"/>
    <n v="0"/>
    <n v="6"/>
    <n v="7"/>
    <n v="8"/>
    <n v="8"/>
    <n v="8"/>
    <n v="8"/>
    <n v="8"/>
    <n v="7"/>
    <n v="7"/>
    <n v="8"/>
    <m/>
    <m/>
    <m/>
    <n v="868"/>
    <n v="0.5"/>
    <s v="500W"/>
    <n v="2.5"/>
    <x v="0"/>
    <n v="21361.93181818182"/>
    <m/>
    <n v="0"/>
    <x v="2"/>
  </r>
  <r>
    <x v="405"/>
    <s v="500W/750N"/>
    <m/>
    <x v="65"/>
    <x v="117"/>
    <n v="2692"/>
    <n v="20"/>
    <s v="AC"/>
    <s v="V"/>
    <n v="0"/>
    <n v="7"/>
    <n v="7"/>
    <n v="6"/>
    <n v="6"/>
    <n v="6"/>
    <n v="6"/>
    <n v="6"/>
    <n v="6"/>
    <n v="6"/>
    <n v="6"/>
    <m/>
    <m/>
    <m/>
    <n v="828"/>
    <n v="0.5"/>
    <s v="500W"/>
    <n v="4.5"/>
    <x v="4"/>
    <n v="56083.333333333336"/>
    <n v="1"/>
    <m/>
    <x v="0"/>
  </r>
  <r>
    <x v="406"/>
    <s v="BUCK CREEK RD/300N"/>
    <m/>
    <x v="50"/>
    <x v="51"/>
    <n v="6650"/>
    <n v="20"/>
    <s v="AC"/>
    <s v="BC"/>
    <n v="0"/>
    <n v="7"/>
    <n v="7"/>
    <n v="6"/>
    <n v="5"/>
    <n v="4"/>
    <n v="4"/>
    <n v="8"/>
    <n v="7"/>
    <n v="6"/>
    <n v="7"/>
    <m/>
    <m/>
    <m/>
    <n v="123"/>
    <n v="0"/>
    <s v="BUCK CREEK RD/300N"/>
    <n v="6"/>
    <x v="0"/>
    <n v="26448.863636363636"/>
    <m/>
    <n v="0"/>
    <x v="6"/>
  </r>
  <r>
    <x v="407"/>
    <s v="500W/DEAD END"/>
    <m/>
    <x v="50"/>
    <x v="118"/>
    <n v="1500"/>
    <n v="20"/>
    <s v="G"/>
    <s v="BC"/>
    <n v="0"/>
    <n v="6"/>
    <n v="5"/>
    <n v="5"/>
    <n v="5"/>
    <n v="4"/>
    <n v="7"/>
    <n v="7"/>
    <n v="6"/>
    <n v="6"/>
    <n v="7"/>
    <m/>
    <m/>
    <m/>
    <n v="50"/>
    <n v="0"/>
    <s v="500W"/>
    <n v="5"/>
    <x v="8"/>
    <n v="3977.2727272727275"/>
    <m/>
    <n v="0"/>
    <x v="4"/>
  </r>
  <r>
    <x v="408"/>
    <s v="500W/I70"/>
    <m/>
    <x v="35"/>
    <x v="53"/>
    <n v="2400"/>
    <n v="20"/>
    <s v="P"/>
    <s v="BC"/>
    <n v="0"/>
    <n v="3"/>
    <n v="7"/>
    <n v="6"/>
    <n v="4"/>
    <n v="8"/>
    <n v="8"/>
    <n v="7"/>
    <n v="7"/>
    <n v="7"/>
    <n v="7"/>
    <m/>
    <m/>
    <m/>
    <n v="50"/>
    <n v="0"/>
    <s v="500W"/>
    <n v="2"/>
    <x v="1"/>
    <n v="2454.5454545454545"/>
    <m/>
    <n v="0"/>
    <x v="2"/>
  </r>
  <r>
    <x v="409"/>
    <s v="400E/US40"/>
    <m/>
    <x v="71"/>
    <x v="83"/>
    <n v="4558"/>
    <n v="20"/>
    <s v="CS"/>
    <s v="C"/>
    <n v="0"/>
    <n v="6"/>
    <n v="6"/>
    <n v="6"/>
    <n v="6"/>
    <n v="6"/>
    <n v="5"/>
    <n v="9"/>
    <n v="8"/>
    <n v="7"/>
    <n v="7"/>
    <m/>
    <m/>
    <m/>
    <n v="116"/>
    <n v="0"/>
    <s v="400E"/>
    <n v="4"/>
    <x v="0"/>
    <n v="18128.409090909092"/>
    <m/>
    <n v="0"/>
    <x v="6"/>
  </r>
  <r>
    <x v="410"/>
    <s v="500W/S. NEW PAL"/>
    <m/>
    <x v="112"/>
    <x v="54"/>
    <n v="5725"/>
    <n v="20"/>
    <s v="AC"/>
    <s v="SC"/>
    <n v="0"/>
    <n v="7"/>
    <n v="8"/>
    <n v="8"/>
    <n v="7"/>
    <n v="7"/>
    <n v="7"/>
    <n v="7"/>
    <n v="7"/>
    <n v="7"/>
    <n v="7"/>
    <n v="2024"/>
    <n v="2022"/>
    <s v="Y"/>
    <n v="1461"/>
    <n v="0.5"/>
    <s v="500W"/>
    <n v="3.5"/>
    <x v="0"/>
    <n v="22769.886363636364"/>
    <m/>
    <n v="0"/>
    <x v="4"/>
  </r>
  <r>
    <x v="411"/>
    <s v="500W/SR234"/>
    <m/>
    <x v="113"/>
    <x v="6"/>
    <n v="2692"/>
    <n v="20"/>
    <s v="AC"/>
    <s v="V"/>
    <n v="0"/>
    <n v="8"/>
    <n v="7"/>
    <n v="6"/>
    <n v="6"/>
    <n v="6"/>
    <n v="6"/>
    <n v="6"/>
    <n v="6"/>
    <n v="6"/>
    <n v="6"/>
    <m/>
    <m/>
    <m/>
    <n v="811"/>
    <n v="0.5"/>
    <s v="500W"/>
    <n v="4.5"/>
    <x v="4"/>
    <n v="56083.333333333336"/>
    <n v="1"/>
    <n v="56083.333333333336"/>
    <x v="0"/>
  </r>
  <r>
    <x v="412"/>
    <s v="500W/SR67"/>
    <m/>
    <x v="7"/>
    <x v="100"/>
    <n v="3484"/>
    <n v="20"/>
    <s v="AC"/>
    <s v="V"/>
    <n v="0"/>
    <n v="7"/>
    <n v="7"/>
    <n v="7"/>
    <n v="7"/>
    <n v="7"/>
    <n v="7"/>
    <n v="7"/>
    <n v="7"/>
    <n v="7"/>
    <n v="7"/>
    <m/>
    <m/>
    <m/>
    <n v="984"/>
    <n v="0.5"/>
    <s v="500W"/>
    <n v="3.5"/>
    <x v="0"/>
    <n v="13856.818181818182"/>
    <m/>
    <n v="0"/>
    <x v="3"/>
  </r>
  <r>
    <x v="413"/>
    <s v="500W/US40"/>
    <m/>
    <x v="23"/>
    <x v="63"/>
    <n v="2790"/>
    <n v="20"/>
    <s v="CS"/>
    <s v="SC"/>
    <n v="0"/>
    <n v="7"/>
    <n v="7"/>
    <n v="7"/>
    <n v="8"/>
    <n v="7"/>
    <n v="7"/>
    <n v="7"/>
    <n v="7"/>
    <n v="7"/>
    <m/>
    <n v="2022"/>
    <n v="2020"/>
    <s v="Y"/>
    <n v="5944"/>
    <n v="1.5"/>
    <s v="500W"/>
    <n v="4.5"/>
    <x v="5"/>
    <n v="42272.727272727272"/>
    <n v="1"/>
    <n v="42272.727272727272"/>
    <x v="3"/>
  </r>
  <r>
    <x v="414"/>
    <s v="650W/US52"/>
    <m/>
    <x v="114"/>
    <x v="71"/>
    <n v="1800"/>
    <n v="20"/>
    <s v="CS"/>
    <s v="SC"/>
    <n v="0"/>
    <n v="5"/>
    <n v="5"/>
    <n v="5"/>
    <n v="5"/>
    <n v="5"/>
    <n v="5"/>
    <n v="7"/>
    <n v="7"/>
    <n v="7"/>
    <n v="7"/>
    <m/>
    <m/>
    <m/>
    <n v="110"/>
    <n v="0"/>
    <s v="650W"/>
    <n v="5"/>
    <x v="0"/>
    <n v="7159.090909090909"/>
    <m/>
    <n v="0"/>
    <x v="6"/>
  </r>
  <r>
    <x v="415"/>
    <s v="50E/500N"/>
    <m/>
    <x v="3"/>
    <x v="3"/>
    <n v="5330"/>
    <n v="20"/>
    <s v="CS"/>
    <s v="C"/>
    <n v="0"/>
    <n v="7"/>
    <n v="7"/>
    <n v="7"/>
    <n v="7"/>
    <n v="7"/>
    <n v="7"/>
    <n v="7"/>
    <n v="7"/>
    <n v="7"/>
    <n v="7"/>
    <m/>
    <m/>
    <m/>
    <n v="50"/>
    <n v="0"/>
    <s v="50E"/>
    <n v="3"/>
    <x v="0"/>
    <n v="21198.863636363636"/>
    <m/>
    <n v="0"/>
    <x v="2"/>
  </r>
  <r>
    <x v="416"/>
    <s v="50E/600N"/>
    <m/>
    <x v="1"/>
    <x v="1"/>
    <n v="5230"/>
    <n v="20"/>
    <s v="CS"/>
    <s v="C"/>
    <n v="0"/>
    <n v="7"/>
    <n v="6"/>
    <n v="6"/>
    <n v="6"/>
    <n v="6"/>
    <n v="6"/>
    <n v="6"/>
    <n v="6"/>
    <n v="6"/>
    <n v="8"/>
    <m/>
    <m/>
    <m/>
    <n v="50"/>
    <n v="0"/>
    <s v="50E"/>
    <n v="4"/>
    <x v="3"/>
    <n v="45564.393939393936"/>
    <m/>
    <n v="0"/>
    <x v="5"/>
  </r>
  <r>
    <x v="417"/>
    <s v="50E/700N"/>
    <m/>
    <x v="77"/>
    <x v="82"/>
    <n v="5290"/>
    <n v="20"/>
    <s v="AC"/>
    <s v="G"/>
    <n v="0"/>
    <n v="6"/>
    <n v="6"/>
    <n v="6"/>
    <n v="6"/>
    <n v="6"/>
    <n v="6"/>
    <n v="6"/>
    <n v="6"/>
    <n v="8"/>
    <n v="8"/>
    <m/>
    <m/>
    <m/>
    <n v="50"/>
    <n v="0"/>
    <s v="50E"/>
    <n v="4"/>
    <x v="3"/>
    <n v="46087.121212121216"/>
    <m/>
    <n v="0"/>
    <x v="5"/>
  </r>
  <r>
    <x v="418"/>
    <s v="50E/750N"/>
    <m/>
    <x v="65"/>
    <x v="117"/>
    <n v="2640"/>
    <n v="20"/>
    <s v="G"/>
    <s v="G"/>
    <n v="0"/>
    <n v="7"/>
    <n v="7"/>
    <n v="7"/>
    <n v="6"/>
    <n v="6"/>
    <n v="6"/>
    <n v="6"/>
    <n v="6"/>
    <n v="8"/>
    <n v="8"/>
    <m/>
    <m/>
    <m/>
    <n v="50"/>
    <n v="0"/>
    <s v="50E"/>
    <n v="4"/>
    <x v="3"/>
    <n v="23000"/>
    <m/>
    <n v="0"/>
    <x v="5"/>
  </r>
  <r>
    <x v="419"/>
    <s v="1000N/625E"/>
    <m/>
    <x v="14"/>
    <x v="119"/>
    <n v="1336"/>
    <n v="20"/>
    <s v="AC"/>
    <s v="B"/>
    <n v="0"/>
    <n v="6"/>
    <n v="6"/>
    <n v="6"/>
    <n v="6"/>
    <n v="5"/>
    <n v="5"/>
    <n v="5"/>
    <n v="7"/>
    <n v="7"/>
    <n v="7"/>
    <n v="2023"/>
    <n v="2023"/>
    <s v="Y"/>
    <n v="100"/>
    <n v="0"/>
    <s v="1000N"/>
    <n v="5"/>
    <x v="0"/>
    <n v="5313.636363636364"/>
    <m/>
    <n v="0"/>
    <x v="6"/>
  </r>
  <r>
    <x v="420"/>
    <s v="50S/850E"/>
    <m/>
    <x v="46"/>
    <x v="39"/>
    <n v="2700"/>
    <n v="20"/>
    <s v="CS"/>
    <s v="BR"/>
    <n v="0"/>
    <n v="5"/>
    <n v="7"/>
    <n v="8"/>
    <n v="7"/>
    <n v="7"/>
    <n v="7"/>
    <n v="6"/>
    <n v="6"/>
    <n v="6"/>
    <n v="8"/>
    <m/>
    <m/>
    <m/>
    <n v="50"/>
    <n v="0"/>
    <s v="50S"/>
    <n v="3"/>
    <x v="0"/>
    <n v="10738.636363636364"/>
    <m/>
    <n v="0"/>
    <x v="2"/>
  </r>
  <r>
    <x v="421"/>
    <s v="50S/E. CO. LINE"/>
    <m/>
    <x v="47"/>
    <x v="39"/>
    <n v="2740"/>
    <n v="20"/>
    <s v="CS"/>
    <s v="BR"/>
    <n v="0"/>
    <n v="5"/>
    <n v="5"/>
    <n v="8"/>
    <n v="7"/>
    <n v="7"/>
    <n v="7"/>
    <n v="6"/>
    <n v="6"/>
    <n v="6"/>
    <n v="8"/>
    <m/>
    <m/>
    <m/>
    <n v="50"/>
    <n v="0"/>
    <s v="50S"/>
    <n v="3"/>
    <x v="0"/>
    <n v="10897.727272727272"/>
    <m/>
    <n v="0"/>
    <x v="2"/>
  </r>
  <r>
    <x v="422"/>
    <s v="100N/700E"/>
    <m/>
    <x v="37"/>
    <x v="24"/>
    <n v="4360"/>
    <n v="20"/>
    <s v="AC"/>
    <s v="J"/>
    <n v="0"/>
    <n v="7"/>
    <n v="6"/>
    <n v="6"/>
    <n v="4"/>
    <n v="10"/>
    <n v="9"/>
    <n v="8"/>
    <n v="7"/>
    <n v="7"/>
    <n v="7"/>
    <m/>
    <m/>
    <m/>
    <n v="96"/>
    <n v="0"/>
    <s v="100N"/>
    <n v="0"/>
    <x v="0"/>
    <n v="17340.909090909092"/>
    <m/>
    <n v="0"/>
    <x v="6"/>
  </r>
  <r>
    <x v="423"/>
    <s v="50W/1050N"/>
    <m/>
    <x v="60"/>
    <x v="120"/>
    <n v="2649"/>
    <n v="20"/>
    <s v="AC"/>
    <s v="V"/>
    <n v="0"/>
    <n v="7"/>
    <n v="8"/>
    <n v="7"/>
    <n v="7"/>
    <n v="7"/>
    <n v="7"/>
    <n v="6"/>
    <n v="6"/>
    <n v="7"/>
    <n v="7"/>
    <m/>
    <m/>
    <m/>
    <n v="648"/>
    <n v="0.5"/>
    <s v="50W"/>
    <n v="3.5"/>
    <x v="4"/>
    <n v="55187.5"/>
    <n v="1"/>
    <n v="55187.5"/>
    <x v="0"/>
  </r>
  <r>
    <x v="424"/>
    <s v="1125E/700N"/>
    <m/>
    <x v="99"/>
    <x v="82"/>
    <n v="2655"/>
    <n v="20"/>
    <s v="AC"/>
    <s v="B"/>
    <n v="0"/>
    <n v="7"/>
    <n v="7"/>
    <n v="7"/>
    <n v="6"/>
    <n v="5"/>
    <n v="4"/>
    <n v="9"/>
    <n v="8"/>
    <n v="7"/>
    <n v="7"/>
    <m/>
    <m/>
    <m/>
    <n v="94"/>
    <n v="0"/>
    <s v="1125E"/>
    <n v="5"/>
    <x v="0"/>
    <n v="10559.65909090909"/>
    <m/>
    <n v="0"/>
    <x v="6"/>
  </r>
  <r>
    <x v="425"/>
    <s v="50W/300S"/>
    <m/>
    <x v="10"/>
    <x v="11"/>
    <n v="5340"/>
    <n v="20"/>
    <s v="CS"/>
    <s v="BW"/>
    <n v="0"/>
    <n v="7"/>
    <n v="6"/>
    <n v="6"/>
    <n v="6"/>
    <n v="6"/>
    <n v="6"/>
    <n v="6"/>
    <n v="6"/>
    <n v="6"/>
    <n v="8"/>
    <m/>
    <m/>
    <m/>
    <n v="140"/>
    <n v="0"/>
    <s v="50W"/>
    <n v="4"/>
    <x v="2"/>
    <n v="32363.636363636364"/>
    <m/>
    <n v="0"/>
    <x v="2"/>
  </r>
  <r>
    <x v="426"/>
    <s v="50W/400S"/>
    <m/>
    <x v="24"/>
    <x v="26"/>
    <n v="5310"/>
    <n v="20"/>
    <s v="CS"/>
    <s v="BW"/>
    <n v="0"/>
    <n v="6"/>
    <n v="6"/>
    <n v="6"/>
    <n v="6"/>
    <n v="6"/>
    <n v="6"/>
    <n v="6"/>
    <n v="6"/>
    <n v="6"/>
    <n v="8"/>
    <m/>
    <m/>
    <m/>
    <n v="80"/>
    <n v="0"/>
    <s v="50W"/>
    <n v="4"/>
    <x v="0"/>
    <n v="21119.31818181818"/>
    <m/>
    <n v="0"/>
    <x v="2"/>
  </r>
  <r>
    <x v="427"/>
    <s v="50W/500S"/>
    <m/>
    <x v="24"/>
    <x v="71"/>
    <n v="3622"/>
    <n v="20"/>
    <s v="CS"/>
    <s v="BW"/>
    <n v="0"/>
    <n v="6"/>
    <n v="6"/>
    <n v="6"/>
    <n v="6"/>
    <n v="8"/>
    <n v="8"/>
    <n v="7"/>
    <n v="7"/>
    <n v="7"/>
    <n v="8"/>
    <m/>
    <m/>
    <m/>
    <n v="90"/>
    <n v="0"/>
    <s v="50W"/>
    <n v="2"/>
    <x v="0"/>
    <n v="14405.681818181818"/>
    <n v="1"/>
    <n v="14405.681818181818"/>
    <x v="0"/>
  </r>
  <r>
    <x v="428"/>
    <s v="1125E/SR234"/>
    <m/>
    <x v="65"/>
    <x v="6"/>
    <n v="5275"/>
    <n v="20"/>
    <s v="AC"/>
    <s v="B"/>
    <n v="0"/>
    <n v="6"/>
    <n v="6"/>
    <n v="6"/>
    <n v="5"/>
    <n v="4"/>
    <n v="4"/>
    <n v="9"/>
    <n v="8"/>
    <n v="8"/>
    <n v="8"/>
    <m/>
    <m/>
    <m/>
    <n v="94"/>
    <n v="0"/>
    <s v="1125E"/>
    <n v="6"/>
    <x v="0"/>
    <n v="20980.113636363636"/>
    <m/>
    <n v="0"/>
    <x v="6"/>
  </r>
  <r>
    <x v="429"/>
    <s v="900E/700N"/>
    <m/>
    <x v="99"/>
    <x v="82"/>
    <n v="2217"/>
    <n v="20"/>
    <s v="CS"/>
    <s v="B"/>
    <n v="0"/>
    <n v="4"/>
    <n v="3"/>
    <n v="10"/>
    <n v="9"/>
    <n v="8"/>
    <n v="8"/>
    <n v="7"/>
    <n v="7"/>
    <n v="7"/>
    <n v="7"/>
    <m/>
    <m/>
    <m/>
    <n v="68"/>
    <n v="0"/>
    <s v="900E"/>
    <n v="2"/>
    <x v="0"/>
    <n v="8817.613636363636"/>
    <m/>
    <n v="0"/>
    <x v="6"/>
  </r>
  <r>
    <x v="430"/>
    <s v="300W/200S"/>
    <m/>
    <x v="62"/>
    <x v="11"/>
    <n v="5337"/>
    <n v="20"/>
    <s v="G"/>
    <s v="SC"/>
    <n v="0"/>
    <n v="6"/>
    <n v="6"/>
    <n v="6"/>
    <n v="6"/>
    <n v="7"/>
    <n v="7"/>
    <n v="7"/>
    <n v="7"/>
    <n v="7"/>
    <n v="7"/>
    <m/>
    <m/>
    <m/>
    <n v="56"/>
    <n v="0"/>
    <s v="300W"/>
    <n v="3"/>
    <x v="0"/>
    <n v="21226.704545454544"/>
    <m/>
    <n v="0"/>
    <x v="6"/>
  </r>
  <r>
    <x v="431"/>
    <s v="100W/300N"/>
    <m/>
    <x v="115"/>
    <x v="36"/>
    <n v="2560"/>
    <n v="20"/>
    <s v="CS"/>
    <s v="C"/>
    <n v="0"/>
    <n v="5"/>
    <n v="3"/>
    <n v="5"/>
    <n v="5"/>
    <n v="7"/>
    <n v="7"/>
    <n v="7"/>
    <n v="7"/>
    <n v="7"/>
    <n v="7"/>
    <m/>
    <m/>
    <m/>
    <n v="50"/>
    <n v="0"/>
    <s v="100W"/>
    <n v="3"/>
    <x v="0"/>
    <n v="10181.818181818182"/>
    <m/>
    <n v="0"/>
    <x v="6"/>
  </r>
  <r>
    <x v="432"/>
    <s v="50W/SR234"/>
    <m/>
    <x v="7"/>
    <x v="82"/>
    <n v="5330"/>
    <n v="20"/>
    <s v="CS"/>
    <s v="V"/>
    <n v="0"/>
    <n v="7"/>
    <n v="7"/>
    <n v="6"/>
    <n v="6"/>
    <n v="6"/>
    <n v="6"/>
    <n v="6"/>
    <n v="8"/>
    <n v="7"/>
    <n v="7"/>
    <m/>
    <m/>
    <m/>
    <n v="87"/>
    <n v="0"/>
    <s v="50W"/>
    <n v="4"/>
    <x v="2"/>
    <n v="32303.030303030304"/>
    <m/>
    <n v="0"/>
    <x v="4"/>
  </r>
  <r>
    <x v="433"/>
    <s v="1025E/700N"/>
    <m/>
    <x v="20"/>
    <x v="5"/>
    <n v="2600"/>
    <n v="20"/>
    <s v="AC"/>
    <s v="B"/>
    <n v="0"/>
    <n v="6"/>
    <n v="6"/>
    <n v="6"/>
    <n v="5"/>
    <n v="5"/>
    <n v="5"/>
    <n v="9"/>
    <n v="8"/>
    <n v="7"/>
    <n v="7"/>
    <m/>
    <m/>
    <s v="Y"/>
    <n v="50"/>
    <n v="0"/>
    <s v="1025E"/>
    <n v="5"/>
    <x v="0"/>
    <n v="10340.90909090909"/>
    <m/>
    <n v="0"/>
    <x v="6"/>
  </r>
  <r>
    <x v="434"/>
    <s v="525W/100N"/>
    <m/>
    <x v="59"/>
    <x v="70"/>
    <n v="6784"/>
    <n v="20"/>
    <s v="AC"/>
    <s v="BC"/>
    <n v="0"/>
    <n v="7"/>
    <n v="7"/>
    <n v="7"/>
    <n v="7"/>
    <n v="7"/>
    <n v="6"/>
    <n v="5"/>
    <n v="5"/>
    <n v="7"/>
    <n v="7"/>
    <m/>
    <m/>
    <m/>
    <n v="252"/>
    <n v="0"/>
    <s v="525W"/>
    <n v="3"/>
    <x v="0"/>
    <n v="26981.81818181818"/>
    <m/>
    <n v="0"/>
    <x v="2"/>
  </r>
  <r>
    <x v="435"/>
    <s v="525W/200N"/>
    <m/>
    <x v="44"/>
    <x v="51"/>
    <n v="5310"/>
    <n v="20"/>
    <s v="AC"/>
    <s v="BC"/>
    <n v="0"/>
    <n v="5"/>
    <n v="9"/>
    <n v="9"/>
    <n v="9"/>
    <n v="9"/>
    <n v="8"/>
    <n v="7"/>
    <n v="7"/>
    <n v="7"/>
    <n v="7"/>
    <m/>
    <m/>
    <m/>
    <n v="252"/>
    <n v="0"/>
    <s v="525W"/>
    <n v="1"/>
    <x v="0"/>
    <n v="21119.31818181818"/>
    <m/>
    <n v="0"/>
    <x v="4"/>
  </r>
  <r>
    <x v="436"/>
    <s v="550E/1000N"/>
    <m/>
    <x v="60"/>
    <x v="88"/>
    <n v="5280"/>
    <n v="20"/>
    <s v="DS"/>
    <s v="G"/>
    <n v="0"/>
    <n v="6"/>
    <n v="6"/>
    <n v="6"/>
    <n v="6"/>
    <n v="6"/>
    <n v="6"/>
    <n v="6"/>
    <n v="6"/>
    <n v="7"/>
    <n v="7"/>
    <m/>
    <m/>
    <m/>
    <n v="12"/>
    <n v="0"/>
    <s v="550E"/>
    <n v="4"/>
    <x v="2"/>
    <n v="32000"/>
    <m/>
    <n v="0"/>
    <x v="2"/>
  </r>
  <r>
    <x v="437"/>
    <s v="550N/1050E"/>
    <m/>
    <x v="67"/>
    <x v="102"/>
    <n v="2700"/>
    <n v="20"/>
    <s v="CS"/>
    <s v="J"/>
    <n v="0"/>
    <n v="6"/>
    <n v="3"/>
    <n v="10"/>
    <n v="9"/>
    <n v="8"/>
    <n v="8"/>
    <n v="8"/>
    <n v="8"/>
    <n v="7"/>
    <n v="7"/>
    <m/>
    <m/>
    <m/>
    <n v="50"/>
    <n v="0"/>
    <s v="550N"/>
    <n v="2"/>
    <x v="0"/>
    <n v="10738.636363636364"/>
    <n v="1"/>
    <n v="10738.636363636364"/>
    <x v="3"/>
  </r>
  <r>
    <x v="438"/>
    <s v="550N/E. CO. LINE"/>
    <m/>
    <x v="67"/>
    <x v="69"/>
    <n v="2755"/>
    <n v="20"/>
    <s v="CS"/>
    <s v="J"/>
    <n v="0"/>
    <n v="4"/>
    <n v="4"/>
    <n v="10"/>
    <n v="9"/>
    <n v="8"/>
    <n v="8"/>
    <n v="8"/>
    <n v="8"/>
    <n v="7"/>
    <n v="7"/>
    <m/>
    <m/>
    <m/>
    <n v="50"/>
    <n v="0"/>
    <s v="550N"/>
    <n v="2"/>
    <x v="0"/>
    <n v="10957.386363636364"/>
    <n v="1"/>
    <n v="10957.386363636364"/>
    <x v="3"/>
  </r>
  <r>
    <x v="439"/>
    <s v="550N/END"/>
    <m/>
    <x v="21"/>
    <x v="25"/>
    <n v="2792"/>
    <n v="20"/>
    <s v="CS"/>
    <s v="C"/>
    <n v="0"/>
    <n v="7"/>
    <n v="7"/>
    <n v="7"/>
    <n v="7"/>
    <n v="8"/>
    <n v="7"/>
    <n v="7"/>
    <n v="7"/>
    <n v="7"/>
    <n v="7"/>
    <m/>
    <m/>
    <m/>
    <n v="50"/>
    <n v="0"/>
    <s v="550N"/>
    <n v="2"/>
    <x v="0"/>
    <n v="11104.545454545454"/>
    <m/>
    <n v="0"/>
    <x v="3"/>
  </r>
  <r>
    <x v="440"/>
    <s v="550S/500E"/>
    <m/>
    <x v="32"/>
    <x v="73"/>
    <n v="4665"/>
    <n v="20"/>
    <s v="G"/>
    <s v="BR"/>
    <n v="0"/>
    <n v="6"/>
    <n v="8"/>
    <n v="8"/>
    <n v="8"/>
    <n v="8"/>
    <n v="8"/>
    <n v="7"/>
    <n v="7"/>
    <n v="7"/>
    <n v="7"/>
    <m/>
    <m/>
    <m/>
    <n v="50"/>
    <n v="0"/>
    <s v="550S"/>
    <n v="2"/>
    <x v="0"/>
    <n v="18553.977272727272"/>
    <m/>
    <n v="0"/>
    <x v="2"/>
  </r>
  <r>
    <x v="441"/>
    <s v="550S/800E"/>
    <m/>
    <x v="110"/>
    <x v="38"/>
    <n v="11555"/>
    <n v="20"/>
    <s v="CS"/>
    <s v="BR"/>
    <n v="0"/>
    <n v="4"/>
    <n v="4"/>
    <n v="9"/>
    <n v="9"/>
    <n v="8"/>
    <n v="8"/>
    <n v="8"/>
    <n v="8"/>
    <n v="8"/>
    <n v="8"/>
    <m/>
    <m/>
    <m/>
    <n v="339"/>
    <n v="0"/>
    <s v="550S"/>
    <n v="2"/>
    <x v="0"/>
    <n v="45957.38636363636"/>
    <m/>
    <n v="0"/>
    <x v="3"/>
  </r>
  <r>
    <x v="442"/>
    <s v="550S/900E"/>
    <m/>
    <x v="38"/>
    <x v="77"/>
    <n v="5362"/>
    <n v="20"/>
    <s v="CS"/>
    <s v="BR"/>
    <n v="0"/>
    <n v="8"/>
    <n v="5"/>
    <n v="8"/>
    <n v="9"/>
    <n v="8"/>
    <n v="7"/>
    <n v="6"/>
    <n v="7"/>
    <n v="7"/>
    <n v="8"/>
    <m/>
    <m/>
    <m/>
    <n v="50"/>
    <n v="0"/>
    <s v="550S"/>
    <n v="2"/>
    <x v="2"/>
    <n v="32496.969696969696"/>
    <m/>
    <n v="0"/>
    <x v="2"/>
  </r>
  <r>
    <x v="443"/>
    <s v="550W/STINEMYER RD"/>
    <m/>
    <x v="72"/>
    <x v="67"/>
    <n v="6100"/>
    <n v="20"/>
    <s v="CS"/>
    <s v="SC"/>
    <n v="0"/>
    <n v="6"/>
    <n v="6"/>
    <n v="6"/>
    <n v="7"/>
    <n v="8"/>
    <n v="8"/>
    <n v="7"/>
    <n v="7"/>
    <n v="7"/>
    <n v="7"/>
    <m/>
    <m/>
    <m/>
    <n v="357"/>
    <n v="0"/>
    <s v="550W"/>
    <n v="2"/>
    <x v="0"/>
    <n v="24261.363636363636"/>
    <n v="1"/>
    <n v="24261.363636363636"/>
    <x v="0"/>
  </r>
  <r>
    <x v="444"/>
    <s v="550W/US52"/>
    <m/>
    <x v="114"/>
    <x v="71"/>
    <n v="2008"/>
    <n v="20"/>
    <s v="AC"/>
    <s v="SC"/>
    <n v="0"/>
    <n v="6"/>
    <n v="6"/>
    <n v="8"/>
    <n v="6"/>
    <n v="6"/>
    <n v="7"/>
    <n v="7"/>
    <n v="7"/>
    <n v="7"/>
    <n v="7"/>
    <m/>
    <m/>
    <m/>
    <n v="892"/>
    <n v="0.5"/>
    <s v="550W"/>
    <n v="4.5"/>
    <x v="0"/>
    <n v="7986.363636363636"/>
    <m/>
    <n v="0"/>
    <x v="2"/>
  </r>
  <r>
    <x v="445"/>
    <s v="575E/500S"/>
    <m/>
    <x v="24"/>
    <x v="111"/>
    <n v="3907"/>
    <n v="20"/>
    <s v="AC"/>
    <s v="BR"/>
    <n v="0"/>
    <n v="9"/>
    <n v="8"/>
    <n v="8"/>
    <n v="8"/>
    <n v="8"/>
    <n v="8"/>
    <n v="7"/>
    <n v="7"/>
    <n v="7"/>
    <n v="7"/>
    <m/>
    <n v="2021"/>
    <s v="Y"/>
    <n v="1062"/>
    <n v="0.5"/>
    <s v="575E"/>
    <n v="2.5"/>
    <x v="0"/>
    <n v="15539.204545454546"/>
    <m/>
    <n v="0"/>
    <x v="4"/>
  </r>
  <r>
    <x v="446"/>
    <s v="575E/550S"/>
    <m/>
    <x v="106"/>
    <x v="54"/>
    <n v="2798"/>
    <n v="20"/>
    <s v="AC"/>
    <s v="BR"/>
    <n v="0"/>
    <n v="9"/>
    <n v="8"/>
    <n v="8"/>
    <n v="8"/>
    <n v="8"/>
    <n v="8"/>
    <n v="7"/>
    <n v="7"/>
    <n v="7"/>
    <n v="7"/>
    <m/>
    <n v="2021"/>
    <s v="Y"/>
    <n v="1062"/>
    <n v="0.5"/>
    <s v="575E"/>
    <n v="2.5"/>
    <x v="0"/>
    <n v="11128.40909090909"/>
    <m/>
    <n v="0"/>
    <x v="4"/>
  </r>
  <r>
    <x v="447"/>
    <s v="600E/1000N"/>
    <m/>
    <x v="5"/>
    <x v="61"/>
    <n v="5438"/>
    <n v="20"/>
    <s v="AC"/>
    <s v="G"/>
    <n v="0"/>
    <n v="7"/>
    <n v="8"/>
    <n v="8"/>
    <n v="8"/>
    <n v="6"/>
    <n v="6"/>
    <n v="7"/>
    <n v="7"/>
    <n v="7"/>
    <n v="7"/>
    <n v="2024"/>
    <n v="2022"/>
    <s v="Y"/>
    <n v="179"/>
    <n v="0"/>
    <s v="600E"/>
    <n v="4"/>
    <x v="2"/>
    <n v="32957.57575757576"/>
    <n v="1"/>
    <n v="32957.57575757576"/>
    <x v="0"/>
  </r>
  <r>
    <x v="448"/>
    <s v="600E/100N"/>
    <m/>
    <x v="23"/>
    <x v="70"/>
    <n v="4240"/>
    <n v="20"/>
    <s v="AC"/>
    <s v="J"/>
    <n v="0"/>
    <n v="7"/>
    <n v="8"/>
    <n v="8"/>
    <n v="8"/>
    <n v="7"/>
    <n v="7"/>
    <n v="7"/>
    <n v="7"/>
    <n v="7"/>
    <n v="7"/>
    <m/>
    <n v="2021"/>
    <s v="Y"/>
    <n v="2076"/>
    <n v="1"/>
    <s v="600E"/>
    <n v="4"/>
    <x v="5"/>
    <n v="64242.42424242424"/>
    <m/>
    <n v="0"/>
    <x v="0"/>
  </r>
  <r>
    <x v="449"/>
    <s v="600E/100S"/>
    <m/>
    <x v="62"/>
    <x v="63"/>
    <n v="5840"/>
    <n v="20"/>
    <s v="AC"/>
    <s v="BR"/>
    <n v="0"/>
    <n v="7"/>
    <n v="7"/>
    <n v="7"/>
    <n v="7"/>
    <n v="7"/>
    <n v="7"/>
    <n v="6"/>
    <n v="7"/>
    <n v="7"/>
    <n v="7"/>
    <m/>
    <n v="2021"/>
    <s v="Y"/>
    <n v="1727"/>
    <n v="1"/>
    <s v="600E"/>
    <n v="4"/>
    <x v="0"/>
    <n v="23227.272727272728"/>
    <m/>
    <n v="0"/>
    <x v="4"/>
  </r>
  <r>
    <x v="450"/>
    <s v="600E/200N"/>
    <m/>
    <x v="44"/>
    <x v="51"/>
    <n v="5385"/>
    <n v="20"/>
    <s v="AC"/>
    <s v="J"/>
    <n v="0"/>
    <n v="8"/>
    <n v="8"/>
    <n v="8"/>
    <n v="8"/>
    <n v="7"/>
    <n v="7"/>
    <n v="7"/>
    <n v="7"/>
    <n v="7"/>
    <n v="7"/>
    <m/>
    <n v="2021"/>
    <s v="Y"/>
    <n v="2199"/>
    <n v="1"/>
    <s v="600E"/>
    <n v="4"/>
    <x v="5"/>
    <n v="81590.909090909088"/>
    <m/>
    <n v="0"/>
    <x v="0"/>
  </r>
  <r>
    <x v="451"/>
    <s v="125W/200N"/>
    <m/>
    <x v="35"/>
    <x v="53"/>
    <n v="1310"/>
    <n v="20"/>
    <s v="CS"/>
    <s v="C"/>
    <n v="0"/>
    <n v="5"/>
    <n v="5"/>
    <n v="5"/>
    <n v="5"/>
    <n v="5"/>
    <n v="5"/>
    <n v="8"/>
    <n v="8"/>
    <n v="7"/>
    <n v="7"/>
    <m/>
    <m/>
    <m/>
    <n v="50"/>
    <n v="0"/>
    <s v="125W"/>
    <n v="5"/>
    <x v="0"/>
    <n v="5210.227272727273"/>
    <m/>
    <n v="0"/>
    <x v="6"/>
  </r>
  <r>
    <x v="452"/>
    <s v="600E/250N"/>
    <m/>
    <x v="35"/>
    <x v="56"/>
    <n v="2693"/>
    <n v="20"/>
    <s v="AC"/>
    <s v="J"/>
    <n v="0"/>
    <n v="8"/>
    <n v="8"/>
    <n v="8"/>
    <n v="8"/>
    <n v="7"/>
    <n v="7"/>
    <n v="7"/>
    <n v="7"/>
    <n v="7"/>
    <n v="7"/>
    <m/>
    <n v="2021"/>
    <s v="Y"/>
    <n v="2252"/>
    <n v="1"/>
    <s v="600E"/>
    <n v="4"/>
    <x v="5"/>
    <n v="40803.030303030304"/>
    <m/>
    <n v="0"/>
    <x v="0"/>
  </r>
  <r>
    <x v="453"/>
    <s v="125W/300N"/>
    <m/>
    <x v="50"/>
    <x v="53"/>
    <n v="2240"/>
    <n v="20"/>
    <s v="CS"/>
    <s v="C"/>
    <n v="0"/>
    <n v="6"/>
    <n v="6"/>
    <n v="6"/>
    <n v="6"/>
    <n v="5"/>
    <n v="4"/>
    <n v="9"/>
    <n v="8"/>
    <n v="8"/>
    <n v="8"/>
    <m/>
    <m/>
    <m/>
    <n v="50"/>
    <n v="0"/>
    <s v="125W"/>
    <n v="5"/>
    <x v="0"/>
    <n v="8909.0909090909099"/>
    <m/>
    <n v="0"/>
    <x v="6"/>
  </r>
  <r>
    <x v="454"/>
    <s v="600E/300N"/>
    <m/>
    <x v="56"/>
    <x v="36"/>
    <n v="2640"/>
    <n v="20"/>
    <s v="AC"/>
    <s v="J"/>
    <n v="0"/>
    <n v="8"/>
    <n v="8"/>
    <n v="8"/>
    <n v="8"/>
    <n v="7"/>
    <n v="7"/>
    <n v="7"/>
    <n v="7"/>
    <n v="7"/>
    <n v="7"/>
    <m/>
    <n v="2021"/>
    <s v="Y"/>
    <n v="1714"/>
    <n v="1"/>
    <s v="600E"/>
    <n v="4"/>
    <x v="5"/>
    <n v="40000"/>
    <n v="1"/>
    <n v="40000"/>
    <x v="0"/>
  </r>
  <r>
    <x v="455"/>
    <s v="200E/500S"/>
    <m/>
    <x v="24"/>
    <x v="54"/>
    <n v="5340"/>
    <n v="20"/>
    <s v="AC"/>
    <s v="BW"/>
    <n v="0"/>
    <n v="4"/>
    <n v="5"/>
    <n v="5"/>
    <n v="5"/>
    <n v="5"/>
    <n v="5"/>
    <n v="9"/>
    <n v="8"/>
    <n v="7"/>
    <n v="7"/>
    <m/>
    <m/>
    <m/>
    <n v="50"/>
    <n v="0"/>
    <s v="200E"/>
    <n v="5"/>
    <x v="0"/>
    <n v="21238.636363636364"/>
    <m/>
    <n v="0"/>
    <x v="6"/>
  </r>
  <r>
    <x v="456"/>
    <s v="600E/400N"/>
    <m/>
    <x v="50"/>
    <x v="2"/>
    <n v="5370"/>
    <n v="20"/>
    <s v="AC"/>
    <s v="J"/>
    <n v="0"/>
    <n v="7"/>
    <n v="8"/>
    <n v="8"/>
    <n v="8"/>
    <n v="7"/>
    <n v="7"/>
    <n v="7"/>
    <n v="7"/>
    <n v="7"/>
    <n v="7"/>
    <m/>
    <n v="2021"/>
    <s v="Y"/>
    <n v="1868"/>
    <n v="1"/>
    <s v="600E"/>
    <n v="4"/>
    <x v="5"/>
    <n v="81363.636363636368"/>
    <n v="1"/>
    <n v="81363.636363636368"/>
    <x v="0"/>
  </r>
  <r>
    <x v="457"/>
    <s v="25W/600N"/>
    <m/>
    <x v="77"/>
    <x v="3"/>
    <n v="5370"/>
    <n v="20"/>
    <s v="AC"/>
    <s v="C"/>
    <n v="0"/>
    <n v="7"/>
    <n v="7"/>
    <n v="7"/>
    <n v="7"/>
    <n v="7"/>
    <n v="6"/>
    <m/>
    <n v="7"/>
    <n v="7"/>
    <n v="7"/>
    <m/>
    <m/>
    <m/>
    <n v="50"/>
    <n v="0"/>
    <s v="25W"/>
    <n v="3"/>
    <x v="0"/>
    <n v="21357.954545454544"/>
    <m/>
    <n v="0"/>
    <x v="6"/>
  </r>
  <r>
    <x v="458"/>
    <s v="600E/500N"/>
    <m/>
    <x v="3"/>
    <x v="3"/>
    <n v="5385"/>
    <n v="20"/>
    <s v="AC"/>
    <s v="J"/>
    <n v="0"/>
    <n v="6"/>
    <n v="8"/>
    <n v="8"/>
    <n v="7"/>
    <n v="6"/>
    <n v="6"/>
    <n v="7"/>
    <n v="7"/>
    <n v="7"/>
    <n v="7"/>
    <m/>
    <n v="2021"/>
    <s v="Y"/>
    <n v="1776"/>
    <n v="1"/>
    <s v="600E"/>
    <n v="5"/>
    <x v="5"/>
    <n v="81590.909090909088"/>
    <n v="1"/>
    <n v="81590.909090909088"/>
    <x v="0"/>
  </r>
  <r>
    <x v="459"/>
    <s v="600E/600N"/>
    <m/>
    <x v="77"/>
    <x v="3"/>
    <n v="5030"/>
    <n v="20"/>
    <s v="AC"/>
    <s v="J"/>
    <n v="0"/>
    <n v="7"/>
    <n v="8"/>
    <n v="8"/>
    <n v="8"/>
    <n v="7"/>
    <n v="7"/>
    <n v="7"/>
    <n v="7"/>
    <n v="7"/>
    <n v="7"/>
    <m/>
    <n v="2021"/>
    <s v="Y"/>
    <n v="2670"/>
    <n v="1.5"/>
    <s v="600E"/>
    <n v="4.5"/>
    <x v="5"/>
    <n v="76212.121212121216"/>
    <n v="1"/>
    <n v="76212.121212121216"/>
    <x v="0"/>
  </r>
  <r>
    <x v="460"/>
    <s v="600E/650N"/>
    <m/>
    <x v="77"/>
    <x v="5"/>
    <n v="2628"/>
    <n v="20"/>
    <s v="AC"/>
    <s v="G"/>
    <n v="0"/>
    <n v="7"/>
    <n v="8"/>
    <n v="7"/>
    <n v="7"/>
    <n v="6"/>
    <n v="6"/>
    <n v="7"/>
    <n v="7"/>
    <n v="7"/>
    <n v="7"/>
    <m/>
    <n v="2021"/>
    <s v="Y"/>
    <n v="2566"/>
    <n v="1.5"/>
    <s v="600E"/>
    <n v="5.5"/>
    <x v="5"/>
    <n v="39818.181818181816"/>
    <n v="1"/>
    <n v="39818.181818181816"/>
    <x v="3"/>
  </r>
  <r>
    <x v="461"/>
    <s v="600E/700N"/>
    <m/>
    <x v="99"/>
    <x v="82"/>
    <n v="2692"/>
    <n v="20"/>
    <s v="AC"/>
    <s v="G"/>
    <n v="0"/>
    <n v="7"/>
    <n v="8"/>
    <n v="8"/>
    <n v="8"/>
    <n v="7"/>
    <n v="7"/>
    <n v="7"/>
    <n v="7"/>
    <n v="7"/>
    <n v="7"/>
    <m/>
    <n v="2021"/>
    <s v="Y"/>
    <n v="2566"/>
    <n v="1.5"/>
    <s v="600E"/>
    <n v="4.5"/>
    <x v="5"/>
    <n v="40787.878787878784"/>
    <n v="1"/>
    <n v="40787.878787878784"/>
    <x v="3"/>
  </r>
  <r>
    <x v="462"/>
    <s v="600E/900N"/>
    <m/>
    <x v="7"/>
    <x v="88"/>
    <n v="4332"/>
    <n v="20"/>
    <s v="CS"/>
    <s v="G"/>
    <n v="0"/>
    <n v="5"/>
    <n v="8"/>
    <n v="8"/>
    <n v="8"/>
    <n v="8"/>
    <n v="8"/>
    <n v="8"/>
    <n v="8"/>
    <n v="7"/>
    <n v="7"/>
    <n v="2024"/>
    <n v="2018"/>
    <s v="Y"/>
    <n v="271"/>
    <n v="0"/>
    <s v="600E"/>
    <n v="2"/>
    <x v="4"/>
    <n v="90250"/>
    <n v="1"/>
    <n v="90250"/>
    <x v="3"/>
  </r>
  <r>
    <x v="463"/>
    <s v="600E/N. TWP LINE"/>
    <m/>
    <x v="59"/>
    <x v="63"/>
    <n v="5017"/>
    <n v="20"/>
    <s v="AC"/>
    <s v="BR"/>
    <n v="0"/>
    <n v="7"/>
    <n v="7"/>
    <n v="7"/>
    <n v="7"/>
    <n v="7"/>
    <n v="7"/>
    <n v="7"/>
    <n v="7"/>
    <n v="7"/>
    <n v="7"/>
    <n v="2024"/>
    <m/>
    <s v="Y"/>
    <n v="2222"/>
    <n v="1"/>
    <s v="600E"/>
    <n v="4"/>
    <x v="4"/>
    <n v="104520.83333333333"/>
    <n v="1"/>
    <n v="104520.83333333333"/>
    <x v="0"/>
  </r>
  <r>
    <x v="464"/>
    <s v="600E/SR234"/>
    <m/>
    <x v="65"/>
    <x v="6"/>
    <n v="5332"/>
    <n v="20"/>
    <s v="AC"/>
    <s v="G"/>
    <n v="0"/>
    <n v="8"/>
    <n v="8"/>
    <n v="8"/>
    <n v="8"/>
    <n v="7"/>
    <n v="7"/>
    <n v="7"/>
    <n v="7"/>
    <n v="7"/>
    <n v="7"/>
    <m/>
    <n v="2021"/>
    <s v="Y"/>
    <n v="2242"/>
    <n v="1"/>
    <s v="600E"/>
    <n v="4"/>
    <x v="5"/>
    <n v="80787.878787878784"/>
    <n v="1"/>
    <n v="80787.878787878784"/>
    <x v="3"/>
  </r>
  <r>
    <x v="465"/>
    <s v="600E/US40"/>
    <m/>
    <x v="23"/>
    <x v="80"/>
    <n v="988"/>
    <n v="20"/>
    <s v="AC"/>
    <s v="J"/>
    <n v="0"/>
    <n v="6"/>
    <n v="6"/>
    <n v="6"/>
    <n v="9"/>
    <n v="9"/>
    <n v="8"/>
    <n v="7"/>
    <n v="7"/>
    <n v="7"/>
    <n v="7"/>
    <n v="2024"/>
    <m/>
    <s v="Y"/>
    <n v="2222"/>
    <n v="1"/>
    <s v="600E"/>
    <n v="2"/>
    <x v="4"/>
    <n v="20583.333333333332"/>
    <n v="1"/>
    <n v="20583.333333333332"/>
    <x v="0"/>
  </r>
  <r>
    <x v="466"/>
    <s v="600N/200W"/>
    <s v="600N/200W"/>
    <x v="27"/>
    <x v="29"/>
    <n v="5280"/>
    <n v="20"/>
    <s v="CS"/>
    <s v="V"/>
    <n v="0"/>
    <n v="6"/>
    <n v="6"/>
    <n v="6"/>
    <n v="6"/>
    <n v="8"/>
    <n v="8"/>
    <n v="8"/>
    <n v="8"/>
    <n v="7"/>
    <n v="7"/>
    <n v="2024"/>
    <n v="2021"/>
    <s v="Y"/>
    <n v="2102"/>
    <n v="1"/>
    <s v="600N"/>
    <n v="3"/>
    <x v="5"/>
    <n v="80000"/>
    <n v="1"/>
    <n v="80000"/>
    <x v="3"/>
  </r>
  <r>
    <x v="467"/>
    <s v="600N/250E"/>
    <m/>
    <x v="116"/>
    <x v="19"/>
    <n v="3534"/>
    <n v="20"/>
    <s v="AC"/>
    <s v="G"/>
    <n v="0"/>
    <n v="8"/>
    <n v="7"/>
    <n v="7"/>
    <n v="7"/>
    <n v="7"/>
    <n v="7"/>
    <n v="7"/>
    <n v="7"/>
    <n v="7"/>
    <n v="8"/>
    <m/>
    <n v="2021"/>
    <s v="Y"/>
    <n v="1434"/>
    <n v="0.5"/>
    <s v="600N"/>
    <n v="3.5"/>
    <x v="7"/>
    <n v="16732.954545454544"/>
    <m/>
    <n v="0"/>
    <x v="5"/>
  </r>
  <r>
    <x v="468"/>
    <s v="600N/25W"/>
    <m/>
    <x v="108"/>
    <x v="20"/>
    <n v="2227"/>
    <n v="20"/>
    <s v="AC"/>
    <s v="V"/>
    <n v="0"/>
    <n v="10"/>
    <n v="8"/>
    <n v="8"/>
    <n v="8"/>
    <n v="8"/>
    <n v="8"/>
    <n v="8"/>
    <n v="8"/>
    <n v="7"/>
    <n v="8"/>
    <m/>
    <n v="2021"/>
    <s v="Y"/>
    <n v="1328"/>
    <n v="0.5"/>
    <s v="600N"/>
    <n v="2.5"/>
    <x v="7"/>
    <n v="10544.507575757576"/>
    <m/>
    <n v="0"/>
    <x v="5"/>
  </r>
  <r>
    <x v="469"/>
    <s v="600N/300E"/>
    <m/>
    <x v="85"/>
    <x v="121"/>
    <n v="2755"/>
    <n v="20"/>
    <s v="AC"/>
    <s v="G"/>
    <n v="0"/>
    <n v="7"/>
    <n v="7"/>
    <n v="7"/>
    <n v="7"/>
    <n v="7"/>
    <n v="7"/>
    <n v="7"/>
    <n v="7"/>
    <n v="7"/>
    <n v="8"/>
    <m/>
    <n v="2021"/>
    <s v="Y"/>
    <n v="1170"/>
    <n v="0.5"/>
    <s v="600N"/>
    <n v="3.5"/>
    <x v="7"/>
    <n v="13044.507575757576"/>
    <m/>
    <n v="0"/>
    <x v="5"/>
  </r>
  <r>
    <x v="470"/>
    <s v="600N/300W"/>
    <m/>
    <x v="28"/>
    <x v="30"/>
    <n v="2668"/>
    <n v="20"/>
    <s v="CS"/>
    <s v="V"/>
    <n v="0"/>
    <n v="6"/>
    <n v="6"/>
    <n v="6"/>
    <n v="6"/>
    <n v="8"/>
    <n v="8"/>
    <n v="8"/>
    <n v="8"/>
    <n v="7"/>
    <n v="7"/>
    <n v="2024"/>
    <n v="2021"/>
    <s v="Y"/>
    <n v="2134"/>
    <n v="1"/>
    <s v="600N"/>
    <n v="3"/>
    <x v="5"/>
    <n v="40424.242424242424"/>
    <n v="1"/>
    <n v="40424.242424242424"/>
    <x v="3"/>
  </r>
  <r>
    <x v="471"/>
    <s v="600N/350W"/>
    <m/>
    <x v="29"/>
    <x v="31"/>
    <n v="2671"/>
    <n v="20"/>
    <s v="CS"/>
    <s v="V"/>
    <n v="0"/>
    <n v="6"/>
    <n v="6"/>
    <n v="6"/>
    <n v="6"/>
    <n v="8"/>
    <n v="8"/>
    <n v="8"/>
    <n v="8"/>
    <n v="7"/>
    <n v="7"/>
    <n v="2024"/>
    <n v="2021"/>
    <s v="Y"/>
    <n v="2134"/>
    <n v="1"/>
    <s v="600N"/>
    <n v="3"/>
    <x v="5"/>
    <n v="40469.696969696968"/>
    <n v="1"/>
    <n v="40469.696969696968"/>
    <x v="3"/>
  </r>
  <r>
    <x v="472"/>
    <s v="600N/400E"/>
    <m/>
    <x v="30"/>
    <x v="104"/>
    <n v="5262"/>
    <n v="20"/>
    <s v="AC"/>
    <s v="G"/>
    <n v="0"/>
    <n v="7"/>
    <n v="7"/>
    <n v="7"/>
    <n v="7"/>
    <n v="7"/>
    <n v="7"/>
    <n v="7"/>
    <n v="7"/>
    <n v="7"/>
    <n v="8"/>
    <m/>
    <n v="2021"/>
    <s v="Y"/>
    <n v="1067"/>
    <n v="0.5"/>
    <s v="600N"/>
    <n v="3.5"/>
    <x v="7"/>
    <n v="24914.772727272728"/>
    <m/>
    <n v="0"/>
    <x v="5"/>
  </r>
  <r>
    <x v="473"/>
    <s v="600N/400W"/>
    <m/>
    <x v="11"/>
    <x v="46"/>
    <n v="3994"/>
    <n v="20"/>
    <s v="CS"/>
    <s v="V"/>
    <n v="0"/>
    <n v="6"/>
    <n v="6"/>
    <n v="8"/>
    <n v="8"/>
    <n v="8"/>
    <n v="8"/>
    <n v="8"/>
    <n v="8"/>
    <n v="7"/>
    <n v="7"/>
    <n v="2024"/>
    <n v="2021"/>
    <s v="Y"/>
    <n v="2165"/>
    <n v="1"/>
    <s v="600N"/>
    <n v="3"/>
    <x v="5"/>
    <n v="60515.151515151512"/>
    <n v="1"/>
    <n v="60515.151515151512"/>
    <x v="3"/>
  </r>
  <r>
    <x v="474"/>
    <s v="600N/500E"/>
    <m/>
    <x v="32"/>
    <x v="73"/>
    <n v="5329"/>
    <n v="20"/>
    <s v="AC"/>
    <s v="G"/>
    <n v="0"/>
    <n v="7"/>
    <n v="8"/>
    <n v="8"/>
    <n v="8"/>
    <n v="8"/>
    <n v="8"/>
    <n v="8"/>
    <n v="7"/>
    <n v="7"/>
    <n v="8"/>
    <m/>
    <n v="2021"/>
    <s v="Y"/>
    <n v="594"/>
    <n v="0.5"/>
    <s v="600N"/>
    <n v="2.5"/>
    <x v="7"/>
    <n v="25232.007575757576"/>
    <m/>
    <n v="0"/>
    <x v="5"/>
  </r>
  <r>
    <x v="475"/>
    <s v="600N/500W"/>
    <m/>
    <x v="117"/>
    <x v="34"/>
    <n v="2669"/>
    <n v="20"/>
    <s v="AC"/>
    <s v="V"/>
    <n v="0"/>
    <n v="7"/>
    <n v="6"/>
    <n v="6"/>
    <n v="9"/>
    <n v="8"/>
    <n v="8"/>
    <n v="8"/>
    <n v="8"/>
    <n v="7"/>
    <n v="7"/>
    <n v="2024"/>
    <m/>
    <s v="Y"/>
    <n v="3089"/>
    <n v="1.5"/>
    <s v="600N"/>
    <n v="3.5"/>
    <x v="5"/>
    <n v="40439.393939393936"/>
    <n v="1"/>
    <n v="40439.393939393936"/>
    <x v="3"/>
  </r>
  <r>
    <x v="476"/>
    <s v="600N/50E"/>
    <m/>
    <x v="89"/>
    <x v="20"/>
    <n v="4407"/>
    <n v="20"/>
    <s v="AC"/>
    <s v="G"/>
    <n v="0"/>
    <n v="10"/>
    <n v="8"/>
    <n v="8"/>
    <n v="8"/>
    <n v="8"/>
    <n v="8"/>
    <n v="8"/>
    <n v="7"/>
    <n v="7"/>
    <n v="8"/>
    <m/>
    <n v="2021"/>
    <s v="Y"/>
    <n v="1334"/>
    <n v="0.5"/>
    <s v="600N"/>
    <n v="2.5"/>
    <x v="7"/>
    <n v="20866.477272727272"/>
    <m/>
    <n v="0"/>
    <x v="5"/>
  </r>
  <r>
    <x v="477"/>
    <s v="600N/50W"/>
    <m/>
    <x v="12"/>
    <x v="95"/>
    <n v="2405"/>
    <n v="20"/>
    <s v="AC"/>
    <s v="V"/>
    <n v="0"/>
    <n v="9"/>
    <n v="8"/>
    <n v="7"/>
    <n v="9"/>
    <n v="8"/>
    <n v="8"/>
    <n v="8"/>
    <n v="8"/>
    <n v="7"/>
    <n v="8"/>
    <m/>
    <n v="2021"/>
    <s v="Y"/>
    <n v="1328"/>
    <n v="0.5"/>
    <s v="600N"/>
    <n v="2.5"/>
    <x v="7"/>
    <n v="11387.310606060606"/>
    <m/>
    <n v="0"/>
    <x v="5"/>
  </r>
  <r>
    <x v="478"/>
    <s v="600N/600E"/>
    <m/>
    <x v="14"/>
    <x v="14"/>
    <n v="5452"/>
    <n v="20"/>
    <s v="AC"/>
    <s v="G"/>
    <n v="0"/>
    <n v="7"/>
    <n v="7"/>
    <n v="7"/>
    <n v="7"/>
    <n v="7"/>
    <n v="7"/>
    <n v="7"/>
    <n v="7"/>
    <n v="7"/>
    <n v="8"/>
    <m/>
    <n v="2021"/>
    <s v="Y"/>
    <n v="529"/>
    <n v="0.5"/>
    <s v="600N"/>
    <n v="3.5"/>
    <x v="7"/>
    <n v="25814.39393939394"/>
    <m/>
    <n v="0"/>
    <x v="5"/>
  </r>
  <r>
    <x v="479"/>
    <s v="600N/600W"/>
    <m/>
    <x v="43"/>
    <x v="48"/>
    <n v="1350"/>
    <n v="20"/>
    <s v="AC"/>
    <s v="V"/>
    <n v="0"/>
    <n v="7"/>
    <n v="7"/>
    <n v="7"/>
    <n v="6"/>
    <n v="6"/>
    <n v="7"/>
    <n v="8"/>
    <n v="8"/>
    <n v="7"/>
    <n v="7"/>
    <n v="2024"/>
    <m/>
    <s v="Y"/>
    <n v="3552"/>
    <n v="1.5"/>
    <s v="600N"/>
    <n v="5.5"/>
    <x v="0"/>
    <n v="5369.318181818182"/>
    <m/>
    <n v="0"/>
    <x v="3"/>
  </r>
  <r>
    <x v="480"/>
    <s v="600N/700E"/>
    <m/>
    <x v="118"/>
    <x v="68"/>
    <n v="3713"/>
    <n v="20"/>
    <s v="AC"/>
    <s v="B"/>
    <n v="0"/>
    <n v="8"/>
    <n v="7"/>
    <n v="7"/>
    <n v="7"/>
    <n v="7"/>
    <n v="7"/>
    <n v="7"/>
    <n v="7"/>
    <n v="7"/>
    <n v="7"/>
    <m/>
    <m/>
    <m/>
    <n v="142"/>
    <n v="0"/>
    <s v="600N"/>
    <n v="3"/>
    <x v="0"/>
    <n v="14767.613636363636"/>
    <m/>
    <n v="0"/>
    <x v="4"/>
  </r>
  <r>
    <x v="481"/>
    <s v="600N/800E"/>
    <m/>
    <x v="37"/>
    <x v="38"/>
    <n v="4724"/>
    <n v="20"/>
    <s v="AC"/>
    <s v="B"/>
    <n v="0"/>
    <n v="7"/>
    <n v="7"/>
    <n v="7"/>
    <n v="6"/>
    <n v="6"/>
    <n v="5"/>
    <n v="5"/>
    <n v="5"/>
    <n v="7"/>
    <n v="7"/>
    <m/>
    <n v="2021"/>
    <s v="Y"/>
    <n v="154"/>
    <n v="0"/>
    <s v="600N"/>
    <n v="4"/>
    <x v="7"/>
    <n v="22367.424242424244"/>
    <m/>
    <n v="0"/>
    <x v="5"/>
  </r>
  <r>
    <x v="482"/>
    <s v="600N/850E"/>
    <m/>
    <x v="38"/>
    <x v="39"/>
    <n v="2725"/>
    <n v="20"/>
    <s v="AC"/>
    <s v="B"/>
    <n v="0"/>
    <n v="9"/>
    <n v="8"/>
    <n v="8"/>
    <n v="8"/>
    <n v="8"/>
    <n v="8"/>
    <n v="7"/>
    <n v="7"/>
    <n v="7"/>
    <n v="7"/>
    <m/>
    <m/>
    <m/>
    <n v="154"/>
    <n v="0"/>
    <s v="600N"/>
    <n v="2"/>
    <x v="0"/>
    <n v="10838.068181818182"/>
    <m/>
    <n v="0"/>
    <x v="4"/>
  </r>
  <r>
    <x v="483"/>
    <s v="600N/875E"/>
    <m/>
    <x v="40"/>
    <x v="122"/>
    <n v="1235"/>
    <n v="20"/>
    <s v="CS"/>
    <s v="B"/>
    <n v="0"/>
    <n v="4"/>
    <n v="4"/>
    <n v="10"/>
    <n v="9"/>
    <n v="8"/>
    <n v="7"/>
    <n v="7"/>
    <n v="7"/>
    <n v="7"/>
    <n v="7"/>
    <m/>
    <m/>
    <m/>
    <n v="50"/>
    <n v="0"/>
    <s v="600N"/>
    <n v="2"/>
    <x v="0"/>
    <n v="4911.931818181818"/>
    <m/>
    <n v="0"/>
    <x v="2"/>
  </r>
  <r>
    <x v="484"/>
    <s v="600N/FORTVILLE PK"/>
    <m/>
    <x v="91"/>
    <x v="28"/>
    <n v="5516"/>
    <n v="20"/>
    <s v="CS"/>
    <s v="V"/>
    <n v="0"/>
    <n v="6"/>
    <n v="6"/>
    <n v="8"/>
    <n v="7"/>
    <n v="8"/>
    <n v="7"/>
    <n v="7"/>
    <n v="7"/>
    <n v="7"/>
    <n v="7"/>
    <n v="2024"/>
    <n v="2021"/>
    <s v="Y"/>
    <n v="1313"/>
    <n v="0.5"/>
    <s v="600N"/>
    <n v="2.5"/>
    <x v="5"/>
    <n v="83575.757575757569"/>
    <n v="1"/>
    <n v="83575.757575757569"/>
    <x v="3"/>
  </r>
  <r>
    <x v="485"/>
    <s v="300E/400N"/>
    <m/>
    <x v="3"/>
    <x v="36"/>
    <n v="5300"/>
    <n v="20"/>
    <s v="AC"/>
    <s v="C"/>
    <n v="0"/>
    <n v="6"/>
    <n v="6"/>
    <n v="6"/>
    <n v="6"/>
    <n v="5"/>
    <n v="5"/>
    <n v="8"/>
    <n v="8"/>
    <n v="8"/>
    <n v="7"/>
    <m/>
    <m/>
    <m/>
    <n v="50"/>
    <n v="0"/>
    <s v="300E"/>
    <n v="5"/>
    <x v="0"/>
    <n v="21079.545454545456"/>
    <m/>
    <n v="0"/>
    <x v="6"/>
  </r>
  <r>
    <x v="486"/>
    <s v="600N/SR9"/>
    <m/>
    <x v="21"/>
    <x v="45"/>
    <n v="5782"/>
    <n v="20"/>
    <s v="AC"/>
    <s v="G"/>
    <n v="0"/>
    <n v="10"/>
    <n v="8"/>
    <n v="8"/>
    <n v="8"/>
    <n v="8"/>
    <n v="8"/>
    <n v="8"/>
    <n v="7"/>
    <n v="7"/>
    <n v="8"/>
    <m/>
    <n v="2021"/>
    <s v="Y"/>
    <n v="1352"/>
    <n v="0.5"/>
    <s v="600N"/>
    <n v="2.5"/>
    <x v="7"/>
    <n v="27376.89393939394"/>
    <m/>
    <n v="0"/>
    <x v="5"/>
  </r>
  <r>
    <x v="487"/>
    <s v="500E/250N"/>
    <m/>
    <x v="35"/>
    <x v="56"/>
    <n v="1412"/>
    <n v="20"/>
    <s v="CS"/>
    <s v="C"/>
    <n v="0"/>
    <n v="6"/>
    <n v="6"/>
    <n v="6"/>
    <n v="6"/>
    <n v="8"/>
    <n v="8"/>
    <n v="8"/>
    <n v="7"/>
    <n v="7"/>
    <n v="7"/>
    <m/>
    <m/>
    <m/>
    <n v="50"/>
    <n v="0"/>
    <s v="500E"/>
    <n v="2"/>
    <x v="0"/>
    <n v="5615.909090909091"/>
    <m/>
    <n v="0"/>
    <x v="6"/>
  </r>
  <r>
    <x v="488"/>
    <s v="600S/150W"/>
    <m/>
    <x v="28"/>
    <x v="27"/>
    <n v="7796"/>
    <n v="20"/>
    <s v="AC"/>
    <s v="SC"/>
    <n v="0"/>
    <n v="7"/>
    <n v="7"/>
    <n v="7"/>
    <n v="7"/>
    <n v="6"/>
    <n v="8"/>
    <n v="8"/>
    <n v="7"/>
    <n v="7"/>
    <n v="7"/>
    <n v="2023"/>
    <n v="2021"/>
    <s v="Y"/>
    <n v="963"/>
    <n v="0.5"/>
    <s v="600S"/>
    <n v="4.5"/>
    <x v="4"/>
    <n v="162416.66666666666"/>
    <n v="1"/>
    <n v="162416.66666666666"/>
    <x v="0"/>
  </r>
  <r>
    <x v="489"/>
    <s v="600S/300E"/>
    <m/>
    <x v="109"/>
    <x v="104"/>
    <n v="5365"/>
    <n v="20"/>
    <s v="AC"/>
    <s v="BW"/>
    <n v="0"/>
    <n v="8"/>
    <n v="7"/>
    <n v="7"/>
    <n v="7"/>
    <n v="6"/>
    <n v="6"/>
    <n v="6"/>
    <n v="6"/>
    <n v="6"/>
    <n v="6"/>
    <m/>
    <m/>
    <m/>
    <n v="50"/>
    <n v="0"/>
    <s v="600S"/>
    <n v="4"/>
    <x v="3"/>
    <n v="46740.530303030304"/>
    <m/>
    <n v="0"/>
    <x v="4"/>
  </r>
  <r>
    <x v="490"/>
    <s v="600S/300W"/>
    <m/>
    <x v="11"/>
    <x v="29"/>
    <n v="5297"/>
    <n v="20"/>
    <s v="AC"/>
    <s v="SC"/>
    <n v="0"/>
    <n v="7"/>
    <n v="7"/>
    <n v="7"/>
    <n v="7"/>
    <n v="6"/>
    <n v="8"/>
    <n v="8"/>
    <n v="7"/>
    <n v="7"/>
    <n v="7"/>
    <n v="2023"/>
    <n v="2023"/>
    <s v="Y"/>
    <n v="836"/>
    <n v="0.5"/>
    <s v="600S"/>
    <n v="4.5"/>
    <x v="4"/>
    <n v="110354.16666666667"/>
    <n v="1"/>
    <n v="110354.16666666667"/>
    <x v="0"/>
  </r>
  <r>
    <x v="491"/>
    <s v="600S/400E"/>
    <m/>
    <x v="85"/>
    <x v="73"/>
    <n v="5315"/>
    <n v="20"/>
    <s v="AC"/>
    <s v="BW"/>
    <n v="0"/>
    <n v="7"/>
    <n v="7"/>
    <n v="7"/>
    <n v="7"/>
    <n v="7"/>
    <n v="7"/>
    <n v="7"/>
    <n v="6"/>
    <n v="6"/>
    <n v="5"/>
    <m/>
    <m/>
    <m/>
    <n v="50"/>
    <n v="0"/>
    <s v="600S"/>
    <n v="3"/>
    <x v="4"/>
    <n v="110729.16666666667"/>
    <n v="1"/>
    <n v="110729.16666666667"/>
    <x v="0"/>
  </r>
  <r>
    <x v="492"/>
    <s v="600S/400W"/>
    <m/>
    <x v="92"/>
    <x v="31"/>
    <n v="2655"/>
    <n v="20"/>
    <s v="AC"/>
    <s v="SC"/>
    <n v="0"/>
    <n v="7"/>
    <n v="7"/>
    <n v="7"/>
    <n v="7"/>
    <n v="6"/>
    <n v="8"/>
    <n v="8"/>
    <n v="8"/>
    <n v="7"/>
    <n v="7"/>
    <n v="2024"/>
    <n v="2023"/>
    <s v="Y"/>
    <n v="1623"/>
    <n v="1"/>
    <s v="600S"/>
    <n v="5"/>
    <x v="5"/>
    <n v="40227.272727272728"/>
    <m/>
    <n v="0"/>
    <x v="0"/>
  </r>
  <r>
    <x v="493"/>
    <s v="600S/450W"/>
    <m/>
    <x v="117"/>
    <x v="12"/>
    <n v="3058"/>
    <n v="20"/>
    <s v="AC"/>
    <s v="SC"/>
    <n v="0"/>
    <n v="7"/>
    <n v="7"/>
    <n v="7"/>
    <n v="7"/>
    <n v="6"/>
    <n v="8"/>
    <n v="8"/>
    <n v="8"/>
    <n v="7"/>
    <n v="7"/>
    <n v="2024"/>
    <n v="2023"/>
    <s v="Y"/>
    <n v="1623"/>
    <n v="1"/>
    <s v="600S"/>
    <n v="5"/>
    <x v="0"/>
    <n v="12162.5"/>
    <m/>
    <n v="0"/>
    <x v="3"/>
  </r>
  <r>
    <x v="494"/>
    <s v="600S/500E"/>
    <m/>
    <x v="30"/>
    <x v="14"/>
    <n v="5320"/>
    <n v="20"/>
    <s v="CS"/>
    <s v="BR"/>
    <n v="0"/>
    <n v="6"/>
    <n v="6"/>
    <n v="6"/>
    <n v="6"/>
    <n v="6"/>
    <n v="6"/>
    <n v="6"/>
    <n v="7"/>
    <n v="7"/>
    <n v="7"/>
    <m/>
    <m/>
    <m/>
    <n v="50"/>
    <n v="0"/>
    <s v="600S"/>
    <n v="4"/>
    <x v="2"/>
    <n v="32242.424242424244"/>
    <m/>
    <n v="0"/>
    <x v="4"/>
  </r>
  <r>
    <x v="495"/>
    <s v="600S/500W"/>
    <m/>
    <x v="119"/>
    <x v="46"/>
    <n v="2308"/>
    <n v="20"/>
    <s v="AC"/>
    <s v="SC"/>
    <n v="0"/>
    <n v="7"/>
    <n v="7"/>
    <n v="7"/>
    <n v="7"/>
    <n v="6"/>
    <n v="8"/>
    <n v="8"/>
    <n v="8"/>
    <n v="7"/>
    <n v="7"/>
    <n v="2023"/>
    <n v="2023"/>
    <s v="Y"/>
    <n v="2370"/>
    <n v="1"/>
    <s v="600S"/>
    <n v="5"/>
    <x v="4"/>
    <n v="48083.333333333336"/>
    <n v="1"/>
    <n v="48083.333333333336"/>
    <x v="0"/>
  </r>
  <r>
    <x v="496"/>
    <s v="600S/550W"/>
    <m/>
    <x v="43"/>
    <x v="123"/>
    <n v="2648"/>
    <n v="20"/>
    <s v="AC"/>
    <s v="SC"/>
    <n v="0"/>
    <n v="7"/>
    <n v="8"/>
    <n v="7"/>
    <n v="7"/>
    <n v="6"/>
    <n v="8"/>
    <n v="8"/>
    <n v="8"/>
    <n v="7"/>
    <n v="7"/>
    <n v="2024"/>
    <n v="2023"/>
    <s v="Y"/>
    <n v="2380"/>
    <n v="1"/>
    <s v="600S"/>
    <n v="5"/>
    <x v="0"/>
    <n v="10531.818181818182"/>
    <m/>
    <n v="0"/>
    <x v="3"/>
  </r>
  <r>
    <x v="497"/>
    <s v="600S/600W"/>
    <m/>
    <x v="87"/>
    <x v="34"/>
    <n v="4004"/>
    <n v="20"/>
    <s v="AC"/>
    <s v="SC"/>
    <n v="0"/>
    <n v="8"/>
    <n v="8"/>
    <n v="7"/>
    <n v="7"/>
    <n v="7"/>
    <n v="7"/>
    <n v="7"/>
    <n v="7"/>
    <n v="7"/>
    <n v="7"/>
    <n v="2023"/>
    <n v="2023"/>
    <s v="Y"/>
    <n v="2633"/>
    <n v="1.5"/>
    <s v="600S"/>
    <n v="4.5"/>
    <x v="4"/>
    <n v="83416.666666666672"/>
    <n v="1"/>
    <n v="83416.666666666672"/>
    <x v="0"/>
  </r>
  <r>
    <x v="498"/>
    <s v="600S/675W"/>
    <m/>
    <x v="51"/>
    <x v="92"/>
    <n v="6617"/>
    <n v="20"/>
    <s v="AC"/>
    <s v="SC"/>
    <n v="0"/>
    <n v="8"/>
    <n v="7"/>
    <n v="7"/>
    <n v="7"/>
    <n v="7"/>
    <n v="7"/>
    <n v="7"/>
    <n v="7"/>
    <n v="7"/>
    <n v="7"/>
    <n v="2023"/>
    <n v="2023"/>
    <s v="Y"/>
    <n v="2347"/>
    <n v="1"/>
    <s v="600S"/>
    <n v="4"/>
    <x v="4"/>
    <n v="137854.16666666666"/>
    <n v="1"/>
    <n v="137854.16666666666"/>
    <x v="0"/>
  </r>
  <r>
    <x v="499"/>
    <s v="600S/800E"/>
    <m/>
    <x v="38"/>
    <x v="115"/>
    <n v="12187"/>
    <n v="20"/>
    <s v="CS"/>
    <s v="BR"/>
    <n v="0"/>
    <n v="7"/>
    <n v="8"/>
    <n v="7"/>
    <n v="7"/>
    <n v="6"/>
    <n v="6"/>
    <n v="6"/>
    <n v="7"/>
    <n v="7"/>
    <n v="7"/>
    <m/>
    <n v="2021"/>
    <s v="Y"/>
    <n v="315"/>
    <n v="0"/>
    <s v="600S"/>
    <n v="4"/>
    <x v="2"/>
    <n v="73860.606060606064"/>
    <m/>
    <n v="0"/>
    <x v="4"/>
  </r>
  <r>
    <x v="500"/>
    <s v="600S/900E"/>
    <m/>
    <x v="70"/>
    <x v="38"/>
    <n v="5345"/>
    <n v="20"/>
    <s v="CS"/>
    <s v="BR"/>
    <n v="0"/>
    <n v="7"/>
    <n v="7"/>
    <n v="7"/>
    <n v="7"/>
    <n v="7"/>
    <n v="7"/>
    <n v="7"/>
    <n v="7"/>
    <n v="7"/>
    <n v="7"/>
    <m/>
    <m/>
    <m/>
    <n v="265"/>
    <n v="0"/>
    <s v="600S"/>
    <n v="3"/>
    <x v="0"/>
    <n v="21258.522727272728"/>
    <m/>
    <n v="0"/>
    <x v="4"/>
  </r>
  <r>
    <x v="501"/>
    <s v="600W/100N"/>
    <m/>
    <x v="120"/>
    <x v="70"/>
    <n v="5316"/>
    <n v="20"/>
    <s v="AC"/>
    <s v="BC"/>
    <n v="0"/>
    <n v="7"/>
    <n v="8"/>
    <n v="7"/>
    <n v="7"/>
    <n v="7"/>
    <n v="6"/>
    <n v="6"/>
    <n v="8"/>
    <n v="7"/>
    <n v="7"/>
    <n v="2023"/>
    <n v="2023"/>
    <s v="Y"/>
    <n v="11907"/>
    <n v="1.5"/>
    <s v="600W"/>
    <n v="4.5"/>
    <x v="7"/>
    <n v="169900.56818181818"/>
    <m/>
    <n v="0"/>
    <x v="4"/>
  </r>
  <r>
    <x v="502"/>
    <s v="600W/100S"/>
    <m/>
    <x v="62"/>
    <x v="63"/>
    <n v="5100"/>
    <n v="20"/>
    <s v="AC"/>
    <s v="SC"/>
    <n v="0"/>
    <n v="8"/>
    <n v="7"/>
    <n v="8"/>
    <n v="8"/>
    <n v="8"/>
    <n v="7"/>
    <n v="7"/>
    <n v="7"/>
    <n v="7"/>
    <n v="7"/>
    <m/>
    <m/>
    <s v="Y"/>
    <n v="5289"/>
    <n v="1.5"/>
    <s v="600W"/>
    <n v="3.5"/>
    <x v="1"/>
    <n v="5215.909090909091"/>
    <m/>
    <n v="0"/>
    <x v="2"/>
  </r>
  <r>
    <x v="503"/>
    <s v="600W/200N"/>
    <m/>
    <x v="44"/>
    <x v="51"/>
    <n v="5300"/>
    <n v="20"/>
    <s v="AC"/>
    <s v="BC"/>
    <n v="0"/>
    <n v="7"/>
    <n v="8"/>
    <n v="7"/>
    <n v="7"/>
    <n v="7"/>
    <n v="7"/>
    <n v="6"/>
    <n v="8"/>
    <n v="7"/>
    <n v="7"/>
    <n v="2023"/>
    <n v="2023"/>
    <s v="Y"/>
    <n v="13030"/>
    <n v="1.5"/>
    <s v="600W"/>
    <n v="4.5"/>
    <x v="7"/>
    <n v="169389.20454545456"/>
    <m/>
    <n v="0"/>
    <x v="4"/>
  </r>
  <r>
    <x v="504"/>
    <s v="600W/200S"/>
    <m/>
    <x v="63"/>
    <x v="64"/>
    <n v="5325"/>
    <n v="20"/>
    <s v="AC"/>
    <s v="SC"/>
    <n v="0"/>
    <n v="8"/>
    <n v="8"/>
    <n v="9"/>
    <n v="8"/>
    <n v="7"/>
    <n v="7"/>
    <n v="7"/>
    <n v="7"/>
    <n v="7"/>
    <n v="7"/>
    <m/>
    <m/>
    <s v="Y"/>
    <n v="5860"/>
    <n v="1.5"/>
    <s v="600W"/>
    <n v="4.5"/>
    <x v="5"/>
    <n v="80681.818181818177"/>
    <n v="1"/>
    <n v="80681.818181818177"/>
    <x v="3"/>
  </r>
  <r>
    <x v="505"/>
    <s v="600W/225N"/>
    <m/>
    <x v="35"/>
    <x v="124"/>
    <n v="1100"/>
    <n v="20"/>
    <s v="AC"/>
    <s v="BC"/>
    <n v="0"/>
    <n v="8"/>
    <n v="8"/>
    <n v="7"/>
    <n v="7"/>
    <n v="6"/>
    <n v="6"/>
    <n v="6"/>
    <n v="8"/>
    <n v="7"/>
    <n v="7"/>
    <n v="2023"/>
    <n v="2023"/>
    <s v="Y"/>
    <n v="9877"/>
    <n v="1.5"/>
    <s v="600W"/>
    <n v="5.5"/>
    <x v="7"/>
    <n v="35156.25"/>
    <m/>
    <n v="0"/>
    <x v="4"/>
  </r>
  <r>
    <x v="506"/>
    <s v="600W/300N"/>
    <m/>
    <x v="121"/>
    <x v="36"/>
    <n v="800"/>
    <n v="20"/>
    <s v="AC"/>
    <s v="BC"/>
    <n v="0"/>
    <n v="8"/>
    <n v="8"/>
    <n v="7"/>
    <n v="7"/>
    <n v="7"/>
    <n v="7"/>
    <n v="7"/>
    <n v="7"/>
    <n v="7"/>
    <n v="7"/>
    <m/>
    <m/>
    <s v="Y"/>
    <n v="10911"/>
    <n v="1.5"/>
    <s v="600W"/>
    <n v="4.5"/>
    <x v="7"/>
    <n v="25568.18181818182"/>
    <m/>
    <n v="0"/>
    <x v="4"/>
  </r>
  <r>
    <x v="507"/>
    <s v="600W/300S"/>
    <m/>
    <x v="122"/>
    <x v="11"/>
    <n v="5840"/>
    <n v="20"/>
    <s v="AC"/>
    <s v="SC"/>
    <n v="0"/>
    <n v="6"/>
    <n v="8"/>
    <n v="8"/>
    <n v="8"/>
    <n v="7"/>
    <n v="7"/>
    <n v="7"/>
    <n v="7"/>
    <n v="7"/>
    <n v="7"/>
    <m/>
    <m/>
    <s v="Y"/>
    <n v="5100"/>
    <n v="1.5"/>
    <s v="600W"/>
    <n v="4.5"/>
    <x v="5"/>
    <n v="88484.84848484848"/>
    <n v="1"/>
    <n v="88484.84848484848"/>
    <x v="3"/>
  </r>
  <r>
    <x v="508"/>
    <s v="600W/350N"/>
    <m/>
    <x v="123"/>
    <x v="59"/>
    <n v="1163"/>
    <n v="20"/>
    <s v="AC"/>
    <s v="BC"/>
    <n v="0"/>
    <n v="7"/>
    <n v="8"/>
    <n v="7"/>
    <n v="7"/>
    <n v="7"/>
    <n v="7"/>
    <n v="7"/>
    <n v="7"/>
    <n v="7"/>
    <n v="8"/>
    <m/>
    <m/>
    <s v="Y"/>
    <n v="10700"/>
    <n v="1.5"/>
    <s v="600W"/>
    <n v="4.5"/>
    <x v="5"/>
    <n v="17621.21212121212"/>
    <n v="1"/>
    <n v="17621.21212121212"/>
    <x v="3"/>
  </r>
  <r>
    <x v="509"/>
    <s v="600W/400N"/>
    <m/>
    <x v="2"/>
    <x v="2"/>
    <n v="3907"/>
    <n v="20"/>
    <s v="AC"/>
    <s v="BC"/>
    <n v="0"/>
    <n v="7"/>
    <n v="8"/>
    <n v="7"/>
    <n v="7"/>
    <n v="7"/>
    <n v="6"/>
    <n v="6"/>
    <n v="6"/>
    <n v="6"/>
    <n v="8"/>
    <m/>
    <m/>
    <s v="Y"/>
    <n v="10502"/>
    <n v="1.5"/>
    <s v="600W"/>
    <n v="4.5"/>
    <x v="5"/>
    <n v="59196.969696969696"/>
    <n v="1"/>
    <n v="59196.969696969696"/>
    <x v="3"/>
  </r>
  <r>
    <x v="510"/>
    <s v="600W/500N"/>
    <m/>
    <x v="3"/>
    <x v="3"/>
    <n v="5386"/>
    <n v="20"/>
    <s v="AC"/>
    <s v="BC"/>
    <n v="0"/>
    <n v="7"/>
    <n v="8"/>
    <n v="7"/>
    <n v="7"/>
    <n v="6"/>
    <n v="6"/>
    <n v="6"/>
    <n v="6"/>
    <n v="6"/>
    <n v="7"/>
    <m/>
    <m/>
    <s v="Y"/>
    <n v="9713"/>
    <n v="1.5"/>
    <s v="600W"/>
    <n v="5.5"/>
    <x v="9"/>
    <n v="2550.189393939394"/>
    <n v="1"/>
    <n v="2550.189393939394"/>
    <x v="0"/>
  </r>
  <r>
    <x v="511"/>
    <s v="500W/300N"/>
    <m/>
    <x v="50"/>
    <x v="53"/>
    <n v="2630"/>
    <n v="20"/>
    <s v="CS"/>
    <s v="BC"/>
    <n v="0"/>
    <n v="6"/>
    <n v="5"/>
    <n v="5"/>
    <n v="5"/>
    <n v="4"/>
    <n v="4"/>
    <n v="8"/>
    <n v="8"/>
    <n v="8"/>
    <n v="8"/>
    <m/>
    <m/>
    <m/>
    <n v="50"/>
    <n v="0"/>
    <s v="500W"/>
    <n v="6"/>
    <x v="0"/>
    <n v="10460.227272727272"/>
    <m/>
    <n v="0"/>
    <x v="6"/>
  </r>
  <r>
    <x v="512"/>
    <s v="600W/STINEMYER RD"/>
    <m/>
    <x v="114"/>
    <x v="54"/>
    <n v="6270"/>
    <n v="20"/>
    <s v="CS"/>
    <s v="SC"/>
    <n v="0"/>
    <n v="7"/>
    <n v="7"/>
    <n v="7"/>
    <n v="6"/>
    <n v="6"/>
    <n v="7"/>
    <n v="7"/>
    <n v="7"/>
    <n v="7"/>
    <n v="7"/>
    <n v="2023"/>
    <n v="2023"/>
    <s v="Y"/>
    <n v="2089"/>
    <n v="1"/>
    <s v="600W"/>
    <n v="5"/>
    <x v="0"/>
    <n v="24937.5"/>
    <m/>
    <n v="0"/>
    <x v="2"/>
  </r>
  <r>
    <x v="513"/>
    <s v="600W/US40"/>
    <m/>
    <x v="71"/>
    <x v="83"/>
    <n v="2701"/>
    <n v="20"/>
    <s v="AC"/>
    <s v="SC"/>
    <n v="0"/>
    <n v="8"/>
    <n v="7"/>
    <n v="10"/>
    <n v="9"/>
    <n v="9"/>
    <n v="8"/>
    <n v="8"/>
    <n v="8"/>
    <n v="8"/>
    <n v="8"/>
    <m/>
    <m/>
    <s v="Y"/>
    <n v="5481"/>
    <n v="1.5"/>
    <s v="600W"/>
    <n v="2.5"/>
    <x v="1"/>
    <n v="2762.3863636363635"/>
    <m/>
    <n v="0"/>
    <x v="2"/>
  </r>
  <r>
    <x v="514"/>
    <s v="600W/US52"/>
    <m/>
    <x v="124"/>
    <x v="67"/>
    <n v="2100"/>
    <n v="20"/>
    <s v="AC"/>
    <s v="SC"/>
    <n v="0"/>
    <n v="6"/>
    <n v="8"/>
    <n v="7"/>
    <n v="7"/>
    <n v="7"/>
    <n v="6"/>
    <n v="6"/>
    <n v="6"/>
    <n v="6"/>
    <n v="8"/>
    <n v="2023"/>
    <m/>
    <s v="Y"/>
    <n v="2535"/>
    <n v="1.5"/>
    <s v="600W"/>
    <n v="4.5"/>
    <x v="0"/>
    <n v="8352.2727272727279"/>
    <m/>
    <n v="0"/>
    <x v="2"/>
  </r>
  <r>
    <x v="515"/>
    <s v="625E/1100N"/>
    <m/>
    <x v="105"/>
    <x v="61"/>
    <n v="5335"/>
    <n v="20"/>
    <s v="CS"/>
    <s v="B"/>
    <n v="0"/>
    <n v="7"/>
    <n v="7"/>
    <n v="7"/>
    <n v="7"/>
    <n v="6"/>
    <n v="6"/>
    <n v="6"/>
    <n v="6"/>
    <n v="8"/>
    <n v="8"/>
    <m/>
    <m/>
    <m/>
    <n v="9"/>
    <n v="0"/>
    <s v="625E"/>
    <n v="4"/>
    <x v="3"/>
    <n v="46479.166666666664"/>
    <m/>
    <n v="0"/>
    <x v="5"/>
  </r>
  <r>
    <x v="516"/>
    <s v="50E/400N"/>
    <m/>
    <x v="3"/>
    <x v="36"/>
    <n v="5310"/>
    <n v="20"/>
    <s v="CS"/>
    <s v="C"/>
    <n v="0"/>
    <n v="7"/>
    <n v="7"/>
    <n v="8"/>
    <n v="8"/>
    <n v="7"/>
    <n v="7"/>
    <n v="7"/>
    <n v="7"/>
    <n v="7"/>
    <n v="7"/>
    <m/>
    <m/>
    <m/>
    <n v="50"/>
    <n v="0"/>
    <s v="50E"/>
    <n v="3"/>
    <x v="0"/>
    <n v="21119.31818181818"/>
    <m/>
    <n v="0"/>
    <x v="6"/>
  </r>
  <r>
    <x v="517"/>
    <s v="650N/1000E"/>
    <m/>
    <x v="70"/>
    <x v="102"/>
    <n v="5808"/>
    <n v="20"/>
    <s v="AC"/>
    <s v="B"/>
    <n v="0"/>
    <n v="7"/>
    <n v="7"/>
    <n v="7"/>
    <n v="7"/>
    <n v="7"/>
    <n v="6"/>
    <n v="5"/>
    <n v="5"/>
    <n v="7"/>
    <n v="7"/>
    <m/>
    <m/>
    <m/>
    <n v="290"/>
    <n v="0"/>
    <s v="650N"/>
    <n v="3"/>
    <x v="3"/>
    <n v="50600"/>
    <m/>
    <n v="0"/>
    <x v="5"/>
  </r>
  <r>
    <x v="518"/>
    <s v="650N/1050E"/>
    <m/>
    <x v="8"/>
    <x v="86"/>
    <n v="3482"/>
    <n v="20"/>
    <s v="AC"/>
    <s v="B"/>
    <n v="0"/>
    <n v="5"/>
    <n v="5"/>
    <n v="5"/>
    <n v="5"/>
    <n v="5"/>
    <n v="9"/>
    <n v="8"/>
    <n v="8"/>
    <n v="7"/>
    <n v="7"/>
    <m/>
    <m/>
    <m/>
    <n v="330"/>
    <n v="0"/>
    <s v="650N"/>
    <n v="5"/>
    <x v="0"/>
    <n v="13848.863636363636"/>
    <n v="1"/>
    <n v="13848.863636363636"/>
    <x v="3"/>
  </r>
  <r>
    <x v="519"/>
    <s v="650N/1125E"/>
    <m/>
    <x v="20"/>
    <x v="125"/>
    <n v="2921"/>
    <n v="20"/>
    <s v="CS"/>
    <s v="B"/>
    <n v="0"/>
    <n v="6"/>
    <n v="6"/>
    <n v="6"/>
    <n v="6"/>
    <n v="6"/>
    <n v="9"/>
    <n v="8"/>
    <n v="8"/>
    <n v="7"/>
    <n v="7"/>
    <m/>
    <m/>
    <m/>
    <n v="209"/>
    <n v="0"/>
    <s v="650N"/>
    <n v="4"/>
    <x v="0"/>
    <n v="11617.613636363636"/>
    <n v="1"/>
    <n v="11617.613636363636"/>
    <x v="0"/>
  </r>
  <r>
    <x v="520"/>
    <s v="50E/SR234"/>
    <m/>
    <x v="113"/>
    <x v="6"/>
    <n v="2650"/>
    <n v="20"/>
    <s v="AC"/>
    <s v="G"/>
    <n v="0"/>
    <n v="6"/>
    <n v="5"/>
    <n v="4"/>
    <n v="4"/>
    <n v="4"/>
    <n v="4"/>
    <n v="9"/>
    <n v="8"/>
    <n v="8"/>
    <n v="8"/>
    <m/>
    <m/>
    <m/>
    <n v="50"/>
    <n v="0"/>
    <s v="50E"/>
    <n v="6"/>
    <x v="0"/>
    <n v="10539.772727272728"/>
    <m/>
    <n v="0"/>
    <x v="6"/>
  </r>
  <r>
    <x v="521"/>
    <s v="650N/400E"/>
    <m/>
    <x v="30"/>
    <x v="104"/>
    <n v="1288"/>
    <n v="20"/>
    <s v="AC"/>
    <s v="G"/>
    <n v="0"/>
    <n v="7"/>
    <n v="7"/>
    <n v="7"/>
    <n v="5"/>
    <n v="5"/>
    <n v="5"/>
    <n v="6"/>
    <n v="7"/>
    <n v="7"/>
    <n v="7"/>
    <m/>
    <m/>
    <m/>
    <n v="177"/>
    <n v="0"/>
    <s v="650N"/>
    <n v="5"/>
    <x v="0"/>
    <n v="5122.727272727273"/>
    <n v="1"/>
    <n v="5122.727272727273"/>
    <x v="0"/>
  </r>
  <r>
    <x v="522"/>
    <s v="650N/500E"/>
    <m/>
    <x v="32"/>
    <x v="73"/>
    <n v="5360"/>
    <n v="20"/>
    <s v="P"/>
    <s v="G"/>
    <n v="0"/>
    <n v="6"/>
    <n v="6"/>
    <n v="5"/>
    <n v="4"/>
    <n v="9"/>
    <n v="8"/>
    <n v="8"/>
    <n v="7"/>
    <n v="7"/>
    <n v="7"/>
    <m/>
    <m/>
    <m/>
    <n v="89"/>
    <n v="0"/>
    <s v="650N"/>
    <n v="1"/>
    <x v="1"/>
    <n v="5481.818181818182"/>
    <m/>
    <n v="0"/>
    <x v="2"/>
  </r>
  <r>
    <x v="523"/>
    <s v="650N/600E"/>
    <m/>
    <x v="14"/>
    <x v="14"/>
    <n v="5290"/>
    <n v="20"/>
    <s v="CS"/>
    <s v="G"/>
    <n v="0"/>
    <n v="3"/>
    <n v="6"/>
    <n v="8"/>
    <n v="8"/>
    <n v="8"/>
    <n v="8"/>
    <n v="7"/>
    <n v="7"/>
    <n v="6"/>
    <n v="6"/>
    <m/>
    <m/>
    <m/>
    <n v="78"/>
    <n v="0"/>
    <s v="650N"/>
    <n v="2"/>
    <x v="2"/>
    <n v="32060.60606060606"/>
    <n v="1"/>
    <n v="32060.60606060606"/>
    <x v="0"/>
  </r>
  <r>
    <x v="524"/>
    <s v="650N/600W"/>
    <m/>
    <x v="83"/>
    <x v="48"/>
    <n v="2700"/>
    <n v="20"/>
    <s v="AC"/>
    <s v="V"/>
    <n v="0"/>
    <n v="8"/>
    <n v="7"/>
    <n v="8"/>
    <n v="8"/>
    <n v="8"/>
    <n v="8"/>
    <n v="7"/>
    <n v="7"/>
    <n v="7"/>
    <n v="8"/>
    <m/>
    <m/>
    <s v="Y"/>
    <n v="615"/>
    <n v="0.5"/>
    <s v="650N"/>
    <n v="2.5"/>
    <x v="0"/>
    <n v="10738.636363636364"/>
    <m/>
    <n v="0"/>
    <x v="4"/>
  </r>
  <r>
    <x v="525"/>
    <s v="650N/700E"/>
    <m/>
    <x v="118"/>
    <x v="68"/>
    <n v="3340"/>
    <n v="20"/>
    <s v="AC"/>
    <s v="B"/>
    <n v="0"/>
    <n v="5"/>
    <n v="7"/>
    <n v="7"/>
    <n v="7"/>
    <n v="7"/>
    <n v="7"/>
    <n v="7"/>
    <n v="7"/>
    <n v="7"/>
    <n v="7"/>
    <m/>
    <m/>
    <m/>
    <n v="456"/>
    <n v="0"/>
    <s v="650N"/>
    <n v="3"/>
    <x v="0"/>
    <n v="13284.09090909091"/>
    <n v="1"/>
    <n v="13284.09090909091"/>
    <x v="0"/>
  </r>
  <r>
    <x v="526"/>
    <s v="650N/725E"/>
    <m/>
    <x v="37"/>
    <x v="126"/>
    <n v="1372"/>
    <n v="20"/>
    <s v="CS"/>
    <s v="B"/>
    <n v="0"/>
    <n v="6"/>
    <n v="7"/>
    <n v="7"/>
    <n v="7"/>
    <n v="7"/>
    <n v="7"/>
    <n v="7"/>
    <n v="7"/>
    <n v="7"/>
    <n v="7"/>
    <m/>
    <m/>
    <m/>
    <n v="437"/>
    <n v="0"/>
    <s v="650N"/>
    <n v="3"/>
    <x v="0"/>
    <n v="5456.818181818182"/>
    <n v="1"/>
    <n v="5456.818181818182"/>
    <x v="0"/>
  </r>
  <r>
    <x v="527"/>
    <s v="650N/800E"/>
    <m/>
    <x v="125"/>
    <x v="38"/>
    <n v="676"/>
    <n v="20"/>
    <s v="CS"/>
    <s v="B"/>
    <n v="0"/>
    <n v="6"/>
    <n v="7"/>
    <n v="7"/>
    <n v="7"/>
    <n v="7"/>
    <n v="7"/>
    <n v="7"/>
    <n v="7"/>
    <n v="7"/>
    <n v="7"/>
    <m/>
    <m/>
    <m/>
    <n v="437"/>
    <n v="0"/>
    <s v="650N"/>
    <n v="3"/>
    <x v="0"/>
    <n v="2688.6363636363635"/>
    <n v="1"/>
    <n v="2688.6363636363635"/>
    <x v="0"/>
  </r>
  <r>
    <x v="528"/>
    <s v="650N/875E"/>
    <m/>
    <x v="38"/>
    <x v="122"/>
    <n v="4118"/>
    <n v="20"/>
    <s v="AC"/>
    <s v="B"/>
    <n v="0"/>
    <n v="7"/>
    <n v="6"/>
    <n v="6"/>
    <n v="6"/>
    <n v="6"/>
    <n v="5"/>
    <n v="5"/>
    <n v="5"/>
    <n v="8"/>
    <n v="8"/>
    <m/>
    <m/>
    <m/>
    <n v="251"/>
    <n v="0"/>
    <s v="650N"/>
    <n v="4"/>
    <x v="3"/>
    <n v="35876.515151515152"/>
    <m/>
    <n v="0"/>
    <x v="5"/>
  </r>
  <r>
    <x v="529"/>
    <s v="650N/900E"/>
    <m/>
    <x v="126"/>
    <x v="77"/>
    <n v="2270"/>
    <n v="20"/>
    <s v="AC"/>
    <s v="B"/>
    <n v="0"/>
    <n v="7"/>
    <n v="6"/>
    <n v="6"/>
    <n v="6"/>
    <n v="6"/>
    <n v="6"/>
    <n v="5"/>
    <n v="5"/>
    <n v="8"/>
    <n v="8"/>
    <m/>
    <m/>
    <m/>
    <n v="297"/>
    <n v="0"/>
    <s v="650N"/>
    <n v="4"/>
    <x v="3"/>
    <n v="19776.515151515152"/>
    <m/>
    <n v="0"/>
    <x v="5"/>
  </r>
  <r>
    <x v="530"/>
    <s v="650N/MAIN ST"/>
    <m/>
    <x v="127"/>
    <x v="16"/>
    <n v="865"/>
    <n v="20"/>
    <s v="AC"/>
    <s v="B"/>
    <n v="0"/>
    <n v="6"/>
    <n v="6"/>
    <n v="6"/>
    <n v="8"/>
    <n v="8"/>
    <n v="8"/>
    <n v="8"/>
    <n v="7"/>
    <n v="7"/>
    <n v="7"/>
    <m/>
    <m/>
    <m/>
    <n v="478"/>
    <n v="0"/>
    <s v="650N"/>
    <n v="2"/>
    <x v="0"/>
    <n v="3440.340909090909"/>
    <n v="1"/>
    <n v="3440.340909090909"/>
    <x v="0"/>
  </r>
  <r>
    <x v="531"/>
    <s v="650N/SR109"/>
    <m/>
    <x v="67"/>
    <x v="8"/>
    <n v="1225"/>
    <n v="20"/>
    <s v="AC"/>
    <s v="B"/>
    <n v="0"/>
    <n v="6"/>
    <n v="6"/>
    <n v="6"/>
    <n v="5"/>
    <n v="5"/>
    <n v="9"/>
    <n v="8"/>
    <n v="7"/>
    <n v="7"/>
    <n v="7"/>
    <m/>
    <m/>
    <m/>
    <n v="290"/>
    <n v="0"/>
    <s v="650N"/>
    <n v="5"/>
    <x v="0"/>
    <n v="4872.159090909091"/>
    <n v="1"/>
    <n v="4872.159090909091"/>
    <x v="3"/>
  </r>
  <r>
    <x v="532"/>
    <s v="650N/THOMAS RD."/>
    <m/>
    <x v="14"/>
    <x v="127"/>
    <n v="1076"/>
    <n v="20"/>
    <s v="AC"/>
    <s v="B"/>
    <n v="0"/>
    <n v="5"/>
    <n v="6"/>
    <n v="8"/>
    <n v="8"/>
    <n v="8"/>
    <n v="8"/>
    <n v="8"/>
    <n v="7"/>
    <n v="7"/>
    <n v="7"/>
    <m/>
    <m/>
    <m/>
    <n v="478"/>
    <n v="0"/>
    <s v="650N"/>
    <n v="2"/>
    <x v="0"/>
    <n v="4279.545454545455"/>
    <n v="1"/>
    <n v="4279.545454545455"/>
    <x v="0"/>
  </r>
  <r>
    <x v="533"/>
    <s v="750N/50E"/>
    <m/>
    <x v="89"/>
    <x v="45"/>
    <n v="894"/>
    <n v="20"/>
    <s v="CS"/>
    <s v="G"/>
    <n v="0"/>
    <n v="6"/>
    <n v="6"/>
    <n v="6"/>
    <n v="6"/>
    <n v="5"/>
    <n v="5"/>
    <n v="9"/>
    <n v="8"/>
    <n v="7"/>
    <n v="7"/>
    <m/>
    <m/>
    <m/>
    <n v="50"/>
    <n v="0"/>
    <s v="750N"/>
    <n v="5"/>
    <x v="0"/>
    <n v="3555.681818181818"/>
    <m/>
    <n v="0"/>
    <x v="6"/>
  </r>
  <r>
    <x v="534"/>
    <s v="675E/1000N"/>
    <m/>
    <x v="60"/>
    <x v="103"/>
    <n v="2677"/>
    <n v="20"/>
    <s v="AC"/>
    <s v="B"/>
    <n v="0"/>
    <n v="5"/>
    <n v="7"/>
    <n v="7"/>
    <n v="7"/>
    <n v="7"/>
    <n v="7"/>
    <n v="7"/>
    <n v="6"/>
    <n v="8"/>
    <n v="8"/>
    <m/>
    <m/>
    <m/>
    <n v="100"/>
    <n v="0"/>
    <s v="675E"/>
    <n v="3"/>
    <x v="3"/>
    <n v="23322.348484848484"/>
    <m/>
    <n v="0"/>
    <x v="5"/>
  </r>
  <r>
    <x v="535"/>
    <s v="675E/100S"/>
    <m/>
    <x v="71"/>
    <x v="64"/>
    <n v="5300"/>
    <n v="20"/>
    <s v="CS"/>
    <s v="BR"/>
    <n v="0"/>
    <n v="4"/>
    <n v="7"/>
    <n v="7"/>
    <n v="7"/>
    <n v="6"/>
    <n v="6"/>
    <n v="6"/>
    <n v="6"/>
    <n v="7"/>
    <n v="7"/>
    <m/>
    <m/>
    <m/>
    <n v="50"/>
    <n v="0"/>
    <s v="675E"/>
    <n v="4"/>
    <x v="0"/>
    <n v="21079.545454545456"/>
    <m/>
    <n v="0"/>
    <x v="4"/>
  </r>
  <r>
    <x v="536"/>
    <s v="675E/900N"/>
    <m/>
    <x v="7"/>
    <x v="88"/>
    <n v="5300"/>
    <n v="20"/>
    <s v="AC"/>
    <s v="B"/>
    <n v="0"/>
    <n v="6"/>
    <n v="7"/>
    <n v="7"/>
    <n v="7"/>
    <n v="7"/>
    <n v="7"/>
    <n v="7"/>
    <n v="6"/>
    <n v="8"/>
    <n v="8"/>
    <m/>
    <m/>
    <m/>
    <n v="145"/>
    <n v="0"/>
    <s v="675E"/>
    <n v="3"/>
    <x v="3"/>
    <n v="46174.242424242424"/>
    <m/>
    <n v="0"/>
    <x v="5"/>
  </r>
  <r>
    <x v="537"/>
    <s v="675E/950N"/>
    <m/>
    <x v="66"/>
    <x v="88"/>
    <n v="2682"/>
    <n v="20"/>
    <s v="AC"/>
    <s v="B"/>
    <n v="0"/>
    <n v="7"/>
    <n v="7"/>
    <n v="7"/>
    <n v="7"/>
    <n v="6"/>
    <n v="5"/>
    <n v="5"/>
    <n v="5"/>
    <n v="8"/>
    <n v="8"/>
    <m/>
    <m/>
    <m/>
    <n v="100"/>
    <n v="0"/>
    <s v="675E"/>
    <n v="4"/>
    <x v="4"/>
    <n v="55875"/>
    <m/>
    <n v="0"/>
    <x v="5"/>
  </r>
  <r>
    <x v="538"/>
    <s v="675E/N. TWP LINE"/>
    <m/>
    <x v="59"/>
    <x v="63"/>
    <n v="5419"/>
    <n v="20"/>
    <s v="CS"/>
    <s v="BR"/>
    <n v="0"/>
    <n v="8"/>
    <n v="7"/>
    <n v="7"/>
    <n v="7"/>
    <n v="6"/>
    <n v="6"/>
    <n v="6"/>
    <n v="6"/>
    <n v="7"/>
    <n v="7"/>
    <m/>
    <m/>
    <m/>
    <n v="50"/>
    <n v="0"/>
    <s v="675E"/>
    <n v="4"/>
    <x v="3"/>
    <n v="47210.984848484848"/>
    <m/>
    <n v="0"/>
    <x v="5"/>
  </r>
  <r>
    <x v="539"/>
    <s v="675E/NASHVILLE RD."/>
    <m/>
    <x v="60"/>
    <x v="128"/>
    <n v="4640"/>
    <n v="20"/>
    <s v="AC"/>
    <s v="B"/>
    <n v="0"/>
    <n v="7"/>
    <n v="8"/>
    <n v="8"/>
    <n v="8"/>
    <n v="7"/>
    <n v="7"/>
    <n v="6"/>
    <n v="6"/>
    <n v="8"/>
    <n v="8"/>
    <m/>
    <m/>
    <m/>
    <n v="93"/>
    <n v="0"/>
    <s v="675E"/>
    <n v="3"/>
    <x v="3"/>
    <n v="40424.242424242424"/>
    <m/>
    <n v="0"/>
    <x v="5"/>
  </r>
  <r>
    <x v="540"/>
    <s v="675E/S. TWP LINE"/>
    <m/>
    <x v="23"/>
    <x v="80"/>
    <n v="1382"/>
    <n v="20"/>
    <s v="CS"/>
    <s v="J"/>
    <n v="0"/>
    <n v="8"/>
    <n v="7"/>
    <n v="7"/>
    <n v="7"/>
    <n v="7"/>
    <n v="7"/>
    <n v="7"/>
    <n v="6"/>
    <n v="6"/>
    <n v="7"/>
    <m/>
    <m/>
    <m/>
    <n v="50"/>
    <n v="0"/>
    <s v="675E"/>
    <n v="3"/>
    <x v="3"/>
    <n v="12040.151515151516"/>
    <m/>
    <n v="0"/>
    <x v="5"/>
  </r>
  <r>
    <x v="541"/>
    <s v="675W/STINEMYER RD"/>
    <m/>
    <x v="114"/>
    <x v="54"/>
    <n v="6710"/>
    <n v="20"/>
    <s v="G"/>
    <s v="SC"/>
    <n v="0"/>
    <n v="5"/>
    <n v="5"/>
    <n v="3"/>
    <n v="3"/>
    <n v="6"/>
    <n v="8"/>
    <n v="7"/>
    <n v="7"/>
    <n v="6"/>
    <n v="6"/>
    <m/>
    <m/>
    <m/>
    <n v="36"/>
    <n v="0"/>
    <s v="675W"/>
    <n v="4"/>
    <x v="4"/>
    <n v="139791.66666666666"/>
    <n v="1"/>
    <n v="139791.66666666666"/>
    <x v="0"/>
  </r>
  <r>
    <x v="542"/>
    <s v="700E/100N"/>
    <m/>
    <x v="23"/>
    <x v="70"/>
    <n v="4170"/>
    <n v="20"/>
    <s v="AC"/>
    <s v="J"/>
    <n v="0"/>
    <n v="7"/>
    <n v="7"/>
    <n v="7"/>
    <n v="7"/>
    <n v="6"/>
    <n v="6"/>
    <n v="6"/>
    <n v="6"/>
    <n v="7"/>
    <n v="7"/>
    <m/>
    <m/>
    <m/>
    <n v="120"/>
    <n v="0"/>
    <s v="700E"/>
    <n v="4"/>
    <x v="3"/>
    <n v="36329.545454545456"/>
    <m/>
    <n v="0"/>
    <x v="5"/>
  </r>
  <r>
    <x v="543"/>
    <s v="700E/150N"/>
    <m/>
    <x v="44"/>
    <x v="55"/>
    <n v="2962"/>
    <n v="20"/>
    <s v="AC"/>
    <s v="J"/>
    <n v="0"/>
    <n v="7"/>
    <n v="7"/>
    <n v="7"/>
    <n v="7"/>
    <n v="6"/>
    <n v="6"/>
    <n v="6"/>
    <n v="6"/>
    <n v="7"/>
    <n v="7"/>
    <m/>
    <m/>
    <m/>
    <n v="50"/>
    <n v="0"/>
    <s v="700E"/>
    <n v="4"/>
    <x v="3"/>
    <n v="25805.303030303032"/>
    <m/>
    <n v="0"/>
    <x v="5"/>
  </r>
  <r>
    <x v="544"/>
    <s v="700E/200N"/>
    <m/>
    <x v="55"/>
    <x v="51"/>
    <n v="2992"/>
    <n v="20"/>
    <s v="AC"/>
    <s v="J"/>
    <n v="0"/>
    <n v="6"/>
    <n v="7"/>
    <n v="7"/>
    <n v="6"/>
    <n v="6"/>
    <n v="6"/>
    <n v="6"/>
    <n v="6"/>
    <n v="7"/>
    <n v="7"/>
    <m/>
    <m/>
    <m/>
    <n v="50"/>
    <n v="0"/>
    <s v="700E"/>
    <n v="4"/>
    <x v="0"/>
    <n v="11900"/>
    <m/>
    <n v="0"/>
    <x v="5"/>
  </r>
  <r>
    <x v="545"/>
    <s v="700E/200S"/>
    <m/>
    <x v="62"/>
    <x v="129"/>
    <n v="2665"/>
    <n v="20"/>
    <s v="CS"/>
    <s v="BR"/>
    <n v="0"/>
    <n v="6"/>
    <n v="7"/>
    <n v="7"/>
    <n v="5"/>
    <n v="5"/>
    <n v="5"/>
    <n v="5"/>
    <n v="5"/>
    <n v="8"/>
    <n v="8"/>
    <m/>
    <m/>
    <m/>
    <n v="50"/>
    <n v="0"/>
    <s v="700E"/>
    <n v="5"/>
    <x v="0"/>
    <n v="10599.431818181818"/>
    <m/>
    <n v="0"/>
    <x v="5"/>
  </r>
  <r>
    <x v="546"/>
    <s v="700E/250N"/>
    <m/>
    <x v="35"/>
    <x v="56"/>
    <n v="2693"/>
    <n v="20"/>
    <s v="AC"/>
    <s v="J"/>
    <n v="0"/>
    <n v="7"/>
    <n v="7"/>
    <n v="6"/>
    <n v="6"/>
    <n v="6"/>
    <n v="6"/>
    <n v="6"/>
    <n v="6"/>
    <n v="7"/>
    <n v="7"/>
    <m/>
    <m/>
    <m/>
    <n v="50"/>
    <n v="0"/>
    <s v="700E"/>
    <n v="4"/>
    <x v="3"/>
    <n v="23461.742424242424"/>
    <m/>
    <n v="0"/>
    <x v="5"/>
  </r>
  <r>
    <x v="547"/>
    <s v="700E/250S"/>
    <m/>
    <x v="128"/>
    <x v="11"/>
    <n v="2640"/>
    <n v="20"/>
    <s v="AC"/>
    <s v="BR"/>
    <n v="0"/>
    <n v="5"/>
    <n v="5"/>
    <n v="5"/>
    <n v="3"/>
    <n v="3"/>
    <n v="8"/>
    <n v="7"/>
    <n v="7"/>
    <n v="7"/>
    <n v="7"/>
    <m/>
    <m/>
    <m/>
    <n v="50"/>
    <n v="0"/>
    <s v="700E"/>
    <n v="7"/>
    <x v="0"/>
    <n v="10500"/>
    <m/>
    <n v="0"/>
    <x v="3"/>
  </r>
  <r>
    <x v="548"/>
    <s v="700E/300S"/>
    <m/>
    <x v="63"/>
    <x v="26"/>
    <n v="5255"/>
    <n v="20"/>
    <s v="CS"/>
    <s v="BR"/>
    <n v="0"/>
    <n v="6"/>
    <n v="7"/>
    <n v="7"/>
    <n v="6"/>
    <n v="6"/>
    <n v="6"/>
    <n v="6"/>
    <n v="6"/>
    <n v="7"/>
    <n v="7"/>
    <m/>
    <m/>
    <m/>
    <n v="50"/>
    <n v="0"/>
    <s v="700E"/>
    <n v="4"/>
    <x v="4"/>
    <n v="109479.16666666667"/>
    <n v="1"/>
    <n v="109479.16666666667"/>
    <x v="0"/>
  </r>
  <r>
    <x v="549"/>
    <s v="700E/400N"/>
    <m/>
    <x v="50"/>
    <x v="2"/>
    <n v="5270"/>
    <n v="20"/>
    <s v="DS"/>
    <s v="J"/>
    <n v="0"/>
    <n v="4"/>
    <n v="2"/>
    <n v="10"/>
    <n v="9"/>
    <n v="9"/>
    <n v="8"/>
    <n v="7"/>
    <n v="6"/>
    <n v="7"/>
    <n v="7"/>
    <m/>
    <m/>
    <m/>
    <n v="10"/>
    <n v="0"/>
    <s v="700E"/>
    <n v="1"/>
    <x v="2"/>
    <n v="31939.39393939394"/>
    <m/>
    <n v="0"/>
    <x v="2"/>
  </r>
  <r>
    <x v="550"/>
    <s v="700E/400S"/>
    <m/>
    <x v="10"/>
    <x v="130"/>
    <n v="2635"/>
    <n v="20"/>
    <s v="CS"/>
    <s v="BR"/>
    <n v="0"/>
    <n v="6"/>
    <n v="6"/>
    <n v="6"/>
    <n v="6"/>
    <n v="5"/>
    <n v="6"/>
    <n v="5"/>
    <n v="5"/>
    <n v="8"/>
    <n v="8"/>
    <m/>
    <m/>
    <m/>
    <n v="50"/>
    <n v="0"/>
    <s v="700E"/>
    <n v="5"/>
    <x v="0"/>
    <n v="10480.113636363636"/>
    <m/>
    <n v="0"/>
    <x v="5"/>
  </r>
  <r>
    <x v="551"/>
    <s v="800E/400N"/>
    <m/>
    <x v="50"/>
    <x v="2"/>
    <n v="4134"/>
    <n v="20"/>
    <s v="G"/>
    <s v="J"/>
    <n v="0"/>
    <n v="7"/>
    <n v="6"/>
    <n v="6"/>
    <n v="7"/>
    <n v="7"/>
    <n v="7"/>
    <n v="5"/>
    <n v="7"/>
    <n v="7"/>
    <n v="7"/>
    <m/>
    <m/>
    <m/>
    <n v="50"/>
    <n v="0"/>
    <s v="800E"/>
    <n v="3"/>
    <x v="0"/>
    <n v="16442.045454545456"/>
    <m/>
    <n v="0"/>
    <x v="6"/>
  </r>
  <r>
    <x v="552"/>
    <s v="700E/600N"/>
    <m/>
    <x v="77"/>
    <x v="3"/>
    <n v="5030"/>
    <n v="20"/>
    <s v="AC"/>
    <s v="J"/>
    <n v="0"/>
    <n v="6"/>
    <n v="6"/>
    <n v="5"/>
    <n v="4"/>
    <n v="4"/>
    <n v="8"/>
    <n v="8"/>
    <n v="7"/>
    <n v="7"/>
    <n v="7"/>
    <m/>
    <m/>
    <m/>
    <n v="45"/>
    <n v="0"/>
    <s v="700E"/>
    <n v="6"/>
    <x v="0"/>
    <n v="20005.68181818182"/>
    <m/>
    <n v="0"/>
    <x v="4"/>
  </r>
  <r>
    <x v="553"/>
    <s v="700E/650N"/>
    <m/>
    <x v="77"/>
    <x v="5"/>
    <n v="2655"/>
    <n v="20"/>
    <s v="CS"/>
    <s v="B"/>
    <n v="0"/>
    <n v="7"/>
    <n v="7"/>
    <n v="7"/>
    <n v="6"/>
    <n v="6"/>
    <n v="5"/>
    <n v="5"/>
    <n v="5"/>
    <n v="8"/>
    <n v="8"/>
    <m/>
    <m/>
    <m/>
    <n v="50"/>
    <n v="0"/>
    <s v="700E"/>
    <n v="4"/>
    <x v="3"/>
    <n v="23130.68181818182"/>
    <m/>
    <n v="0"/>
    <x v="5"/>
  </r>
  <r>
    <x v="554"/>
    <s v="700N/1125E"/>
    <m/>
    <x v="129"/>
    <x v="125"/>
    <n v="3960"/>
    <n v="20"/>
    <s v="AC"/>
    <s v="B"/>
    <n v="0"/>
    <n v="7"/>
    <n v="7"/>
    <n v="7"/>
    <n v="7"/>
    <n v="6"/>
    <n v="9"/>
    <n v="8"/>
    <n v="8"/>
    <n v="7"/>
    <n v="7"/>
    <n v="2024"/>
    <n v="2019"/>
    <s v="Y"/>
    <n v="1081"/>
    <n v="0.5"/>
    <s v="700N"/>
    <n v="4.5"/>
    <x v="0"/>
    <n v="15750"/>
    <n v="1"/>
    <n v="15750"/>
    <x v="3"/>
  </r>
  <r>
    <x v="555"/>
    <s v="700N/1200E"/>
    <m/>
    <x v="103"/>
    <x v="109"/>
    <n v="4080"/>
    <n v="20"/>
    <s v="AC"/>
    <s v="B"/>
    <n v="0"/>
    <n v="7"/>
    <n v="7"/>
    <n v="7"/>
    <n v="7"/>
    <n v="6"/>
    <n v="9"/>
    <n v="8"/>
    <n v="8"/>
    <n v="7"/>
    <n v="7"/>
    <n v="2024"/>
    <n v="2019"/>
    <s v="Y"/>
    <n v="1110"/>
    <n v="0.5"/>
    <s v="700N"/>
    <n v="4.5"/>
    <x v="0"/>
    <n v="16227.272727272728"/>
    <n v="1"/>
    <n v="16227.272727272728"/>
    <x v="3"/>
  </r>
  <r>
    <x v="556"/>
    <s v="700N/200W"/>
    <m/>
    <x v="27"/>
    <x v="29"/>
    <n v="2692"/>
    <n v="20"/>
    <s v="AC"/>
    <s v="V"/>
    <n v="0"/>
    <n v="7"/>
    <n v="7"/>
    <n v="7"/>
    <n v="6"/>
    <n v="8"/>
    <n v="7"/>
    <n v="7"/>
    <n v="7"/>
    <n v="6"/>
    <n v="7"/>
    <m/>
    <m/>
    <m/>
    <n v="282"/>
    <n v="0"/>
    <s v="700N"/>
    <n v="2"/>
    <x v="2"/>
    <n v="16315.151515151516"/>
    <n v="1"/>
    <n v="16315.151515151516"/>
    <x v="0"/>
  </r>
  <r>
    <x v="557"/>
    <s v="700N/250E"/>
    <m/>
    <x v="116"/>
    <x v="19"/>
    <n v="3590"/>
    <n v="20"/>
    <s v="AC"/>
    <s v="G"/>
    <n v="0"/>
    <n v="7"/>
    <n v="8"/>
    <n v="8"/>
    <n v="8"/>
    <n v="8"/>
    <n v="7"/>
    <n v="7"/>
    <n v="7"/>
    <n v="7"/>
    <n v="7"/>
    <m/>
    <m/>
    <m/>
    <n v="377"/>
    <n v="0"/>
    <s v="700N"/>
    <n v="2"/>
    <x v="0"/>
    <n v="14278.40909090909"/>
    <n v="1"/>
    <n v="14278.40909090909"/>
    <x v="0"/>
  </r>
  <r>
    <x v="558"/>
    <s v="700N/300E"/>
    <m/>
    <x v="85"/>
    <x v="121"/>
    <n v="2693"/>
    <n v="20"/>
    <s v="AC"/>
    <s v="G"/>
    <n v="0"/>
    <n v="8"/>
    <n v="8"/>
    <n v="7"/>
    <n v="7"/>
    <n v="7"/>
    <n v="7"/>
    <n v="7"/>
    <n v="7"/>
    <n v="7"/>
    <n v="7"/>
    <m/>
    <m/>
    <m/>
    <n v="324"/>
    <n v="0"/>
    <s v="700N"/>
    <n v="3"/>
    <x v="0"/>
    <n v="10710.795454545454"/>
    <m/>
    <n v="0"/>
    <x v="4"/>
  </r>
  <r>
    <x v="559"/>
    <s v="700N/300W"/>
    <m/>
    <x v="28"/>
    <x v="30"/>
    <n v="2692"/>
    <n v="20"/>
    <s v="AC"/>
    <s v="V"/>
    <n v="0"/>
    <n v="8"/>
    <n v="7"/>
    <n v="7"/>
    <n v="6"/>
    <n v="8"/>
    <n v="7"/>
    <n v="7"/>
    <n v="7"/>
    <n v="6"/>
    <n v="7"/>
    <m/>
    <m/>
    <m/>
    <n v="292"/>
    <n v="0"/>
    <s v="700N"/>
    <n v="2"/>
    <x v="0"/>
    <n v="10706.818181818182"/>
    <m/>
    <n v="0"/>
    <x v="3"/>
  </r>
  <r>
    <x v="560"/>
    <s v="700N/350W"/>
    <m/>
    <x v="29"/>
    <x v="31"/>
    <n v="2692"/>
    <n v="20"/>
    <s v="AC"/>
    <s v="V"/>
    <n v="0"/>
    <n v="7"/>
    <n v="7"/>
    <n v="7"/>
    <n v="6"/>
    <n v="8"/>
    <n v="7"/>
    <n v="7"/>
    <n v="7"/>
    <n v="6"/>
    <n v="7"/>
    <m/>
    <m/>
    <m/>
    <n v="282"/>
    <n v="0"/>
    <s v="700N"/>
    <n v="2"/>
    <x v="2"/>
    <n v="16315.151515151516"/>
    <n v="1"/>
    <n v="16315.151515151516"/>
    <x v="0"/>
  </r>
  <r>
    <x v="561"/>
    <s v="700N/400E"/>
    <m/>
    <x v="30"/>
    <x v="131"/>
    <n v="2700"/>
    <n v="20"/>
    <s v="CS"/>
    <s v="G"/>
    <n v="0"/>
    <n v="5"/>
    <n v="5"/>
    <n v="5"/>
    <n v="9"/>
    <n v="8"/>
    <n v="8"/>
    <n v="8"/>
    <n v="7"/>
    <n v="7"/>
    <n v="7"/>
    <m/>
    <m/>
    <m/>
    <n v="233"/>
    <n v="0"/>
    <s v="700N"/>
    <n v="2"/>
    <x v="0"/>
    <n v="10738.636363636364"/>
    <n v="1"/>
    <n v="10738.636363636364"/>
    <x v="0"/>
  </r>
  <r>
    <x v="562"/>
    <s v="700N/400W"/>
    <m/>
    <x v="11"/>
    <x v="132"/>
    <n v="2602"/>
    <n v="20"/>
    <s v="CS"/>
    <s v="V"/>
    <n v="0"/>
    <n v="6"/>
    <n v="6"/>
    <n v="6"/>
    <n v="6"/>
    <n v="8"/>
    <n v="7"/>
    <n v="7"/>
    <n v="7"/>
    <n v="6"/>
    <n v="7"/>
    <m/>
    <m/>
    <m/>
    <n v="294"/>
    <n v="0"/>
    <s v="700N"/>
    <n v="2"/>
    <x v="0"/>
    <n v="10348.863636363636"/>
    <n v="1"/>
    <n v="10348.863636363636"/>
    <x v="0"/>
  </r>
  <r>
    <x v="563"/>
    <s v="700N/475W"/>
    <m/>
    <x v="130"/>
    <x v="46"/>
    <n v="1372"/>
    <n v="20"/>
    <s v="AC"/>
    <s v="V"/>
    <n v="0"/>
    <n v="7"/>
    <n v="7"/>
    <n v="7"/>
    <n v="7"/>
    <n v="7"/>
    <n v="6"/>
    <n v="7"/>
    <n v="7"/>
    <n v="6"/>
    <n v="7"/>
    <m/>
    <m/>
    <m/>
    <n v="342"/>
    <n v="0"/>
    <s v="700N"/>
    <n v="3"/>
    <x v="0"/>
    <n v="5456.818181818182"/>
    <m/>
    <n v="0"/>
    <x v="4"/>
  </r>
  <r>
    <x v="564"/>
    <s v="700N/500E"/>
    <m/>
    <x v="32"/>
    <x v="73"/>
    <n v="6758"/>
    <n v="20"/>
    <s v="P"/>
    <s v="G"/>
    <n v="0"/>
    <n v="5"/>
    <n v="3"/>
    <n v="10"/>
    <n v="9"/>
    <n v="8"/>
    <n v="7"/>
    <n v="7"/>
    <n v="7"/>
    <n v="7"/>
    <n v="7"/>
    <m/>
    <m/>
    <m/>
    <n v="111"/>
    <n v="0"/>
    <s v="700N"/>
    <n v="2"/>
    <x v="2"/>
    <n v="40957.57575757576"/>
    <m/>
    <n v="0"/>
    <x v="5"/>
  </r>
  <r>
    <x v="565"/>
    <s v="700N/500W"/>
    <m/>
    <x v="43"/>
    <x v="46"/>
    <n v="4636"/>
    <n v="20"/>
    <s v="AC"/>
    <s v="V"/>
    <n v="0"/>
    <n v="7"/>
    <n v="7"/>
    <n v="7"/>
    <n v="7"/>
    <n v="7"/>
    <n v="7"/>
    <n v="7"/>
    <n v="7"/>
    <n v="7"/>
    <n v="7"/>
    <m/>
    <m/>
    <m/>
    <n v="343"/>
    <n v="0"/>
    <s v="700N"/>
    <n v="3"/>
    <x v="0"/>
    <n v="18438.636363636364"/>
    <m/>
    <n v="0"/>
    <x v="4"/>
  </r>
  <r>
    <x v="566"/>
    <s v="700N/50E"/>
    <m/>
    <x v="89"/>
    <x v="18"/>
    <n v="2660"/>
    <n v="20"/>
    <s v="AC"/>
    <s v="G"/>
    <n v="0"/>
    <n v="6"/>
    <n v="7"/>
    <n v="6"/>
    <n v="6"/>
    <n v="6"/>
    <n v="7"/>
    <n v="7"/>
    <n v="7"/>
    <n v="7"/>
    <n v="7"/>
    <m/>
    <m/>
    <m/>
    <n v="201"/>
    <n v="0"/>
    <s v="700N"/>
    <n v="4"/>
    <x v="0"/>
    <n v="10579.545454545454"/>
    <m/>
    <n v="0"/>
    <x v="3"/>
  </r>
  <r>
    <x v="567"/>
    <s v="860N/END"/>
    <m/>
    <x v="117"/>
    <x v="25"/>
    <n v="293"/>
    <n v="20"/>
    <s v="AC"/>
    <s v="V"/>
    <n v="0"/>
    <n v="5"/>
    <n v="5"/>
    <n v="5"/>
    <n v="5"/>
    <n v="5"/>
    <n v="5"/>
    <n v="5"/>
    <n v="7"/>
    <n v="7"/>
    <n v="7"/>
    <m/>
    <m/>
    <m/>
    <n v="50"/>
    <n v="0"/>
    <s v="850N"/>
    <n v="5"/>
    <x v="0"/>
    <n v="1165.340909090909"/>
    <m/>
    <n v="0"/>
    <x v="6"/>
  </r>
  <r>
    <x v="568"/>
    <s v="700N/600E"/>
    <m/>
    <x v="14"/>
    <x v="14"/>
    <n v="5328"/>
    <n v="20"/>
    <s v="P"/>
    <s v="G"/>
    <n v="0"/>
    <n v="4"/>
    <n v="4"/>
    <n v="10"/>
    <n v="9"/>
    <n v="8"/>
    <n v="7"/>
    <n v="7"/>
    <n v="7"/>
    <n v="7"/>
    <n v="7"/>
    <m/>
    <m/>
    <m/>
    <n v="34"/>
    <n v="0"/>
    <s v="700N"/>
    <n v="2"/>
    <x v="2"/>
    <n v="32290.909090909092"/>
    <m/>
    <n v="0"/>
    <x v="5"/>
  </r>
  <r>
    <x v="569"/>
    <s v="700N/900E"/>
    <m/>
    <x v="46"/>
    <x v="77"/>
    <n v="6738"/>
    <n v="20"/>
    <s v="CS"/>
    <s v="B"/>
    <n v="0"/>
    <n v="7"/>
    <n v="7"/>
    <n v="7"/>
    <n v="7"/>
    <n v="6"/>
    <n v="6"/>
    <n v="6"/>
    <n v="6"/>
    <n v="6"/>
    <n v="7"/>
    <m/>
    <m/>
    <m/>
    <n v="69"/>
    <n v="0"/>
    <s v="700N"/>
    <n v="4"/>
    <x v="0"/>
    <n v="26798.863636363636"/>
    <m/>
    <n v="0"/>
    <x v="2"/>
  </r>
  <r>
    <x v="570"/>
    <s v="900E/300S"/>
    <m/>
    <x v="10"/>
    <x v="11"/>
    <n v="5275"/>
    <n v="20"/>
    <s v="CS"/>
    <s v="BR"/>
    <n v="0"/>
    <n v="4"/>
    <n v="7"/>
    <n v="7"/>
    <n v="6"/>
    <n v="6"/>
    <n v="7"/>
    <n v="7"/>
    <n v="7"/>
    <n v="7"/>
    <n v="7"/>
    <m/>
    <m/>
    <m/>
    <n v="50"/>
    <n v="0"/>
    <s v="900E"/>
    <n v="4"/>
    <x v="0"/>
    <n v="20980.113636363636"/>
    <m/>
    <n v="0"/>
    <x v="6"/>
  </r>
  <r>
    <x v="571"/>
    <s v="900E/450S"/>
    <m/>
    <x v="24"/>
    <x v="130"/>
    <n v="3035"/>
    <n v="20"/>
    <s v="CS"/>
    <s v="BR"/>
    <n v="0"/>
    <n v="4"/>
    <n v="4"/>
    <n v="10"/>
    <n v="9"/>
    <n v="9"/>
    <n v="8"/>
    <n v="8"/>
    <n v="8"/>
    <n v="8"/>
    <n v="8"/>
    <m/>
    <m/>
    <m/>
    <n v="50"/>
    <n v="0"/>
    <s v="900E"/>
    <n v="1"/>
    <x v="0"/>
    <n v="12071.022727272728"/>
    <m/>
    <n v="0"/>
    <x v="6"/>
  </r>
  <r>
    <x v="572"/>
    <s v="700N/SR109"/>
    <m/>
    <x v="70"/>
    <x v="8"/>
    <n v="5650"/>
    <n v="20"/>
    <s v="AC"/>
    <s v="B"/>
    <n v="0"/>
    <n v="7"/>
    <n v="7"/>
    <n v="7"/>
    <n v="7"/>
    <n v="7"/>
    <n v="7"/>
    <n v="7"/>
    <n v="7"/>
    <n v="7"/>
    <n v="7"/>
    <m/>
    <m/>
    <m/>
    <n v="68"/>
    <n v="0"/>
    <s v="700N"/>
    <n v="3"/>
    <x v="0"/>
    <n v="22471.590909090908"/>
    <m/>
    <n v="0"/>
    <x v="4"/>
  </r>
  <r>
    <x v="573"/>
    <s v="700N/SR9"/>
    <m/>
    <x v="21"/>
    <x v="45"/>
    <n v="5670"/>
    <n v="20"/>
    <s v="AC"/>
    <s v="G"/>
    <n v="0"/>
    <n v="7"/>
    <n v="7"/>
    <n v="8"/>
    <n v="7"/>
    <n v="7"/>
    <n v="7"/>
    <n v="7"/>
    <n v="7"/>
    <n v="7"/>
    <n v="7"/>
    <m/>
    <m/>
    <m/>
    <n v="50"/>
    <n v="0"/>
    <s v="700N"/>
    <n v="3"/>
    <x v="0"/>
    <n v="22551.136363636364"/>
    <n v="1"/>
    <n v="22551.136363636364"/>
    <x v="0"/>
  </r>
  <r>
    <x v="574"/>
    <s v="700N/TROY RD"/>
    <m/>
    <x v="131"/>
    <x v="104"/>
    <n v="1328"/>
    <n v="20"/>
    <s v="CS"/>
    <s v="G"/>
    <n v="0"/>
    <n v="7"/>
    <n v="7"/>
    <n v="7"/>
    <n v="7"/>
    <n v="7"/>
    <n v="7"/>
    <n v="7"/>
    <n v="7"/>
    <n v="7"/>
    <n v="7"/>
    <m/>
    <m/>
    <m/>
    <n v="324"/>
    <n v="0"/>
    <s v="700N"/>
    <n v="3"/>
    <x v="0"/>
    <n v="5281.818181818182"/>
    <n v="1"/>
    <n v="5281.818181818182"/>
    <x v="3"/>
  </r>
  <r>
    <x v="575"/>
    <s v="700W/100N"/>
    <m/>
    <x v="44"/>
    <x v="105"/>
    <n v="4900"/>
    <n v="20"/>
    <s v="CS"/>
    <s v="BC"/>
    <n v="0"/>
    <n v="7"/>
    <n v="6"/>
    <n v="7"/>
    <n v="9"/>
    <n v="8"/>
    <n v="7"/>
    <n v="7"/>
    <n v="7"/>
    <n v="7"/>
    <n v="7"/>
    <n v="2023"/>
    <n v="2023"/>
    <s v="Y"/>
    <n v="3889"/>
    <n v="1.5"/>
    <s v="700W"/>
    <n v="3.5"/>
    <x v="4"/>
    <n v="102083.33333333333"/>
    <n v="1"/>
    <n v="102083.33333333333"/>
    <x v="0"/>
  </r>
  <r>
    <x v="576"/>
    <s v="700W/100S"/>
    <m/>
    <x v="71"/>
    <x v="64"/>
    <n v="5330"/>
    <n v="20"/>
    <s v="AC"/>
    <s v="SC"/>
    <n v="0"/>
    <n v="9"/>
    <n v="7"/>
    <n v="8"/>
    <n v="8"/>
    <n v="8"/>
    <n v="7"/>
    <n v="7"/>
    <n v="7"/>
    <n v="7"/>
    <n v="7"/>
    <n v="2022"/>
    <m/>
    <s v="Y"/>
    <n v="3430"/>
    <n v="1.5"/>
    <s v="700W"/>
    <n v="3.5"/>
    <x v="0"/>
    <n v="21198.863636363636"/>
    <m/>
    <n v="0"/>
    <x v="4"/>
  </r>
  <r>
    <x v="577"/>
    <s v="700W/150N"/>
    <m/>
    <x v="44"/>
    <x v="55"/>
    <n v="2798"/>
    <n v="20"/>
    <s v="AC"/>
    <s v="BC"/>
    <n v="0"/>
    <n v="7"/>
    <n v="7"/>
    <n v="7"/>
    <n v="9"/>
    <n v="8"/>
    <n v="8"/>
    <n v="7"/>
    <n v="6"/>
    <n v="6"/>
    <n v="8"/>
    <n v="2022"/>
    <n v="2020"/>
    <s v="Y"/>
    <n v="3900"/>
    <n v="1.5"/>
    <s v="700W"/>
    <n v="3.5"/>
    <x v="4"/>
    <n v="58291.666666666664"/>
    <n v="1"/>
    <n v="58291.666666666664"/>
    <x v="2"/>
  </r>
  <r>
    <x v="578"/>
    <s v="700W/200N"/>
    <m/>
    <x v="55"/>
    <x v="51"/>
    <n v="2006"/>
    <n v="20"/>
    <s v="AC"/>
    <s v="BC"/>
    <n v="0"/>
    <n v="7"/>
    <n v="7"/>
    <n v="7"/>
    <n v="9"/>
    <n v="8"/>
    <n v="7"/>
    <n v="7"/>
    <n v="6"/>
    <n v="6"/>
    <n v="8"/>
    <n v="2022"/>
    <n v="2020"/>
    <s v="Y"/>
    <n v="3900"/>
    <n v="1.5"/>
    <s v="700W"/>
    <n v="3.5"/>
    <x v="4"/>
    <n v="41791.666666666664"/>
    <m/>
    <n v="0"/>
    <x v="2"/>
  </r>
  <r>
    <x v="579"/>
    <s v="700W/200S"/>
    <m/>
    <x v="62"/>
    <x v="11"/>
    <n v="5330"/>
    <n v="20"/>
    <s v="AC"/>
    <s v="SC"/>
    <n v="0"/>
    <n v="8"/>
    <n v="7"/>
    <n v="7"/>
    <n v="7"/>
    <n v="7"/>
    <n v="6"/>
    <n v="6"/>
    <n v="7"/>
    <n v="6"/>
    <n v="8"/>
    <n v="2022"/>
    <m/>
    <s v="Y"/>
    <n v="3749"/>
    <n v="1.5"/>
    <s v="700W"/>
    <n v="4.5"/>
    <x v="4"/>
    <n v="111041.66666666667"/>
    <n v="1"/>
    <n v="111041.66666666667"/>
    <x v="2"/>
  </r>
  <r>
    <x v="580"/>
    <s v="HOLMES COURT"/>
    <s v="Cranberry Lake Estates"/>
    <x v="31"/>
    <x v="133"/>
    <n v="422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HOLMES COURT"/>
    <n v="3"/>
    <x v="0"/>
    <n v="1678.409090909091"/>
    <m/>
    <n v="0"/>
    <x v="6"/>
  </r>
  <r>
    <x v="581"/>
    <s v="700W/300S"/>
    <m/>
    <x v="63"/>
    <x v="52"/>
    <n v="4180"/>
    <n v="20"/>
    <s v="CS"/>
    <s v="SC"/>
    <n v="0"/>
    <n v="7"/>
    <n v="6"/>
    <n v="6"/>
    <n v="6"/>
    <n v="6"/>
    <n v="8"/>
    <n v="7"/>
    <n v="7"/>
    <n v="7"/>
    <n v="7"/>
    <n v="2024"/>
    <n v="2018"/>
    <s v="Y"/>
    <n v="3051"/>
    <n v="1.5"/>
    <s v="700W"/>
    <n v="5.5"/>
    <x v="4"/>
    <n v="87083.333333333328"/>
    <n v="1"/>
    <n v="87083.333333333328"/>
    <x v="3"/>
  </r>
  <r>
    <x v="582"/>
    <s v="700W/350N"/>
    <m/>
    <x v="50"/>
    <x v="59"/>
    <n v="2587"/>
    <n v="20"/>
    <s v="AC"/>
    <s v="BC"/>
    <n v="0"/>
    <n v="7"/>
    <n v="7"/>
    <n v="10"/>
    <n v="9"/>
    <n v="8"/>
    <n v="7"/>
    <n v="7"/>
    <n v="6"/>
    <n v="6"/>
    <n v="8"/>
    <n v="2022"/>
    <m/>
    <s v="Y"/>
    <n v="2833"/>
    <n v="1.5"/>
    <s v="700W"/>
    <n v="3.5"/>
    <x v="4"/>
    <n v="53895.833333333336"/>
    <m/>
    <n v="0"/>
    <x v="2"/>
  </r>
  <r>
    <x v="583"/>
    <s v="700W/400N"/>
    <m/>
    <x v="2"/>
    <x v="2"/>
    <n v="2745"/>
    <n v="20"/>
    <s v="AC"/>
    <s v="BC"/>
    <n v="0"/>
    <n v="7"/>
    <n v="7"/>
    <n v="7"/>
    <n v="9"/>
    <n v="8"/>
    <n v="7"/>
    <n v="7"/>
    <n v="6"/>
    <n v="6"/>
    <n v="8"/>
    <n v="2022"/>
    <m/>
    <s v="Y"/>
    <n v="2531"/>
    <n v="1.5"/>
    <s v="700W"/>
    <n v="3.5"/>
    <x v="4"/>
    <n v="57187.5"/>
    <m/>
    <n v="0"/>
    <x v="2"/>
  </r>
  <r>
    <x v="584"/>
    <s v="700W/500N"/>
    <m/>
    <x v="132"/>
    <x v="3"/>
    <n v="4537"/>
    <n v="20"/>
    <s v="AC"/>
    <s v="BC"/>
    <n v="0"/>
    <n v="7"/>
    <n v="7"/>
    <n v="7"/>
    <n v="9"/>
    <n v="8"/>
    <n v="7"/>
    <n v="7"/>
    <n v="7"/>
    <n v="6"/>
    <n v="7"/>
    <n v="2022"/>
    <m/>
    <s v="Y"/>
    <n v="2590"/>
    <n v="1.5"/>
    <s v="700W"/>
    <n v="3.5"/>
    <x v="4"/>
    <n v="94520.833333333328"/>
    <m/>
    <n v="0"/>
    <x v="2"/>
  </r>
  <r>
    <x v="585"/>
    <s v="SECOND ST(CHAR)/EA"/>
    <m/>
    <x v="133"/>
    <x v="134"/>
    <n v="360"/>
    <n v="20"/>
    <s v="AC"/>
    <s v="J"/>
    <n v="0"/>
    <n v="6"/>
    <n v="3"/>
    <n v="3"/>
    <n v="9"/>
    <n v="9"/>
    <n v="8"/>
    <n v="7"/>
    <n v="7"/>
    <n v="7"/>
    <n v="7"/>
    <m/>
    <m/>
    <m/>
    <n v="50"/>
    <n v="0"/>
    <s v="SECOND ST."/>
    <n v="1"/>
    <x v="0"/>
    <n v="1431.8181818181818"/>
    <m/>
    <n v="0"/>
    <x v="6"/>
  </r>
  <r>
    <x v="586"/>
    <s v="700W/LANE RD"/>
    <m/>
    <x v="3"/>
    <x v="135"/>
    <n v="800"/>
    <n v="20"/>
    <s v="AC"/>
    <s v="BC"/>
    <n v="0"/>
    <n v="7"/>
    <n v="7"/>
    <n v="7"/>
    <n v="6"/>
    <n v="7"/>
    <n v="6"/>
    <n v="6"/>
    <n v="6"/>
    <n v="8"/>
    <n v="8"/>
    <n v="2022"/>
    <n v="2016"/>
    <s v="Y"/>
    <n v="1924"/>
    <n v="1"/>
    <s v="700W"/>
    <n v="4"/>
    <x v="4"/>
    <n v="16666.666666666668"/>
    <m/>
    <n v="0"/>
    <x v="2"/>
  </r>
  <r>
    <x v="587"/>
    <s v="700W/US40"/>
    <m/>
    <x v="23"/>
    <x v="63"/>
    <n v="2420"/>
    <n v="20"/>
    <s v="AC"/>
    <s v="SC"/>
    <n v="0"/>
    <n v="9"/>
    <n v="7"/>
    <n v="8"/>
    <n v="8"/>
    <n v="8"/>
    <n v="8"/>
    <n v="8"/>
    <n v="7"/>
    <n v="7"/>
    <n v="7"/>
    <n v="2022"/>
    <m/>
    <s v="Y"/>
    <n v="3883"/>
    <n v="1.5"/>
    <s v="700W"/>
    <n v="3.5"/>
    <x v="0"/>
    <n v="9625"/>
    <m/>
    <n v="0"/>
    <x v="4"/>
  </r>
  <r>
    <x v="588"/>
    <s v="STEELEFORD RD/MORR"/>
    <m/>
    <x v="134"/>
    <x v="66"/>
    <n v="2506"/>
    <n v="20"/>
    <s v="CS"/>
    <s v="C"/>
    <n v="0"/>
    <n v="6"/>
    <n v="6"/>
    <n v="6"/>
    <n v="6"/>
    <n v="7"/>
    <n v="7"/>
    <n v="7"/>
    <n v="7"/>
    <n v="7"/>
    <n v="7"/>
    <m/>
    <m/>
    <m/>
    <n v="50"/>
    <n v="0"/>
    <s v="STEELFORD"/>
    <n v="3"/>
    <x v="0"/>
    <n v="9967.045454545454"/>
    <m/>
    <n v="0"/>
    <x v="6"/>
  </r>
  <r>
    <x v="589"/>
    <s v="725E/SR234"/>
    <m/>
    <x v="7"/>
    <x v="5"/>
    <n v="7925"/>
    <n v="20"/>
    <s v="CS"/>
    <s v="B"/>
    <n v="0"/>
    <n v="5"/>
    <n v="4"/>
    <n v="10"/>
    <n v="9"/>
    <n v="8"/>
    <n v="7"/>
    <n v="7"/>
    <n v="6"/>
    <n v="6"/>
    <n v="7"/>
    <m/>
    <m/>
    <m/>
    <n v="29"/>
    <n v="0"/>
    <s v="725E"/>
    <n v="2"/>
    <x v="0"/>
    <n v="31519.886363636364"/>
    <m/>
    <n v="0"/>
    <x v="2"/>
  </r>
  <r>
    <x v="590"/>
    <s v="750E/100S"/>
    <m/>
    <x v="62"/>
    <x v="63"/>
    <n v="5300"/>
    <n v="20"/>
    <s v="CS"/>
    <s v="BR"/>
    <n v="0"/>
    <n v="6"/>
    <n v="8"/>
    <n v="7"/>
    <n v="7"/>
    <n v="7"/>
    <n v="7"/>
    <n v="6"/>
    <n v="5"/>
    <n v="7"/>
    <n v="7"/>
    <m/>
    <m/>
    <m/>
    <n v="50"/>
    <n v="0"/>
    <s v="750E"/>
    <n v="3"/>
    <x v="0"/>
    <n v="21079.545454545456"/>
    <n v="1"/>
    <n v="21079.545454545456"/>
    <x v="0"/>
  </r>
  <r>
    <x v="591"/>
    <s v="750E/900N"/>
    <m/>
    <x v="5"/>
    <x v="6"/>
    <n v="5300"/>
    <n v="20"/>
    <s v="CS"/>
    <s v="B"/>
    <n v="0"/>
    <n v="6"/>
    <n v="6"/>
    <n v="6"/>
    <n v="6"/>
    <n v="5"/>
    <n v="5"/>
    <n v="5"/>
    <n v="5"/>
    <n v="8"/>
    <n v="7"/>
    <m/>
    <m/>
    <m/>
    <n v="40"/>
    <n v="0"/>
    <s v="750E"/>
    <n v="5"/>
    <x v="4"/>
    <n v="110416.66666666667"/>
    <m/>
    <n v="0"/>
    <x v="5"/>
  </r>
  <r>
    <x v="592"/>
    <s v="750E/950N"/>
    <m/>
    <x v="66"/>
    <x v="88"/>
    <n v="2644"/>
    <n v="20"/>
    <s v="CS"/>
    <s v="B"/>
    <n v="0"/>
    <n v="6"/>
    <n v="6"/>
    <n v="5"/>
    <n v="5"/>
    <n v="5"/>
    <n v="5"/>
    <n v="5"/>
    <n v="5"/>
    <n v="8"/>
    <n v="7"/>
    <m/>
    <m/>
    <m/>
    <n v="40"/>
    <n v="0"/>
    <s v="750E"/>
    <n v="5"/>
    <x v="3"/>
    <n v="23034.848484848484"/>
    <m/>
    <n v="0"/>
    <x v="5"/>
  </r>
  <r>
    <x v="593"/>
    <s v="525E/400N"/>
    <m/>
    <x v="50"/>
    <x v="2"/>
    <n v="5370"/>
    <n v="20"/>
    <s v="CS"/>
    <s v="J"/>
    <n v="0"/>
    <n v="6"/>
    <n v="6"/>
    <n v="6"/>
    <n v="6"/>
    <n v="4"/>
    <n v="8"/>
    <n v="8"/>
    <n v="8"/>
    <n v="7"/>
    <n v="7"/>
    <m/>
    <m/>
    <m/>
    <n v="49"/>
    <n v="0"/>
    <s v="525E"/>
    <n v="6"/>
    <x v="0"/>
    <n v="21357.954545454544"/>
    <m/>
    <n v="0"/>
    <x v="6"/>
  </r>
  <r>
    <x v="594"/>
    <s v="750N/SR9"/>
    <m/>
    <x v="21"/>
    <x v="45"/>
    <n v="6620"/>
    <n v="20"/>
    <s v="G"/>
    <s v="G"/>
    <n v="0"/>
    <n v="6"/>
    <n v="7"/>
    <n v="8"/>
    <n v="7"/>
    <n v="7"/>
    <n v="7"/>
    <n v="7"/>
    <n v="7"/>
    <n v="7"/>
    <n v="7"/>
    <m/>
    <m/>
    <m/>
    <n v="50"/>
    <n v="0"/>
    <s v="750N"/>
    <n v="3"/>
    <x v="8"/>
    <n v="17553.030303030304"/>
    <m/>
    <n v="0"/>
    <x v="4"/>
  </r>
  <r>
    <x v="595"/>
    <s v="775E/1000N"/>
    <m/>
    <x v="19"/>
    <x v="61"/>
    <n v="930"/>
    <n v="20"/>
    <s v="AC"/>
    <s v="B"/>
    <n v="0"/>
    <n v="7"/>
    <n v="7"/>
    <n v="7"/>
    <n v="7"/>
    <n v="7"/>
    <n v="7"/>
    <n v="7"/>
    <n v="7"/>
    <n v="7"/>
    <n v="7"/>
    <m/>
    <m/>
    <m/>
    <n v="28"/>
    <n v="0"/>
    <s v="775E"/>
    <n v="3"/>
    <x v="0"/>
    <n v="3698.8636363636365"/>
    <m/>
    <n v="0"/>
    <x v="5"/>
  </r>
  <r>
    <x v="596"/>
    <s v="775E/1100N"/>
    <m/>
    <x v="60"/>
    <x v="62"/>
    <n v="5360"/>
    <n v="20"/>
    <s v="AC"/>
    <s v="B"/>
    <n v="0"/>
    <n v="7"/>
    <n v="7"/>
    <n v="7"/>
    <n v="7"/>
    <n v="7"/>
    <n v="6"/>
    <n v="6"/>
    <n v="6"/>
    <n v="8"/>
    <n v="8"/>
    <m/>
    <m/>
    <m/>
    <n v="31"/>
    <n v="0"/>
    <s v="775E"/>
    <n v="3"/>
    <x v="3"/>
    <n v="46696.969696969696"/>
    <m/>
    <n v="0"/>
    <x v="5"/>
  </r>
  <r>
    <x v="597"/>
    <s v="775E/50S"/>
    <m/>
    <x v="135"/>
    <x v="63"/>
    <n v="3848"/>
    <n v="20"/>
    <s v="CS"/>
    <s v="BR"/>
    <n v="0"/>
    <n v="5"/>
    <n v="5"/>
    <n v="8"/>
    <n v="7"/>
    <n v="7"/>
    <n v="7"/>
    <n v="7"/>
    <n v="6"/>
    <n v="6"/>
    <n v="8"/>
    <m/>
    <m/>
    <m/>
    <n v="50"/>
    <n v="0"/>
    <s v="775E"/>
    <n v="3"/>
    <x v="0"/>
    <n v="15304.545454545454"/>
    <m/>
    <n v="0"/>
    <x v="2"/>
  </r>
  <r>
    <x v="598"/>
    <s v="775E/700N"/>
    <m/>
    <x v="65"/>
    <x v="5"/>
    <n v="2692"/>
    <n v="20"/>
    <s v="AC"/>
    <s v="B"/>
    <n v="0"/>
    <n v="5"/>
    <n v="7"/>
    <n v="7"/>
    <n v="6"/>
    <n v="5"/>
    <n v="5"/>
    <n v="5"/>
    <n v="8"/>
    <n v="7"/>
    <n v="8"/>
    <m/>
    <m/>
    <m/>
    <n v="16"/>
    <n v="0"/>
    <s v="775E"/>
    <n v="5"/>
    <x v="0"/>
    <n v="10706.818181818182"/>
    <m/>
    <n v="0"/>
    <x v="4"/>
  </r>
  <r>
    <x v="599"/>
    <s v="775E/NASHVILLE RD."/>
    <m/>
    <x v="66"/>
    <x v="128"/>
    <n v="2010"/>
    <n v="20"/>
    <s v="CS"/>
    <s v="B"/>
    <n v="0"/>
    <n v="7"/>
    <n v="8"/>
    <n v="7"/>
    <n v="7"/>
    <n v="6"/>
    <n v="6"/>
    <n v="6"/>
    <n v="6"/>
    <n v="6"/>
    <n v="6"/>
    <m/>
    <m/>
    <m/>
    <n v="17"/>
    <n v="0"/>
    <s v="775E"/>
    <n v="4"/>
    <x v="2"/>
    <n v="12181.818181818182"/>
    <n v="1"/>
    <n v="12181.818181818182"/>
    <x v="0"/>
  </r>
  <r>
    <x v="600"/>
    <s v="775E/SR234"/>
    <m/>
    <x v="7"/>
    <x v="82"/>
    <n v="5312"/>
    <n v="20"/>
    <s v="AC"/>
    <s v="B"/>
    <n v="0"/>
    <n v="6"/>
    <n v="6"/>
    <n v="6"/>
    <n v="5"/>
    <n v="4"/>
    <n v="9"/>
    <n v="9"/>
    <n v="8"/>
    <n v="7"/>
    <n v="8"/>
    <m/>
    <m/>
    <m/>
    <n v="16"/>
    <n v="0"/>
    <s v="775E"/>
    <n v="6"/>
    <x v="0"/>
    <n v="21127.272727272728"/>
    <n v="1"/>
    <n v="21127.272727272728"/>
    <x v="3"/>
  </r>
  <r>
    <x v="601"/>
    <s v="800E/100N"/>
    <m/>
    <x v="23"/>
    <x v="70"/>
    <n v="3830"/>
    <n v="20"/>
    <s v="AC"/>
    <s v="J"/>
    <n v="0"/>
    <n v="6"/>
    <n v="7"/>
    <n v="7"/>
    <n v="6"/>
    <n v="6"/>
    <n v="6"/>
    <n v="4"/>
    <n v="4"/>
    <n v="7"/>
    <n v="7"/>
    <m/>
    <m/>
    <m/>
    <n v="50"/>
    <n v="0"/>
    <s v="800E"/>
    <n v="4"/>
    <x v="4"/>
    <n v="79791.666666666672"/>
    <m/>
    <n v="0"/>
    <x v="4"/>
  </r>
  <r>
    <x v="602"/>
    <s v="800E/150N"/>
    <m/>
    <x v="44"/>
    <x v="55"/>
    <n v="2692"/>
    <n v="20"/>
    <s v="CS"/>
    <s v="J"/>
    <n v="0"/>
    <n v="6"/>
    <n v="7"/>
    <n v="7"/>
    <n v="7"/>
    <n v="7"/>
    <n v="7"/>
    <n v="7"/>
    <n v="5"/>
    <n v="7"/>
    <n v="7"/>
    <m/>
    <m/>
    <m/>
    <n v="50"/>
    <n v="0"/>
    <s v="800E"/>
    <n v="3"/>
    <x v="3"/>
    <n v="23453.030303030304"/>
    <m/>
    <n v="0"/>
    <x v="5"/>
  </r>
  <r>
    <x v="603"/>
    <s v="800E/200S"/>
    <m/>
    <x v="63"/>
    <x v="64"/>
    <n v="5295"/>
    <n v="20"/>
    <s v="G"/>
    <s v="BR"/>
    <n v="0"/>
    <n v="6"/>
    <n v="7"/>
    <n v="7"/>
    <n v="7"/>
    <n v="7"/>
    <n v="7"/>
    <n v="7"/>
    <n v="6"/>
    <n v="6"/>
    <n v="7"/>
    <m/>
    <m/>
    <m/>
    <n v="50"/>
    <n v="0"/>
    <s v="800E"/>
    <n v="3"/>
    <x v="8"/>
    <n v="14039.772727272728"/>
    <m/>
    <n v="0"/>
    <x v="5"/>
  </r>
  <r>
    <x v="604"/>
    <s v="800E/250N"/>
    <m/>
    <x v="55"/>
    <x v="56"/>
    <n v="5284"/>
    <n v="20"/>
    <s v="CS"/>
    <s v="J"/>
    <n v="0"/>
    <n v="7"/>
    <n v="7"/>
    <n v="7"/>
    <n v="7"/>
    <n v="7"/>
    <n v="7"/>
    <n v="7"/>
    <n v="6"/>
    <n v="7"/>
    <n v="7"/>
    <m/>
    <m/>
    <m/>
    <n v="50"/>
    <n v="0"/>
    <s v="800E"/>
    <n v="3"/>
    <x v="3"/>
    <n v="46034.848484848488"/>
    <m/>
    <n v="0"/>
    <x v="5"/>
  </r>
  <r>
    <x v="605"/>
    <s v="800E/300N"/>
    <m/>
    <x v="115"/>
    <x v="36"/>
    <n v="1133"/>
    <n v="20"/>
    <s v="DS"/>
    <s v="J"/>
    <n v="0"/>
    <n v="7"/>
    <n v="6"/>
    <n v="6"/>
    <n v="6"/>
    <n v="6"/>
    <n v="6"/>
    <n v="6"/>
    <n v="6"/>
    <n v="7"/>
    <n v="7"/>
    <m/>
    <m/>
    <m/>
    <n v="50"/>
    <n v="0"/>
    <s v="800E"/>
    <n v="4"/>
    <x v="2"/>
    <n v="6866.666666666667"/>
    <m/>
    <n v="0"/>
    <x v="2"/>
  </r>
  <r>
    <x v="606"/>
    <s v="800E/300S"/>
    <m/>
    <x v="136"/>
    <x v="11"/>
    <n v="3375"/>
    <n v="20"/>
    <s v="G"/>
    <s v="BR"/>
    <n v="0"/>
    <n v="7"/>
    <n v="6"/>
    <n v="6"/>
    <n v="7"/>
    <n v="7"/>
    <n v="7"/>
    <n v="7"/>
    <n v="6"/>
    <n v="6"/>
    <n v="7"/>
    <m/>
    <m/>
    <m/>
    <n v="18"/>
    <n v="0"/>
    <s v="800E"/>
    <n v="3"/>
    <x v="8"/>
    <n v="8948.863636363636"/>
    <m/>
    <n v="0"/>
    <x v="5"/>
  </r>
  <r>
    <x v="607"/>
    <s v="1125E/900N"/>
    <m/>
    <x v="7"/>
    <x v="88"/>
    <n v="5230"/>
    <n v="20"/>
    <s v="AC"/>
    <s v="B"/>
    <n v="0"/>
    <n v="7"/>
    <n v="6"/>
    <n v="6"/>
    <n v="5"/>
    <n v="4"/>
    <n v="4"/>
    <n v="9"/>
    <n v="8"/>
    <n v="8"/>
    <n v="8"/>
    <m/>
    <m/>
    <m/>
    <n v="42"/>
    <n v="0"/>
    <s v="1125E"/>
    <n v="6"/>
    <x v="0"/>
    <n v="20801.136363636364"/>
    <m/>
    <n v="0"/>
    <x v="6"/>
  </r>
  <r>
    <x v="608"/>
    <s v="800E/400S"/>
    <m/>
    <x v="137"/>
    <x v="26"/>
    <n v="2650"/>
    <n v="20"/>
    <s v="AC"/>
    <s v="BR"/>
    <n v="0"/>
    <n v="6"/>
    <n v="6"/>
    <n v="7"/>
    <n v="7"/>
    <n v="6"/>
    <n v="5"/>
    <n v="5"/>
    <n v="5"/>
    <n v="8"/>
    <n v="8"/>
    <m/>
    <m/>
    <m/>
    <n v="50"/>
    <n v="0"/>
    <s v="800E"/>
    <n v="4"/>
    <x v="0"/>
    <n v="10539.772727272728"/>
    <m/>
    <n v="0"/>
    <x v="5"/>
  </r>
  <r>
    <x v="609"/>
    <s v="800E/450S"/>
    <m/>
    <x v="24"/>
    <x v="130"/>
    <n v="2590"/>
    <n v="20"/>
    <s v="CS"/>
    <s v="BR"/>
    <n v="0"/>
    <n v="4"/>
    <n v="4"/>
    <n v="10"/>
    <n v="9"/>
    <n v="8"/>
    <n v="8"/>
    <n v="7"/>
    <n v="7"/>
    <n v="7"/>
    <n v="8"/>
    <m/>
    <m/>
    <m/>
    <n v="50"/>
    <n v="0"/>
    <s v="800E"/>
    <n v="2"/>
    <x v="0"/>
    <n v="10301.136363636364"/>
    <m/>
    <n v="0"/>
    <x v="2"/>
  </r>
  <r>
    <x v="610"/>
    <s v="800E/500N"/>
    <m/>
    <x v="3"/>
    <x v="3"/>
    <n v="5300"/>
    <n v="20"/>
    <s v="CS"/>
    <s v="J"/>
    <n v="0"/>
    <n v="5"/>
    <n v="5"/>
    <n v="5"/>
    <n v="4"/>
    <n v="4"/>
    <n v="7"/>
    <n v="7"/>
    <n v="7"/>
    <n v="7"/>
    <n v="7"/>
    <m/>
    <m/>
    <m/>
    <n v="50"/>
    <n v="0"/>
    <s v="800E"/>
    <n v="6"/>
    <x v="0"/>
    <n v="21079.545454545456"/>
    <m/>
    <n v="0"/>
    <x v="3"/>
  </r>
  <r>
    <x v="611"/>
    <s v="800E/500S"/>
    <m/>
    <x v="106"/>
    <x v="91"/>
    <n v="2650"/>
    <n v="20"/>
    <s v="CS"/>
    <s v="BR"/>
    <n v="0"/>
    <n v="5"/>
    <n v="4"/>
    <n v="10"/>
    <n v="9"/>
    <n v="8"/>
    <n v="8"/>
    <n v="8"/>
    <n v="7"/>
    <n v="7"/>
    <n v="7"/>
    <m/>
    <m/>
    <m/>
    <n v="50"/>
    <n v="0"/>
    <s v="800E"/>
    <n v="2"/>
    <x v="0"/>
    <n v="10539.772727272728"/>
    <m/>
    <n v="0"/>
    <x v="2"/>
  </r>
  <r>
    <x v="612"/>
    <s v="800E/550S"/>
    <m/>
    <x v="72"/>
    <x v="111"/>
    <n v="2620"/>
    <n v="20"/>
    <s v="AC"/>
    <s v="BR"/>
    <n v="0"/>
    <n v="9"/>
    <n v="8"/>
    <n v="8"/>
    <n v="8"/>
    <n v="8"/>
    <n v="8"/>
    <n v="8"/>
    <n v="7"/>
    <n v="7"/>
    <n v="7"/>
    <m/>
    <m/>
    <m/>
    <n v="58"/>
    <n v="0"/>
    <s v="800E"/>
    <n v="2"/>
    <x v="0"/>
    <n v="10420.454545454546"/>
    <m/>
    <n v="0"/>
    <x v="4"/>
  </r>
  <r>
    <x v="613"/>
    <s v="800E/600N"/>
    <m/>
    <x v="1"/>
    <x v="1"/>
    <n v="4985"/>
    <n v="20"/>
    <s v="CS"/>
    <s v="J"/>
    <n v="0"/>
    <n v="8"/>
    <n v="9"/>
    <n v="9"/>
    <n v="8"/>
    <n v="7"/>
    <n v="7"/>
    <n v="6"/>
    <n v="6"/>
    <n v="7"/>
    <n v="7"/>
    <m/>
    <m/>
    <m/>
    <n v="50"/>
    <n v="0"/>
    <s v="800E"/>
    <n v="3"/>
    <x v="3"/>
    <n v="43429.92424242424"/>
    <m/>
    <n v="0"/>
    <x v="5"/>
  </r>
  <r>
    <x v="614"/>
    <s v="800E/650N"/>
    <m/>
    <x v="99"/>
    <x v="1"/>
    <n v="2650"/>
    <n v="20"/>
    <s v="CS"/>
    <s v="B"/>
    <n v="0"/>
    <n v="6"/>
    <n v="9"/>
    <n v="7"/>
    <n v="7"/>
    <n v="7"/>
    <n v="7"/>
    <n v="6"/>
    <n v="7"/>
    <n v="7"/>
    <n v="7"/>
    <m/>
    <m/>
    <m/>
    <n v="50"/>
    <n v="0"/>
    <s v="800E"/>
    <n v="3"/>
    <x v="2"/>
    <n v="16060.60606060606"/>
    <n v="1"/>
    <n v="16060.60606060606"/>
    <x v="0"/>
  </r>
  <r>
    <x v="615"/>
    <s v="800E/BINFORD RD"/>
    <m/>
    <x v="10"/>
    <x v="136"/>
    <n v="1880"/>
    <n v="20"/>
    <s v="AC"/>
    <s v="BR"/>
    <n v="0"/>
    <n v="5"/>
    <n v="5"/>
    <n v="7"/>
    <n v="7"/>
    <n v="7"/>
    <n v="7"/>
    <n v="7"/>
    <n v="7"/>
    <n v="7"/>
    <n v="7"/>
    <m/>
    <m/>
    <m/>
    <n v="50"/>
    <n v="0"/>
    <s v="800E"/>
    <n v="3"/>
    <x v="0"/>
    <n v="7477.272727272727"/>
    <m/>
    <n v="0"/>
    <x v="2"/>
  </r>
  <r>
    <x v="616"/>
    <s v="850E/100N"/>
    <m/>
    <x v="23"/>
    <x v="70"/>
    <n v="3700"/>
    <n v="20"/>
    <s v="CS"/>
    <s v="J"/>
    <n v="0"/>
    <m/>
    <n v="7"/>
    <m/>
    <n v="7"/>
    <n v="7"/>
    <n v="7"/>
    <n v="7"/>
    <n v="6"/>
    <n v="7"/>
    <n v="7"/>
    <m/>
    <m/>
    <m/>
    <n v="200"/>
    <n v="0"/>
    <s v="850E"/>
    <n v="3"/>
    <x v="4"/>
    <n v="77083.333333333328"/>
    <n v="1"/>
    <n v="77083.333333333328"/>
    <x v="0"/>
  </r>
  <r>
    <x v="617"/>
    <s v="850E/100S"/>
    <m/>
    <x v="138"/>
    <x v="63"/>
    <n v="2650"/>
    <n v="20"/>
    <s v="CS"/>
    <s v="BR"/>
    <n v="0"/>
    <n v="5"/>
    <n v="5"/>
    <n v="5"/>
    <n v="2"/>
    <n v="2"/>
    <n v="9"/>
    <n v="8"/>
    <n v="8"/>
    <n v="7"/>
    <n v="7"/>
    <m/>
    <m/>
    <m/>
    <n v="50"/>
    <n v="0"/>
    <s v="850E"/>
    <n v="8"/>
    <x v="2"/>
    <n v="16060.60606060606"/>
    <m/>
    <n v="0"/>
    <x v="3"/>
  </r>
  <r>
    <x v="251"/>
    <s v="850E/250N"/>
    <m/>
    <x v="44"/>
    <x v="56"/>
    <n v="3695"/>
    <n v="20"/>
    <s v="AC"/>
    <s v="J"/>
    <n v="0"/>
    <n v="7"/>
    <n v="7"/>
    <n v="7"/>
    <n v="7"/>
    <n v="7"/>
    <n v="7"/>
    <n v="7"/>
    <n v="8"/>
    <n v="7"/>
    <n v="7"/>
    <m/>
    <m/>
    <m/>
    <n v="335"/>
    <n v="0"/>
    <s v="850E"/>
    <n v="3"/>
    <x v="0"/>
    <n v="14696.022727272728"/>
    <m/>
    <n v="0"/>
    <x v="4"/>
  </r>
  <r>
    <x v="618"/>
    <s v="625N/300E"/>
    <m/>
    <x v="85"/>
    <x v="121"/>
    <n v="2530"/>
    <n v="20"/>
    <s v="AC"/>
    <s v="G"/>
    <n v="0"/>
    <n v="4"/>
    <n v="4"/>
    <n v="4"/>
    <n v="9"/>
    <n v="8"/>
    <n v="8"/>
    <n v="8"/>
    <n v="7"/>
    <n v="7"/>
    <n v="7"/>
    <m/>
    <m/>
    <m/>
    <n v="10"/>
    <n v="0"/>
    <s v="625N"/>
    <n v="2"/>
    <x v="0"/>
    <n v="10062.5"/>
    <m/>
    <n v="0"/>
    <x v="6"/>
  </r>
  <r>
    <x v="619"/>
    <s v="100N/525W"/>
    <m/>
    <x v="68"/>
    <x v="34"/>
    <n v="3639"/>
    <n v="20"/>
    <s v="AC"/>
    <s v="BC"/>
    <n v="0"/>
    <n v="6"/>
    <n v="6"/>
    <n v="6"/>
    <n v="6"/>
    <n v="6"/>
    <n v="8"/>
    <n v="7"/>
    <n v="7"/>
    <n v="7"/>
    <n v="7"/>
    <n v="2022"/>
    <n v="2022"/>
    <s v="Y"/>
    <n v="2437"/>
    <n v="1"/>
    <s v="100N"/>
    <n v="5"/>
    <x v="2"/>
    <n v="22054.545454545456"/>
    <m/>
    <n v="0"/>
    <x v="6"/>
  </r>
  <r>
    <x v="620"/>
    <s v="850E/350N"/>
    <m/>
    <x v="50"/>
    <x v="59"/>
    <n v="2619"/>
    <n v="20"/>
    <s v="AC"/>
    <s v="J"/>
    <n v="0"/>
    <n v="7"/>
    <n v="8"/>
    <n v="7"/>
    <n v="7"/>
    <n v="7"/>
    <n v="7"/>
    <n v="7"/>
    <n v="6"/>
    <n v="7"/>
    <n v="7"/>
    <m/>
    <m/>
    <m/>
    <n v="228"/>
    <n v="0"/>
    <s v="850E"/>
    <n v="3"/>
    <x v="3"/>
    <n v="22817.045454545456"/>
    <m/>
    <n v="0"/>
    <x v="5"/>
  </r>
  <r>
    <x v="621"/>
    <s v="850E/400N"/>
    <m/>
    <x v="2"/>
    <x v="2"/>
    <n v="2652"/>
    <n v="20"/>
    <s v="AC"/>
    <s v="J"/>
    <n v="0"/>
    <n v="7"/>
    <n v="9"/>
    <n v="7"/>
    <n v="7"/>
    <n v="7"/>
    <n v="7"/>
    <n v="7"/>
    <n v="7"/>
    <n v="7"/>
    <n v="7"/>
    <m/>
    <m/>
    <m/>
    <n v="185"/>
    <n v="0"/>
    <s v="850E"/>
    <n v="3"/>
    <x v="0"/>
    <n v="10547.727272727272"/>
    <m/>
    <n v="0"/>
    <x v="5"/>
  </r>
  <r>
    <x v="622"/>
    <s v="850E/500N"/>
    <m/>
    <x v="1"/>
    <x v="2"/>
    <n v="5320"/>
    <n v="20"/>
    <s v="CS"/>
    <s v="J"/>
    <n v="0"/>
    <n v="6"/>
    <n v="7"/>
    <n v="7"/>
    <n v="7"/>
    <n v="7"/>
    <n v="7"/>
    <n v="7"/>
    <n v="7"/>
    <n v="7"/>
    <n v="7"/>
    <m/>
    <m/>
    <m/>
    <n v="185"/>
    <n v="0"/>
    <s v="850E"/>
    <n v="3"/>
    <x v="0"/>
    <n v="21159.090909090908"/>
    <n v="1"/>
    <n v="21159.090909090908"/>
    <x v="0"/>
  </r>
  <r>
    <x v="623"/>
    <s v="850E/50S"/>
    <m/>
    <x v="71"/>
    <x v="137"/>
    <n v="2645"/>
    <n v="20"/>
    <s v="CS"/>
    <s v="BR"/>
    <n v="0"/>
    <n v="4"/>
    <n v="6"/>
    <n v="10"/>
    <n v="9"/>
    <n v="8"/>
    <n v="7"/>
    <n v="6"/>
    <n v="6"/>
    <n v="6"/>
    <n v="6"/>
    <m/>
    <m/>
    <m/>
    <n v="50"/>
    <n v="0"/>
    <s v="850E"/>
    <n v="2"/>
    <x v="0"/>
    <n v="10519.886363636364"/>
    <m/>
    <n v="0"/>
    <x v="3"/>
  </r>
  <r>
    <x v="624"/>
    <s v="850E/600N"/>
    <m/>
    <x v="77"/>
    <x v="3"/>
    <n v="5010"/>
    <n v="20"/>
    <s v="CS"/>
    <s v="J"/>
    <n v="0"/>
    <n v="5"/>
    <n v="7"/>
    <n v="10"/>
    <n v="4"/>
    <n v="8"/>
    <n v="8"/>
    <n v="7"/>
    <n v="7"/>
    <n v="7"/>
    <n v="7"/>
    <m/>
    <m/>
    <m/>
    <n v="50"/>
    <n v="0"/>
    <s v="850E"/>
    <n v="2"/>
    <x v="0"/>
    <n v="19926.136363636364"/>
    <m/>
    <n v="0"/>
    <x v="2"/>
  </r>
  <r>
    <x v="625"/>
    <s v="850E/N. TWP LINE"/>
    <m/>
    <x v="135"/>
    <x v="80"/>
    <n v="4000"/>
    <n v="20"/>
    <s v="CS"/>
    <s v="BR"/>
    <n v="0"/>
    <n v="7"/>
    <n v="6"/>
    <n v="6"/>
    <n v="9"/>
    <n v="9"/>
    <n v="8"/>
    <n v="8"/>
    <n v="7"/>
    <n v="7"/>
    <n v="7"/>
    <m/>
    <m/>
    <m/>
    <n v="50"/>
    <n v="0"/>
    <s v="850E"/>
    <n v="1"/>
    <x v="2"/>
    <n v="24242.424242424244"/>
    <m/>
    <n v="0"/>
    <x v="4"/>
  </r>
  <r>
    <x v="626"/>
    <s v="850E/US40"/>
    <m/>
    <x v="59"/>
    <x v="83"/>
    <n v="1468"/>
    <n v="20"/>
    <s v="AC"/>
    <s v="J"/>
    <n v="0"/>
    <n v="5"/>
    <n v="5"/>
    <n v="5"/>
    <n v="9"/>
    <n v="8"/>
    <n v="7"/>
    <n v="7"/>
    <n v="7"/>
    <n v="7"/>
    <n v="7"/>
    <m/>
    <m/>
    <m/>
    <n v="50"/>
    <n v="0"/>
    <s v="850E"/>
    <n v="2"/>
    <x v="0"/>
    <n v="5838.636363636364"/>
    <m/>
    <n v="0"/>
    <x v="2"/>
  </r>
  <r>
    <x v="627"/>
    <s v="850N/50W"/>
    <m/>
    <x v="91"/>
    <x v="20"/>
    <n v="5036"/>
    <n v="20"/>
    <s v="DS"/>
    <s v="V"/>
    <n v="0"/>
    <n v="7"/>
    <n v="7"/>
    <n v="7"/>
    <n v="7"/>
    <n v="6"/>
    <n v="6"/>
    <n v="6"/>
    <n v="6"/>
    <n v="6"/>
    <n v="8"/>
    <m/>
    <m/>
    <m/>
    <n v="47"/>
    <n v="0"/>
    <s v="850N"/>
    <n v="4"/>
    <x v="2"/>
    <n v="30521.21212121212"/>
    <m/>
    <n v="0"/>
    <x v="2"/>
  </r>
  <r>
    <x v="628"/>
    <s v="1200E/700N"/>
    <m/>
    <x v="99"/>
    <x v="82"/>
    <n v="2640"/>
    <n v="20"/>
    <s v="AC"/>
    <s v="B"/>
    <n v="0"/>
    <n v="7"/>
    <n v="7"/>
    <n v="7"/>
    <n v="7"/>
    <n v="7"/>
    <n v="9"/>
    <n v="8"/>
    <n v="8"/>
    <n v="7"/>
    <n v="7"/>
    <m/>
    <n v="2019"/>
    <s v="Y"/>
    <n v="1197"/>
    <n v="0.5"/>
    <s v="1200E"/>
    <n v="3.5"/>
    <x v="2"/>
    <n v="16000"/>
    <m/>
    <n v="0"/>
    <x v="6"/>
  </r>
  <r>
    <x v="629"/>
    <s v="875E/650N"/>
    <m/>
    <x v="77"/>
    <x v="5"/>
    <n v="2689"/>
    <n v="20"/>
    <s v="CS"/>
    <s v="B"/>
    <n v="0"/>
    <n v="4"/>
    <n v="6"/>
    <n v="10"/>
    <n v="9"/>
    <n v="8"/>
    <n v="7"/>
    <n v="6"/>
    <n v="7"/>
    <n v="7"/>
    <n v="7"/>
    <m/>
    <m/>
    <m/>
    <n v="50"/>
    <n v="0"/>
    <s v="875E"/>
    <n v="2"/>
    <x v="0"/>
    <n v="10694.886363636364"/>
    <m/>
    <n v="0"/>
    <x v="2"/>
  </r>
  <r>
    <x v="630"/>
    <s v="900E/150S"/>
    <m/>
    <x v="62"/>
    <x v="138"/>
    <n v="2550"/>
    <n v="20"/>
    <s v="CS"/>
    <s v="BR"/>
    <n v="0"/>
    <n v="6"/>
    <n v="7"/>
    <n v="7"/>
    <n v="7"/>
    <n v="7"/>
    <n v="7"/>
    <n v="6"/>
    <n v="6"/>
    <n v="6"/>
    <n v="7"/>
    <m/>
    <m/>
    <m/>
    <n v="50"/>
    <n v="0"/>
    <s v="900E"/>
    <n v="3"/>
    <x v="0"/>
    <n v="10142.045454545454"/>
    <m/>
    <n v="0"/>
    <x v="2"/>
  </r>
  <r>
    <x v="631"/>
    <s v="900E/200S"/>
    <m/>
    <x v="62"/>
    <x v="11"/>
    <n v="5330"/>
    <n v="20"/>
    <s v="CS"/>
    <s v="BR"/>
    <n v="0"/>
    <n v="3"/>
    <n v="6"/>
    <n v="8"/>
    <n v="7"/>
    <n v="6"/>
    <n v="7"/>
    <n v="6"/>
    <n v="6"/>
    <n v="6"/>
    <n v="7"/>
    <m/>
    <m/>
    <m/>
    <n v="50"/>
    <n v="0"/>
    <s v="900E"/>
    <n v="4"/>
    <x v="0"/>
    <n v="21198.863636363636"/>
    <m/>
    <n v="0"/>
    <x v="3"/>
  </r>
  <r>
    <x v="632"/>
    <s v="1200E/650N"/>
    <m/>
    <x v="139"/>
    <x v="5"/>
    <n v="2775"/>
    <n v="20"/>
    <s v="AC"/>
    <s v="B"/>
    <n v="0"/>
    <n v="7"/>
    <n v="7"/>
    <n v="7"/>
    <n v="7"/>
    <n v="6"/>
    <n v="9"/>
    <n v="8"/>
    <n v="8"/>
    <n v="7"/>
    <n v="7"/>
    <m/>
    <n v="2019"/>
    <s v="Y"/>
    <n v="1143"/>
    <n v="0.5"/>
    <s v="1200E"/>
    <n v="4.5"/>
    <x v="2"/>
    <n v="16818.18181818182"/>
    <m/>
    <n v="0"/>
    <x v="6"/>
  </r>
  <r>
    <x v="633"/>
    <s v="900E/400S"/>
    <m/>
    <x v="137"/>
    <x v="26"/>
    <n v="2555"/>
    <n v="20"/>
    <s v="G"/>
    <s v="BR"/>
    <n v="0"/>
    <n v="4"/>
    <n v="7"/>
    <n v="7"/>
    <n v="7"/>
    <n v="6"/>
    <n v="8"/>
    <n v="8"/>
    <n v="8"/>
    <n v="8"/>
    <n v="8"/>
    <m/>
    <m/>
    <m/>
    <n v="50"/>
    <n v="0"/>
    <s v="900E"/>
    <n v="4"/>
    <x v="0"/>
    <n v="10161.931818181818"/>
    <m/>
    <n v="0"/>
    <x v="3"/>
  </r>
  <r>
    <x v="634"/>
    <s v="400S/100W"/>
    <m/>
    <x v="25"/>
    <x v="28"/>
    <n v="5280"/>
    <n v="20"/>
    <s v="CS"/>
    <s v="BW"/>
    <n v="0"/>
    <n v="8"/>
    <n v="7"/>
    <n v="7"/>
    <n v="7"/>
    <n v="7"/>
    <n v="7"/>
    <n v="7"/>
    <n v="7"/>
    <n v="7"/>
    <n v="7"/>
    <m/>
    <m/>
    <m/>
    <n v="721"/>
    <n v="0.5"/>
    <s v="400S"/>
    <n v="3.5"/>
    <x v="2"/>
    <n v="32000"/>
    <m/>
    <n v="0"/>
    <x v="6"/>
  </r>
  <r>
    <x v="635"/>
    <s v="900E/500N"/>
    <m/>
    <x v="3"/>
    <x v="3"/>
    <n v="5325"/>
    <n v="20"/>
    <s v="CS"/>
    <s v="J"/>
    <n v="0"/>
    <n v="4"/>
    <n v="4"/>
    <n v="10"/>
    <n v="9"/>
    <n v="8"/>
    <n v="8"/>
    <n v="8"/>
    <n v="7"/>
    <n v="7"/>
    <n v="8"/>
    <m/>
    <m/>
    <m/>
    <n v="50"/>
    <n v="0"/>
    <s v="900E"/>
    <n v="2"/>
    <x v="2"/>
    <n v="32272.727272727272"/>
    <n v="1"/>
    <n v="32272.727272727272"/>
    <x v="0"/>
  </r>
  <r>
    <x v="636"/>
    <s v="900E/500S"/>
    <m/>
    <x v="106"/>
    <x v="91"/>
    <n v="2650"/>
    <n v="20"/>
    <s v="P"/>
    <s v="BR"/>
    <n v="0"/>
    <n v="3"/>
    <n v="4"/>
    <n v="10"/>
    <n v="9"/>
    <n v="9"/>
    <n v="8"/>
    <n v="8"/>
    <n v="8"/>
    <n v="8"/>
    <n v="8"/>
    <m/>
    <m/>
    <m/>
    <n v="50"/>
    <n v="0"/>
    <s v="900E"/>
    <n v="1"/>
    <x v="0"/>
    <n v="10539.772727272728"/>
    <m/>
    <n v="0"/>
    <x v="4"/>
  </r>
  <r>
    <x v="637"/>
    <s v="900E/550S"/>
    <m/>
    <x v="72"/>
    <x v="111"/>
    <n v="2640"/>
    <n v="20"/>
    <s v="CS"/>
    <s v="BR"/>
    <n v="0"/>
    <n v="4"/>
    <n v="7"/>
    <n v="6"/>
    <n v="6"/>
    <n v="5"/>
    <n v="7"/>
    <n v="7"/>
    <n v="6"/>
    <n v="6"/>
    <n v="8"/>
    <m/>
    <m/>
    <m/>
    <n v="50"/>
    <n v="0"/>
    <s v="900E"/>
    <n v="5"/>
    <x v="0"/>
    <n v="10500"/>
    <m/>
    <n v="0"/>
    <x v="4"/>
  </r>
  <r>
    <x v="638"/>
    <s v="400S/50W"/>
    <m/>
    <x v="12"/>
    <x v="37"/>
    <n v="2685"/>
    <n v="20"/>
    <s v="CS"/>
    <s v="BW"/>
    <n v="0"/>
    <n v="7"/>
    <n v="7"/>
    <n v="6"/>
    <n v="6"/>
    <n v="6"/>
    <n v="6"/>
    <n v="7"/>
    <n v="7"/>
    <n v="7"/>
    <n v="7"/>
    <m/>
    <m/>
    <m/>
    <n v="689"/>
    <n v="0.5"/>
    <s v="400S"/>
    <n v="4.5"/>
    <x v="2"/>
    <n v="16272.727272727272"/>
    <m/>
    <n v="0"/>
    <x v="6"/>
  </r>
  <r>
    <x v="639"/>
    <s v="900E/SR109"/>
    <m/>
    <x v="7"/>
    <x v="8"/>
    <n v="1313"/>
    <n v="20"/>
    <s v="CS"/>
    <s v="B"/>
    <n v="0"/>
    <n v="7"/>
    <n v="7"/>
    <n v="7"/>
    <n v="7"/>
    <n v="8"/>
    <n v="8"/>
    <n v="8"/>
    <n v="7"/>
    <n v="7"/>
    <n v="7"/>
    <m/>
    <m/>
    <m/>
    <n v="1172"/>
    <n v="0.5"/>
    <s v="900E"/>
    <n v="2.5"/>
    <x v="2"/>
    <n v="7957.575757575758"/>
    <n v="1"/>
    <n v="7957.575757575758"/>
    <x v="3"/>
  </r>
  <r>
    <x v="640"/>
    <s v="900E/SR234"/>
    <m/>
    <x v="65"/>
    <x v="6"/>
    <n v="5332"/>
    <n v="20"/>
    <s v="CS"/>
    <s v="B"/>
    <n v="0"/>
    <n v="6"/>
    <n v="9"/>
    <n v="9"/>
    <n v="9"/>
    <n v="8"/>
    <n v="7"/>
    <n v="6"/>
    <n v="6"/>
    <n v="7"/>
    <n v="7"/>
    <m/>
    <m/>
    <m/>
    <n v="68"/>
    <n v="0"/>
    <s v="900E"/>
    <n v="2"/>
    <x v="0"/>
    <n v="21206.81818181818"/>
    <m/>
    <n v="0"/>
    <x v="4"/>
  </r>
  <r>
    <x v="641"/>
    <s v="100S/500E"/>
    <m/>
    <x v="32"/>
    <x v="73"/>
    <n v="5325"/>
    <n v="20"/>
    <s v="AC"/>
    <s v="BR"/>
    <n v="0"/>
    <n v="7"/>
    <n v="8"/>
    <n v="7"/>
    <n v="6"/>
    <n v="6"/>
    <n v="9"/>
    <n v="9"/>
    <n v="8"/>
    <n v="7"/>
    <n v="6"/>
    <m/>
    <n v="2019"/>
    <s v="Y"/>
    <n v="659"/>
    <n v="0.5"/>
    <s v="100S"/>
    <n v="4.5"/>
    <x v="2"/>
    <n v="32272.727272727272"/>
    <m/>
    <n v="0"/>
    <x v="6"/>
  </r>
  <r>
    <x v="642"/>
    <s v="900N/1100E"/>
    <m/>
    <x v="104"/>
    <x v="102"/>
    <n v="5405"/>
    <n v="20"/>
    <s v="CS"/>
    <s v="B"/>
    <n v="0"/>
    <n v="5"/>
    <n v="5"/>
    <n v="5"/>
    <n v="4"/>
    <n v="9"/>
    <n v="9"/>
    <n v="8"/>
    <n v="7"/>
    <n v="7"/>
    <n v="7"/>
    <m/>
    <m/>
    <m/>
    <n v="207"/>
    <n v="0"/>
    <s v="900N"/>
    <n v="1"/>
    <x v="4"/>
    <n v="112604.16666666667"/>
    <n v="1"/>
    <n v="112604.16666666667"/>
    <x v="3"/>
  </r>
  <r>
    <x v="643"/>
    <s v="900N/1125E"/>
    <m/>
    <x v="103"/>
    <x v="9"/>
    <n v="1360"/>
    <n v="20"/>
    <s v="AC"/>
    <s v="B"/>
    <n v="0"/>
    <n v="4"/>
    <n v="4"/>
    <n v="4"/>
    <n v="4"/>
    <n v="9"/>
    <n v="9"/>
    <n v="8"/>
    <n v="8"/>
    <n v="8"/>
    <n v="8"/>
    <m/>
    <m/>
    <m/>
    <n v="155"/>
    <n v="0"/>
    <s v="900N"/>
    <n v="1"/>
    <x v="0"/>
    <n v="5409.090909090909"/>
    <m/>
    <n v="0"/>
    <x v="4"/>
  </r>
  <r>
    <x v="644"/>
    <s v="900N/1200E"/>
    <m/>
    <x v="140"/>
    <x v="125"/>
    <n v="4179"/>
    <n v="20"/>
    <s v="AC"/>
    <s v="B"/>
    <n v="0"/>
    <n v="7"/>
    <n v="7"/>
    <n v="7"/>
    <n v="6"/>
    <n v="6"/>
    <n v="6"/>
    <n v="6"/>
    <n v="7"/>
    <n v="8"/>
    <n v="8"/>
    <m/>
    <m/>
    <m/>
    <n v="44"/>
    <n v="0"/>
    <s v="900N"/>
    <n v="4"/>
    <x v="0"/>
    <n v="16621.022727272728"/>
    <m/>
    <n v="0"/>
    <x v="4"/>
  </r>
  <r>
    <x v="645"/>
    <s v="900N/200W"/>
    <m/>
    <x v="27"/>
    <x v="29"/>
    <n v="4000"/>
    <n v="20"/>
    <s v="CS"/>
    <s v="V"/>
    <n v="0"/>
    <n v="6"/>
    <n v="6"/>
    <n v="6"/>
    <n v="6"/>
    <n v="6"/>
    <n v="8"/>
    <n v="7"/>
    <n v="7"/>
    <n v="7"/>
    <n v="7"/>
    <m/>
    <m/>
    <m/>
    <n v="204"/>
    <n v="0"/>
    <s v="900N"/>
    <n v="4"/>
    <x v="2"/>
    <n v="24242.424242424244"/>
    <n v="1"/>
    <n v="24242.424242424244"/>
    <x v="0"/>
  </r>
  <r>
    <x v="646"/>
    <s v="900N/300W"/>
    <m/>
    <x v="28"/>
    <x v="31"/>
    <n v="5231"/>
    <n v="20"/>
    <s v="CS"/>
    <s v="V"/>
    <n v="0"/>
    <n v="7"/>
    <n v="6"/>
    <n v="6"/>
    <n v="6"/>
    <n v="6"/>
    <n v="8"/>
    <n v="8"/>
    <n v="7"/>
    <n v="7"/>
    <n v="7"/>
    <m/>
    <m/>
    <m/>
    <n v="190"/>
    <n v="0"/>
    <s v="900N"/>
    <n v="4"/>
    <x v="0"/>
    <n v="20805.113636363636"/>
    <n v="1"/>
    <n v="20805.113636363636"/>
    <x v="0"/>
  </r>
  <r>
    <x v="647"/>
    <s v="900N/400E"/>
    <m/>
    <x v="30"/>
    <x v="131"/>
    <n v="2798"/>
    <n v="20"/>
    <s v="CS"/>
    <s v="G"/>
    <n v="0"/>
    <n v="5"/>
    <n v="5"/>
    <n v="10"/>
    <n v="9"/>
    <n v="8"/>
    <n v="7"/>
    <n v="7"/>
    <n v="7"/>
    <n v="7"/>
    <n v="7"/>
    <m/>
    <m/>
    <m/>
    <n v="146"/>
    <n v="0"/>
    <s v="900N"/>
    <n v="2"/>
    <x v="0"/>
    <n v="11128.40909090909"/>
    <n v="1"/>
    <n v="11128.40909090909"/>
    <x v="0"/>
  </r>
  <r>
    <x v="648"/>
    <s v="900N/400W"/>
    <m/>
    <x v="11"/>
    <x v="100"/>
    <n v="1300"/>
    <n v="20"/>
    <s v="AC"/>
    <s v="V"/>
    <n v="0"/>
    <n v="8"/>
    <n v="7"/>
    <n v="7"/>
    <n v="7"/>
    <n v="7"/>
    <n v="7"/>
    <n v="7"/>
    <n v="7"/>
    <n v="7"/>
    <n v="7"/>
    <m/>
    <m/>
    <m/>
    <n v="157"/>
    <n v="0"/>
    <s v="900N"/>
    <n v="3"/>
    <x v="0"/>
    <n v="5170.454545454545"/>
    <n v="1"/>
    <n v="5170.454545454545"/>
    <x v="0"/>
  </r>
  <r>
    <x v="649"/>
    <s v="900N/500E"/>
    <m/>
    <x v="32"/>
    <x v="73"/>
    <n v="5280"/>
    <n v="20"/>
    <s v="CS"/>
    <s v="G"/>
    <n v="0"/>
    <n v="5"/>
    <n v="5"/>
    <n v="10"/>
    <n v="9"/>
    <n v="8"/>
    <n v="7"/>
    <n v="7"/>
    <n v="7"/>
    <n v="7"/>
    <n v="7"/>
    <m/>
    <m/>
    <m/>
    <n v="133"/>
    <n v="0"/>
    <s v="900N"/>
    <n v="2"/>
    <x v="0"/>
    <n v="21000"/>
    <m/>
    <n v="0"/>
    <x v="2"/>
  </r>
  <r>
    <x v="650"/>
    <s v="900N/TROY RD"/>
    <m/>
    <x v="131"/>
    <x v="96"/>
    <n v="5322"/>
    <n v="20"/>
    <s v="AC"/>
    <s v="G"/>
    <n v="0"/>
    <n v="6"/>
    <n v="6"/>
    <n v="6"/>
    <n v="7"/>
    <n v="7"/>
    <n v="7"/>
    <n v="7"/>
    <n v="7"/>
    <n v="7"/>
    <n v="7"/>
    <m/>
    <m/>
    <m/>
    <n v="150"/>
    <n v="0"/>
    <s v="900N"/>
    <n v="3"/>
    <x v="2"/>
    <n v="32254.545454545456"/>
    <m/>
    <n v="0"/>
    <x v="6"/>
  </r>
  <r>
    <x v="651"/>
    <s v="900N/50W"/>
    <m/>
    <x v="12"/>
    <x v="95"/>
    <n v="6310"/>
    <n v="20"/>
    <s v="CS"/>
    <s v="V"/>
    <n v="0"/>
    <n v="9"/>
    <n v="8"/>
    <n v="8"/>
    <n v="8"/>
    <n v="7"/>
    <n v="6"/>
    <n v="6"/>
    <n v="6"/>
    <n v="6"/>
    <n v="7"/>
    <m/>
    <m/>
    <m/>
    <n v="136"/>
    <n v="0"/>
    <s v="900N"/>
    <n v="3"/>
    <x v="2"/>
    <n v="38242.42424242424"/>
    <m/>
    <n v="0"/>
    <x v="2"/>
  </r>
  <r>
    <x v="652"/>
    <s v="700E/500N"/>
    <m/>
    <x v="3"/>
    <x v="3"/>
    <n v="5264"/>
    <n v="20"/>
    <s v="G"/>
    <s v="J"/>
    <n v="0"/>
    <n v="6"/>
    <n v="5"/>
    <n v="5"/>
    <n v="3"/>
    <n v="3"/>
    <n v="7"/>
    <n v="7"/>
    <n v="7"/>
    <n v="7"/>
    <n v="7"/>
    <m/>
    <m/>
    <m/>
    <n v="50"/>
    <n v="0"/>
    <s v="700E"/>
    <n v="7"/>
    <x v="2"/>
    <n v="31903.030303030304"/>
    <m/>
    <n v="0"/>
    <x v="6"/>
  </r>
  <r>
    <x v="653"/>
    <s v="EASY STREET(W)"/>
    <s v="Windhaven"/>
    <x v="141"/>
    <x v="139"/>
    <n v="1601"/>
    <n v="26"/>
    <s v="NC"/>
    <s v="SC"/>
    <n v="0"/>
    <n v="7"/>
    <n v="8"/>
    <n v="8"/>
    <n v="7"/>
    <n v="7"/>
    <n v="7"/>
    <n v="8"/>
    <n v="7"/>
    <n v="7"/>
    <n v="7"/>
    <m/>
    <m/>
    <m/>
    <n v="2144"/>
    <n v="1"/>
    <s v="EASY STREET(W)"/>
    <n v="4"/>
    <x v="9"/>
    <n v="758.04924242424238"/>
    <m/>
    <n v="0"/>
    <x v="6"/>
  </r>
  <r>
    <x v="654"/>
    <s v="HAVENS DRIVE(S)"/>
    <s v="Windhaven"/>
    <x v="141"/>
    <x v="139"/>
    <n v="1850"/>
    <n v="26"/>
    <s v="NC"/>
    <s v="SC"/>
    <n v="0"/>
    <n v="7"/>
    <n v="7"/>
    <n v="7"/>
    <m/>
    <n v="7"/>
    <n v="6"/>
    <n v="8"/>
    <n v="7"/>
    <n v="7"/>
    <n v="7"/>
    <m/>
    <m/>
    <m/>
    <n v="2144"/>
    <n v="1"/>
    <s v="HAVENS DRIVE(S)"/>
    <n v="4"/>
    <x v="9"/>
    <n v="875.94696969696975"/>
    <m/>
    <n v="0"/>
    <x v="6"/>
  </r>
  <r>
    <x v="655"/>
    <s v="900N/750E"/>
    <m/>
    <x v="22"/>
    <x v="50"/>
    <n v="4152"/>
    <n v="20"/>
    <s v="AC"/>
    <s v="B"/>
    <n v="0"/>
    <n v="7"/>
    <n v="7"/>
    <n v="7"/>
    <n v="7"/>
    <n v="7"/>
    <n v="7"/>
    <n v="7"/>
    <n v="6"/>
    <n v="7"/>
    <n v="7"/>
    <m/>
    <m/>
    <m/>
    <n v="86"/>
    <n v="0"/>
    <s v="900N"/>
    <n v="3"/>
    <x v="3"/>
    <n v="36172.727272727272"/>
    <m/>
    <n v="0"/>
    <x v="5"/>
  </r>
  <r>
    <x v="656"/>
    <s v="900N/ALFORD RD"/>
    <m/>
    <x v="16"/>
    <x v="140"/>
    <n v="4020"/>
    <n v="20"/>
    <s v="CS"/>
    <s v="G"/>
    <n v="0"/>
    <n v="7"/>
    <n v="7"/>
    <n v="6"/>
    <n v="6"/>
    <n v="5"/>
    <n v="5"/>
    <n v="5"/>
    <n v="7"/>
    <n v="7"/>
    <n v="7"/>
    <m/>
    <m/>
    <m/>
    <n v="124"/>
    <n v="0"/>
    <s v="900N"/>
    <n v="5"/>
    <x v="2"/>
    <n v="24363.636363636364"/>
    <m/>
    <n v="0"/>
    <x v="4"/>
  </r>
  <r>
    <x v="657"/>
    <s v="900N/BARNARD RD"/>
    <m/>
    <x v="17"/>
    <x v="19"/>
    <n v="3643"/>
    <n v="20"/>
    <s v="CS"/>
    <s v="G"/>
    <n v="0"/>
    <n v="5"/>
    <n v="5"/>
    <n v="5"/>
    <n v="9"/>
    <n v="8"/>
    <n v="7"/>
    <n v="7"/>
    <n v="7"/>
    <n v="7"/>
    <n v="7"/>
    <m/>
    <m/>
    <m/>
    <n v="197"/>
    <n v="0"/>
    <s v="900N"/>
    <n v="2"/>
    <x v="0"/>
    <n v="14489.204545454546"/>
    <m/>
    <n v="0"/>
    <x v="2"/>
  </r>
  <r>
    <x v="658"/>
    <s v="900N/FORTVILLE PK"/>
    <m/>
    <x v="98"/>
    <x v="28"/>
    <n v="880"/>
    <n v="20"/>
    <s v="AC"/>
    <s v="V"/>
    <n v="0"/>
    <n v="8"/>
    <n v="8"/>
    <n v="8"/>
    <n v="8"/>
    <n v="8"/>
    <n v="8"/>
    <n v="8"/>
    <n v="8"/>
    <n v="8"/>
    <n v="8"/>
    <m/>
    <m/>
    <m/>
    <n v="210"/>
    <n v="0"/>
    <s v="900N"/>
    <n v="2"/>
    <x v="5"/>
    <n v="13333.333333333334"/>
    <m/>
    <n v="0"/>
    <x v="7"/>
  </r>
  <r>
    <x v="659"/>
    <s v="900N/MERIDIAN RD"/>
    <m/>
    <x v="18"/>
    <x v="20"/>
    <n v="2644"/>
    <n v="20"/>
    <s v="DS"/>
    <s v="V"/>
    <n v="0"/>
    <n v="9"/>
    <n v="7"/>
    <n v="7"/>
    <n v="7"/>
    <n v="7"/>
    <n v="7"/>
    <n v="6"/>
    <n v="6"/>
    <n v="6"/>
    <n v="7"/>
    <m/>
    <m/>
    <m/>
    <n v="168"/>
    <n v="0"/>
    <s v="900N"/>
    <n v="3"/>
    <x v="2"/>
    <n v="16024.242424242424"/>
    <m/>
    <n v="0"/>
    <x v="2"/>
  </r>
  <r>
    <x v="660"/>
    <s v="900N/NASHVILLE RD"/>
    <m/>
    <x v="45"/>
    <x v="128"/>
    <n v="5003"/>
    <n v="20"/>
    <s v="AC"/>
    <s v="B"/>
    <n v="0"/>
    <n v="7"/>
    <n v="7"/>
    <n v="7"/>
    <n v="7"/>
    <n v="6"/>
    <n v="6"/>
    <n v="5"/>
    <n v="5"/>
    <n v="7"/>
    <n v="7"/>
    <m/>
    <m/>
    <m/>
    <n v="142"/>
    <n v="0"/>
    <s v="900N"/>
    <n v="4"/>
    <x v="4"/>
    <n v="104229.16666666667"/>
    <m/>
    <n v="0"/>
    <x v="5"/>
  </r>
  <r>
    <x v="661"/>
    <s v="900N/OLVEY RD"/>
    <m/>
    <x v="142"/>
    <x v="18"/>
    <n v="1312"/>
    <n v="20"/>
    <s v="CS"/>
    <s v="G"/>
    <n v="0"/>
    <n v="9"/>
    <n v="8"/>
    <n v="6"/>
    <n v="7"/>
    <n v="7"/>
    <n v="7"/>
    <n v="7"/>
    <n v="7"/>
    <n v="7"/>
    <n v="7"/>
    <m/>
    <m/>
    <m/>
    <n v="124"/>
    <n v="0"/>
    <s v="900N"/>
    <n v="3"/>
    <x v="0"/>
    <n v="5218.181818181818"/>
    <m/>
    <n v="0"/>
    <x v="2"/>
  </r>
  <r>
    <x v="662"/>
    <s v="900N/SR109"/>
    <m/>
    <x v="19"/>
    <x v="8"/>
    <n v="2930"/>
    <n v="20"/>
    <s v="CS"/>
    <s v="B"/>
    <n v="0"/>
    <n v="8"/>
    <n v="7"/>
    <n v="7"/>
    <n v="7"/>
    <n v="7"/>
    <n v="7"/>
    <n v="7"/>
    <n v="6"/>
    <n v="7"/>
    <n v="7"/>
    <m/>
    <m/>
    <m/>
    <n v="139"/>
    <n v="0"/>
    <s v="900N"/>
    <n v="3"/>
    <x v="3"/>
    <n v="25526.515151515152"/>
    <m/>
    <n v="0"/>
    <x v="5"/>
  </r>
  <r>
    <x v="663"/>
    <s v="900N/SR9"/>
    <m/>
    <x v="21"/>
    <x v="23"/>
    <n v="3647"/>
    <n v="20"/>
    <s v="CS"/>
    <s v="G"/>
    <n v="0"/>
    <n v="6"/>
    <n v="6"/>
    <n v="6"/>
    <n v="6"/>
    <n v="6"/>
    <n v="6"/>
    <n v="6"/>
    <n v="6"/>
    <n v="7"/>
    <n v="7"/>
    <m/>
    <m/>
    <m/>
    <n v="50"/>
    <n v="0"/>
    <s v="900N"/>
    <n v="4"/>
    <x v="3"/>
    <n v="31773.10606060606"/>
    <m/>
    <n v="0"/>
    <x v="5"/>
  </r>
  <r>
    <x v="664"/>
    <s v="PARKWAY AVE(S)"/>
    <s v="Windhaven"/>
    <x v="141"/>
    <x v="139"/>
    <n v="520"/>
    <n v="26"/>
    <s v="NC"/>
    <s v="SC"/>
    <n v="0"/>
    <n v="8"/>
    <n v="10"/>
    <n v="9"/>
    <n v="8"/>
    <n v="8"/>
    <n v="8"/>
    <n v="8"/>
    <n v="7"/>
    <n v="7"/>
    <n v="7"/>
    <m/>
    <m/>
    <m/>
    <n v="2144"/>
    <n v="1"/>
    <s v="PARKWAY AVE(S)"/>
    <n v="3"/>
    <x v="9"/>
    <n v="246.21212121212122"/>
    <m/>
    <n v="0"/>
    <x v="6"/>
  </r>
  <r>
    <x v="665"/>
    <s v="925E/US40"/>
    <m/>
    <x v="23"/>
    <x v="141"/>
    <n v="1756"/>
    <n v="20"/>
    <s v="AC"/>
    <s v="J"/>
    <n v="0"/>
    <n v="6"/>
    <n v="6"/>
    <n v="6"/>
    <n v="6"/>
    <n v="6"/>
    <n v="5"/>
    <n v="5"/>
    <n v="5"/>
    <n v="8"/>
    <n v="7"/>
    <m/>
    <m/>
    <m/>
    <n v="50"/>
    <n v="0"/>
    <s v="925E"/>
    <n v="4"/>
    <x v="0"/>
    <n v="6984.090909090909"/>
    <m/>
    <n v="0"/>
    <x v="5"/>
  </r>
  <r>
    <x v="666"/>
    <s v="925N/200W"/>
    <m/>
    <x v="27"/>
    <x v="29"/>
    <n v="5245"/>
    <n v="20"/>
    <s v="CS"/>
    <s v="V"/>
    <n v="0"/>
    <n v="3"/>
    <n v="5"/>
    <n v="5"/>
    <n v="5"/>
    <n v="5"/>
    <n v="5"/>
    <n v="5"/>
    <n v="5"/>
    <n v="6"/>
    <n v="7"/>
    <m/>
    <m/>
    <m/>
    <n v="58"/>
    <n v="0"/>
    <s v="925N"/>
    <n v="5"/>
    <x v="0"/>
    <n v="20860.795454545456"/>
    <m/>
    <n v="0"/>
    <x v="2"/>
  </r>
  <r>
    <x v="667"/>
    <s v="950N/125W"/>
    <m/>
    <x v="9"/>
    <x v="95"/>
    <n v="3568"/>
    <n v="20"/>
    <s v="CS"/>
    <s v="V"/>
    <n v="0"/>
    <n v="7"/>
    <n v="7"/>
    <n v="6"/>
    <n v="6"/>
    <n v="6"/>
    <n v="5"/>
    <n v="5"/>
    <n v="5"/>
    <n v="5"/>
    <n v="8"/>
    <m/>
    <m/>
    <m/>
    <n v="87"/>
    <n v="0"/>
    <s v="950N"/>
    <n v="4"/>
    <x v="0"/>
    <n v="14190.90909090909"/>
    <m/>
    <n v="0"/>
    <x v="2"/>
  </r>
  <r>
    <x v="668"/>
    <s v="950N/50W"/>
    <m/>
    <x v="12"/>
    <x v="13"/>
    <n v="4002"/>
    <n v="20"/>
    <s v="CS"/>
    <s v="V"/>
    <n v="0"/>
    <n v="7"/>
    <n v="7"/>
    <n v="6"/>
    <n v="6"/>
    <n v="6"/>
    <n v="6"/>
    <n v="6"/>
    <n v="6"/>
    <n v="6"/>
    <n v="8"/>
    <m/>
    <m/>
    <m/>
    <n v="113"/>
    <n v="0"/>
    <s v="950N"/>
    <n v="4"/>
    <x v="0"/>
    <n v="15917.045454545454"/>
    <m/>
    <n v="0"/>
    <x v="2"/>
  </r>
  <r>
    <x v="669"/>
    <s v="950N/775E"/>
    <m/>
    <x v="22"/>
    <x v="22"/>
    <n v="4830"/>
    <n v="20"/>
    <s v="CS"/>
    <s v="B"/>
    <n v="0"/>
    <n v="6"/>
    <n v="4"/>
    <n v="8"/>
    <n v="8"/>
    <n v="8"/>
    <n v="8"/>
    <n v="7"/>
    <n v="6"/>
    <n v="6"/>
    <n v="8"/>
    <m/>
    <m/>
    <m/>
    <n v="17"/>
    <n v="0"/>
    <s v="950N"/>
    <n v="2"/>
    <x v="0"/>
    <n v="19210.227272727272"/>
    <m/>
    <n v="0"/>
    <x v="2"/>
  </r>
  <r>
    <x v="670"/>
    <s v="AARON Court"/>
    <s v="Buck Creek Meadows"/>
    <x v="33"/>
    <x v="70"/>
    <n v="103"/>
    <n v="40"/>
    <s v="AC"/>
    <s v="B"/>
    <n v="0"/>
    <n v="6"/>
    <n v="5"/>
    <n v="9"/>
    <n v="9"/>
    <n v="8"/>
    <n v="7"/>
    <n v="6"/>
    <n v="7"/>
    <n v="7"/>
    <n v="7"/>
    <m/>
    <m/>
    <m/>
    <n v="50"/>
    <m/>
    <s v="AARON Court"/>
    <n v="2"/>
    <x v="7"/>
    <n v="487.68939393939394"/>
    <m/>
    <n v="0"/>
    <x v="4"/>
  </r>
  <r>
    <x v="671"/>
    <s v="ACCESS DRIVE"/>
    <s v="Apple's Maxwell"/>
    <x v="31"/>
    <x v="33"/>
    <n v="271"/>
    <m/>
    <s v="NC"/>
    <s v="C"/>
    <n v="0"/>
    <m/>
    <n v="6"/>
    <n v="6"/>
    <n v="6"/>
    <n v="6"/>
    <n v="6"/>
    <n v="6"/>
    <n v="6"/>
    <n v="6"/>
    <n v="6"/>
    <m/>
    <m/>
    <m/>
    <n v="50"/>
    <n v="0"/>
    <m/>
    <n v="4"/>
    <x v="7"/>
    <n v="1283.1439393939395"/>
    <m/>
    <n v="0"/>
    <x v="4"/>
  </r>
  <r>
    <x v="672"/>
    <s v="ACCESS RD/N OF 70"/>
    <m/>
    <x v="43"/>
    <x v="25"/>
    <n v="2006"/>
    <n v="20"/>
    <s v="AC"/>
    <s v="BC"/>
    <n v="0"/>
    <n v="9"/>
    <n v="8"/>
    <n v="8"/>
    <n v="8"/>
    <n v="8"/>
    <n v="8"/>
    <n v="7"/>
    <n v="7"/>
    <n v="7"/>
    <n v="7"/>
    <m/>
    <m/>
    <m/>
    <n v="50"/>
    <n v="0"/>
    <s v="ACCESS RD/N OF 70"/>
    <n v="2"/>
    <x v="0"/>
    <n v="7978.409090909091"/>
    <m/>
    <n v="0"/>
    <x v="4"/>
  </r>
  <r>
    <x v="673"/>
    <s v="ACORN COURT (N)"/>
    <s v="Twin Oaks"/>
    <x v="73"/>
    <x v="142"/>
    <n v="1109"/>
    <n v="26"/>
    <s v="NC"/>
    <s v="C"/>
    <n v="0"/>
    <n v="7"/>
    <n v="8"/>
    <n v="8"/>
    <n v="8"/>
    <n v="9"/>
    <n v="8"/>
    <n v="8"/>
    <n v="7"/>
    <n v="7"/>
    <n v="7"/>
    <m/>
    <m/>
    <m/>
    <n v="50"/>
    <n v="0"/>
    <s v="ACORN COURT (N)"/>
    <n v="1"/>
    <x v="5"/>
    <n v="16803.030303030304"/>
    <n v="1"/>
    <n v="16803.030303030304"/>
    <x v="3"/>
  </r>
  <r>
    <x v="674"/>
    <s v="PARKWAY COURT"/>
    <s v="Windhaven"/>
    <x v="141"/>
    <x v="139"/>
    <n v="517.4"/>
    <m/>
    <s v="NC"/>
    <s v="SC"/>
    <n v="0"/>
    <m/>
    <n v="7"/>
    <n v="7"/>
    <n v="7"/>
    <n v="8"/>
    <n v="8"/>
    <n v="8"/>
    <n v="7"/>
    <n v="7"/>
    <n v="7"/>
    <m/>
    <m/>
    <m/>
    <n v="2144"/>
    <n v="1"/>
    <m/>
    <n v="3"/>
    <x v="9"/>
    <n v="244.98106060606059"/>
    <m/>
    <n v="0"/>
    <x v="6"/>
  </r>
  <r>
    <x v="675"/>
    <s v="ALFORD RD./1000N"/>
    <m/>
    <x v="60"/>
    <x v="88"/>
    <n v="5720"/>
    <n v="20"/>
    <s v="DS"/>
    <s v="G"/>
    <n v="0"/>
    <n v="7"/>
    <n v="7"/>
    <n v="6"/>
    <n v="6"/>
    <n v="6"/>
    <n v="6"/>
    <n v="6"/>
    <n v="6"/>
    <n v="6"/>
    <n v="7"/>
    <m/>
    <m/>
    <m/>
    <n v="50"/>
    <n v="0"/>
    <s v="ALFORD RD./1000N"/>
    <n v="4"/>
    <x v="2"/>
    <n v="34666.666666666664"/>
    <m/>
    <n v="0"/>
    <x v="2"/>
  </r>
  <r>
    <x v="676"/>
    <s v="ALFORD RD./1100N"/>
    <m/>
    <x v="105"/>
    <x v="61"/>
    <n v="5340"/>
    <n v="20"/>
    <s v="DS"/>
    <s v="G"/>
    <n v="0"/>
    <n v="7"/>
    <n v="7"/>
    <n v="6"/>
    <n v="6"/>
    <n v="6"/>
    <n v="6"/>
    <n v="6"/>
    <n v="5"/>
    <n v="5"/>
    <n v="7"/>
    <m/>
    <m/>
    <m/>
    <n v="50"/>
    <n v="0"/>
    <s v="ALFORD RD./1100N"/>
    <n v="4"/>
    <x v="2"/>
    <n v="32363.636363636364"/>
    <m/>
    <n v="0"/>
    <x v="2"/>
  </r>
  <r>
    <x v="677"/>
    <s v="ALFORD RD./900N"/>
    <m/>
    <x v="5"/>
    <x v="25"/>
    <n v="1180"/>
    <n v="20"/>
    <s v="G"/>
    <s v="G"/>
    <n v="0"/>
    <n v="7"/>
    <n v="7"/>
    <n v="7"/>
    <n v="7"/>
    <n v="7"/>
    <n v="7"/>
    <n v="7"/>
    <n v="6"/>
    <n v="6"/>
    <n v="6"/>
    <m/>
    <m/>
    <m/>
    <n v="50"/>
    <n v="0"/>
    <s v="ALFORD RD./900N"/>
    <n v="3"/>
    <x v="0"/>
    <n v="4693.181818181818"/>
    <m/>
    <n v="0"/>
    <x v="0"/>
  </r>
  <r>
    <x v="678"/>
    <s v="ALLEN DRIVE"/>
    <s v="Sugar Creek View"/>
    <x v="143"/>
    <x v="143"/>
    <n v="950"/>
    <n v="26"/>
    <s v="NC"/>
    <s v="SC"/>
    <n v="0"/>
    <n v="7"/>
    <n v="7"/>
    <n v="7"/>
    <n v="7"/>
    <n v="7"/>
    <n v="7"/>
    <n v="7"/>
    <n v="7"/>
    <n v="7"/>
    <n v="7"/>
    <m/>
    <m/>
    <m/>
    <n v="123"/>
    <n v="0"/>
    <s v="ALLEN DRIVE"/>
    <n v="3"/>
    <x v="5"/>
    <n v="14393.939393939394"/>
    <m/>
    <n v="0"/>
    <x v="5"/>
  </r>
  <r>
    <x v="679"/>
    <s v="ALLEY(CHAR)/1050E"/>
    <m/>
    <x v="144"/>
    <x v="86"/>
    <n v="337"/>
    <n v="20"/>
    <s v="G"/>
    <s v="J"/>
    <n v="0"/>
    <n v="6"/>
    <n v="6"/>
    <n v="6"/>
    <n v="6"/>
    <n v="6"/>
    <n v="7"/>
    <n v="7"/>
    <n v="7"/>
    <n v="7"/>
    <n v="6"/>
    <m/>
    <m/>
    <m/>
    <n v="50"/>
    <n v="0"/>
    <s v="ALLEY(CHAR)/1050E"/>
    <n v="4"/>
    <x v="8"/>
    <n v="893.56060606060601"/>
    <m/>
    <n v="0"/>
    <x v="4"/>
  </r>
  <r>
    <x v="680"/>
    <s v="ALLEY(CHAR)/CAR RD"/>
    <m/>
    <x v="145"/>
    <x v="144"/>
    <n v="254"/>
    <n v="20"/>
    <s v="G"/>
    <s v="J"/>
    <n v="0"/>
    <n v="6"/>
    <n v="6"/>
    <n v="6"/>
    <n v="6"/>
    <n v="6"/>
    <n v="7"/>
    <n v="7"/>
    <n v="6"/>
    <n v="6"/>
    <n v="7"/>
    <m/>
    <m/>
    <m/>
    <n v="50"/>
    <n v="0"/>
    <s v="ALLEY(CHAR)/CAR RD"/>
    <n v="4"/>
    <x v="8"/>
    <n v="673.4848484848485"/>
    <m/>
    <n v="0"/>
    <x v="4"/>
  </r>
  <r>
    <x v="681"/>
    <s v="ALLEY(CHAR)/CH PKG"/>
    <m/>
    <x v="133"/>
    <x v="145"/>
    <n v="268"/>
    <n v="20"/>
    <s v="G"/>
    <s v="J"/>
    <n v="0"/>
    <n v="6"/>
    <n v="6"/>
    <n v="6"/>
    <n v="6"/>
    <n v="6"/>
    <n v="7"/>
    <n v="7"/>
    <n v="7"/>
    <n v="7"/>
    <n v="7"/>
    <m/>
    <m/>
    <m/>
    <n v="50"/>
    <n v="0"/>
    <s v="ALLEY(CHAR)/CH PKG"/>
    <n v="4"/>
    <x v="8"/>
    <n v="710.60606060606062"/>
    <m/>
    <n v="0"/>
    <x v="4"/>
  </r>
  <r>
    <x v="682"/>
    <s v="ALLEY(CHAR)/EAST_A"/>
    <m/>
    <x v="133"/>
    <x v="134"/>
    <n v="360"/>
    <n v="20"/>
    <s v="G"/>
    <s v="J"/>
    <n v="0"/>
    <n v="6"/>
    <n v="6"/>
    <n v="6"/>
    <n v="9"/>
    <n v="8"/>
    <n v="7"/>
    <n v="7"/>
    <n v="7"/>
    <n v="7"/>
    <n v="7"/>
    <m/>
    <m/>
    <m/>
    <n v="50"/>
    <n v="0"/>
    <s v="ALLEY(CHAR)/EAST_A"/>
    <n v="2"/>
    <x v="4"/>
    <n v="7500"/>
    <m/>
    <n v="0"/>
    <x v="0"/>
  </r>
  <r>
    <x v="683"/>
    <s v="ALLEY(CHAR)/EAST_B"/>
    <m/>
    <x v="133"/>
    <x v="134"/>
    <n v="360"/>
    <n v="20"/>
    <s v="G"/>
    <s v="J"/>
    <n v="0"/>
    <n v="6"/>
    <n v="6"/>
    <n v="6"/>
    <n v="9"/>
    <n v="8"/>
    <n v="7"/>
    <n v="7"/>
    <n v="7"/>
    <n v="7"/>
    <n v="7"/>
    <m/>
    <m/>
    <m/>
    <n v="50"/>
    <n v="0"/>
    <s v="ALLEY(CHAR)/EAST_B"/>
    <n v="2"/>
    <x v="4"/>
    <n v="7500"/>
    <m/>
    <n v="0"/>
    <x v="0"/>
  </r>
  <r>
    <x v="684"/>
    <s v="ALLEY(CHAR)/EAST_C"/>
    <m/>
    <x v="146"/>
    <x v="134"/>
    <n v="397"/>
    <n v="20"/>
    <s v="G"/>
    <s v="J"/>
    <n v="0"/>
    <n v="6"/>
    <n v="6"/>
    <n v="6"/>
    <n v="9"/>
    <n v="8"/>
    <n v="7"/>
    <n v="7"/>
    <n v="7"/>
    <n v="7"/>
    <n v="7"/>
    <m/>
    <m/>
    <m/>
    <n v="50"/>
    <n v="0"/>
    <s v="ALLEY(CHAR)/EAST_C"/>
    <n v="2"/>
    <x v="4"/>
    <n v="8270.8333333333339"/>
    <m/>
    <n v="0"/>
    <x v="0"/>
  </r>
  <r>
    <x v="685"/>
    <s v="ALLEY(CHAR)/EAST_D"/>
    <m/>
    <x v="133"/>
    <x v="134"/>
    <n v="360"/>
    <n v="20"/>
    <s v="G"/>
    <s v="J"/>
    <n v="0"/>
    <n v="6"/>
    <n v="5"/>
    <n v="5"/>
    <n v="9"/>
    <n v="8"/>
    <n v="7"/>
    <n v="7"/>
    <n v="7"/>
    <n v="7"/>
    <n v="7"/>
    <m/>
    <m/>
    <m/>
    <n v="50"/>
    <n v="0"/>
    <s v="ALLEY(CHAR)/EAST_D"/>
    <n v="2"/>
    <x v="4"/>
    <n v="7500"/>
    <m/>
    <n v="0"/>
    <x v="0"/>
  </r>
  <r>
    <x v="686"/>
    <s v="ALLEY(CHAR)/EASTST"/>
    <m/>
    <x v="133"/>
    <x v="134"/>
    <n v="360"/>
    <n v="20"/>
    <s v="G"/>
    <s v="J"/>
    <n v="0"/>
    <n v="6"/>
    <n v="4"/>
    <n v="4"/>
    <n v="9"/>
    <n v="8"/>
    <n v="7"/>
    <n v="7"/>
    <n v="7"/>
    <n v="7"/>
    <n v="7"/>
    <m/>
    <m/>
    <m/>
    <n v="50"/>
    <n v="0"/>
    <s v="ALLEY(CHAR)/EASTST"/>
    <n v="2"/>
    <x v="4"/>
    <n v="7500"/>
    <m/>
    <n v="0"/>
    <x v="0"/>
  </r>
  <r>
    <x v="687"/>
    <s v="ALLEY(EDEN)/EDENRD"/>
    <m/>
    <x v="147"/>
    <x v="19"/>
    <n v="284"/>
    <n v="20"/>
    <s v="G"/>
    <s v="G"/>
    <n v="0"/>
    <n v="7"/>
    <n v="6"/>
    <n v="8"/>
    <n v="7"/>
    <n v="7"/>
    <n v="6"/>
    <n v="6"/>
    <n v="6"/>
    <n v="6"/>
    <n v="6"/>
    <m/>
    <m/>
    <m/>
    <n v="50"/>
    <n v="0"/>
    <s v="ALLEY(EDEN)/EDENRD"/>
    <n v="3"/>
    <x v="0"/>
    <n v="1129.5454545454545"/>
    <m/>
    <n v="0"/>
    <x v="0"/>
  </r>
  <r>
    <x v="688"/>
    <s v="ALLEY(FIN)/MAIN ST"/>
    <m/>
    <x v="148"/>
    <x v="146"/>
    <n v="227"/>
    <n v="20"/>
    <s v="G"/>
    <s v="BW"/>
    <n v="0"/>
    <n v="7"/>
    <n v="7"/>
    <n v="7"/>
    <n v="7"/>
    <n v="7"/>
    <n v="7"/>
    <n v="6"/>
    <n v="6"/>
    <n v="6"/>
    <n v="6"/>
    <m/>
    <m/>
    <m/>
    <n v="50"/>
    <n v="0"/>
    <s v="ALLEY(FIN)/MAIN ST"/>
    <n v="3"/>
    <x v="0"/>
    <n v="902.84090909090912"/>
    <m/>
    <n v="0"/>
    <x v="0"/>
  </r>
  <r>
    <x v="689"/>
    <s v="ALLEY(MAX)/EAST ST"/>
    <m/>
    <x v="21"/>
    <x v="134"/>
    <n v="604"/>
    <n v="20"/>
    <s v="G"/>
    <s v="C"/>
    <n v="0"/>
    <n v="7"/>
    <n v="7"/>
    <n v="7"/>
    <n v="7"/>
    <n v="7"/>
    <n v="7"/>
    <n v="7"/>
    <n v="6"/>
    <n v="6"/>
    <n v="6"/>
    <m/>
    <m/>
    <m/>
    <n v="50"/>
    <n v="0"/>
    <s v="ALLEY(MAX)/EAST ST"/>
    <n v="3"/>
    <x v="0"/>
    <n v="2402.2727272727275"/>
    <m/>
    <n v="0"/>
    <x v="0"/>
  </r>
  <r>
    <x v="690"/>
    <s v="ALLEY(MAX)/JACKSON"/>
    <m/>
    <x v="21"/>
    <x v="147"/>
    <n v="416"/>
    <n v="20"/>
    <s v="G"/>
    <s v="C"/>
    <n v="0"/>
    <n v="7"/>
    <n v="6"/>
    <n v="6"/>
    <n v="8"/>
    <n v="8"/>
    <n v="7"/>
    <n v="7"/>
    <n v="6"/>
    <n v="6"/>
    <n v="6"/>
    <m/>
    <m/>
    <m/>
    <n v="50"/>
    <n v="0"/>
    <s v="ALLEY(MAX)/JACKSON"/>
    <n v="2"/>
    <x v="4"/>
    <n v="8666.6666666666661"/>
    <m/>
    <n v="0"/>
    <x v="0"/>
  </r>
  <r>
    <x v="691"/>
    <s v="ALLEY(MAX)/JACKtoE"/>
    <m/>
    <x v="149"/>
    <x v="25"/>
    <n v="244"/>
    <n v="20"/>
    <s v="G"/>
    <s v="C"/>
    <n v="0"/>
    <n v="7"/>
    <n v="6"/>
    <n v="6"/>
    <n v="8"/>
    <n v="8"/>
    <n v="7"/>
    <n v="7"/>
    <n v="6"/>
    <n v="6"/>
    <n v="6"/>
    <m/>
    <m/>
    <m/>
    <n v="50"/>
    <n v="0"/>
    <s v="ALLEY(MAX)/JACKtoE"/>
    <n v="2"/>
    <x v="4"/>
    <n v="5083.333333333333"/>
    <m/>
    <n v="0"/>
    <x v="0"/>
  </r>
  <r>
    <x v="692"/>
    <s v="ALLEY(MAX)/JEFF ST"/>
    <s v=" "/>
    <x v="150"/>
    <x v="148"/>
    <n v="384"/>
    <n v="20"/>
    <s v="G"/>
    <s v="C"/>
    <n v="0"/>
    <n v="7"/>
    <n v="6"/>
    <n v="6"/>
    <n v="8"/>
    <n v="8"/>
    <n v="7"/>
    <n v="7"/>
    <n v="6"/>
    <n v="6"/>
    <n v="6"/>
    <m/>
    <m/>
    <m/>
    <n v="50"/>
    <n v="0"/>
    <s v="ALLEY(MAX)/JEFF ST"/>
    <n v="2"/>
    <x v="4"/>
    <n v="8000"/>
    <m/>
    <n v="0"/>
    <x v="0"/>
  </r>
  <r>
    <x v="693"/>
    <s v="ALLEY(MAX)/SR9toEN"/>
    <m/>
    <x v="21"/>
    <x v="25"/>
    <n v="330"/>
    <n v="20"/>
    <s v="G"/>
    <s v="C"/>
    <n v="0"/>
    <n v="7"/>
    <n v="6"/>
    <n v="6"/>
    <n v="6"/>
    <n v="8"/>
    <n v="7"/>
    <n v="7"/>
    <n v="6"/>
    <n v="6"/>
    <n v="6"/>
    <m/>
    <m/>
    <m/>
    <n v="50"/>
    <n v="0"/>
    <s v="ALLEY(MAX)/SR9toEN"/>
    <n v="2"/>
    <x v="4"/>
    <n v="6875"/>
    <m/>
    <n v="0"/>
    <x v="0"/>
  </r>
  <r>
    <x v="694"/>
    <s v="ALLEY(MOH)/NEW ST"/>
    <m/>
    <x v="27"/>
    <x v="149"/>
    <n v="294"/>
    <n v="20"/>
    <s v="G"/>
    <s v="C"/>
    <n v="0"/>
    <n v="6"/>
    <n v="6"/>
    <n v="6"/>
    <n v="6"/>
    <n v="9"/>
    <n v="8"/>
    <n v="8"/>
    <n v="8"/>
    <n v="7"/>
    <n v="7"/>
    <m/>
    <m/>
    <m/>
    <n v="50"/>
    <n v="0"/>
    <s v="ALLEY(MOH)/NEW ST"/>
    <n v="1"/>
    <x v="8"/>
    <n v="779.5454545454545"/>
    <m/>
    <n v="0"/>
    <x v="4"/>
  </r>
  <r>
    <x v="695"/>
    <s v="ALLEY(PHILY)/PEARL"/>
    <m/>
    <x v="151"/>
    <x v="150"/>
    <n v="153"/>
    <n v="20"/>
    <s v="G"/>
    <s v="SC"/>
    <n v="0"/>
    <n v="7"/>
    <n v="6"/>
    <n v="6"/>
    <n v="6"/>
    <n v="6"/>
    <n v="6"/>
    <n v="6"/>
    <n v="6"/>
    <n v="7"/>
    <n v="8"/>
    <m/>
    <m/>
    <m/>
    <n v="50"/>
    <n v="0"/>
    <s v="ALLEY(PHILY)/PEARL"/>
    <n v="4"/>
    <x v="3"/>
    <n v="1332.9545454545455"/>
    <m/>
    <n v="0"/>
    <x v="0"/>
  </r>
  <r>
    <x v="696"/>
    <s v="ALLEY(PHILY)/US40"/>
    <m/>
    <x v="23"/>
    <x v="151"/>
    <n v="465"/>
    <n v="20"/>
    <s v="G"/>
    <s v="SC"/>
    <n v="0"/>
    <n v="7"/>
    <n v="6"/>
    <n v="6"/>
    <n v="6"/>
    <n v="6"/>
    <n v="6"/>
    <n v="6"/>
    <n v="6"/>
    <n v="7"/>
    <n v="7"/>
    <m/>
    <m/>
    <m/>
    <n v="50"/>
    <n v="0"/>
    <s v="ALLEY(PHILY)/US40"/>
    <n v="4"/>
    <x v="3"/>
    <n v="4051.1363636363635"/>
    <m/>
    <n v="0"/>
    <x v="0"/>
  </r>
  <r>
    <x v="697"/>
    <s v="ALLEY(PHILY)/US40A"/>
    <m/>
    <x v="23"/>
    <x v="151"/>
    <n v="459"/>
    <n v="20"/>
    <s v="G"/>
    <s v="SC"/>
    <n v="0"/>
    <n v="7"/>
    <n v="6"/>
    <n v="6"/>
    <n v="6"/>
    <n v="6"/>
    <n v="6"/>
    <n v="6"/>
    <n v="6"/>
    <n v="7"/>
    <n v="7"/>
    <m/>
    <m/>
    <m/>
    <n v="50"/>
    <n v="0"/>
    <s v="ALLEY(PHILY)/US40A"/>
    <n v="4"/>
    <x v="3"/>
    <n v="3998.8636363636365"/>
    <m/>
    <n v="0"/>
    <x v="0"/>
  </r>
  <r>
    <x v="698"/>
    <s v="AMANDA COURT"/>
    <s v="Buck Creek Meadows"/>
    <x v="33"/>
    <x v="70"/>
    <n v="88.69"/>
    <m/>
    <s v="NC"/>
    <s v="BC"/>
    <n v="0"/>
    <m/>
    <n v="7"/>
    <n v="7"/>
    <n v="7"/>
    <n v="7"/>
    <n v="7"/>
    <n v="5"/>
    <n v="7"/>
    <n v="7"/>
    <n v="7"/>
    <m/>
    <m/>
    <m/>
    <n v="50"/>
    <n v="0"/>
    <s v="AMANDA COURT"/>
    <n v="3"/>
    <x v="7"/>
    <n v="419.93371212121212"/>
    <m/>
    <n v="0"/>
    <x v="4"/>
  </r>
  <r>
    <x v="699"/>
    <s v="AMELIA DRIVE"/>
    <s v="Schildmeier Woods"/>
    <x v="102"/>
    <x v="152"/>
    <n v="1162"/>
    <n v="26"/>
    <s v="NC"/>
    <s v="SC"/>
    <n v="0"/>
    <n v="6"/>
    <n v="7"/>
    <n v="10"/>
    <n v="9"/>
    <n v="8"/>
    <n v="7"/>
    <n v="7"/>
    <n v="8"/>
    <n v="7"/>
    <n v="6"/>
    <m/>
    <m/>
    <m/>
    <n v="139"/>
    <n v="0"/>
    <s v="AMELIA DRIVE"/>
    <n v="2"/>
    <x v="7"/>
    <n v="5501.893939393939"/>
    <m/>
    <n v="0"/>
    <x v="4"/>
  </r>
  <r>
    <x v="700"/>
    <s v="WINDHAVEN COURT"/>
    <s v="Windhaven"/>
    <x v="141"/>
    <x v="139"/>
    <n v="686"/>
    <n v="26"/>
    <s v="NC"/>
    <s v="SC"/>
    <n v="0"/>
    <n v="8"/>
    <n v="8"/>
    <n v="8"/>
    <n v="8"/>
    <n v="8"/>
    <n v="7"/>
    <n v="7"/>
    <n v="7"/>
    <n v="7"/>
    <n v="7"/>
    <m/>
    <m/>
    <m/>
    <n v="2144"/>
    <n v="1"/>
    <s v="WINDHAVEN COURT"/>
    <n v="3"/>
    <x v="9"/>
    <n v="324.81060606060606"/>
    <m/>
    <n v="0"/>
    <x v="6"/>
  </r>
  <r>
    <x v="701"/>
    <s v="ANTON WAY"/>
    <s v="Schildmeier Woods"/>
    <x v="102"/>
    <x v="152"/>
    <n v="2746"/>
    <n v="26"/>
    <s v="NC"/>
    <s v="SC"/>
    <n v="0"/>
    <n v="7"/>
    <n v="7"/>
    <n v="10"/>
    <n v="9"/>
    <n v="8"/>
    <n v="7"/>
    <n v="7"/>
    <n v="8"/>
    <n v="7"/>
    <n v="6"/>
    <m/>
    <m/>
    <m/>
    <n v="410"/>
    <n v="0"/>
    <s v="ANTON WAY"/>
    <n v="2"/>
    <x v="7"/>
    <n v="13001.89393939394"/>
    <m/>
    <n v="0"/>
    <x v="4"/>
  </r>
  <r>
    <x v="702"/>
    <s v="APPLE CAVE COURT"/>
    <s v="Cornerstone Village"/>
    <x v="152"/>
    <x v="152"/>
    <n v="280"/>
    <n v="26"/>
    <s v="NC"/>
    <s v="SC"/>
    <n v="0"/>
    <n v="8"/>
    <n v="8"/>
    <n v="8"/>
    <n v="8"/>
    <n v="8"/>
    <n v="7"/>
    <n v="7"/>
    <n v="7"/>
    <n v="7"/>
    <n v="7"/>
    <m/>
    <m/>
    <m/>
    <n v="50"/>
    <n v="0"/>
    <s v="APPLE CAVE COURT"/>
    <n v="2"/>
    <x v="7"/>
    <n v="1325.7575757575758"/>
    <m/>
    <n v="0"/>
    <x v="4"/>
  </r>
  <r>
    <x v="703"/>
    <s v="APPLE ST/200N"/>
    <m/>
    <x v="153"/>
    <x v="153"/>
    <n v="2420"/>
    <n v="20"/>
    <s v="AC"/>
    <s v="C"/>
    <n v="0"/>
    <m/>
    <m/>
    <m/>
    <m/>
    <m/>
    <n v="6"/>
    <m/>
    <s v="city"/>
    <m/>
    <m/>
    <m/>
    <m/>
    <m/>
    <n v="50"/>
    <n v="0"/>
    <s v="APPLE ST/200N"/>
    <n v="10"/>
    <x v="4"/>
    <n v="50416.666666666664"/>
    <m/>
    <n v="0"/>
    <x v="1"/>
  </r>
  <r>
    <x v="704"/>
    <s v="APPLEGATE DRIVE(S)"/>
    <s v="Countryside"/>
    <x v="15"/>
    <x v="154"/>
    <n v="3053"/>
    <n v="26"/>
    <s v="NC"/>
    <s v="SC"/>
    <n v="0"/>
    <n v="7"/>
    <n v="8"/>
    <n v="7"/>
    <n v="7"/>
    <n v="7"/>
    <n v="7"/>
    <n v="7"/>
    <n v="7"/>
    <n v="7"/>
    <n v="7"/>
    <m/>
    <m/>
    <m/>
    <n v="433"/>
    <n v="0"/>
    <s v="APPLEGATE DRIVE(S)"/>
    <n v="3"/>
    <x v="9"/>
    <n v="1445.5492424242425"/>
    <m/>
    <n v="0"/>
    <x v="3"/>
  </r>
  <r>
    <x v="705"/>
    <s v="ARBOR LANE"/>
    <s v="Hilton Business Park"/>
    <x v="154"/>
    <x v="155"/>
    <n v="441"/>
    <n v="26"/>
    <s v="NC"/>
    <s v="SC"/>
    <n v="0"/>
    <n v="8"/>
    <n v="8"/>
    <n v="8"/>
    <n v="8"/>
    <n v="8"/>
    <n v="8"/>
    <n v="7"/>
    <n v="7"/>
    <n v="7"/>
    <n v="7"/>
    <m/>
    <m/>
    <m/>
    <n v="50"/>
    <n v="0"/>
    <s v="ARBOR LANE"/>
    <n v="2"/>
    <x v="7"/>
    <n v="2088.068181818182"/>
    <m/>
    <n v="0"/>
    <x v="4"/>
  </r>
  <r>
    <x v="706"/>
    <s v="ARROWHEAD COURT"/>
    <s v="Arrowhead"/>
    <x v="155"/>
    <x v="156"/>
    <n v="1445"/>
    <n v="26"/>
    <s v="NC"/>
    <s v="C"/>
    <n v="0"/>
    <n v="8"/>
    <n v="9"/>
    <n v="9"/>
    <n v="8"/>
    <n v="8"/>
    <n v="7"/>
    <n v="7"/>
    <n v="6"/>
    <n v="7"/>
    <n v="7"/>
    <m/>
    <m/>
    <m/>
    <n v="50"/>
    <n v="0"/>
    <s v="ARROWHEAD COURT"/>
    <n v="2"/>
    <x v="7"/>
    <n v="6841.856060606061"/>
    <m/>
    <n v="0"/>
    <x v="4"/>
  </r>
  <r>
    <x v="707"/>
    <s v="ARROWHEAD DRIVE"/>
    <s v="Arrowhead"/>
    <x v="155"/>
    <x v="156"/>
    <n v="2621"/>
    <n v="26"/>
    <s v="NC"/>
    <s v="C"/>
    <n v="0"/>
    <n v="6"/>
    <n v="6"/>
    <n v="10"/>
    <n v="9"/>
    <n v="9"/>
    <n v="8"/>
    <n v="7"/>
    <n v="6"/>
    <n v="7"/>
    <n v="7"/>
    <m/>
    <m/>
    <m/>
    <n v="50"/>
    <n v="0"/>
    <s v="ARROWHEAD DRIVE"/>
    <n v="1"/>
    <x v="7"/>
    <n v="12410.037878787878"/>
    <m/>
    <n v="0"/>
    <x v="4"/>
  </r>
  <r>
    <x v="708"/>
    <s v="WINDSONG COURT"/>
    <s v="Windhaven"/>
    <x v="141"/>
    <x v="139"/>
    <n v="528"/>
    <n v="26"/>
    <s v="NC"/>
    <s v="SC"/>
    <n v="0"/>
    <n v="8"/>
    <n v="8"/>
    <n v="8"/>
    <n v="8"/>
    <n v="8"/>
    <n v="7"/>
    <n v="7"/>
    <n v="7"/>
    <n v="7"/>
    <n v="7"/>
    <m/>
    <m/>
    <m/>
    <n v="2144"/>
    <n v="1"/>
    <s v="WINDSONG COURT"/>
    <n v="3"/>
    <x v="9"/>
    <n v="250"/>
    <m/>
    <n v="0"/>
    <x v="6"/>
  </r>
  <r>
    <x v="709"/>
    <s v="BLACKBERRY CT(S)"/>
    <s v="Stinemyer Crossing"/>
    <x v="156"/>
    <x v="157"/>
    <n v="1795"/>
    <n v="26"/>
    <s v="NC"/>
    <s v="SC"/>
    <n v="0"/>
    <n v="7"/>
    <n v="8"/>
    <n v="8"/>
    <n v="8"/>
    <n v="8"/>
    <n v="8"/>
    <n v="8"/>
    <n v="7"/>
    <n v="7"/>
    <n v="7"/>
    <m/>
    <m/>
    <m/>
    <n v="306"/>
    <n v="0"/>
    <s v="BLACKBERRY CT(S)"/>
    <n v="2"/>
    <x v="9"/>
    <n v="15557"/>
    <m/>
    <n v="0"/>
    <x v="6"/>
  </r>
  <r>
    <x v="710"/>
    <s v="BALFER DRIVE EAST"/>
    <s v="East Gate"/>
    <x v="157"/>
    <x v="0"/>
    <n v="1267"/>
    <n v="26"/>
    <s v="NC"/>
    <s v="V"/>
    <n v="0"/>
    <n v="7"/>
    <n v="6"/>
    <n v="6"/>
    <n v="6"/>
    <n v="6"/>
    <n v="9"/>
    <n v="8"/>
    <n v="7"/>
    <n v="7"/>
    <n v="7"/>
    <m/>
    <m/>
    <m/>
    <n v="50"/>
    <n v="0"/>
    <s v="BALFER DRIVE EAST"/>
    <n v="4"/>
    <x v="0"/>
    <n v="5039.204545454545"/>
    <m/>
    <n v="0"/>
    <x v="3"/>
  </r>
  <r>
    <x v="711"/>
    <s v="BALFER DRIVE WEST"/>
    <s v="East Gate"/>
    <x v="157"/>
    <x v="0"/>
    <n v="1267"/>
    <n v="26"/>
    <s v="NC"/>
    <s v="V"/>
    <n v="0"/>
    <n v="7"/>
    <n v="6"/>
    <n v="6"/>
    <n v="6"/>
    <n v="6"/>
    <n v="9"/>
    <n v="8"/>
    <n v="7"/>
    <n v="7"/>
    <n v="7"/>
    <m/>
    <m/>
    <m/>
    <n v="50"/>
    <n v="0"/>
    <s v="BALFER DRIVE WEST"/>
    <n v="4"/>
    <x v="0"/>
    <n v="5039.204545454545"/>
    <m/>
    <n v="0"/>
    <x v="3"/>
  </r>
  <r>
    <x v="712"/>
    <s v="BANTON CIRCLE"/>
    <s v="Fox Cove"/>
    <x v="158"/>
    <x v="158"/>
    <n v="634"/>
    <n v="26"/>
    <s v="NC"/>
    <s v="SC"/>
    <n v="0"/>
    <n v="7"/>
    <n v="7"/>
    <n v="7"/>
    <n v="7"/>
    <n v="7"/>
    <n v="8"/>
    <n v="8"/>
    <n v="8"/>
    <n v="7"/>
    <n v="7"/>
    <m/>
    <m/>
    <m/>
    <n v="667"/>
    <n v="0.5"/>
    <s v="BANTON CIRCLE"/>
    <n v="3.5"/>
    <x v="9"/>
    <n v="5072"/>
    <m/>
    <n v="0"/>
    <x v="3"/>
  </r>
  <r>
    <x v="713"/>
    <s v="BARNARD RD./1000N"/>
    <m/>
    <x v="5"/>
    <x v="61"/>
    <n v="6593"/>
    <n v="20"/>
    <s v="CS"/>
    <s v="G"/>
    <n v="0"/>
    <n v="7"/>
    <n v="7"/>
    <n v="7"/>
    <n v="5"/>
    <n v="5"/>
    <n v="5"/>
    <n v="5"/>
    <n v="8"/>
    <n v="7"/>
    <n v="7"/>
    <m/>
    <m/>
    <m/>
    <n v="40"/>
    <n v="0"/>
    <s v="BARNARD RD."/>
    <n v="5"/>
    <x v="2"/>
    <n v="39957.57575757576"/>
    <m/>
    <n v="0"/>
    <x v="4"/>
  </r>
  <r>
    <x v="714"/>
    <s v="BARNARD RD./1100N"/>
    <m/>
    <x v="60"/>
    <x v="62"/>
    <n v="5610"/>
    <n v="20"/>
    <s v="AC"/>
    <s v="G"/>
    <n v="0"/>
    <n v="7"/>
    <n v="7"/>
    <n v="6"/>
    <n v="5"/>
    <n v="5"/>
    <n v="5"/>
    <n v="5"/>
    <n v="8"/>
    <n v="8"/>
    <n v="8"/>
    <m/>
    <m/>
    <m/>
    <n v="52"/>
    <n v="0"/>
    <s v="BARNARD RD."/>
    <n v="5"/>
    <x v="0"/>
    <n v="22312.5"/>
    <m/>
    <n v="0"/>
    <x v="4"/>
  </r>
  <r>
    <x v="715"/>
    <s v="BARNWOOD DRIVE(W)"/>
    <s v="Countryside"/>
    <x v="15"/>
    <x v="154"/>
    <n v="1056"/>
    <n v="26"/>
    <s v="NC"/>
    <s v="SC"/>
    <n v="0"/>
    <n v="7"/>
    <n v="8"/>
    <n v="8"/>
    <n v="8"/>
    <n v="7"/>
    <n v="7"/>
    <n v="7"/>
    <n v="7"/>
    <n v="7"/>
    <n v="6"/>
    <m/>
    <m/>
    <m/>
    <n v="515"/>
    <n v="0.5"/>
    <s v="BARNWOOD DRIVE(W)"/>
    <n v="3.5"/>
    <x v="9"/>
    <n v="500"/>
    <m/>
    <n v="0"/>
    <x v="3"/>
  </r>
  <r>
    <x v="716"/>
    <s v="STINEMEYER CT (W)"/>
    <s v="Stinemyer Crossing"/>
    <x v="156"/>
    <x v="157"/>
    <n v="475"/>
    <n v="26"/>
    <s v="NC"/>
    <s v="SC"/>
    <n v="0"/>
    <n v="6"/>
    <n v="8"/>
    <n v="8"/>
    <n v="8"/>
    <n v="8"/>
    <n v="8"/>
    <n v="8"/>
    <n v="7"/>
    <n v="7"/>
    <n v="7"/>
    <m/>
    <m/>
    <m/>
    <n v="306"/>
    <n v="0"/>
    <s v="STINEMEYER CT (W)"/>
    <n v="2"/>
    <x v="9"/>
    <n v="4117"/>
    <m/>
    <n v="0"/>
    <x v="6"/>
  </r>
  <r>
    <x v="717"/>
    <s v="BEECH TREE (N)"/>
    <s v="Twin Oaks"/>
    <x v="73"/>
    <x v="142"/>
    <n v="634"/>
    <n v="26"/>
    <s v="NC"/>
    <s v="C"/>
    <n v="0"/>
    <n v="7"/>
    <n v="7"/>
    <n v="7"/>
    <n v="7"/>
    <n v="9"/>
    <n v="8"/>
    <n v="8"/>
    <n v="7"/>
    <n v="6"/>
    <n v="6"/>
    <m/>
    <m/>
    <m/>
    <n v="50"/>
    <n v="0"/>
    <s v="BEECH TREE (N)"/>
    <n v="1"/>
    <x v="5"/>
    <n v="9606.060606060606"/>
    <n v="1"/>
    <n v="9606.060606060606"/>
    <x v="3"/>
  </r>
  <r>
    <x v="718"/>
    <s v="BEECH TREE DR"/>
    <s v="Twin Oaks"/>
    <x v="73"/>
    <x v="142"/>
    <n v="663.7"/>
    <m/>
    <s v="NC"/>
    <s v="C"/>
    <n v="0"/>
    <m/>
    <n v="8"/>
    <n v="8"/>
    <n v="8"/>
    <n v="9"/>
    <n v="8"/>
    <n v="8"/>
    <n v="7"/>
    <n v="6"/>
    <n v="6"/>
    <m/>
    <m/>
    <m/>
    <n v="50"/>
    <n v="0"/>
    <m/>
    <n v="1"/>
    <x v="5"/>
    <n v="10056.060606060606"/>
    <n v="1"/>
    <n v="10056.060606060606"/>
    <x v="3"/>
  </r>
  <r>
    <x v="719"/>
    <s v="BEECHWOOD LANE"/>
    <s v="Beechwood"/>
    <x v="159"/>
    <x v="159"/>
    <n v="1162"/>
    <n v="26"/>
    <s v="NC"/>
    <s v="SC"/>
    <n v="0"/>
    <n v="6"/>
    <n v="6"/>
    <n v="10"/>
    <n v="9"/>
    <n v="8"/>
    <n v="8"/>
    <n v="8"/>
    <n v="7"/>
    <n v="7"/>
    <n v="6"/>
    <m/>
    <m/>
    <m/>
    <n v="163"/>
    <n v="0"/>
    <s v="BEECHWOOD LANE"/>
    <n v="2"/>
    <x v="7"/>
    <n v="5501.893939393939"/>
    <m/>
    <n v="0"/>
    <x v="4"/>
  </r>
  <r>
    <x v="720"/>
    <s v="GRASSY CT (S)"/>
    <s v="Stinemyer Crossing"/>
    <x v="156"/>
    <x v="157"/>
    <n v="1373"/>
    <n v="26"/>
    <s v="NC"/>
    <s v="SC"/>
    <n v="0"/>
    <n v="7"/>
    <n v="8"/>
    <n v="8"/>
    <n v="8"/>
    <n v="8"/>
    <n v="8"/>
    <n v="8"/>
    <n v="7"/>
    <n v="7"/>
    <n v="7"/>
    <m/>
    <m/>
    <m/>
    <n v="220"/>
    <n v="0"/>
    <s v="GRASSY CT (S)"/>
    <n v="2"/>
    <x v="9"/>
    <n v="11900"/>
    <m/>
    <n v="0"/>
    <x v="6"/>
  </r>
  <r>
    <x v="721"/>
    <s v="BERLANDER ROAD"/>
    <s v="New Palestine Village"/>
    <x v="159"/>
    <x v="11"/>
    <n v="898"/>
    <n v="26"/>
    <s v="NC"/>
    <s v="SC"/>
    <n v="0"/>
    <n v="7"/>
    <n v="6"/>
    <n v="10"/>
    <n v="9"/>
    <n v="9"/>
    <n v="8"/>
    <n v="8"/>
    <n v="7"/>
    <n v="7"/>
    <n v="7"/>
    <m/>
    <m/>
    <m/>
    <n v="155"/>
    <n v="0"/>
    <s v="BERLANDER ROAD"/>
    <n v="1"/>
    <x v="7"/>
    <n v="4251.893939393939"/>
    <m/>
    <n v="0"/>
    <x v="4"/>
  </r>
  <r>
    <x v="722"/>
    <s v="BINFORD ROAD/300S"/>
    <m/>
    <x v="63"/>
    <x v="38"/>
    <n v="5539"/>
    <n v="20"/>
    <s v="AC"/>
    <s v="BR"/>
    <n v="0"/>
    <n v="6"/>
    <n v="6"/>
    <n v="10"/>
    <n v="9"/>
    <n v="8"/>
    <n v="7"/>
    <n v="7"/>
    <n v="7"/>
    <n v="7"/>
    <n v="7"/>
    <m/>
    <m/>
    <m/>
    <n v="318"/>
    <n v="0"/>
    <s v="BINFORD ROAD/300S"/>
    <n v="2"/>
    <x v="2"/>
    <n v="33569.696969696968"/>
    <m/>
    <n v="0"/>
    <x v="5"/>
  </r>
  <r>
    <x v="723"/>
    <s v="BINFORD ROAD/800E"/>
    <m/>
    <x v="38"/>
    <x v="26"/>
    <n v="3067"/>
    <n v="20"/>
    <s v="AC"/>
    <s v="BR"/>
    <n v="0"/>
    <n v="6"/>
    <n v="8"/>
    <n v="10"/>
    <n v="9"/>
    <n v="8"/>
    <n v="7"/>
    <n v="6"/>
    <n v="6"/>
    <n v="6"/>
    <n v="7"/>
    <m/>
    <m/>
    <m/>
    <n v="318"/>
    <n v="0"/>
    <s v="BINFORD ROAD/800E"/>
    <n v="2"/>
    <x v="2"/>
    <n v="18587.878787878788"/>
    <m/>
    <n v="0"/>
    <x v="5"/>
  </r>
  <r>
    <x v="724"/>
    <s v="BIRCH COURT"/>
    <s v="Colonial Heights"/>
    <x v="102"/>
    <x v="160"/>
    <n v="106"/>
    <n v="26"/>
    <s v="NC"/>
    <s v="BC"/>
    <n v="0"/>
    <n v="6"/>
    <n v="7"/>
    <n v="8"/>
    <n v="8"/>
    <n v="7"/>
    <n v="7"/>
    <n v="6"/>
    <n v="7"/>
    <n v="7"/>
    <n v="7"/>
    <m/>
    <m/>
    <m/>
    <n v="50"/>
    <n v="0"/>
    <s v="BIRCH COURT"/>
    <n v="3"/>
    <x v="7"/>
    <n v="501.89393939393938"/>
    <m/>
    <n v="0"/>
    <x v="4"/>
  </r>
  <r>
    <x v="725"/>
    <s v="BIRDSONG COURT"/>
    <s v="Ridgewood"/>
    <x v="75"/>
    <x v="161"/>
    <n v="422"/>
    <n v="26"/>
    <s v="NC"/>
    <s v="SC"/>
    <n v="0"/>
    <n v="7"/>
    <n v="7"/>
    <n v="10"/>
    <n v="9"/>
    <n v="8"/>
    <n v="7"/>
    <n v="7"/>
    <n v="7"/>
    <n v="6"/>
    <n v="6"/>
    <m/>
    <m/>
    <m/>
    <n v="116"/>
    <n v="0"/>
    <s v="BIRDSONG COURT"/>
    <n v="2"/>
    <x v="5"/>
    <n v="6393.939393939394"/>
    <n v="1"/>
    <n v="6393.939393939394"/>
    <x v="3"/>
  </r>
  <r>
    <x v="726"/>
    <s v="BIRDSONG DRIVE"/>
    <s v="Ridgewood"/>
    <x v="75"/>
    <x v="161"/>
    <n v="1003"/>
    <n v="26"/>
    <s v="NC"/>
    <s v="SC"/>
    <n v="0"/>
    <n v="7"/>
    <n v="7"/>
    <n v="10"/>
    <n v="9"/>
    <n v="8"/>
    <n v="7"/>
    <n v="7"/>
    <n v="7"/>
    <n v="6"/>
    <n v="6"/>
    <m/>
    <m/>
    <m/>
    <n v="116"/>
    <n v="0"/>
    <s v="BIRDSONG DRIVE"/>
    <n v="2"/>
    <x v="5"/>
    <n v="15196.969696969696"/>
    <n v="1"/>
    <n v="15196.969696969696"/>
    <x v="3"/>
  </r>
  <r>
    <x v="727"/>
    <s v="BITTNER LANE"/>
    <s v="Bittner Woods"/>
    <x v="152"/>
    <x v="162"/>
    <n v="1320"/>
    <n v="26"/>
    <s v="NC"/>
    <s v="SC"/>
    <n v="0"/>
    <n v="7"/>
    <n v="8"/>
    <n v="8"/>
    <n v="8"/>
    <n v="8"/>
    <n v="8"/>
    <n v="8"/>
    <n v="7"/>
    <n v="7"/>
    <n v="7"/>
    <m/>
    <m/>
    <m/>
    <n v="196"/>
    <n v="0"/>
    <s v="BITTNER LANE"/>
    <n v="2"/>
    <x v="9"/>
    <n v="10990"/>
    <m/>
    <n v="0"/>
    <x v="6"/>
  </r>
  <r>
    <x v="728"/>
    <s v="HACKBERRY TRL (W)"/>
    <s v="Stinemyer Crossing"/>
    <x v="156"/>
    <x v="157"/>
    <n v="1003"/>
    <n v="26"/>
    <s v="NC"/>
    <s v="SC"/>
    <n v="0"/>
    <n v="7"/>
    <n v="9"/>
    <n v="8"/>
    <n v="8"/>
    <n v="8"/>
    <n v="8"/>
    <n v="8"/>
    <n v="7"/>
    <n v="7"/>
    <n v="7"/>
    <m/>
    <m/>
    <m/>
    <n v="162"/>
    <n v="0"/>
    <s v="HACKBERRY TRL (W)"/>
    <n v="2"/>
    <x v="9"/>
    <n v="8693"/>
    <m/>
    <n v="0"/>
    <x v="6"/>
  </r>
  <r>
    <x v="729"/>
    <s v="BLUE BELL DRIVE"/>
    <s v="Wood Dale"/>
    <x v="160"/>
    <x v="139"/>
    <n v="422"/>
    <n v="26"/>
    <s v="NC"/>
    <s v="SC"/>
    <n v="0"/>
    <n v="7"/>
    <n v="8"/>
    <n v="8"/>
    <n v="8"/>
    <n v="8"/>
    <n v="8"/>
    <n v="8"/>
    <n v="8"/>
    <n v="8"/>
    <n v="7"/>
    <m/>
    <m/>
    <m/>
    <n v="50"/>
    <n v="0"/>
    <s v="BLUE BELL DRIVE"/>
    <n v="2"/>
    <x v="7"/>
    <n v="1998.1060606060605"/>
    <m/>
    <n v="0"/>
    <x v="4"/>
  </r>
  <r>
    <x v="730"/>
    <s v="BLUE SPRUCE CT (N)"/>
    <s v="Sugar Creek Valley Estates"/>
    <x v="161"/>
    <x v="163"/>
    <n v="370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BLUE SPRUCE CT (N)"/>
    <n v="3"/>
    <x v="9"/>
    <n v="2993"/>
    <m/>
    <n v="0"/>
    <x v="3"/>
  </r>
  <r>
    <x v="731"/>
    <s v="BLUEBELL DRIVE"/>
    <s v="Gem Meadows"/>
    <x v="15"/>
    <x v="164"/>
    <n v="1373"/>
    <n v="26"/>
    <s v="NC"/>
    <s v="SC"/>
    <n v="0"/>
    <n v="7"/>
    <n v="7"/>
    <n v="7"/>
    <n v="7"/>
    <n v="7"/>
    <n v="7"/>
    <n v="7"/>
    <n v="7"/>
    <n v="7"/>
    <n v="7"/>
    <m/>
    <m/>
    <m/>
    <n v="302"/>
    <n v="0"/>
    <s v="BLUEBELL DRIVE"/>
    <n v="3"/>
    <x v="5"/>
    <n v="20803.030303030304"/>
    <m/>
    <n v="0"/>
    <x v="7"/>
  </r>
  <r>
    <x v="732"/>
    <s v="BAYWOOD DR (W)"/>
    <s v="Stinemyer Crossing"/>
    <x v="156"/>
    <x v="157"/>
    <n v="1056"/>
    <n v="26"/>
    <s v="NC"/>
    <s v="SC"/>
    <n v="0"/>
    <n v="7"/>
    <n v="8"/>
    <n v="8"/>
    <n v="8"/>
    <n v="8"/>
    <n v="8"/>
    <n v="8"/>
    <n v="7"/>
    <n v="7"/>
    <n v="7"/>
    <m/>
    <m/>
    <m/>
    <n v="145"/>
    <n v="0"/>
    <s v="BAYWOOD DR (W)"/>
    <n v="2"/>
    <x v="9"/>
    <n v="9152"/>
    <m/>
    <n v="0"/>
    <x v="6"/>
  </r>
  <r>
    <x v="733"/>
    <s v="KEN LANE"/>
    <s v="Sycamore Hills"/>
    <x v="162"/>
    <x v="165"/>
    <n v="317"/>
    <n v="26"/>
    <s v="NC"/>
    <s v="SC"/>
    <n v="0"/>
    <n v="6"/>
    <n v="7"/>
    <n v="7"/>
    <n v="7"/>
    <n v="7"/>
    <n v="6"/>
    <n v="7"/>
    <n v="7"/>
    <n v="7"/>
    <n v="7"/>
    <m/>
    <m/>
    <m/>
    <n v="123"/>
    <n v="0"/>
    <s v="KEN LANE"/>
    <n v="3"/>
    <x v="9"/>
    <n v="150.09469696969697"/>
    <m/>
    <n v="0"/>
    <x v="6"/>
  </r>
  <r>
    <x v="734"/>
    <s v="SYCAMORE HILLS DR"/>
    <s v="Sycamore Hills"/>
    <x v="163"/>
    <x v="143"/>
    <n v="475"/>
    <n v="26"/>
    <s v="NC"/>
    <s v="SC"/>
    <n v="0"/>
    <n v="8"/>
    <n v="7"/>
    <n v="7"/>
    <n v="7"/>
    <n v="7"/>
    <n v="6"/>
    <n v="7"/>
    <n v="7"/>
    <n v="7"/>
    <n v="7"/>
    <m/>
    <m/>
    <m/>
    <n v="123"/>
    <n v="0"/>
    <s v="SYCAMORE HILLS DR"/>
    <n v="3"/>
    <x v="9"/>
    <n v="224.90530303030303"/>
    <m/>
    <n v="0"/>
    <x v="6"/>
  </r>
  <r>
    <x v="735"/>
    <s v="BOULDER CREEK COURT(W)"/>
    <s v="Boulder Creek"/>
    <x v="164"/>
    <x v="143"/>
    <n v="475"/>
    <n v="26"/>
    <s v="NC"/>
    <s v="SC"/>
    <n v="0"/>
    <n v="7"/>
    <n v="8"/>
    <n v="8"/>
    <n v="8"/>
    <n v="8"/>
    <n v="7"/>
    <n v="7"/>
    <n v="7"/>
    <n v="7"/>
    <n v="7"/>
    <m/>
    <m/>
    <m/>
    <n v="247"/>
    <n v="0"/>
    <s v="BOULDER CREEK COURT(W)"/>
    <n v="2"/>
    <x v="7"/>
    <n v="2249.0530303030305"/>
    <m/>
    <n v="0"/>
    <x v="4"/>
  </r>
  <r>
    <x v="736"/>
    <s v="BOULDER CREEK DRIVE(W)"/>
    <s v="Boulder Creek"/>
    <x v="164"/>
    <x v="143"/>
    <n v="1214"/>
    <n v="26"/>
    <s v="NC"/>
    <s v="SC"/>
    <n v="0"/>
    <n v="7"/>
    <n v="8"/>
    <n v="8"/>
    <n v="8"/>
    <n v="8"/>
    <n v="8"/>
    <n v="8"/>
    <n v="7"/>
    <n v="7"/>
    <n v="7"/>
    <m/>
    <m/>
    <m/>
    <n v="247"/>
    <n v="0"/>
    <s v="BOULDER CREEK DRIVE(W)"/>
    <n v="2"/>
    <x v="7"/>
    <n v="5748.106060606061"/>
    <m/>
    <n v="0"/>
    <x v="4"/>
  </r>
  <r>
    <x v="737"/>
    <s v="BOULDER CREEK LANE"/>
    <s v="Boulder Creek"/>
    <x v="164"/>
    <x v="143"/>
    <n v="739"/>
    <n v="26"/>
    <s v="NC"/>
    <s v="SC"/>
    <n v="0"/>
    <n v="7"/>
    <n v="8"/>
    <n v="8"/>
    <n v="8"/>
    <n v="8"/>
    <n v="8"/>
    <n v="8"/>
    <n v="8"/>
    <n v="7"/>
    <n v="7"/>
    <m/>
    <m/>
    <m/>
    <n v="247"/>
    <n v="0"/>
    <s v="BOULDER CREEK LANE(S)"/>
    <n v="2"/>
    <x v="7"/>
    <n v="3499.0530303030305"/>
    <m/>
    <n v="0"/>
    <x v="4"/>
  </r>
  <r>
    <x v="738"/>
    <s v="FURRY ROAD/100W"/>
    <m/>
    <x v="25"/>
    <x v="28"/>
    <n v="6050"/>
    <n v="20"/>
    <s v="CS"/>
    <s v="BW"/>
    <n v="0"/>
    <n v="7"/>
    <n v="7"/>
    <n v="7"/>
    <n v="7"/>
    <n v="7"/>
    <n v="6"/>
    <n v="6"/>
    <n v="7"/>
    <n v="7"/>
    <n v="7"/>
    <m/>
    <m/>
    <m/>
    <n v="105"/>
    <n v="0"/>
    <s v="FURRY ROAD/100W"/>
    <n v="3"/>
    <x v="9"/>
    <n v="2864.5833333333335"/>
    <m/>
    <n v="0"/>
    <x v="6"/>
  </r>
  <r>
    <x v="739"/>
    <s v="MUD CREEK CT (S)"/>
    <s v="Stinemyer Crossing"/>
    <x v="156"/>
    <x v="157"/>
    <n v="950"/>
    <n v="26"/>
    <s v="NC"/>
    <s v="SC"/>
    <n v="0"/>
    <n v="7"/>
    <n v="8"/>
    <n v="8"/>
    <n v="8"/>
    <n v="8"/>
    <n v="8"/>
    <n v="8"/>
    <n v="7"/>
    <n v="7"/>
    <n v="7"/>
    <m/>
    <m/>
    <m/>
    <n v="92"/>
    <n v="0"/>
    <s v="MUD CREEK CT (S)"/>
    <n v="2"/>
    <x v="9"/>
    <n v="8234"/>
    <m/>
    <n v="0"/>
    <x v="6"/>
  </r>
  <r>
    <x v="740"/>
    <s v="ATTLEBURG DRIVE(N)"/>
    <s v="Easton At Stansbury"/>
    <x v="165"/>
    <x v="156"/>
    <n v="2218"/>
    <n v="26"/>
    <s v="NC"/>
    <s v="BC"/>
    <n v="0"/>
    <n v="7"/>
    <n v="8"/>
    <n v="8"/>
    <n v="8"/>
    <n v="8"/>
    <n v="7"/>
    <n v="6"/>
    <n v="7"/>
    <n v="7"/>
    <n v="7"/>
    <m/>
    <m/>
    <m/>
    <n v="50"/>
    <n v="0"/>
    <s v="ATTLEBURG DRIVE(N)"/>
    <n v="2"/>
    <x v="9"/>
    <n v="1050.189393939394"/>
    <m/>
    <n v="0"/>
    <x v="6"/>
  </r>
  <r>
    <x v="741"/>
    <s v="CRANBERRY DRIVE"/>
    <s v="Cranberry Lake Estates"/>
    <x v="31"/>
    <x v="133"/>
    <n v="7128"/>
    <n v="26"/>
    <s v="NC"/>
    <s v="C"/>
    <n v="0"/>
    <n v="6"/>
    <n v="6"/>
    <n v="6"/>
    <n v="6"/>
    <n v="7"/>
    <n v="7"/>
    <n v="7"/>
    <n v="7"/>
    <n v="7"/>
    <n v="7"/>
    <m/>
    <m/>
    <m/>
    <n v="50"/>
    <n v="0"/>
    <s v="CRANBERRY DRIVE"/>
    <n v="3"/>
    <x v="9"/>
    <n v="3375"/>
    <m/>
    <n v="0"/>
    <x v="6"/>
  </r>
  <r>
    <x v="742"/>
    <s v="BRIAR PARK VIEW(W)"/>
    <s v="Briarwood Trace"/>
    <x v="102"/>
    <x v="166"/>
    <n v="1478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BRIAR PARK VIEW(W)"/>
    <n v="3"/>
    <x v="9"/>
    <n v="16652"/>
    <m/>
    <n v="0"/>
    <x v="3"/>
  </r>
  <r>
    <x v="743"/>
    <s v="BRIARWOOD BLVD(W)"/>
    <s v="Briarwood Trace"/>
    <x v="102"/>
    <x v="166"/>
    <n v="792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BRIARWOOD BLVD(W)"/>
    <n v="3"/>
    <x v="9"/>
    <n v="8924"/>
    <m/>
    <n v="0"/>
    <x v="3"/>
  </r>
  <r>
    <x v="744"/>
    <s v="BRIER CREEK COURT"/>
    <s v="Brier Creek"/>
    <x v="102"/>
    <x v="139"/>
    <n v="898"/>
    <n v="26"/>
    <s v="NC"/>
    <s v="SC"/>
    <n v="0"/>
    <n v="7"/>
    <n v="7"/>
    <n v="7"/>
    <n v="7"/>
    <n v="8"/>
    <n v="8"/>
    <n v="8"/>
    <n v="8"/>
    <n v="7"/>
    <n v="7"/>
    <m/>
    <m/>
    <m/>
    <n v="58"/>
    <n v="0"/>
    <s v="BRIER COURT"/>
    <n v="2"/>
    <x v="7"/>
    <n v="4251.893939393939"/>
    <m/>
    <n v="0"/>
    <x v="4"/>
  </r>
  <r>
    <x v="745"/>
    <s v="BRIER CREEK DRIVE"/>
    <s v="Brier Creek"/>
    <x v="102"/>
    <x v="139"/>
    <n v="2534"/>
    <n v="26"/>
    <s v="NC"/>
    <s v="SC"/>
    <n v="0"/>
    <n v="7"/>
    <n v="7"/>
    <n v="9"/>
    <n v="9"/>
    <n v="8"/>
    <n v="8"/>
    <n v="8"/>
    <n v="8"/>
    <n v="7"/>
    <n v="7"/>
    <m/>
    <m/>
    <m/>
    <n v="232"/>
    <n v="0"/>
    <s v="BRIER CREEK DRIVE"/>
    <n v="2"/>
    <x v="7"/>
    <n v="11998.10606060606"/>
    <m/>
    <n v="0"/>
    <x v="4"/>
  </r>
  <r>
    <x v="746"/>
    <s v="BRISTOL WAY"/>
    <s v="Bristol Ridge"/>
    <x v="166"/>
    <x v="167"/>
    <n v="1056"/>
    <n v="26"/>
    <s v="NC"/>
    <s v="SC"/>
    <n v="0"/>
    <n v="8"/>
    <n v="8"/>
    <n v="8"/>
    <n v="8"/>
    <n v="8"/>
    <n v="8"/>
    <n v="8"/>
    <n v="8"/>
    <n v="7"/>
    <n v="7"/>
    <m/>
    <m/>
    <m/>
    <n v="325"/>
    <n v="0"/>
    <s v="BRISTOL WAY"/>
    <n v="2"/>
    <x v="7"/>
    <n v="5000"/>
    <m/>
    <n v="0"/>
    <x v="4"/>
  </r>
  <r>
    <x v="747"/>
    <s v="BROKEN ARROW COURT(W)"/>
    <s v="Denton Trace"/>
    <x v="164"/>
    <x v="168"/>
    <n v="422"/>
    <n v="26"/>
    <s v="NC"/>
    <s v="SC"/>
    <n v="0"/>
    <n v="6"/>
    <n v="6"/>
    <n v="6"/>
    <n v="6"/>
    <n v="8"/>
    <n v="7"/>
    <n v="7"/>
    <n v="7"/>
    <n v="6"/>
    <n v="6"/>
    <m/>
    <m/>
    <m/>
    <n v="395"/>
    <n v="0"/>
    <s v="BROKEN ARROW COURT(W)"/>
    <n v="2"/>
    <x v="5"/>
    <n v="6393.939393939394"/>
    <n v="1"/>
    <n v="6393.939393939394"/>
    <x v="3"/>
  </r>
  <r>
    <x v="748"/>
    <s v="BROKEN ARROW DRIVE(S)"/>
    <s v="Denton Trace"/>
    <x v="164"/>
    <x v="168"/>
    <n v="1656"/>
    <n v="20"/>
    <s v="C"/>
    <s v="SC"/>
    <n v="0"/>
    <n v="6"/>
    <n v="6"/>
    <n v="6"/>
    <n v="6"/>
    <n v="8"/>
    <n v="7"/>
    <n v="7"/>
    <n v="7"/>
    <n v="6"/>
    <n v="6"/>
    <m/>
    <m/>
    <m/>
    <n v="395"/>
    <n v="0"/>
    <s v="BROKEN ARROW DRIVE(S)"/>
    <n v="2"/>
    <x v="5"/>
    <n v="25090.909090909092"/>
    <n v="1"/>
    <n v="25090.909090909092"/>
    <x v="3"/>
  </r>
  <r>
    <x v="749"/>
    <s v="BROKEN ARROW DRIVE(W)"/>
    <s v="Denton Trace"/>
    <x v="164"/>
    <x v="168"/>
    <n v="1008"/>
    <n v="26"/>
    <s v="NC"/>
    <s v="SC"/>
    <n v="0"/>
    <n v="6"/>
    <n v="6"/>
    <n v="6"/>
    <n v="6"/>
    <n v="8"/>
    <n v="7"/>
    <n v="7"/>
    <n v="7"/>
    <n v="6"/>
    <n v="6"/>
    <m/>
    <m/>
    <m/>
    <n v="395"/>
    <n v="0"/>
    <s v="BROKEN ARROW DRIVE(W)"/>
    <n v="2"/>
    <x v="5"/>
    <n v="15272.727272727272"/>
    <n v="1"/>
    <n v="15272.727272727272"/>
    <x v="3"/>
  </r>
  <r>
    <x v="750"/>
    <s v="BROOKLAWN DRIVE"/>
    <s v="Brookville Heights"/>
    <x v="160"/>
    <x v="155"/>
    <n v="2059"/>
    <n v="26"/>
    <s v="NC"/>
    <s v="SC"/>
    <n v="0"/>
    <n v="4"/>
    <n v="10"/>
    <n v="10"/>
    <n v="10"/>
    <n v="9"/>
    <n v="8"/>
    <n v="8"/>
    <n v="8"/>
    <n v="8"/>
    <n v="8"/>
    <m/>
    <m/>
    <m/>
    <n v="264"/>
    <n v="0"/>
    <s v="BROOKLAWN DRIVE"/>
    <n v="1"/>
    <x v="7"/>
    <n v="9749.05303030303"/>
    <m/>
    <n v="0"/>
    <x v="4"/>
  </r>
  <r>
    <x v="751"/>
    <s v="BRUNE COURT"/>
    <s v="Meadow Lake Estates"/>
    <x v="15"/>
    <x v="169"/>
    <n v="422"/>
    <n v="26"/>
    <s v="NC"/>
    <s v="SC"/>
    <n v="0"/>
    <n v="6"/>
    <n v="8"/>
    <n v="7"/>
    <n v="7"/>
    <n v="7"/>
    <n v="7"/>
    <n v="7"/>
    <n v="7"/>
    <n v="7"/>
    <n v="7"/>
    <m/>
    <m/>
    <m/>
    <n v="1150"/>
    <n v="0.5"/>
    <s v="BRUNE COURT"/>
    <n v="3.5"/>
    <x v="7"/>
    <n v="1998.1060606060605"/>
    <m/>
    <n v="0"/>
    <x v="4"/>
  </r>
  <r>
    <x v="752"/>
    <s v="BUCK CREEK COURT"/>
    <s v="Buck Creek Meadows"/>
    <x v="102"/>
    <x v="163"/>
    <n v="158"/>
    <n v="26"/>
    <s v="NC"/>
    <s v="BC"/>
    <n v="0"/>
    <n v="6"/>
    <n v="7"/>
    <n v="7"/>
    <n v="7"/>
    <n v="7"/>
    <n v="6"/>
    <n v="6"/>
    <n v="7"/>
    <n v="7"/>
    <n v="7"/>
    <m/>
    <m/>
    <m/>
    <n v="50"/>
    <n v="0"/>
    <s v="BUCK CREEK COURT"/>
    <n v="3"/>
    <x v="7"/>
    <n v="748.10606060606062"/>
    <m/>
    <n v="0"/>
    <x v="4"/>
  </r>
  <r>
    <x v="753"/>
    <s v="BUCK CREEK RD./150N"/>
    <m/>
    <x v="55"/>
    <x v="53"/>
    <n v="898"/>
    <n v="20"/>
    <s v="AC"/>
    <s v="BC"/>
    <n v="0"/>
    <n v="7"/>
    <n v="9"/>
    <n v="9"/>
    <n v="9"/>
    <n v="9"/>
    <n v="9"/>
    <n v="8"/>
    <n v="8"/>
    <n v="8"/>
    <n v="8"/>
    <m/>
    <m/>
    <s v="Y"/>
    <n v="50"/>
    <n v="0"/>
    <s v="BUCK CREEK RD./150N"/>
    <n v="6"/>
    <x v="0"/>
    <n v="3571.590909090909"/>
    <m/>
    <n v="0"/>
    <x v="4"/>
  </r>
  <r>
    <x v="754"/>
    <s v="DELEGATE WAY (N)"/>
    <s v="Stansbury"/>
    <x v="167"/>
    <x v="156"/>
    <n v="647"/>
    <n v="26"/>
    <s v="NC"/>
    <s v="BC"/>
    <n v="0"/>
    <n v="7"/>
    <n v="7"/>
    <n v="7"/>
    <n v="7"/>
    <n v="7"/>
    <n v="7"/>
    <n v="7"/>
    <n v="7"/>
    <n v="7"/>
    <n v="7"/>
    <m/>
    <m/>
    <m/>
    <n v="50"/>
    <n v="0"/>
    <s v="DELEGATE WAY (N)"/>
    <n v="3"/>
    <x v="9"/>
    <n v="306.344696969697"/>
    <m/>
    <n v="0"/>
    <x v="6"/>
  </r>
  <r>
    <x v="755"/>
    <s v="BUCK CREEK RD/100N"/>
    <m/>
    <x v="44"/>
    <x v="170"/>
    <n v="6430"/>
    <n v="20"/>
    <s v="AC"/>
    <s v="BC"/>
    <n v="0"/>
    <n v="7"/>
    <n v="6"/>
    <n v="6"/>
    <n v="5"/>
    <n v="5"/>
    <n v="9"/>
    <n v="8"/>
    <n v="8"/>
    <n v="8"/>
    <n v="8"/>
    <n v="2024"/>
    <n v="2019"/>
    <s v="Y"/>
    <n v="618"/>
    <n v="0.5"/>
    <s v="BUCK CREEK RD/100N"/>
    <n v="5.5"/>
    <x v="0"/>
    <n v="25573.863636363636"/>
    <m/>
    <n v="0"/>
    <x v="3"/>
  </r>
  <r>
    <x v="756"/>
    <s v="BUCK CREEK RD/200N"/>
    <m/>
    <x v="35"/>
    <x v="171"/>
    <n v="530"/>
    <n v="20"/>
    <s v="AC"/>
    <s v="BC"/>
    <n v="0"/>
    <n v="7"/>
    <n v="9"/>
    <n v="9"/>
    <n v="9"/>
    <n v="9"/>
    <n v="7"/>
    <n v="7"/>
    <n v="7"/>
    <n v="7"/>
    <n v="7"/>
    <m/>
    <m/>
    <m/>
    <n v="50"/>
    <n v="0"/>
    <s v="BUCK CREEK RD/200N"/>
    <n v="1"/>
    <x v="0"/>
    <n v="2107.9545454545455"/>
    <m/>
    <n v="0"/>
    <x v="0"/>
  </r>
  <r>
    <x v="757"/>
    <s v="ESSEX CIRCLE"/>
    <s v="Easton At Stansbury"/>
    <x v="165"/>
    <x v="156"/>
    <n v="158"/>
    <n v="26"/>
    <s v="NC"/>
    <s v="BC"/>
    <n v="0"/>
    <n v="7"/>
    <n v="8"/>
    <n v="8"/>
    <n v="8"/>
    <n v="8"/>
    <n v="8"/>
    <n v="7"/>
    <n v="7"/>
    <n v="7"/>
    <n v="7"/>
    <m/>
    <m/>
    <m/>
    <n v="50"/>
    <n v="0"/>
    <s v="ESSEX CIRCLE"/>
    <n v="2"/>
    <x v="9"/>
    <n v="74.810606060606062"/>
    <m/>
    <n v="0"/>
    <x v="6"/>
  </r>
  <r>
    <x v="758"/>
    <s v="BUCKEYE DR (W)"/>
    <s v="Sugar Creek Valley Estates"/>
    <x v="161"/>
    <x v="163"/>
    <n v="1214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BUCKEYE DR (W)"/>
    <n v="3"/>
    <x v="9"/>
    <n v="9819.91"/>
    <m/>
    <n v="0"/>
    <x v="3"/>
  </r>
  <r>
    <x v="759"/>
    <s v="BUCKEYE LANE (N)"/>
    <s v="Sugar Creek Valley Estates"/>
    <x v="161"/>
    <x v="163"/>
    <n v="581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BUCKEYE LANE (N)"/>
    <n v="3"/>
    <x v="9"/>
    <n v="4699.6499999999996"/>
    <m/>
    <n v="0"/>
    <x v="3"/>
  </r>
  <r>
    <x v="760"/>
    <s v="BUCKSKIN COURT"/>
    <s v="Doe Creek Estates"/>
    <x v="154"/>
    <x v="143"/>
    <n v="317"/>
    <n v="26"/>
    <s v="NC"/>
    <s v="SC"/>
    <n v="0"/>
    <n v="7"/>
    <n v="6"/>
    <n v="6"/>
    <n v="6"/>
    <n v="7"/>
    <n v="7"/>
    <n v="7"/>
    <n v="7"/>
    <n v="7"/>
    <n v="7"/>
    <m/>
    <m/>
    <m/>
    <n v="392"/>
    <n v="0"/>
    <s v="BUCKSKIN COURT"/>
    <n v="3"/>
    <x v="7"/>
    <n v="1500.9469696969697"/>
    <m/>
    <n v="0"/>
    <x v="4"/>
  </r>
  <r>
    <x v="761"/>
    <s v="LANE RD./700W"/>
    <m/>
    <x v="51"/>
    <x v="48"/>
    <n v="7105"/>
    <n v="20"/>
    <s v="AC"/>
    <s v="BC"/>
    <n v="0"/>
    <n v="6"/>
    <n v="7"/>
    <n v="8"/>
    <n v="6"/>
    <n v="6"/>
    <n v="5"/>
    <n v="8"/>
    <n v="7"/>
    <n v="7"/>
    <n v="7"/>
    <m/>
    <m/>
    <m/>
    <n v="50"/>
    <n v="0"/>
    <s v="LANE RD./700W"/>
    <n v="4"/>
    <x v="9"/>
    <n v="3364.1098484848485"/>
    <m/>
    <n v="0"/>
    <x v="6"/>
  </r>
  <r>
    <x v="762"/>
    <s v="BURR OAK DRIVE"/>
    <s v="Twin Oaks"/>
    <x v="73"/>
    <x v="142"/>
    <n v="370"/>
    <n v="26"/>
    <s v="NC"/>
    <s v="C"/>
    <n v="0"/>
    <n v="7"/>
    <n v="8"/>
    <n v="8"/>
    <n v="8"/>
    <n v="9"/>
    <n v="8"/>
    <n v="8"/>
    <n v="7"/>
    <n v="6"/>
    <n v="6"/>
    <m/>
    <m/>
    <m/>
    <n v="50"/>
    <n v="0"/>
    <s v="BUR OAK DRIVE"/>
    <n v="1"/>
    <x v="5"/>
    <n v="5606.060606060606"/>
    <n v="1"/>
    <n v="5606.060606060606"/>
    <x v="3"/>
  </r>
  <r>
    <x v="763"/>
    <s v="BUTTERCUP DRIVE"/>
    <s v="Gem Meadows"/>
    <x v="15"/>
    <x v="168"/>
    <n v="1531"/>
    <n v="26"/>
    <s v="NC"/>
    <s v="SC"/>
    <n v="0"/>
    <n v="7"/>
    <n v="8"/>
    <n v="8"/>
    <n v="8"/>
    <n v="8"/>
    <n v="7"/>
    <n v="7"/>
    <n v="7"/>
    <n v="7"/>
    <n v="7"/>
    <m/>
    <m/>
    <m/>
    <n v="302"/>
    <n v="0"/>
    <s v="BUTTERCUP DRIVE"/>
    <n v="2"/>
    <x v="5"/>
    <n v="23196.969696969696"/>
    <m/>
    <n v="0"/>
    <x v="7"/>
  </r>
  <r>
    <x v="764"/>
    <s v="CAMERON LANE"/>
    <s v="Cranberry Lake Estates"/>
    <x v="73"/>
    <x v="133"/>
    <n v="422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CAMERON LANE"/>
    <n v="3"/>
    <x v="0"/>
    <n v="1678.409090909091"/>
    <m/>
    <n v="0"/>
    <x v="3"/>
  </r>
  <r>
    <x v="765"/>
    <s v="CARIBOU CIRCLE"/>
    <s v="Deer Run"/>
    <x v="164"/>
    <x v="172"/>
    <n v="264"/>
    <n v="26"/>
    <s v="NC"/>
    <s v="SC"/>
    <n v="0"/>
    <n v="5"/>
    <n v="5"/>
    <n v="10"/>
    <n v="9"/>
    <n v="8"/>
    <n v="7"/>
    <n v="7"/>
    <n v="7"/>
    <n v="7"/>
    <n v="7"/>
    <m/>
    <m/>
    <m/>
    <n v="629"/>
    <n v="0.5"/>
    <s v="DEER RUN DRIVE"/>
    <n v="2.5"/>
    <x v="7"/>
    <n v="1250"/>
    <m/>
    <n v="0"/>
    <x v="4"/>
  </r>
  <r>
    <x v="766"/>
    <s v="CARRIAGE DRIVE"/>
    <s v="Southern Knoll"/>
    <x v="15"/>
    <x v="162"/>
    <n v="317"/>
    <n v="26"/>
    <s v="NC"/>
    <s v="SC"/>
    <n v="0"/>
    <n v="7"/>
    <n v="5"/>
    <n v="4"/>
    <n v="8"/>
    <n v="8"/>
    <n v="7"/>
    <n v="7"/>
    <n v="7"/>
    <n v="7"/>
    <n v="7"/>
    <m/>
    <m/>
    <m/>
    <n v="50"/>
    <n v="0"/>
    <s v="CARRIAGE DRIVE"/>
    <n v="2"/>
    <x v="7"/>
    <n v="1500.9469696969697"/>
    <m/>
    <n v="0"/>
    <x v="4"/>
  </r>
  <r>
    <x v="767"/>
    <s v="CARRIE DRIVE"/>
    <s v="Schildmeier Woods"/>
    <x v="102"/>
    <x v="152"/>
    <n v="2904"/>
    <n v="26"/>
    <s v="NC"/>
    <s v="SC"/>
    <n v="0"/>
    <n v="6"/>
    <n v="6"/>
    <n v="10"/>
    <n v="9"/>
    <n v="9"/>
    <n v="8"/>
    <n v="7"/>
    <n v="8"/>
    <n v="6"/>
    <n v="6"/>
    <m/>
    <m/>
    <m/>
    <n v="277"/>
    <n v="0"/>
    <s v="CARRIE DRIVE"/>
    <n v="1"/>
    <x v="7"/>
    <n v="13750"/>
    <m/>
    <n v="0"/>
    <x v="4"/>
  </r>
  <r>
    <x v="768"/>
    <s v="CARTHAGE RD/US40"/>
    <m/>
    <x v="23"/>
    <x v="173"/>
    <n v="1774"/>
    <n v="20"/>
    <s v="AC"/>
    <s v="J"/>
    <n v="0"/>
    <n v="6"/>
    <n v="4"/>
    <n v="4"/>
    <n v="9"/>
    <n v="8"/>
    <n v="8"/>
    <n v="7"/>
    <n v="7"/>
    <n v="7"/>
    <n v="7"/>
    <m/>
    <m/>
    <m/>
    <n v="50"/>
    <n v="0"/>
    <s v="CARTHAGE RD/US40"/>
    <n v="2"/>
    <x v="2"/>
    <n v="10751.515151515152"/>
    <m/>
    <n v="0"/>
    <x v="5"/>
  </r>
  <r>
    <x v="769"/>
    <s v="CASEY LANE(E)"/>
    <s v="Cranberry Lake Estates"/>
    <x v="73"/>
    <x v="133"/>
    <n v="2693"/>
    <n v="26"/>
    <s v="NC"/>
    <s v="C"/>
    <n v="0"/>
    <n v="7"/>
    <n v="7"/>
    <n v="7"/>
    <n v="7"/>
    <n v="7"/>
    <n v="7"/>
    <n v="6"/>
    <n v="6"/>
    <n v="7"/>
    <n v="7"/>
    <m/>
    <m/>
    <m/>
    <n v="50"/>
    <n v="0"/>
    <s v="CASEY LANE(E)"/>
    <n v="3"/>
    <x v="3"/>
    <n v="23461.742424242424"/>
    <m/>
    <n v="0"/>
    <x v="0"/>
  </r>
  <r>
    <x v="770"/>
    <s v="CATALINA DRIVE EAST"/>
    <s v="Charlamore Woods"/>
    <x v="168"/>
    <x v="139"/>
    <n v="686"/>
    <n v="26"/>
    <s v="NC"/>
    <s v="SC"/>
    <n v="0"/>
    <n v="7"/>
    <n v="7"/>
    <n v="7"/>
    <n v="7"/>
    <n v="7"/>
    <n v="7"/>
    <n v="7"/>
    <n v="8"/>
    <n v="8"/>
    <n v="8"/>
    <m/>
    <m/>
    <m/>
    <n v="90"/>
    <n v="0"/>
    <s v="CATALINA DRIVE EAST"/>
    <n v="3"/>
    <x v="7"/>
    <n v="3248.1060606060605"/>
    <m/>
    <n v="0"/>
    <x v="4"/>
  </r>
  <r>
    <x v="771"/>
    <s v="CATALINA DRIVE SOUTH"/>
    <s v="Charlamore Woods"/>
    <x v="168"/>
    <x v="139"/>
    <n v="792"/>
    <n v="26"/>
    <s v="NC"/>
    <s v="SC"/>
    <n v="0"/>
    <n v="7"/>
    <n v="7"/>
    <n v="7"/>
    <n v="7"/>
    <n v="7"/>
    <n v="7"/>
    <n v="7"/>
    <n v="8"/>
    <n v="8"/>
    <n v="8"/>
    <m/>
    <m/>
    <m/>
    <n v="100"/>
    <n v="0"/>
    <s v="CATALINA DRIVE SOUTH"/>
    <n v="3"/>
    <x v="7"/>
    <n v="3750"/>
    <m/>
    <n v="0"/>
    <x v="4"/>
  </r>
  <r>
    <x v="772"/>
    <s v="CATALINA DRIVE WEST"/>
    <s v="Charlamore Woods"/>
    <x v="168"/>
    <x v="139"/>
    <n v="528"/>
    <n v="26"/>
    <s v="NC"/>
    <s v="SC"/>
    <n v="0"/>
    <n v="7"/>
    <n v="7"/>
    <n v="7"/>
    <n v="7"/>
    <n v="7"/>
    <n v="7"/>
    <n v="7"/>
    <n v="8"/>
    <n v="8"/>
    <n v="8"/>
    <m/>
    <m/>
    <m/>
    <n v="100"/>
    <n v="0"/>
    <s v="CATALINA DRIVE WEST"/>
    <n v="3"/>
    <x v="7"/>
    <n v="2500"/>
    <m/>
    <n v="0"/>
    <x v="4"/>
  </r>
  <r>
    <x v="773"/>
    <s v="CENTER (FIN)/100W"/>
    <m/>
    <x v="148"/>
    <x v="37"/>
    <n v="898"/>
    <n v="20"/>
    <s v="AC"/>
    <s v="BW"/>
    <n v="0"/>
    <n v="7"/>
    <n v="7"/>
    <n v="7"/>
    <n v="7"/>
    <n v="7"/>
    <n v="7"/>
    <n v="6"/>
    <n v="6"/>
    <n v="6"/>
    <n v="6"/>
    <m/>
    <m/>
    <m/>
    <n v="35"/>
    <n v="0"/>
    <s v="CENTER (FIN)/100W"/>
    <n v="3"/>
    <x v="0"/>
    <n v="3571.590909090909"/>
    <m/>
    <n v="0"/>
    <x v="2"/>
  </r>
  <r>
    <x v="774"/>
    <s v="CENTER ST(MAX)JEFF"/>
    <m/>
    <x v="169"/>
    <x v="148"/>
    <n v="720"/>
    <n v="20"/>
    <s v="CS"/>
    <s v="C"/>
    <n v="0"/>
    <n v="7"/>
    <n v="6"/>
    <n v="6"/>
    <n v="6"/>
    <n v="8"/>
    <n v="7"/>
    <n v="7"/>
    <n v="6"/>
    <n v="6"/>
    <n v="6"/>
    <m/>
    <m/>
    <m/>
    <n v="50"/>
    <n v="0"/>
    <s v="CENTER ST(MAX)JEFF"/>
    <n v="2"/>
    <x v="2"/>
    <n v="4363.636363636364"/>
    <m/>
    <n v="0"/>
    <x v="2"/>
  </r>
  <r>
    <x v="775"/>
    <s v="BENJAMIN PLACE (N)"/>
    <s v="Stansbury"/>
    <x v="167"/>
    <x v="156"/>
    <n v="1119"/>
    <n v="26"/>
    <s v="NC"/>
    <s v="BC"/>
    <n v="0"/>
    <n v="7"/>
    <n v="8"/>
    <n v="8"/>
    <n v="8"/>
    <n v="8"/>
    <n v="8"/>
    <n v="9"/>
    <n v="8"/>
    <n v="8"/>
    <n v="8"/>
    <m/>
    <m/>
    <m/>
    <n v="50"/>
    <n v="0"/>
    <s v="BENJAMIN PLACE (N)"/>
    <n v="2"/>
    <x v="7"/>
    <n v="5298.295454545455"/>
    <m/>
    <n v="0"/>
    <x v="6"/>
  </r>
  <r>
    <x v="776"/>
    <s v="CENTRAL DRIVE"/>
    <s v="East Gate"/>
    <x v="157"/>
    <x v="0"/>
    <n v="370"/>
    <n v="26"/>
    <s v="NC"/>
    <s v="V"/>
    <n v="0"/>
    <n v="7"/>
    <n v="6"/>
    <n v="6"/>
    <n v="6"/>
    <n v="6"/>
    <n v="9"/>
    <n v="8"/>
    <n v="7"/>
    <n v="7"/>
    <n v="7"/>
    <m/>
    <m/>
    <m/>
    <n v="50"/>
    <n v="0"/>
    <s v="CENTRAL DRIVE"/>
    <n v="4"/>
    <x v="0"/>
    <n v="1471.590909090909"/>
    <m/>
    <n v="0"/>
    <x v="3"/>
  </r>
  <r>
    <x v="777"/>
    <s v="BURLINGTON DRIVE(W)"/>
    <s v="Stansbury"/>
    <x v="167"/>
    <x v="156"/>
    <n v="909"/>
    <n v="26"/>
    <s v="NC"/>
    <s v="BC"/>
    <n v="0"/>
    <n v="8"/>
    <n v="8"/>
    <n v="8"/>
    <n v="8"/>
    <n v="8"/>
    <n v="8"/>
    <n v="8"/>
    <n v="8"/>
    <n v="8"/>
    <n v="8"/>
    <m/>
    <m/>
    <m/>
    <n v="50"/>
    <n v="0"/>
    <s v="BURLINGTON DRIVE(W)"/>
    <n v="2"/>
    <x v="7"/>
    <n v="4303.977272727273"/>
    <m/>
    <n v="0"/>
    <x v="6"/>
  </r>
  <r>
    <x v="778"/>
    <s v="CHERRY TREE (N)"/>
    <s v="Twin Oaks"/>
    <x v="73"/>
    <x v="142"/>
    <n v="264"/>
    <n v="26"/>
    <s v="NC"/>
    <s v="C"/>
    <n v="0"/>
    <n v="7"/>
    <n v="8"/>
    <n v="8"/>
    <n v="8"/>
    <n v="9"/>
    <n v="8"/>
    <n v="8"/>
    <n v="7"/>
    <n v="6"/>
    <n v="6"/>
    <m/>
    <m/>
    <m/>
    <n v="50"/>
    <n v="0"/>
    <s v="CHERRY TREE (N)"/>
    <n v="1"/>
    <x v="5"/>
    <n v="4000"/>
    <n v="1"/>
    <n v="4000"/>
    <x v="3"/>
  </r>
  <r>
    <x v="779"/>
    <s v="CHESTNUT ST(MOH)/E"/>
    <m/>
    <x v="3"/>
    <x v="25"/>
    <n v="588"/>
    <n v="20"/>
    <s v="AC"/>
    <s v="C"/>
    <n v="0"/>
    <n v="6"/>
    <n v="4"/>
    <n v="4"/>
    <n v="8"/>
    <n v="8"/>
    <n v="8"/>
    <n v="8"/>
    <n v="8"/>
    <n v="7"/>
    <n v="7"/>
    <m/>
    <m/>
    <m/>
    <n v="50"/>
    <n v="0"/>
    <s v="CHESTNUT ST(MOH)/E"/>
    <n v="2"/>
    <x v="0"/>
    <n v="2338.6363636363635"/>
    <m/>
    <n v="0"/>
    <x v="5"/>
  </r>
  <r>
    <x v="780"/>
    <s v="CHRISTIAN DRIVE"/>
    <s v="Schildmeier Woods"/>
    <x v="102"/>
    <x v="152"/>
    <n v="1584"/>
    <n v="26"/>
    <s v="NC"/>
    <s v="SC"/>
    <n v="0"/>
    <n v="6"/>
    <n v="6"/>
    <n v="10"/>
    <n v="9"/>
    <n v="9"/>
    <n v="8"/>
    <n v="7"/>
    <n v="8"/>
    <n v="7"/>
    <n v="7"/>
    <m/>
    <m/>
    <m/>
    <n v="277"/>
    <n v="0"/>
    <s v="CHRISTIAN DRIVE"/>
    <n v="1"/>
    <x v="7"/>
    <n v="7500"/>
    <m/>
    <n v="0"/>
    <x v="4"/>
  </r>
  <r>
    <x v="781"/>
    <s v="CLUBHOUSE DRIVE"/>
    <s v="Arrowhead"/>
    <x v="155"/>
    <x v="156"/>
    <n v="686"/>
    <n v="26"/>
    <s v="NC"/>
    <s v="C"/>
    <n v="0"/>
    <n v="7"/>
    <n v="7"/>
    <n v="7"/>
    <m/>
    <n v="7"/>
    <n v="7"/>
    <n v="7"/>
    <n v="6"/>
    <n v="7"/>
    <n v="7"/>
    <m/>
    <m/>
    <m/>
    <n v="50"/>
    <n v="0"/>
    <s v="CLUBHOUSE DRIVE"/>
    <n v="3"/>
    <x v="7"/>
    <n v="3248.1060606060605"/>
    <m/>
    <n v="0"/>
    <x v="4"/>
  </r>
  <r>
    <x v="782"/>
    <s v="COLONIAL DRIVE"/>
    <s v="Colonial Heights"/>
    <x v="102"/>
    <x v="160"/>
    <n v="1531"/>
    <n v="26"/>
    <s v="NC"/>
    <s v="BC"/>
    <n v="0"/>
    <n v="4"/>
    <n v="4"/>
    <n v="10"/>
    <n v="9"/>
    <n v="8"/>
    <n v="7"/>
    <n v="6"/>
    <n v="7"/>
    <n v="7"/>
    <n v="7"/>
    <m/>
    <m/>
    <m/>
    <n v="50"/>
    <n v="0"/>
    <s v="COLONIAL DRIVE"/>
    <n v="2"/>
    <x v="7"/>
    <n v="7249.05303030303"/>
    <m/>
    <n v="0"/>
    <x v="4"/>
  </r>
  <r>
    <x v="783"/>
    <s v="COLTON COURT"/>
    <s v="Village Green"/>
    <x v="170"/>
    <x v="174"/>
    <n v="159"/>
    <n v="26"/>
    <s v="NC"/>
    <s v="SC"/>
    <n v="0"/>
    <m/>
    <n v="9"/>
    <n v="9"/>
    <n v="8"/>
    <n v="8"/>
    <n v="8"/>
    <n v="8"/>
    <n v="8"/>
    <n v="8"/>
    <n v="8"/>
    <m/>
    <m/>
    <m/>
    <n v="740"/>
    <n v="0.5"/>
    <s v="COLTON COURT"/>
    <n v="2.5"/>
    <x v="7"/>
    <n v="752.84090909090912"/>
    <m/>
    <n v="0"/>
    <x v="4"/>
  </r>
  <r>
    <x v="784"/>
    <s v="COLTON RD"/>
    <s v="Village Green"/>
    <x v="170"/>
    <x v="174"/>
    <n v="1246"/>
    <m/>
    <s v="NC"/>
    <s v="SC"/>
    <n v="0"/>
    <m/>
    <n v="9"/>
    <n v="9"/>
    <n v="8"/>
    <n v="8"/>
    <n v="8"/>
    <n v="8"/>
    <n v="8"/>
    <n v="8"/>
    <n v="8"/>
    <m/>
    <m/>
    <m/>
    <n v="740"/>
    <n v="0.5"/>
    <s v="COLTON RD"/>
    <n v="2.5"/>
    <x v="7"/>
    <n v="5899.621212121212"/>
    <m/>
    <n v="0"/>
    <x v="4"/>
  </r>
  <r>
    <x v="785"/>
    <s v="COMMERCIAL"/>
    <s v="Mt. Comfort Commercial Park"/>
    <x v="171"/>
    <x v="175"/>
    <n v="845"/>
    <n v="26"/>
    <s v="NC"/>
    <s v="BC"/>
    <n v="0"/>
    <n v="8"/>
    <n v="7"/>
    <n v="7"/>
    <n v="7"/>
    <n v="7"/>
    <n v="7"/>
    <n v="7"/>
    <n v="8"/>
    <n v="7"/>
    <n v="7"/>
    <m/>
    <m/>
    <m/>
    <n v="50"/>
    <n v="0"/>
    <s v="COMMERCIAL"/>
    <n v="3"/>
    <x v="7"/>
    <n v="4000.9469696969695"/>
    <m/>
    <n v="0"/>
    <x v="4"/>
  </r>
  <r>
    <x v="786"/>
    <s v="CORNERSTONE DRIVE(W)"/>
    <s v="Cornerstone Village"/>
    <x v="152"/>
    <x v="152"/>
    <n v="898"/>
    <n v="26"/>
    <s v="NC"/>
    <s v="SC"/>
    <n v="0"/>
    <n v="7"/>
    <n v="8"/>
    <n v="8"/>
    <n v="8"/>
    <n v="8"/>
    <n v="7"/>
    <n v="7"/>
    <n v="7"/>
    <n v="7"/>
    <n v="7"/>
    <m/>
    <m/>
    <m/>
    <n v="50"/>
    <n v="0"/>
    <s v="CHARLESTON WAY(W)"/>
    <n v="2"/>
    <x v="7"/>
    <n v="4251.893939393939"/>
    <m/>
    <n v="0"/>
    <x v="4"/>
  </r>
  <r>
    <x v="787"/>
    <s v="CHARLESTON WAY(W)"/>
    <s v="Stansbury"/>
    <x v="167"/>
    <x v="156"/>
    <n v="686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CHARLESTON WAY(W)"/>
    <n v="2"/>
    <x v="7"/>
    <n v="3248.1060606060605"/>
    <m/>
    <n v="0"/>
    <x v="6"/>
  </r>
  <r>
    <x v="788"/>
    <s v="COTTONWOOD DRIVE"/>
    <s v="Apple's Maxwell"/>
    <x v="31"/>
    <x v="33"/>
    <n v="518.79999999999995"/>
    <m/>
    <s v="NC"/>
    <s v="C"/>
    <n v="0"/>
    <m/>
    <n v="6"/>
    <n v="10"/>
    <n v="9"/>
    <n v="8"/>
    <n v="7"/>
    <n v="7"/>
    <n v="7"/>
    <n v="7"/>
    <n v="7"/>
    <m/>
    <m/>
    <m/>
    <n v="50"/>
    <n v="0"/>
    <s v="COTTONWOOD DR"/>
    <n v="2"/>
    <x v="5"/>
    <n v="7860.606060606061"/>
    <m/>
    <n v="0"/>
    <x v="5"/>
  </r>
  <r>
    <x v="789"/>
    <s v="COUNTRY LANE"/>
    <s v="Bittersweet Acres"/>
    <x v="172"/>
    <x v="105"/>
    <n v="1267"/>
    <n v="26"/>
    <s v="NC"/>
    <s v="C"/>
    <n v="0"/>
    <n v="7"/>
    <n v="7"/>
    <n v="10"/>
    <n v="9"/>
    <n v="8"/>
    <n v="7"/>
    <n v="7"/>
    <n v="7"/>
    <n v="7"/>
    <n v="7"/>
    <m/>
    <m/>
    <m/>
    <n v="50"/>
    <n v="0"/>
    <s v="COUNTRY LANE DRIVE"/>
    <n v="2"/>
    <x v="7"/>
    <n v="5999.05303030303"/>
    <m/>
    <n v="0"/>
    <x v="4"/>
  </r>
  <r>
    <x v="790"/>
    <s v="COUNTRY LANE DRIVE"/>
    <s v="Shady Creek"/>
    <x v="71"/>
    <x v="31"/>
    <n v="1011"/>
    <n v="26"/>
    <s v="HMA"/>
    <s v="SC"/>
    <n v="0"/>
    <m/>
    <n v="6"/>
    <n v="10"/>
    <n v="9"/>
    <n v="9"/>
    <n v="9"/>
    <n v="8"/>
    <n v="8"/>
    <n v="8"/>
    <n v="7"/>
    <m/>
    <m/>
    <m/>
    <n v="189"/>
    <n v="0"/>
    <s v="COUNTRY LANE"/>
    <n v="1"/>
    <x v="7"/>
    <n v="4786.931818181818"/>
    <m/>
    <n v="0"/>
    <x v="4"/>
  </r>
  <r>
    <x v="791"/>
    <s v="COUNTRY MILL DRIVE"/>
    <s v="Country Mill"/>
    <x v="73"/>
    <x v="176"/>
    <n v="950"/>
    <n v="26"/>
    <s v="NC"/>
    <s v="C"/>
    <n v="0"/>
    <n v="7"/>
    <n v="8"/>
    <n v="8"/>
    <n v="7"/>
    <n v="7"/>
    <n v="7"/>
    <n v="6"/>
    <n v="6"/>
    <n v="6"/>
    <n v="6"/>
    <m/>
    <m/>
    <m/>
    <n v="50"/>
    <n v="0"/>
    <s v="COUNTRY MILL DRIVE"/>
    <n v="3"/>
    <x v="5"/>
    <n v="14393.939393939394"/>
    <n v="1"/>
    <n v="14393.939393939394"/>
    <x v="3"/>
  </r>
  <r>
    <x v="792"/>
    <s v="DOVER PLACE(W)"/>
    <s v="Stansbury"/>
    <x v="167"/>
    <x v="156"/>
    <n v="950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DOVER PLACE(W)"/>
    <n v="2"/>
    <x v="7"/>
    <n v="4498.106060606061"/>
    <m/>
    <n v="0"/>
    <x v="6"/>
  </r>
  <r>
    <x v="793"/>
    <s v="COUNTRY WAY"/>
    <s v="Countryside"/>
    <x v="15"/>
    <x v="154"/>
    <n v="1584"/>
    <n v="26"/>
    <s v="NC"/>
    <s v="SC"/>
    <n v="0"/>
    <n v="6"/>
    <n v="8"/>
    <n v="7"/>
    <n v="6"/>
    <n v="6"/>
    <n v="8"/>
    <n v="8"/>
    <n v="7"/>
    <n v="7"/>
    <n v="7"/>
    <m/>
    <m/>
    <m/>
    <n v="184"/>
    <n v="0"/>
    <s v="COUNTRY WAY"/>
    <n v="4"/>
    <x v="9"/>
    <n v="750"/>
    <m/>
    <n v="0"/>
    <x v="3"/>
  </r>
  <r>
    <x v="794"/>
    <s v="COUNTRYSIDE COURT"/>
    <s v="Countryside"/>
    <x v="15"/>
    <x v="154"/>
    <n v="686"/>
    <n v="26"/>
    <s v="NC"/>
    <s v="SC"/>
    <n v="0"/>
    <n v="6"/>
    <n v="8"/>
    <n v="7"/>
    <n v="7"/>
    <n v="7"/>
    <n v="7"/>
    <n v="8"/>
    <n v="7"/>
    <n v="7"/>
    <n v="7"/>
    <m/>
    <m/>
    <m/>
    <n v="184"/>
    <n v="0"/>
    <s v="COUNTRYSIDE COURT"/>
    <n v="3"/>
    <x v="9"/>
    <n v="324.81060606060606"/>
    <m/>
    <n v="0"/>
    <x v="3"/>
  </r>
  <r>
    <x v="795"/>
    <s v="COUNTRYSIDE DRIVE"/>
    <s v="Countryside"/>
    <x v="15"/>
    <x v="154"/>
    <n v="1162"/>
    <n v="26"/>
    <s v="NC"/>
    <s v="SC"/>
    <n v="0"/>
    <n v="6"/>
    <n v="8"/>
    <n v="7"/>
    <n v="7"/>
    <n v="7"/>
    <n v="8"/>
    <n v="8"/>
    <n v="7"/>
    <n v="7"/>
    <n v="7"/>
    <m/>
    <m/>
    <m/>
    <n v="889"/>
    <n v="0.5"/>
    <s v="COUNTRYSIDE DRIVE"/>
    <n v="3.5"/>
    <x v="9"/>
    <n v="550.18939393939399"/>
    <m/>
    <n v="0"/>
    <x v="3"/>
  </r>
  <r>
    <x v="796"/>
    <s v="JAMESTOWN DR(N)"/>
    <s v="Stansbury"/>
    <x v="167"/>
    <x v="156"/>
    <n v="911"/>
    <n v="26"/>
    <s v="NC"/>
    <s v="BC"/>
    <n v="0"/>
    <n v="8"/>
    <n v="8"/>
    <n v="8"/>
    <n v="8"/>
    <n v="8"/>
    <n v="8"/>
    <n v="8"/>
    <n v="8"/>
    <n v="8"/>
    <n v="8"/>
    <m/>
    <m/>
    <m/>
    <n v="50"/>
    <n v="0"/>
    <s v="JAMESTOWN DR(N)"/>
    <n v="2"/>
    <x v="7"/>
    <n v="4313.44696969697"/>
    <m/>
    <n v="0"/>
    <x v="6"/>
  </r>
  <r>
    <x v="797"/>
    <s v="CREEK RIDGE DRIVE"/>
    <s v="Creek Ridge Place"/>
    <x v="31"/>
    <x v="177"/>
    <n v="1040"/>
    <n v="26"/>
    <s v="NC"/>
    <s v="BW"/>
    <n v="0"/>
    <m/>
    <n v="6"/>
    <n v="6"/>
    <n v="8"/>
    <n v="8"/>
    <n v="8"/>
    <n v="7"/>
    <n v="7"/>
    <n v="7"/>
    <n v="7"/>
    <m/>
    <m/>
    <m/>
    <n v="208"/>
    <n v="0"/>
    <m/>
    <n v="2"/>
    <x v="7"/>
    <n v="4924.242424242424"/>
    <m/>
    <n v="0"/>
    <x v="4"/>
  </r>
  <r>
    <x v="798"/>
    <s v="CREEK RIDGE DRIVE(W)"/>
    <s v="Creek Ridge Place"/>
    <x v="157"/>
    <x v="177"/>
    <n v="1056"/>
    <n v="26"/>
    <s v="NC"/>
    <s v="BW"/>
    <n v="0"/>
    <n v="7"/>
    <n v="9"/>
    <n v="9"/>
    <n v="9"/>
    <n v="9"/>
    <n v="8"/>
    <n v="7"/>
    <n v="7"/>
    <n v="7"/>
    <n v="7"/>
    <m/>
    <m/>
    <m/>
    <n v="112"/>
    <n v="0"/>
    <s v="CREEK RIDGE DRIVE(W)"/>
    <n v="1"/>
    <x v="0"/>
    <n v="4200"/>
    <m/>
    <n v="0"/>
    <x v="3"/>
  </r>
  <r>
    <x v="799"/>
    <s v="CREEKSIDE COURT"/>
    <s v="Schildmeier Woods"/>
    <x v="102"/>
    <x v="152"/>
    <n v="422"/>
    <n v="26"/>
    <s v="NC"/>
    <s v="SC"/>
    <n v="0"/>
    <n v="7"/>
    <n v="7"/>
    <n v="10"/>
    <n v="9"/>
    <n v="8"/>
    <n v="7"/>
    <n v="7"/>
    <n v="8"/>
    <n v="7"/>
    <n v="7"/>
    <m/>
    <m/>
    <m/>
    <n v="668"/>
    <n v="0.5"/>
    <s v="CREEKSIDE COURT"/>
    <n v="2.5"/>
    <x v="7"/>
    <n v="1998.1060606060605"/>
    <m/>
    <n v="0"/>
    <x v="4"/>
  </r>
  <r>
    <x v="800"/>
    <s v="CREEKSIDE DR (N)"/>
    <s v="Schildmeier Woods"/>
    <x v="161"/>
    <x v="163"/>
    <n v="422"/>
    <n v="26"/>
    <s v="NC"/>
    <s v="SC"/>
    <n v="0"/>
    <n v="7"/>
    <n v="7"/>
    <n v="7"/>
    <n v="7"/>
    <n v="8"/>
    <n v="8"/>
    <n v="7"/>
    <n v="8"/>
    <n v="7"/>
    <n v="7"/>
    <m/>
    <m/>
    <m/>
    <n v="668"/>
    <n v="0.5"/>
    <s v="CREEKSIDE DR (N)"/>
    <n v="2.5"/>
    <x v="7"/>
    <n v="1998.1060606060605"/>
    <m/>
    <n v="0"/>
    <x v="4"/>
  </r>
  <r>
    <x v="801"/>
    <s v="CREEKSIDE DR (W)"/>
    <s v="Schildmeier Woods"/>
    <x v="161"/>
    <x v="163"/>
    <n v="2059"/>
    <n v="26"/>
    <s v="NC"/>
    <s v="SC"/>
    <n v="0"/>
    <n v="7"/>
    <n v="7"/>
    <n v="7"/>
    <n v="7"/>
    <n v="8"/>
    <n v="8"/>
    <n v="7"/>
    <n v="8"/>
    <n v="7"/>
    <n v="7"/>
    <m/>
    <m/>
    <m/>
    <n v="668"/>
    <n v="0.5"/>
    <s v="CREEKSIDE DR (W)"/>
    <n v="2.5"/>
    <x v="7"/>
    <n v="9749.05303030303"/>
    <m/>
    <n v="0"/>
    <x v="4"/>
  </r>
  <r>
    <x v="802"/>
    <s v="CREEKSIDE DRIVE"/>
    <s v="Schildmeier Woods"/>
    <x v="102"/>
    <x v="152"/>
    <n v="5702"/>
    <n v="26"/>
    <s v="NC"/>
    <s v="SC"/>
    <n v="0"/>
    <n v="7"/>
    <n v="7"/>
    <n v="7"/>
    <n v="7"/>
    <n v="8"/>
    <n v="8"/>
    <n v="7"/>
    <n v="8"/>
    <n v="7"/>
    <n v="7"/>
    <m/>
    <m/>
    <m/>
    <n v="668"/>
    <n v="0.5"/>
    <s v="CREEKSIDE DRIVE"/>
    <n v="2.5"/>
    <x v="7"/>
    <n v="26998.10606060606"/>
    <m/>
    <n v="0"/>
    <x v="4"/>
  </r>
  <r>
    <x v="803"/>
    <s v="CREEKVIEW DRIVE"/>
    <s v="Sugar Creek Valley Estates"/>
    <x v="161"/>
    <x v="163"/>
    <n v="2087"/>
    <m/>
    <s v="NC"/>
    <s v="BC"/>
    <n v="0"/>
    <m/>
    <n v="7"/>
    <n v="7"/>
    <n v="7"/>
    <n v="7"/>
    <n v="8"/>
    <n v="8"/>
    <n v="7"/>
    <n v="7"/>
    <n v="7"/>
    <m/>
    <m/>
    <m/>
    <n v="50"/>
    <n v="0"/>
    <s v="CREEKVIEW DRIVE"/>
    <n v="3"/>
    <x v="9"/>
    <n v="16881.509999999998"/>
    <m/>
    <n v="0"/>
    <x v="3"/>
  </r>
  <r>
    <x v="804"/>
    <s v="CREEKWATER PASS"/>
    <s v="Heron Creek"/>
    <x v="171"/>
    <x v="178"/>
    <n v="1182"/>
    <m/>
    <s v="NC"/>
    <s v="BC"/>
    <n v="0"/>
    <m/>
    <n v="10"/>
    <n v="10"/>
    <n v="9"/>
    <n v="9"/>
    <n v="9"/>
    <n v="8"/>
    <n v="8"/>
    <n v="8"/>
    <n v="8"/>
    <m/>
    <m/>
    <m/>
    <n v="50"/>
    <n v="0"/>
    <s v="CREEKWATER PASS"/>
    <n v="1"/>
    <x v="7"/>
    <n v="5596.590909090909"/>
    <m/>
    <n v="0"/>
    <x v="4"/>
  </r>
  <r>
    <x v="805"/>
    <s v="CROSS TRAIL (W)"/>
    <s v="Willow Grove"/>
    <x v="102"/>
    <x v="172"/>
    <n v="528"/>
    <n v="26"/>
    <s v="NC"/>
    <s v="SC"/>
    <n v="0"/>
    <n v="7"/>
    <n v="7"/>
    <n v="7"/>
    <n v="7"/>
    <n v="7"/>
    <n v="7"/>
    <n v="7"/>
    <n v="7"/>
    <n v="7"/>
    <n v="7"/>
    <m/>
    <m/>
    <m/>
    <n v="888"/>
    <n v="0.5"/>
    <s v="CROSS TRAIL (W)"/>
    <n v="3.5"/>
    <x v="7"/>
    <n v="2500"/>
    <m/>
    <n v="0"/>
    <x v="4"/>
  </r>
  <r>
    <x v="806"/>
    <s v="CUB BOULEVARD"/>
    <s v="Fox Cove"/>
    <x v="102"/>
    <x v="179"/>
    <n v="1109"/>
    <n v="26"/>
    <s v="NC"/>
    <s v="SC"/>
    <n v="0"/>
    <n v="7"/>
    <n v="7"/>
    <n v="7"/>
    <n v="7"/>
    <n v="7"/>
    <n v="7"/>
    <n v="7"/>
    <n v="7"/>
    <n v="7"/>
    <n v="7"/>
    <m/>
    <m/>
    <m/>
    <n v="515"/>
    <n v="0.5"/>
    <s v="CUB BOULEVARD"/>
    <n v="3.5"/>
    <x v="7"/>
    <n v="5250.94696969697"/>
    <m/>
    <n v="0"/>
    <x v="4"/>
  </r>
  <r>
    <x v="807"/>
    <s v="DAISY LANE"/>
    <s v="Gem Meadows"/>
    <x v="15"/>
    <x v="139"/>
    <n v="3168"/>
    <n v="26"/>
    <s v="NC"/>
    <s v="SC"/>
    <n v="0"/>
    <n v="7"/>
    <n v="8"/>
    <n v="8"/>
    <n v="8"/>
    <n v="8"/>
    <n v="7"/>
    <n v="7"/>
    <n v="7"/>
    <n v="7"/>
    <n v="7"/>
    <m/>
    <m/>
    <m/>
    <n v="302"/>
    <n v="0"/>
    <s v="DAISY LANE"/>
    <n v="2"/>
    <x v="5"/>
    <n v="48000"/>
    <m/>
    <n v="0"/>
    <x v="7"/>
  </r>
  <r>
    <x v="808"/>
    <s v="DECKSHIRE LANE"/>
    <s v="Deckshire"/>
    <x v="173"/>
    <x v="180"/>
    <n v="1031"/>
    <n v="26"/>
    <s v="NC"/>
    <s v="B"/>
    <n v="0"/>
    <n v="7"/>
    <n v="6"/>
    <n v="6"/>
    <n v="6"/>
    <n v="6"/>
    <n v="9"/>
    <n v="8"/>
    <n v="7"/>
    <n v="7"/>
    <n v="7"/>
    <m/>
    <m/>
    <m/>
    <n v="50"/>
    <n v="0"/>
    <s v="DECKSHIRE LANE"/>
    <n v="4"/>
    <x v="7"/>
    <n v="4881.628787878788"/>
    <m/>
    <n v="0"/>
    <x v="4"/>
  </r>
  <r>
    <x v="809"/>
    <s v="DEER LANE (N)"/>
    <s v="Sugar Creek Valley Estates"/>
    <x v="161"/>
    <x v="163"/>
    <n v="475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DEER LANE (N)"/>
    <n v="3"/>
    <x v="9"/>
    <n v="3842.2"/>
    <m/>
    <n v="0"/>
    <x v="3"/>
  </r>
  <r>
    <x v="810"/>
    <s v="DEER RUN DRIVE"/>
    <s v="Deer Run"/>
    <x v="164"/>
    <x v="172"/>
    <n v="1426"/>
    <n v="26"/>
    <s v="NC"/>
    <s v="SC"/>
    <n v="0"/>
    <n v="5"/>
    <n v="5"/>
    <n v="10"/>
    <n v="9"/>
    <n v="8"/>
    <n v="7"/>
    <n v="7"/>
    <n v="7"/>
    <n v="7"/>
    <n v="7"/>
    <m/>
    <m/>
    <m/>
    <n v="431"/>
    <n v="0"/>
    <s v="DEER RUN DRIVE"/>
    <n v="2"/>
    <x v="7"/>
    <n v="6751.893939393939"/>
    <m/>
    <n v="0"/>
    <x v="4"/>
  </r>
  <r>
    <x v="811"/>
    <s v="DEERFIELD DRIVE"/>
    <s v="Hunters Chase"/>
    <x v="174"/>
    <x v="181"/>
    <n v="2534"/>
    <n v="26"/>
    <s v="NC"/>
    <s v="BC"/>
    <n v="0"/>
    <n v="6"/>
    <n v="6"/>
    <n v="6"/>
    <n v="6"/>
    <n v="9"/>
    <n v="9"/>
    <n v="8"/>
    <n v="8"/>
    <n v="8"/>
    <n v="8"/>
    <m/>
    <m/>
    <m/>
    <n v="50"/>
    <n v="0"/>
    <s v="DEERFIELD DRIVE"/>
    <n v="1"/>
    <x v="7"/>
    <n v="11998.10606060606"/>
    <m/>
    <n v="0"/>
    <x v="4"/>
  </r>
  <r>
    <x v="812"/>
    <s v="JAMESTOWN DRIVE (W)"/>
    <s v="Stansbury"/>
    <x v="175"/>
    <x v="182"/>
    <n v="539"/>
    <n v="26"/>
    <s v="NC"/>
    <s v="BC"/>
    <n v="0"/>
    <n v="7"/>
    <n v="8"/>
    <n v="8"/>
    <n v="8"/>
    <n v="8"/>
    <n v="8"/>
    <m/>
    <n v="8"/>
    <n v="8"/>
    <n v="8"/>
    <m/>
    <m/>
    <m/>
    <n v="50"/>
    <n v="0"/>
    <s v="JAMESTOWN DRIVE (W"/>
    <n v="2"/>
    <x v="7"/>
    <n v="2552.0833333333335"/>
    <m/>
    <n v="0"/>
    <x v="6"/>
  </r>
  <r>
    <x v="813"/>
    <s v="DOE CT (N)"/>
    <s v="Sugar Creek Valley Estates"/>
    <x v="161"/>
    <x v="163"/>
    <n v="317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DOE CT (N)"/>
    <n v="3"/>
    <x v="7"/>
    <n v="1500.9469696969697"/>
    <m/>
    <n v="0"/>
    <x v="4"/>
  </r>
  <r>
    <x v="814"/>
    <s v="DOGWOOD WAY (N)"/>
    <s v="Sugar Creek Valley Estates"/>
    <x v="161"/>
    <x v="163"/>
    <n v="528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DOGWOOD WAY (N)"/>
    <n v="3"/>
    <x v="7"/>
    <n v="2500"/>
    <m/>
    <n v="0"/>
    <x v="4"/>
  </r>
  <r>
    <x v="815"/>
    <s v="JEFFERSON CT (W)"/>
    <s v="Stansbury"/>
    <x v="175"/>
    <x v="182"/>
    <n v="416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JEFFERSON CT (W)"/>
    <n v="2"/>
    <x v="7"/>
    <n v="1969.6969696969697"/>
    <m/>
    <n v="0"/>
    <x v="6"/>
  </r>
  <r>
    <x v="816"/>
    <s v="JEFFERSON CT(N)"/>
    <s v="Stansbury"/>
    <x v="167"/>
    <x v="156"/>
    <n v="439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JEFFERSON CT(N)"/>
    <n v="2"/>
    <x v="7"/>
    <n v="2078.598484848485"/>
    <m/>
    <n v="0"/>
    <x v="6"/>
  </r>
  <r>
    <x v="817"/>
    <s v="EAST ST(CHAR)/25N"/>
    <m/>
    <x v="23"/>
    <x v="57"/>
    <n v="1049"/>
    <n v="20"/>
    <s v="AC"/>
    <s v="C"/>
    <n v="0"/>
    <n v="8"/>
    <n v="3"/>
    <n v="3"/>
    <n v="10"/>
    <n v="9"/>
    <n v="8"/>
    <n v="7"/>
    <n v="7"/>
    <n v="7"/>
    <n v="7"/>
    <m/>
    <m/>
    <m/>
    <n v="50"/>
    <n v="0"/>
    <s v="EAST ST(CHAR)/25N"/>
    <n v="1"/>
    <x v="2"/>
    <n v="6357.575757575758"/>
    <m/>
    <n v="0"/>
    <x v="5"/>
  </r>
  <r>
    <x v="818"/>
    <s v="EAST ST(CHAR)/US40"/>
    <m/>
    <x v="23"/>
    <x v="144"/>
    <n v="1992"/>
    <n v="20"/>
    <s v="AC"/>
    <s v="J"/>
    <n v="0"/>
    <n v="8"/>
    <n v="6"/>
    <n v="5"/>
    <n v="9"/>
    <n v="8"/>
    <n v="8"/>
    <n v="7"/>
    <n v="7"/>
    <n v="7"/>
    <n v="7"/>
    <m/>
    <m/>
    <m/>
    <n v="50"/>
    <n v="0"/>
    <s v="EAST ST(CHAR)/US40"/>
    <n v="2"/>
    <x v="2"/>
    <n v="12072.727272727272"/>
    <m/>
    <n v="0"/>
    <x v="5"/>
  </r>
  <r>
    <x v="819"/>
    <s v="EAST ST(MAX)/END"/>
    <m/>
    <x v="1"/>
    <x v="25"/>
    <n v="874"/>
    <n v="20"/>
    <s v="CS"/>
    <s v="C"/>
    <n v="0"/>
    <n v="7"/>
    <n v="6"/>
    <n v="6"/>
    <n v="6"/>
    <n v="6"/>
    <n v="6"/>
    <n v="6"/>
    <n v="6"/>
    <n v="6"/>
    <n v="6"/>
    <m/>
    <m/>
    <m/>
    <n v="50"/>
    <n v="0"/>
    <s v="EAST ST(MAX)/END"/>
    <n v="4"/>
    <x v="2"/>
    <n v="5296.969696969697"/>
    <m/>
    <n v="0"/>
    <x v="2"/>
  </r>
  <r>
    <x v="820"/>
    <s v="EASTERN VILLAGE"/>
    <s v="Eastern Village"/>
    <x v="23"/>
    <x v="183"/>
    <n v="1628"/>
    <n v="20"/>
    <s v="AC"/>
    <s v="J"/>
    <n v="0"/>
    <m/>
    <m/>
    <m/>
    <n v="8"/>
    <n v="8"/>
    <m/>
    <n v="7"/>
    <n v="7"/>
    <n v="7"/>
    <m/>
    <m/>
    <m/>
    <m/>
    <n v="50"/>
    <n v="0"/>
    <s v="EASTERN VILLAGE"/>
    <n v="2"/>
    <x v="7"/>
    <n v="7708.333333333333"/>
    <m/>
    <n v="0"/>
    <x v="4"/>
  </r>
  <r>
    <x v="821"/>
    <s v="EASY ST."/>
    <s v="Meadow Lake Village"/>
    <x v="176"/>
    <x v="139"/>
    <n v="1608"/>
    <m/>
    <s v="NC"/>
    <s v="SC"/>
    <n v="0"/>
    <m/>
    <n v="7"/>
    <n v="7"/>
    <n v="7"/>
    <n v="7"/>
    <n v="7"/>
    <n v="7"/>
    <n v="7"/>
    <n v="7"/>
    <n v="7"/>
    <m/>
    <m/>
    <m/>
    <n v="2144"/>
    <n v="1"/>
    <m/>
    <n v="4"/>
    <x v="7"/>
    <n v="7613.636363636364"/>
    <m/>
    <n v="0"/>
    <x v="4"/>
  </r>
  <r>
    <x v="822"/>
    <s v="JEFFERSON DRIVE"/>
    <s v="Stansbury"/>
    <x v="167"/>
    <x v="156"/>
    <n v="1195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JEFFERSON DRIVE"/>
    <n v="2"/>
    <x v="7"/>
    <n v="5658.143939393939"/>
    <m/>
    <n v="0"/>
    <x v="6"/>
  </r>
  <r>
    <x v="823"/>
    <s v="EDEN RD./250E"/>
    <m/>
    <x v="21"/>
    <x v="121"/>
    <n v="3590"/>
    <n v="18"/>
    <s v="AC"/>
    <s v="G"/>
    <n v="0"/>
    <n v="4"/>
    <n v="7"/>
    <n v="7"/>
    <n v="6"/>
    <n v="6"/>
    <n v="6"/>
    <n v="6"/>
    <n v="6"/>
    <n v="7"/>
    <n v="7"/>
    <m/>
    <m/>
    <m/>
    <n v="108"/>
    <n v="0"/>
    <s v="EDEN RD./250E"/>
    <n v="4"/>
    <x v="3"/>
    <n v="31276.515151515152"/>
    <m/>
    <n v="0"/>
    <x v="5"/>
  </r>
  <r>
    <x v="824"/>
    <s v="EDEN RD./TROY RD"/>
    <m/>
    <x v="116"/>
    <x v="131"/>
    <n v="4646"/>
    <n v="20"/>
    <s v="CS"/>
    <s v="G"/>
    <n v="0"/>
    <n v="7"/>
    <n v="8"/>
    <n v="8"/>
    <n v="7"/>
    <n v="7"/>
    <n v="6"/>
    <n v="6"/>
    <n v="6"/>
    <n v="7"/>
    <n v="7"/>
    <m/>
    <m/>
    <m/>
    <n v="44"/>
    <n v="0"/>
    <s v="EDEN RD./TROY RD"/>
    <n v="3"/>
    <x v="0"/>
    <n v="18478.409090909092"/>
    <m/>
    <n v="0"/>
    <x v="2"/>
  </r>
  <r>
    <x v="825"/>
    <s v="ELAND DRIVE"/>
    <s v="Deer Run"/>
    <x v="164"/>
    <x v="172"/>
    <n v="2482"/>
    <n v="26"/>
    <s v="NC"/>
    <s v="SC"/>
    <n v="0"/>
    <n v="5"/>
    <n v="5"/>
    <n v="10"/>
    <n v="9"/>
    <n v="8"/>
    <n v="7"/>
    <n v="7"/>
    <n v="7"/>
    <n v="7"/>
    <n v="7"/>
    <m/>
    <m/>
    <m/>
    <n v="629"/>
    <n v="0.5"/>
    <s v="ELAND DRIVE"/>
    <n v="2.5"/>
    <x v="7"/>
    <n v="11751.89393939394"/>
    <m/>
    <n v="0"/>
    <x v="4"/>
  </r>
  <r>
    <x v="826"/>
    <s v="ELISE COURT"/>
    <s v="Country Mill"/>
    <x v="73"/>
    <x v="176"/>
    <n v="634"/>
    <n v="26"/>
    <s v="NC"/>
    <s v="C"/>
    <n v="0"/>
    <n v="7"/>
    <n v="8"/>
    <n v="8"/>
    <n v="7"/>
    <n v="8"/>
    <n v="7"/>
    <n v="6"/>
    <n v="6"/>
    <n v="6"/>
    <n v="6"/>
    <m/>
    <m/>
    <m/>
    <n v="50"/>
    <n v="0"/>
    <s v="ELISE COURT"/>
    <n v="2"/>
    <x v="5"/>
    <n v="9606.060606060606"/>
    <n v="1"/>
    <n v="9606.060606060606"/>
    <x v="3"/>
  </r>
  <r>
    <x v="827"/>
    <s v="KINGSTON DRIVE(W)"/>
    <s v="Stansbury"/>
    <x v="167"/>
    <x v="156"/>
    <n v="898"/>
    <n v="26"/>
    <s v="NC"/>
    <s v="BC"/>
    <n v="0"/>
    <n v="7"/>
    <n v="8"/>
    <n v="8"/>
    <n v="8"/>
    <n v="8"/>
    <n v="8"/>
    <n v="8"/>
    <n v="8"/>
    <n v="8"/>
    <n v="7"/>
    <m/>
    <m/>
    <m/>
    <n v="50"/>
    <n v="0"/>
    <s v="KINGSTON DRIVE(W)"/>
    <n v="2"/>
    <x v="7"/>
    <n v="4251.893939393939"/>
    <m/>
    <n v="0"/>
    <x v="6"/>
  </r>
  <r>
    <x v="828"/>
    <s v="FAIRWAY VILLAGE BOULEVARD(S)"/>
    <s v="Fairway Village"/>
    <x v="76"/>
    <x v="139"/>
    <n v="739"/>
    <n v="26"/>
    <s v="NC"/>
    <s v="C"/>
    <n v="0"/>
    <n v="7"/>
    <n v="8"/>
    <n v="7"/>
    <n v="7"/>
    <n v="7"/>
    <n v="7"/>
    <n v="7"/>
    <n v="7"/>
    <n v="7"/>
    <n v="7"/>
    <m/>
    <m/>
    <m/>
    <n v="50"/>
    <n v="0"/>
    <s v="FAIRWAY VILLAGE BOULEVARD(S)"/>
    <n v="3"/>
    <x v="7"/>
    <n v="3499.0530303030305"/>
    <m/>
    <n v="0"/>
    <x v="4"/>
  </r>
  <r>
    <x v="829"/>
    <s v="FAIRWAY VILLAGE COURT(S)"/>
    <s v="Fairway Village"/>
    <x v="76"/>
    <x v="139"/>
    <n v="317"/>
    <n v="26"/>
    <s v="NC"/>
    <s v="C"/>
    <n v="0"/>
    <n v="7"/>
    <n v="8"/>
    <n v="8"/>
    <n v="8"/>
    <n v="8"/>
    <n v="7"/>
    <n v="7"/>
    <n v="7"/>
    <n v="7"/>
    <n v="7"/>
    <m/>
    <m/>
    <m/>
    <n v="50"/>
    <n v="0"/>
    <s v="FAIRWAY VILLAGE COURT(S)"/>
    <n v="2"/>
    <x v="7"/>
    <n v="1500.9469696969697"/>
    <m/>
    <n v="0"/>
    <x v="4"/>
  </r>
  <r>
    <x v="830"/>
    <s v="FAIRWAY VILLAGE DRIVE(E)"/>
    <s v="Fairway Village"/>
    <x v="76"/>
    <x v="139"/>
    <n v="1584"/>
    <n v="26"/>
    <s v="NC"/>
    <s v="C"/>
    <n v="0"/>
    <n v="7"/>
    <n v="8"/>
    <n v="8"/>
    <n v="8"/>
    <n v="8"/>
    <n v="7"/>
    <n v="7"/>
    <n v="7"/>
    <n v="7"/>
    <n v="7"/>
    <m/>
    <m/>
    <m/>
    <n v="50"/>
    <n v="0"/>
    <s v="FAIRWAY VILLAGE DRIVE€"/>
    <n v="2"/>
    <x v="7"/>
    <n v="7500"/>
    <m/>
    <n v="0"/>
    <x v="4"/>
  </r>
  <r>
    <x v="831"/>
    <s v="FALLOW TRAIL"/>
    <s v="Deer Run"/>
    <x v="164"/>
    <x v="172"/>
    <n v="1584"/>
    <n v="26"/>
    <s v="NC"/>
    <s v="SC"/>
    <n v="0"/>
    <n v="6"/>
    <n v="6"/>
    <n v="10"/>
    <n v="9"/>
    <n v="8"/>
    <n v="7"/>
    <n v="7"/>
    <n v="7"/>
    <n v="7"/>
    <n v="7"/>
    <m/>
    <m/>
    <m/>
    <n v="629"/>
    <n v="0.5"/>
    <s v="FALLOW TRAIL"/>
    <n v="2.5"/>
    <x v="7"/>
    <n v="7500"/>
    <m/>
    <n v="0"/>
    <x v="4"/>
  </r>
  <r>
    <x v="832"/>
    <s v="FARM STONE CIRCLE(S)"/>
    <s v="Countryside"/>
    <x v="15"/>
    <x v="154"/>
    <n v="364"/>
    <n v="26"/>
    <s v="NC"/>
    <s v="SC"/>
    <n v="0"/>
    <n v="6"/>
    <n v="8"/>
    <n v="8"/>
    <n v="8"/>
    <n v="8"/>
    <n v="8"/>
    <n v="8"/>
    <n v="7"/>
    <n v="7"/>
    <n v="7"/>
    <m/>
    <m/>
    <m/>
    <n v="515"/>
    <n v="0.5"/>
    <s v="FARM STONE CIRCLE(S)"/>
    <n v="2.5"/>
    <x v="9"/>
    <n v="172.34848484848484"/>
    <m/>
    <n v="0"/>
    <x v="3"/>
  </r>
  <r>
    <x v="833"/>
    <s v="FAUT ROAD/300W"/>
    <m/>
    <x v="11"/>
    <x v="29"/>
    <n v="6591"/>
    <n v="20"/>
    <s v="CS"/>
    <s v="SC"/>
    <n v="0"/>
    <n v="6"/>
    <n v="8"/>
    <n v="7"/>
    <n v="7"/>
    <n v="7"/>
    <n v="6"/>
    <n v="6"/>
    <n v="6"/>
    <n v="6"/>
    <n v="7"/>
    <m/>
    <m/>
    <m/>
    <n v="18"/>
    <n v="0"/>
    <s v="FAUT ROAD/300W"/>
    <n v="3"/>
    <x v="2"/>
    <n v="39945.454545454544"/>
    <m/>
    <n v="0"/>
    <x v="2"/>
  </r>
  <r>
    <x v="834"/>
    <s v="FIELDING ROAD"/>
    <s v="New Palestine Village"/>
    <x v="159"/>
    <x v="143"/>
    <n v="1109"/>
    <n v="26"/>
    <s v="NC"/>
    <s v="SC"/>
    <n v="0"/>
    <n v="6"/>
    <n v="6"/>
    <n v="6"/>
    <n v="9"/>
    <n v="9"/>
    <n v="8"/>
    <n v="8"/>
    <n v="7"/>
    <n v="7"/>
    <n v="7"/>
    <m/>
    <m/>
    <m/>
    <n v="103"/>
    <n v="0"/>
    <s v="FIELDING ROAD"/>
    <n v="1"/>
    <x v="7"/>
    <n v="5250.94696969697"/>
    <m/>
    <n v="0"/>
    <x v="4"/>
  </r>
  <r>
    <x v="835"/>
    <s v="FOREST COURT"/>
    <s v="Cranberry Lake Estates"/>
    <x v="31"/>
    <x v="133"/>
    <n v="317"/>
    <n v="26"/>
    <s v="NC"/>
    <s v="C"/>
    <n v="0"/>
    <n v="6"/>
    <n v="6"/>
    <n v="6"/>
    <n v="6"/>
    <n v="7"/>
    <n v="7"/>
    <n v="7"/>
    <n v="7"/>
    <n v="7"/>
    <n v="7"/>
    <m/>
    <m/>
    <m/>
    <n v="50"/>
    <n v="0"/>
    <s v="FOREST COURT"/>
    <n v="3"/>
    <x v="7"/>
    <n v="1500.9469696969697"/>
    <m/>
    <n v="0"/>
    <x v="4"/>
  </r>
  <r>
    <x v="836"/>
    <s v="FOREST LANE"/>
    <s v="Cranberry Lake Estates"/>
    <x v="31"/>
    <x v="133"/>
    <n v="1742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FOREST LANE"/>
    <n v="3"/>
    <x v="0"/>
    <n v="6928.409090909091"/>
    <m/>
    <n v="0"/>
    <x v="3"/>
  </r>
  <r>
    <x v="837"/>
    <s v="FORTVILLE PK./200N"/>
    <m/>
    <x v="44"/>
    <x v="51"/>
    <n v="5590"/>
    <n v="20"/>
    <s v="AC"/>
    <s v="C"/>
    <n v="0"/>
    <n v="6"/>
    <n v="8"/>
    <n v="8"/>
    <n v="8"/>
    <n v="8"/>
    <n v="7"/>
    <n v="7"/>
    <n v="7"/>
    <n v="7"/>
    <n v="7"/>
    <m/>
    <n v="2016"/>
    <s v="Y"/>
    <n v="50"/>
    <n v="0"/>
    <s v="FORTVILLE PK."/>
    <n v="2"/>
    <x v="7"/>
    <n v="26467.803030303032"/>
    <m/>
    <n v="0"/>
    <x v="1"/>
  </r>
  <r>
    <x v="838"/>
    <s v="FORTVILLE PK./25W"/>
    <m/>
    <x v="177"/>
    <x v="113"/>
    <n v="1425"/>
    <n v="20"/>
    <s v="AC"/>
    <s v="C"/>
    <n v="0"/>
    <n v="6"/>
    <n v="8"/>
    <n v="8"/>
    <n v="8"/>
    <n v="8"/>
    <n v="7"/>
    <n v="7"/>
    <n v="7"/>
    <n v="7"/>
    <n v="7"/>
    <m/>
    <n v="2021"/>
    <s v="Y"/>
    <n v="3880"/>
    <n v="1.5"/>
    <s v="FORTVILLE PK."/>
    <n v="3.5"/>
    <x v="7"/>
    <n v="6747.159090909091"/>
    <m/>
    <n v="0"/>
    <x v="5"/>
  </r>
  <r>
    <x v="839"/>
    <s v="FORTVILLE PK./300N"/>
    <m/>
    <x v="115"/>
    <x v="36"/>
    <n v="5174"/>
    <n v="20"/>
    <s v="AC"/>
    <s v="C"/>
    <n v="0"/>
    <n v="6"/>
    <n v="8"/>
    <n v="8"/>
    <n v="8"/>
    <n v="8"/>
    <n v="7"/>
    <n v="7"/>
    <s v="city"/>
    <m/>
    <n v="7"/>
    <m/>
    <n v="2016"/>
    <s v="Y"/>
    <n v="50"/>
    <n v="0"/>
    <s v="FORTVILLE PK."/>
    <n v="2"/>
    <x v="7"/>
    <n v="24498.10606060606"/>
    <m/>
    <n v="0"/>
    <x v="1"/>
  </r>
  <r>
    <x v="840"/>
    <s v="FORTVILLE PK./375N"/>
    <m/>
    <x v="50"/>
    <x v="184"/>
    <n v="5227"/>
    <n v="20"/>
    <s v="AC"/>
    <s v="C"/>
    <n v="0"/>
    <n v="6"/>
    <n v="8"/>
    <n v="8"/>
    <n v="8"/>
    <n v="8"/>
    <n v="7"/>
    <n v="7"/>
    <n v="7"/>
    <n v="7"/>
    <n v="7"/>
    <m/>
    <n v="2021"/>
    <s v="Y"/>
    <n v="3949"/>
    <n v="1.5"/>
    <s v="FORTVILLE PK."/>
    <n v="3.5"/>
    <x v="7"/>
    <n v="24749.053030303032"/>
    <m/>
    <n v="0"/>
    <x v="5"/>
  </r>
  <r>
    <x v="841"/>
    <s v="FORTVILLE PK./500A"/>
    <m/>
    <x v="108"/>
    <x v="3"/>
    <n v="5121"/>
    <n v="20"/>
    <s v="AC"/>
    <s v="C"/>
    <n v="0"/>
    <n v="6"/>
    <n v="8"/>
    <n v="8"/>
    <n v="8"/>
    <n v="8"/>
    <n v="7"/>
    <n v="7"/>
    <n v="7"/>
    <n v="7"/>
    <n v="7"/>
    <m/>
    <n v="2021"/>
    <s v="Y"/>
    <n v="3557"/>
    <n v="1.5"/>
    <s v="FORTVILLE PK."/>
    <n v="3.5"/>
    <x v="7"/>
    <n v="24247.159090909092"/>
    <m/>
    <n v="0"/>
    <x v="5"/>
  </r>
  <r>
    <x v="842"/>
    <s v="FORTVILLE PK./500N"/>
    <m/>
    <x v="1"/>
    <x v="3"/>
    <n v="2376"/>
    <n v="20"/>
    <s v="AC"/>
    <s v="C"/>
    <n v="0"/>
    <n v="7"/>
    <n v="8"/>
    <n v="8"/>
    <n v="8"/>
    <n v="8"/>
    <n v="7"/>
    <n v="7"/>
    <n v="7"/>
    <n v="7"/>
    <n v="7"/>
    <m/>
    <n v="2021"/>
    <s v="Y"/>
    <n v="3557"/>
    <n v="1.5"/>
    <s v="FORTVILLE PK."/>
    <n v="3.5"/>
    <x v="7"/>
    <n v="11250"/>
    <m/>
    <n v="0"/>
    <x v="5"/>
  </r>
  <r>
    <x v="843"/>
    <s v="FORTVILLE PK./600N"/>
    <m/>
    <x v="1"/>
    <x v="1"/>
    <n v="5280"/>
    <n v="20"/>
    <s v="AC"/>
    <s v="C"/>
    <n v="0"/>
    <n v="7"/>
    <n v="8"/>
    <n v="8"/>
    <n v="8"/>
    <n v="8"/>
    <n v="7"/>
    <n v="7"/>
    <n v="7"/>
    <n v="7"/>
    <n v="7"/>
    <m/>
    <n v="2021"/>
    <s v="Y"/>
    <n v="3034"/>
    <n v="1.5"/>
    <s v="FORTVILLE PK."/>
    <n v="3.5"/>
    <x v="7"/>
    <n v="25000"/>
    <m/>
    <n v="0"/>
    <x v="5"/>
  </r>
  <r>
    <x v="844"/>
    <s v="FORTVILLE PK./700N"/>
    <m/>
    <x v="77"/>
    <x v="82"/>
    <n v="5373"/>
    <n v="20"/>
    <s v="AC"/>
    <s v="V"/>
    <n v="0"/>
    <n v="7"/>
    <n v="8"/>
    <n v="8"/>
    <n v="8"/>
    <n v="8"/>
    <n v="7"/>
    <n v="7"/>
    <n v="7"/>
    <n v="7"/>
    <n v="7"/>
    <m/>
    <n v="2021"/>
    <s v="Y"/>
    <n v="2589"/>
    <n v="1.5"/>
    <s v="FORTVILLE PK."/>
    <n v="3.5"/>
    <x v="7"/>
    <n v="25440.340909090908"/>
    <m/>
    <n v="0"/>
    <x v="5"/>
  </r>
  <r>
    <x v="845"/>
    <s v="FORTVILLE PK/850N"/>
    <m/>
    <x v="7"/>
    <x v="98"/>
    <n v="2956"/>
    <n v="20"/>
    <s v="AC"/>
    <s v="V"/>
    <n v="0"/>
    <n v="7"/>
    <n v="8"/>
    <n v="8"/>
    <n v="8"/>
    <n v="8"/>
    <n v="7"/>
    <n v="7"/>
    <n v="7"/>
    <n v="7"/>
    <n v="7"/>
    <m/>
    <n v="2021"/>
    <s v="Y"/>
    <n v="3450"/>
    <n v="1.5"/>
    <s v="FORTVILLE PK."/>
    <n v="3.5"/>
    <x v="7"/>
    <n v="13996.212121212122"/>
    <m/>
    <n v="0"/>
    <x v="5"/>
  </r>
  <r>
    <x v="846"/>
    <s v="FORTVILLE PK/900N"/>
    <m/>
    <x v="95"/>
    <x v="88"/>
    <n v="2956"/>
    <n v="20"/>
    <s v="AC"/>
    <s v="V"/>
    <n v="0"/>
    <n v="7"/>
    <n v="8"/>
    <n v="8"/>
    <n v="8"/>
    <n v="8"/>
    <n v="7"/>
    <n v="7"/>
    <n v="7"/>
    <n v="7"/>
    <n v="7"/>
    <m/>
    <n v="2021"/>
    <s v="Y"/>
    <n v="3450"/>
    <n v="1.5"/>
    <s v="FORTVILLE PK."/>
    <n v="3.5"/>
    <x v="7"/>
    <n v="13996.212121212122"/>
    <m/>
    <n v="0"/>
    <x v="5"/>
  </r>
  <r>
    <x v="847"/>
    <s v="FORTVILLE PK/950N"/>
    <m/>
    <x v="5"/>
    <x v="103"/>
    <n v="2956"/>
    <n v="20"/>
    <s v="AC"/>
    <s v="V"/>
    <n v="0"/>
    <n v="7"/>
    <n v="8"/>
    <n v="8"/>
    <n v="8"/>
    <n v="8"/>
    <n v="7"/>
    <n v="7"/>
    <n v="7"/>
    <n v="7"/>
    <n v="7"/>
    <m/>
    <n v="2021"/>
    <s v="Y"/>
    <n v="3449"/>
    <n v="1.5"/>
    <s v="FORTVILLE PK."/>
    <n v="3.5"/>
    <x v="7"/>
    <n v="13996.212121212122"/>
    <m/>
    <n v="0"/>
    <x v="5"/>
  </r>
  <r>
    <x v="848"/>
    <s v="FORTVILLE PK/SR234"/>
    <m/>
    <x v="65"/>
    <x v="6"/>
    <n v="5702"/>
    <n v="20"/>
    <s v="AC"/>
    <s v="V"/>
    <n v="0"/>
    <n v="7"/>
    <n v="8"/>
    <n v="8"/>
    <n v="8"/>
    <n v="8"/>
    <n v="7"/>
    <n v="7"/>
    <n v="7"/>
    <n v="7"/>
    <n v="7"/>
    <m/>
    <n v="2021"/>
    <s v="Y"/>
    <n v="2574"/>
    <n v="1.5"/>
    <s v="FORTVILLE PK."/>
    <n v="3.5"/>
    <x v="7"/>
    <n v="26998.10606060606"/>
    <m/>
    <n v="0"/>
    <x v="5"/>
  </r>
  <r>
    <x v="849"/>
    <s v="FOX COVE BOULEVARD"/>
    <s v="Fox Cove"/>
    <x v="158"/>
    <x v="158"/>
    <n v="3590"/>
    <n v="26"/>
    <s v="NC"/>
    <s v="SC"/>
    <n v="0"/>
    <n v="7"/>
    <n v="7"/>
    <n v="10"/>
    <n v="9"/>
    <n v="9"/>
    <n v="7"/>
    <n v="7"/>
    <n v="7"/>
    <n v="7"/>
    <n v="7"/>
    <m/>
    <m/>
    <m/>
    <n v="667"/>
    <n v="0.5"/>
    <s v="FOX COVE BOULEVARD"/>
    <n v="1.5"/>
    <x v="7"/>
    <n v="16998.10606060606"/>
    <m/>
    <n v="0"/>
    <x v="4"/>
  </r>
  <r>
    <x v="850"/>
    <s v="FOX DEN BOULEVARD"/>
    <s v="Fox Cove"/>
    <x v="102"/>
    <x v="179"/>
    <n v="581"/>
    <n v="26"/>
    <s v="NC"/>
    <s v="SC"/>
    <n v="0"/>
    <n v="7"/>
    <n v="7"/>
    <n v="7"/>
    <n v="7"/>
    <n v="7"/>
    <n v="8"/>
    <n v="8"/>
    <n v="8"/>
    <n v="7"/>
    <n v="7"/>
    <m/>
    <m/>
    <m/>
    <n v="515"/>
    <n v="0.5"/>
    <s v="FOX DEN BOULEVARD"/>
    <n v="3.5"/>
    <x v="9"/>
    <n v="4507.25"/>
    <m/>
    <n v="0"/>
    <x v="3"/>
  </r>
  <r>
    <x v="851"/>
    <s v="FOX PAW DRIVE"/>
    <s v="Fox Cove"/>
    <x v="158"/>
    <x v="158"/>
    <n v="1426"/>
    <n v="26"/>
    <s v="NC"/>
    <s v="SC"/>
    <n v="0"/>
    <n v="7"/>
    <n v="7"/>
    <n v="10"/>
    <n v="9"/>
    <n v="9"/>
    <n v="8"/>
    <n v="8"/>
    <n v="8"/>
    <n v="7"/>
    <n v="7"/>
    <m/>
    <m/>
    <m/>
    <n v="515"/>
    <n v="0.5"/>
    <s v="FOX PAW DRIVE"/>
    <n v="1.5"/>
    <x v="7"/>
    <n v="6751.893939393939"/>
    <m/>
    <n v="0"/>
    <x v="4"/>
  </r>
  <r>
    <x v="852"/>
    <s v="FOX RUN DRIVE"/>
    <s v="Hunters Chase"/>
    <x v="174"/>
    <x v="181"/>
    <n v="581"/>
    <n v="26"/>
    <s v="NC"/>
    <s v="BC"/>
    <n v="0"/>
    <n v="6"/>
    <n v="6"/>
    <n v="5"/>
    <n v="5"/>
    <n v="9"/>
    <n v="9"/>
    <n v="8"/>
    <n v="8"/>
    <n v="8"/>
    <n v="8"/>
    <m/>
    <m/>
    <m/>
    <n v="50"/>
    <n v="0"/>
    <s v="FOX RUN DRIVE"/>
    <n v="1"/>
    <x v="7"/>
    <n v="2750.9469696969695"/>
    <m/>
    <n v="0"/>
    <x v="4"/>
  </r>
  <r>
    <x v="853"/>
    <s v="FOX TAIL PASS"/>
    <s v="Fox Cove"/>
    <x v="102"/>
    <x v="179"/>
    <n v="581"/>
    <n v="26"/>
    <s v="NC"/>
    <s v="SC"/>
    <n v="0"/>
    <n v="7"/>
    <n v="7"/>
    <n v="7"/>
    <n v="7"/>
    <n v="7"/>
    <n v="7"/>
    <n v="7"/>
    <n v="7"/>
    <n v="7"/>
    <n v="7"/>
    <m/>
    <m/>
    <m/>
    <n v="515"/>
    <n v="0.5"/>
    <s v="FOX TAIL PASS"/>
    <n v="3.5"/>
    <x v="7"/>
    <n v="2750.9469696969695"/>
    <m/>
    <n v="0"/>
    <x v="4"/>
  </r>
  <r>
    <x v="854"/>
    <s v="FOX TRAIL DRIVE"/>
    <s v="Brier Creek"/>
    <x v="102"/>
    <x v="139"/>
    <n v="2482"/>
    <n v="26"/>
    <s v="NC"/>
    <s v="SC"/>
    <n v="0"/>
    <n v="7"/>
    <n v="7"/>
    <n v="7"/>
    <n v="7"/>
    <n v="7"/>
    <n v="8"/>
    <n v="8"/>
    <n v="8"/>
    <n v="7"/>
    <n v="7"/>
    <m/>
    <m/>
    <m/>
    <n v="232"/>
    <n v="0"/>
    <s v="FOX TRAIL DRIVE"/>
    <n v="3"/>
    <x v="7"/>
    <n v="11751.89393939394"/>
    <m/>
    <n v="0"/>
    <x v="4"/>
  </r>
  <r>
    <x v="855"/>
    <s v="FOX VIEW TRAIL"/>
    <s v="Fox Cove"/>
    <x v="102"/>
    <x v="179"/>
    <n v="1373"/>
    <n v="26"/>
    <s v="NC"/>
    <s v="SC"/>
    <n v="0"/>
    <n v="6"/>
    <n v="6"/>
    <n v="10"/>
    <n v="9"/>
    <n v="9"/>
    <n v="8"/>
    <n v="8"/>
    <n v="8"/>
    <n v="7"/>
    <n v="7"/>
    <m/>
    <m/>
    <m/>
    <n v="50"/>
    <n v="0"/>
    <s v="FOX VIEW TRAIL"/>
    <n v="1"/>
    <x v="7"/>
    <n v="6500.94696969697"/>
    <m/>
    <n v="0"/>
    <x v="4"/>
  </r>
  <r>
    <x v="856"/>
    <s v="FROG POND COURT"/>
    <s v="Morning Walk"/>
    <x v="178"/>
    <x v="161"/>
    <n v="317"/>
    <n v="26"/>
    <s v="NC"/>
    <s v="C"/>
    <n v="0"/>
    <n v="7"/>
    <n v="7"/>
    <n v="7"/>
    <n v="7"/>
    <n v="7"/>
    <n v="7"/>
    <n v="7"/>
    <n v="7"/>
    <n v="7"/>
    <n v="7"/>
    <m/>
    <m/>
    <m/>
    <n v="321"/>
    <n v="0"/>
    <s v="FROG POND COURT"/>
    <n v="3"/>
    <x v="7"/>
    <n v="1500.9469696969697"/>
    <m/>
    <n v="0"/>
    <x v="4"/>
  </r>
  <r>
    <x v="857"/>
    <s v="LITTLETON DRIVE"/>
    <s v="Stansbury"/>
    <x v="167"/>
    <x v="156"/>
    <n v="1315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LITTLETON DRIVE"/>
    <n v="2"/>
    <x v="7"/>
    <n v="6226.325757575758"/>
    <m/>
    <n v="0"/>
    <x v="6"/>
  </r>
  <r>
    <x v="858"/>
    <s v="GLENDALE LANE"/>
    <s v="Huntington Heights"/>
    <x v="102"/>
    <x v="163"/>
    <n v="3485"/>
    <n v="26"/>
    <s v="NC"/>
    <s v="BC"/>
    <n v="0"/>
    <n v="6"/>
    <n v="5"/>
    <n v="5"/>
    <n v="4"/>
    <n v="9"/>
    <n v="9"/>
    <n v="8"/>
    <n v="8"/>
    <n v="8"/>
    <n v="8"/>
    <m/>
    <m/>
    <m/>
    <n v="191"/>
    <n v="0"/>
    <s v="GLENDALE LANE"/>
    <n v="1"/>
    <x v="7"/>
    <n v="16500.946969696968"/>
    <m/>
    <n v="0"/>
    <x v="4"/>
  </r>
  <r>
    <x v="859"/>
    <s v="GRANDISON RD./25N"/>
    <m/>
    <x v="23"/>
    <x v="57"/>
    <n v="1054"/>
    <n v="20"/>
    <s v="AC"/>
    <s v="J"/>
    <n v="0"/>
    <n v="7"/>
    <n v="7"/>
    <n v="7"/>
    <n v="7"/>
    <n v="7"/>
    <n v="7"/>
    <n v="7"/>
    <n v="7"/>
    <n v="7"/>
    <n v="7"/>
    <m/>
    <m/>
    <m/>
    <n v="149"/>
    <n v="0"/>
    <s v="GRANDISON RD."/>
    <n v="3"/>
    <x v="0"/>
    <n v="4192.045454545455"/>
    <m/>
    <n v="0"/>
    <x v="5"/>
  </r>
  <r>
    <x v="860"/>
    <s v="GRANDISON RD./300N"/>
    <m/>
    <x v="2"/>
    <x v="36"/>
    <n v="2624"/>
    <n v="20"/>
    <s v="CS"/>
    <s v="J"/>
    <n v="0"/>
    <n v="3"/>
    <n v="6"/>
    <n v="6"/>
    <n v="6"/>
    <n v="5"/>
    <n v="6"/>
    <m/>
    <n v="6"/>
    <n v="7"/>
    <n v="7"/>
    <m/>
    <m/>
    <m/>
    <n v="50"/>
    <n v="0"/>
    <s v="GRANDISON RD."/>
    <n v="5"/>
    <x v="0"/>
    <n v="10436.363636363636"/>
    <m/>
    <n v="0"/>
    <x v="2"/>
  </r>
  <r>
    <x v="861"/>
    <s v="GRANDISON RD/100N"/>
    <m/>
    <x v="54"/>
    <x v="70"/>
    <n v="2531"/>
    <n v="20"/>
    <s v="AC"/>
    <s v="J"/>
    <n v="0"/>
    <n v="7"/>
    <n v="6"/>
    <n v="6"/>
    <n v="6"/>
    <n v="5"/>
    <n v="5"/>
    <n v="5"/>
    <n v="5"/>
    <n v="7"/>
    <n v="7"/>
    <m/>
    <m/>
    <m/>
    <n v="149"/>
    <n v="0"/>
    <s v="GRANDISON RD."/>
    <n v="5"/>
    <x v="3"/>
    <n v="22050.378787878788"/>
    <m/>
    <n v="0"/>
    <x v="5"/>
  </r>
  <r>
    <x v="862"/>
    <s v="GRANDISON RD/150N"/>
    <m/>
    <x v="44"/>
    <x v="55"/>
    <n v="3379"/>
    <n v="20"/>
    <s v="AC"/>
    <s v="J"/>
    <n v="0"/>
    <n v="7"/>
    <n v="6"/>
    <n v="6"/>
    <n v="6"/>
    <n v="5"/>
    <n v="5"/>
    <n v="5"/>
    <n v="7"/>
    <n v="7"/>
    <n v="7"/>
    <m/>
    <m/>
    <m/>
    <n v="149"/>
    <n v="0"/>
    <s v="GRANDISON RD."/>
    <n v="5"/>
    <x v="0"/>
    <n v="13439.204545454546"/>
    <m/>
    <n v="0"/>
    <x v="4"/>
  </r>
  <r>
    <x v="863"/>
    <s v="MEDFORD COURT"/>
    <s v="Easton at Stansbury"/>
    <x v="165"/>
    <x v="156"/>
    <n v="158"/>
    <n v="26"/>
    <s v="NC"/>
    <s v="BC"/>
    <n v="0"/>
    <m/>
    <n v="7"/>
    <n v="7"/>
    <n v="7"/>
    <n v="7"/>
    <n v="7"/>
    <n v="8"/>
    <n v="8"/>
    <n v="7"/>
    <n v="7"/>
    <m/>
    <m/>
    <m/>
    <n v="50"/>
    <n v="0"/>
    <s v="MEDFORD COURT"/>
    <n v="3"/>
    <x v="7"/>
    <n v="748.10606060606062"/>
    <m/>
    <n v="0"/>
    <x v="6"/>
  </r>
  <r>
    <x v="864"/>
    <s v="GRANITE COURT(W)"/>
    <s v="Countryside"/>
    <x v="15"/>
    <x v="154"/>
    <n v="1087"/>
    <n v="26"/>
    <s v="NC"/>
    <s v="SC"/>
    <n v="0"/>
    <n v="6"/>
    <n v="6"/>
    <n v="6"/>
    <n v="6"/>
    <n v="6"/>
    <n v="8"/>
    <n v="8"/>
    <n v="7"/>
    <n v="7"/>
    <n v="6"/>
    <m/>
    <m/>
    <m/>
    <n v="515"/>
    <n v="0.5"/>
    <s v="GRANITE COURT(W)"/>
    <n v="4.5"/>
    <x v="9"/>
    <n v="514.67803030303025"/>
    <m/>
    <n v="0"/>
    <x v="3"/>
  </r>
  <r>
    <x v="865"/>
    <s v="ORCHARD DRIVE"/>
    <s v="Alfords"/>
    <x v="0"/>
    <x v="185"/>
    <n v="1056"/>
    <n v="26"/>
    <s v="NC"/>
    <s v="V"/>
    <n v="0"/>
    <n v="7"/>
    <n v="8"/>
    <n v="8"/>
    <n v="8"/>
    <n v="8"/>
    <n v="8"/>
    <n v="8"/>
    <n v="8"/>
    <n v="7"/>
    <n v="7"/>
    <m/>
    <m/>
    <m/>
    <n v="50"/>
    <n v="0"/>
    <s v="ORCHARD DRIVE"/>
    <n v="2"/>
    <x v="7"/>
    <n v="5000"/>
    <m/>
    <n v="0"/>
    <x v="6"/>
  </r>
  <r>
    <x v="866"/>
    <s v="GREENFIELD (FIN)/1"/>
    <m/>
    <x v="52"/>
    <x v="37"/>
    <n v="1426"/>
    <n v="20"/>
    <s v="AC"/>
    <s v="BW"/>
    <n v="0"/>
    <n v="7"/>
    <n v="7"/>
    <n v="7"/>
    <n v="7"/>
    <n v="7"/>
    <n v="7"/>
    <n v="6"/>
    <n v="6"/>
    <n v="6"/>
    <n v="7"/>
    <m/>
    <m/>
    <m/>
    <n v="35"/>
    <n v="0"/>
    <s v="GREENFIELD (FIN)/1"/>
    <n v="3"/>
    <x v="0"/>
    <n v="5671.590909090909"/>
    <m/>
    <n v="0"/>
    <x v="2"/>
  </r>
  <r>
    <x v="867"/>
    <s v="GREY FEATHER TRAIL"/>
    <s v="Greyhawk Woods"/>
    <x v="73"/>
    <x v="186"/>
    <n v="1214"/>
    <n v="26"/>
    <s v="NC"/>
    <s v="BW"/>
    <n v="0"/>
    <n v="7"/>
    <n v="8"/>
    <n v="8"/>
    <n v="8"/>
    <n v="8"/>
    <n v="8"/>
    <n v="7"/>
    <n v="6"/>
    <n v="6"/>
    <n v="6"/>
    <m/>
    <m/>
    <m/>
    <n v="439"/>
    <n v="0"/>
    <s v="GREY FEATHER TRAIL"/>
    <n v="2"/>
    <x v="5"/>
    <n v="18393.939393939392"/>
    <n v="1"/>
    <n v="18393.939393939392"/>
    <x v="3"/>
  </r>
  <r>
    <x v="868"/>
    <s v="GREYHAWK LANE"/>
    <s v="Greyhawk Woods"/>
    <x v="73"/>
    <x v="186"/>
    <n v="1003"/>
    <n v="26"/>
    <s v="NC"/>
    <s v="BW"/>
    <n v="0"/>
    <n v="7"/>
    <n v="8"/>
    <n v="8"/>
    <n v="8"/>
    <n v="8"/>
    <n v="8"/>
    <n v="7"/>
    <n v="6"/>
    <n v="6"/>
    <n v="7"/>
    <m/>
    <m/>
    <m/>
    <n v="439"/>
    <n v="0"/>
    <s v="GREYHAWK LANE"/>
    <n v="2"/>
    <x v="5"/>
    <n v="15196.969696969696"/>
    <n v="1"/>
    <n v="15196.969696969696"/>
    <x v="3"/>
  </r>
  <r>
    <x v="869"/>
    <s v="GREYHAWK WAY"/>
    <s v="Greyhawk Woods"/>
    <x v="73"/>
    <x v="186"/>
    <n v="2218"/>
    <n v="26"/>
    <s v="NC"/>
    <s v="BW"/>
    <n v="0"/>
    <n v="7"/>
    <n v="8"/>
    <n v="8"/>
    <n v="8"/>
    <n v="7"/>
    <n v="7"/>
    <n v="6"/>
    <n v="7"/>
    <n v="7"/>
    <n v="6"/>
    <m/>
    <m/>
    <m/>
    <n v="439"/>
    <n v="0"/>
    <s v="GREYHAWK WAY"/>
    <n v="3"/>
    <x v="5"/>
    <n v="33606.060606060608"/>
    <n v="1"/>
    <n v="33606.060606060608"/>
    <x v="3"/>
  </r>
  <r>
    <x v="870"/>
    <s v="PEPPEREEL WAY(N)"/>
    <s v="Stansbury"/>
    <x v="167"/>
    <x v="156"/>
    <n v="1742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PEPPEREEL WAY(N)"/>
    <n v="2"/>
    <x v="7"/>
    <n v="8248.1060606060601"/>
    <m/>
    <n v="0"/>
    <x v="6"/>
  </r>
  <r>
    <x v="871"/>
    <s v="HARMONY TRAIL(W)"/>
    <s v="Ridgewood"/>
    <x v="75"/>
    <x v="161"/>
    <n v="2904"/>
    <n v="26"/>
    <s v="NC"/>
    <s v="SC"/>
    <n v="0"/>
    <n v="7"/>
    <n v="7"/>
    <n v="10"/>
    <n v="9"/>
    <n v="8"/>
    <n v="7"/>
    <n v="7"/>
    <n v="7"/>
    <n v="6"/>
    <n v="6"/>
    <m/>
    <m/>
    <m/>
    <n v="202"/>
    <n v="0"/>
    <s v="HARMONY TRAIL(W)"/>
    <n v="2"/>
    <x v="5"/>
    <n v="44000"/>
    <n v="1"/>
    <n v="44000"/>
    <x v="3"/>
  </r>
  <r>
    <x v="872"/>
    <s v="HARVEST WAY(W)"/>
    <s v="Meadow Lake Village"/>
    <x v="176"/>
    <x v="139"/>
    <n v="581"/>
    <n v="26"/>
    <s v="NC"/>
    <s v="SC"/>
    <n v="0"/>
    <n v="8"/>
    <n v="7"/>
    <n v="7"/>
    <n v="7"/>
    <n v="7"/>
    <n v="7"/>
    <n v="7"/>
    <n v="7"/>
    <n v="7"/>
    <n v="7"/>
    <m/>
    <m/>
    <m/>
    <n v="364"/>
    <n v="0"/>
    <s v="HARVEST WAY(W)"/>
    <n v="3"/>
    <x v="7"/>
    <n v="2750.9469696969695"/>
    <m/>
    <n v="0"/>
    <x v="4"/>
  </r>
  <r>
    <x v="873"/>
    <s v="PHILADELPHIA DRIVE"/>
    <s v="Stansbury"/>
    <x v="167"/>
    <x v="156"/>
    <n v="2123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PHILADELPHIA DR(W)"/>
    <n v="2"/>
    <x v="7"/>
    <n v="10052.083333333334"/>
    <m/>
    <n v="0"/>
    <x v="6"/>
  </r>
  <r>
    <x v="874"/>
    <s v="HEARTH STONE COURT"/>
    <s v="Countryside"/>
    <x v="15"/>
    <x v="154"/>
    <n v="264"/>
    <n v="26"/>
    <s v="NC"/>
    <s v="SC"/>
    <n v="0"/>
    <n v="6"/>
    <n v="8"/>
    <n v="8"/>
    <n v="7"/>
    <n v="7"/>
    <n v="8"/>
    <n v="8"/>
    <n v="7"/>
    <n v="6"/>
    <n v="6"/>
    <m/>
    <m/>
    <m/>
    <n v="515"/>
    <n v="0.5"/>
    <s v="HEARTH STONE COURT"/>
    <n v="3.5"/>
    <x v="9"/>
    <n v="125"/>
    <m/>
    <n v="0"/>
    <x v="3"/>
  </r>
  <r>
    <x v="875"/>
    <s v="HERITAGE COURT"/>
    <s v="Schildmeier Woods"/>
    <x v="102"/>
    <x v="152"/>
    <n v="1109"/>
    <n v="26"/>
    <s v="NC"/>
    <s v="SC"/>
    <n v="0"/>
    <n v="7"/>
    <n v="8"/>
    <n v="10"/>
    <n v="9"/>
    <n v="9"/>
    <n v="8"/>
    <n v="7"/>
    <n v="8"/>
    <n v="7"/>
    <n v="7"/>
    <m/>
    <m/>
    <m/>
    <n v="668"/>
    <n v="0.5"/>
    <s v="HERITAGE COURT"/>
    <n v="1.5"/>
    <x v="7"/>
    <n v="5250.94696969697"/>
    <m/>
    <n v="0"/>
    <x v="4"/>
  </r>
  <r>
    <x v="876"/>
    <s v="HERITAGE DRIVE"/>
    <s v="Schildmeier Woods"/>
    <x v="102"/>
    <x v="152"/>
    <n v="422"/>
    <n v="26"/>
    <s v="NC"/>
    <s v="SC"/>
    <n v="0"/>
    <n v="7"/>
    <n v="8"/>
    <n v="10"/>
    <n v="9"/>
    <n v="9"/>
    <n v="8"/>
    <n v="7"/>
    <n v="8"/>
    <n v="7"/>
    <n v="7"/>
    <m/>
    <m/>
    <m/>
    <n v="668"/>
    <n v="0.5"/>
    <s v="HERITAGE DRIVE"/>
    <n v="1.5"/>
    <x v="7"/>
    <n v="1998.1060606060605"/>
    <m/>
    <n v="0"/>
    <x v="4"/>
  </r>
  <r>
    <x v="877"/>
    <s v="HERITAGE DRIVE EAST"/>
    <s v="Heritage Estates"/>
    <x v="31"/>
    <x v="187"/>
    <n v="792"/>
    <n v="26"/>
    <s v="NC"/>
    <s v="C"/>
    <n v="0"/>
    <n v="6"/>
    <n v="7"/>
    <n v="7"/>
    <n v="8"/>
    <n v="7"/>
    <n v="6"/>
    <n v="6"/>
    <n v="6"/>
    <m/>
    <n v="6"/>
    <m/>
    <m/>
    <m/>
    <n v="50"/>
    <n v="0"/>
    <s v="HERITAGE DRIVE EAST"/>
    <n v="3"/>
    <x v="7"/>
    <n v="3750"/>
    <m/>
    <n v="0"/>
    <x v="4"/>
  </r>
  <r>
    <x v="878"/>
    <s v="HERITAGE DRIVE NORTH"/>
    <s v="Heritage Estates"/>
    <x v="31"/>
    <x v="187"/>
    <n v="634"/>
    <n v="26"/>
    <s v="NC"/>
    <s v="C"/>
    <n v="0"/>
    <n v="6"/>
    <n v="7"/>
    <n v="7"/>
    <n v="8"/>
    <n v="7"/>
    <n v="6"/>
    <n v="6"/>
    <n v="6"/>
    <n v="6"/>
    <n v="6"/>
    <m/>
    <m/>
    <m/>
    <n v="50"/>
    <n v="0"/>
    <s v="HERITAGE DRIVE NORTH"/>
    <n v="3"/>
    <x v="7"/>
    <n v="3001.8939393939395"/>
    <m/>
    <n v="0"/>
    <x v="4"/>
  </r>
  <r>
    <x v="879"/>
    <s v="HERITAGE DRIVE SOUTH"/>
    <s v="Heritage Estates"/>
    <x v="31"/>
    <x v="187"/>
    <n v="581"/>
    <n v="26"/>
    <s v="NC"/>
    <s v="C"/>
    <n v="0"/>
    <n v="6"/>
    <n v="7"/>
    <n v="7"/>
    <n v="8"/>
    <n v="7"/>
    <n v="6"/>
    <n v="6"/>
    <n v="6"/>
    <n v="6"/>
    <n v="6"/>
    <m/>
    <m/>
    <m/>
    <n v="50"/>
    <n v="0"/>
    <s v="HERITAGE DRIVE SOUTH"/>
    <n v="3"/>
    <x v="7"/>
    <n v="2750.9469696969695"/>
    <m/>
    <n v="0"/>
    <x v="4"/>
  </r>
  <r>
    <x v="880"/>
    <s v="HERITAGE DRIVE WEST"/>
    <s v="Heritage Estates"/>
    <x v="31"/>
    <x v="187"/>
    <n v="422"/>
    <n v="26"/>
    <s v="NC"/>
    <s v="C"/>
    <n v="0"/>
    <n v="6"/>
    <n v="7"/>
    <n v="7"/>
    <n v="8"/>
    <n v="7"/>
    <n v="6"/>
    <n v="6"/>
    <n v="6"/>
    <n v="6"/>
    <n v="6"/>
    <m/>
    <m/>
    <m/>
    <n v="50"/>
    <n v="0"/>
    <s v="HERITAGE DRIVE WEST"/>
    <n v="3"/>
    <x v="7"/>
    <n v="1998.1060606060605"/>
    <m/>
    <n v="0"/>
    <x v="4"/>
  </r>
  <r>
    <x v="881"/>
    <s v="HERON COURT"/>
    <s v="Spring Meadows"/>
    <x v="15"/>
    <x v="188"/>
    <n v="581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HERON COURT"/>
    <n v="2.5"/>
    <x v="7"/>
    <n v="2750.9469696969695"/>
    <m/>
    <n v="0"/>
    <x v="4"/>
  </r>
  <r>
    <x v="882"/>
    <s v="HERON DRIVE EAST"/>
    <s v="Spring Meadows"/>
    <x v="15"/>
    <x v="188"/>
    <n v="581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HERON DRIVE EAST"/>
    <n v="2.5"/>
    <x v="7"/>
    <n v="2750.9469696969695"/>
    <m/>
    <n v="0"/>
    <x v="4"/>
  </r>
  <r>
    <x v="883"/>
    <s v="HERON DRIVE SOUTH"/>
    <s v="Spring Meadows"/>
    <x v="15"/>
    <x v="188"/>
    <n v="739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HERON DRIVE SOUTH"/>
    <n v="2.5"/>
    <x v="7"/>
    <n v="3499.0530303030305"/>
    <m/>
    <n v="0"/>
    <x v="4"/>
  </r>
  <r>
    <x v="884"/>
    <s v="HERON DRIVE WEST"/>
    <s v="Spring Meadows"/>
    <x v="15"/>
    <x v="188"/>
    <n v="581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HERON DRIVE WEST"/>
    <n v="2.5"/>
    <x v="7"/>
    <n v="2750.9469696969695"/>
    <m/>
    <n v="0"/>
    <x v="4"/>
  </r>
  <r>
    <x v="885"/>
    <s v="HICKORY BOULEVARD"/>
    <s v="Hickory Hill"/>
    <x v="179"/>
    <x v="189"/>
    <n v="3379"/>
    <n v="26"/>
    <s v="NC"/>
    <s v="C"/>
    <n v="0"/>
    <n v="6"/>
    <n v="7"/>
    <n v="6"/>
    <n v="6"/>
    <n v="9"/>
    <n v="8"/>
    <n v="8"/>
    <n v="6"/>
    <n v="6"/>
    <n v="6"/>
    <m/>
    <m/>
    <m/>
    <n v="50"/>
    <n v="0"/>
    <s v="HICKORY BOULEVARD"/>
    <n v="1"/>
    <x v="7"/>
    <n v="15999.05303030303"/>
    <m/>
    <n v="0"/>
    <x v="4"/>
  </r>
  <r>
    <x v="886"/>
    <s v="HICKORY DRIVE (W)"/>
    <s v="Meridian Acres"/>
    <x v="49"/>
    <x v="161"/>
    <n v="950"/>
    <n v="26"/>
    <s v="NC"/>
    <s v="C"/>
    <n v="0"/>
    <n v="7"/>
    <n v="7"/>
    <n v="7"/>
    <m/>
    <n v="6"/>
    <n v="6"/>
    <n v="5"/>
    <n v="5"/>
    <n v="6"/>
    <n v="6"/>
    <m/>
    <m/>
    <m/>
    <n v="48"/>
    <n v="0"/>
    <s v="HICKORY DRIVE"/>
    <n v="4"/>
    <x v="7"/>
    <n v="4498.106060606061"/>
    <m/>
    <n v="0"/>
    <x v="4"/>
  </r>
  <r>
    <x v="887"/>
    <s v="HICKORY WOODS LANE"/>
    <s v="Hickory Woods"/>
    <x v="179"/>
    <x v="189"/>
    <n v="1320"/>
    <n v="26"/>
    <s v="NC"/>
    <s v="C"/>
    <n v="0"/>
    <n v="6"/>
    <n v="7"/>
    <n v="6"/>
    <n v="6"/>
    <n v="9"/>
    <n v="8"/>
    <n v="8"/>
    <n v="7"/>
    <n v="7"/>
    <n v="7"/>
    <m/>
    <m/>
    <m/>
    <n v="50"/>
    <n v="0"/>
    <s v="HICKORY LANE"/>
    <n v="1"/>
    <x v="7"/>
    <n v="6250"/>
    <m/>
    <n v="0"/>
    <x v="4"/>
  </r>
  <r>
    <x v="888"/>
    <s v="HIDDEN LAKE CT (W)"/>
    <s v="Summerfield"/>
    <x v="180"/>
    <x v="190"/>
    <n v="475"/>
    <n v="26"/>
    <s v="NC"/>
    <s v="BC"/>
    <n v="0"/>
    <n v="7"/>
    <n v="8"/>
    <n v="8"/>
    <n v="8"/>
    <n v="8"/>
    <n v="8"/>
    <n v="7"/>
    <n v="7"/>
    <n v="7"/>
    <n v="7"/>
    <m/>
    <m/>
    <m/>
    <n v="50"/>
    <n v="0"/>
    <s v="HIDDEN LAKE CT (W)"/>
    <n v="2"/>
    <x v="9"/>
    <n v="3842.2"/>
    <m/>
    <n v="0"/>
    <x v="3"/>
  </r>
  <r>
    <x v="889"/>
    <s v="HIGH ACRES EAST DR"/>
    <s v="High Acres"/>
    <x v="181"/>
    <x v="143"/>
    <n v="1267"/>
    <n v="26"/>
    <s v="NC"/>
    <s v="SC"/>
    <n v="0"/>
    <n v="7"/>
    <n v="6"/>
    <n v="6"/>
    <n v="6"/>
    <n v="8"/>
    <n v="7"/>
    <n v="7"/>
    <n v="7"/>
    <n v="7"/>
    <n v="7"/>
    <m/>
    <m/>
    <m/>
    <n v="156"/>
    <n v="0"/>
    <s v="EAST DRIVE"/>
    <n v="2"/>
    <x v="7"/>
    <n v="5999.05303030303"/>
    <m/>
    <n v="0"/>
    <x v="4"/>
  </r>
  <r>
    <x v="890"/>
    <s v="HIGH ACRES NORTH COURT"/>
    <s v="High Acres"/>
    <x v="181"/>
    <x v="143"/>
    <n v="370"/>
    <n v="26"/>
    <s v="NC"/>
    <s v="SC"/>
    <n v="0"/>
    <n v="7"/>
    <n v="7"/>
    <n v="7"/>
    <n v="7"/>
    <n v="8"/>
    <n v="8"/>
    <n v="7"/>
    <n v="7"/>
    <n v="7"/>
    <n v="7"/>
    <m/>
    <m/>
    <m/>
    <n v="156"/>
    <n v="0"/>
    <s v="NORTH COURT"/>
    <n v="2"/>
    <x v="7"/>
    <n v="1751.8939393939395"/>
    <m/>
    <n v="0"/>
    <x v="4"/>
  </r>
  <r>
    <x v="891"/>
    <s v="HIGH ACRES SOUTH COURT"/>
    <s v="High Acres"/>
    <x v="181"/>
    <x v="143"/>
    <n v="370"/>
    <n v="26"/>
    <s v="NC"/>
    <s v="SC"/>
    <n v="0"/>
    <n v="7"/>
    <n v="7"/>
    <n v="7"/>
    <n v="7"/>
    <n v="8"/>
    <n v="8"/>
    <n v="7"/>
    <n v="7"/>
    <n v="7"/>
    <n v="7"/>
    <m/>
    <m/>
    <m/>
    <n v="156"/>
    <n v="0"/>
    <s v="SOUTH COURT"/>
    <n v="2"/>
    <x v="7"/>
    <n v="1751.8939393939395"/>
    <m/>
    <n v="0"/>
    <x v="4"/>
  </r>
  <r>
    <x v="892"/>
    <s v="HIGH ACRES WEST COURT"/>
    <s v="High Acres"/>
    <x v="181"/>
    <x v="143"/>
    <n v="317"/>
    <n v="26"/>
    <s v="NC"/>
    <s v="SC"/>
    <n v="0"/>
    <n v="7"/>
    <n v="7"/>
    <n v="7"/>
    <n v="7"/>
    <n v="8"/>
    <n v="8"/>
    <n v="7"/>
    <n v="7"/>
    <n v="7"/>
    <n v="7"/>
    <m/>
    <m/>
    <m/>
    <n v="156"/>
    <n v="0"/>
    <s v="WEST COURT"/>
    <n v="2"/>
    <x v="7"/>
    <n v="1500.9469696969697"/>
    <m/>
    <n v="0"/>
    <x v="4"/>
  </r>
  <r>
    <x v="893"/>
    <s v="HIGH ACRES WEST DR"/>
    <s v="High Acres"/>
    <x v="181"/>
    <x v="143"/>
    <n v="1214"/>
    <n v="26"/>
    <s v="NC"/>
    <s v="SC"/>
    <n v="0"/>
    <n v="7"/>
    <n v="7"/>
    <n v="7"/>
    <n v="7"/>
    <n v="8"/>
    <n v="8"/>
    <n v="7"/>
    <n v="7"/>
    <n v="7"/>
    <n v="7"/>
    <m/>
    <m/>
    <m/>
    <n v="156"/>
    <n v="0"/>
    <s v="WEST ST"/>
    <n v="2"/>
    <x v="7"/>
    <n v="5748.106060606061"/>
    <m/>
    <n v="0"/>
    <x v="4"/>
  </r>
  <r>
    <x v="894"/>
    <s v="HILL DRIVE"/>
    <s v="Hickory Hill"/>
    <x v="179"/>
    <x v="189"/>
    <n v="528"/>
    <n v="26"/>
    <s v="NC"/>
    <s v="C"/>
    <n v="0"/>
    <n v="6"/>
    <n v="7"/>
    <n v="6"/>
    <n v="6"/>
    <n v="9"/>
    <n v="8"/>
    <n v="8"/>
    <n v="7"/>
    <n v="7"/>
    <n v="7"/>
    <m/>
    <m/>
    <m/>
    <n v="50"/>
    <n v="0"/>
    <s v="HILL DRIVE"/>
    <n v="1"/>
    <x v="7"/>
    <n v="2500"/>
    <m/>
    <n v="0"/>
    <x v="4"/>
  </r>
  <r>
    <x v="895"/>
    <s v="HILLVIEW DRIVE(S)"/>
    <s v="Bristol Ridge"/>
    <x v="166"/>
    <x v="167"/>
    <n v="792"/>
    <n v="26"/>
    <s v="NC"/>
    <s v="SC"/>
    <n v="0"/>
    <n v="8"/>
    <n v="8"/>
    <n v="8"/>
    <n v="8"/>
    <n v="8"/>
    <n v="8"/>
    <n v="8"/>
    <n v="8"/>
    <n v="8"/>
    <n v="8"/>
    <m/>
    <m/>
    <m/>
    <n v="325"/>
    <n v="0"/>
    <s v="HILLVIEW DRIVE(S)"/>
    <n v="2"/>
    <x v="7"/>
    <n v="3750"/>
    <m/>
    <n v="0"/>
    <x v="4"/>
  </r>
  <r>
    <x v="896"/>
    <s v="HOLLYHOCK COURT"/>
    <s v="Doe Creek Estates"/>
    <x v="154"/>
    <x v="143"/>
    <n v="317"/>
    <n v="26"/>
    <s v="NC"/>
    <s v="SC"/>
    <n v="0"/>
    <n v="8"/>
    <n v="7"/>
    <n v="7"/>
    <n v="7"/>
    <n v="7"/>
    <n v="7"/>
    <n v="7"/>
    <n v="7"/>
    <n v="7"/>
    <n v="7"/>
    <m/>
    <m/>
    <m/>
    <n v="392"/>
    <n v="0"/>
    <s v="HOLLYHOCK COURT"/>
    <n v="3"/>
    <x v="7"/>
    <n v="1500.9469696969697"/>
    <m/>
    <n v="0"/>
    <x v="4"/>
  </r>
  <r>
    <x v="897"/>
    <s v="PLYMOUTH CT (N)"/>
    <s v="Stansbury"/>
    <x v="167"/>
    <x v="156"/>
    <n v="792"/>
    <n v="26"/>
    <s v="NC"/>
    <s v="BC"/>
    <n v="0"/>
    <n v="7"/>
    <n v="5"/>
    <n v="5"/>
    <n v="8"/>
    <n v="8"/>
    <n v="8"/>
    <n v="8"/>
    <n v="8"/>
    <n v="8"/>
    <n v="8"/>
    <m/>
    <m/>
    <m/>
    <n v="50"/>
    <n v="0"/>
    <s v="PLYMOUTH CT (N)"/>
    <n v="2"/>
    <x v="7"/>
    <n v="3750"/>
    <m/>
    <n v="0"/>
    <x v="6"/>
  </r>
  <r>
    <x v="898"/>
    <s v="HOMESTEAD COURT"/>
    <s v="Doe Creek Estates"/>
    <x v="154"/>
    <x v="143"/>
    <n v="317"/>
    <n v="26"/>
    <s v="NC"/>
    <s v="SC"/>
    <n v="0"/>
    <n v="8"/>
    <n v="8"/>
    <n v="8"/>
    <n v="8"/>
    <n v="8"/>
    <n v="7"/>
    <n v="7"/>
    <n v="7"/>
    <n v="7"/>
    <n v="7"/>
    <m/>
    <m/>
    <m/>
    <n v="392"/>
    <n v="0"/>
    <s v="HOMESTEAD COURT"/>
    <n v="2"/>
    <x v="7"/>
    <n v="1500.9469696969697"/>
    <m/>
    <n v="0"/>
    <x v="4"/>
  </r>
  <r>
    <x v="899"/>
    <s v="HOMESTEAD DRIVE"/>
    <s v="Countryside"/>
    <x v="15"/>
    <x v="154"/>
    <n v="1637"/>
    <n v="26"/>
    <s v="NC"/>
    <s v="SC"/>
    <n v="0"/>
    <n v="6"/>
    <n v="8"/>
    <n v="7"/>
    <n v="6"/>
    <n v="6"/>
    <n v="8"/>
    <n v="8"/>
    <n v="7"/>
    <n v="6"/>
    <n v="7"/>
    <m/>
    <m/>
    <m/>
    <n v="889"/>
    <n v="0.5"/>
    <s v="HOMESTEAD DRIVE"/>
    <n v="4.5"/>
    <x v="9"/>
    <n v="775.094696969697"/>
    <m/>
    <n v="0"/>
    <x v="3"/>
  </r>
  <r>
    <x v="900"/>
    <s v="HONEYSUCKLE COURT"/>
    <s v="Morning Walk"/>
    <x v="178"/>
    <x v="161"/>
    <n v="264"/>
    <n v="26"/>
    <s v="NC"/>
    <s v="C"/>
    <n v="0"/>
    <n v="7"/>
    <n v="7"/>
    <n v="7"/>
    <n v="7"/>
    <n v="7"/>
    <n v="7"/>
    <n v="7"/>
    <n v="7"/>
    <n v="7"/>
    <n v="7"/>
    <m/>
    <m/>
    <m/>
    <n v="321"/>
    <n v="0"/>
    <s v="HONEYSUCKLE COURT"/>
    <n v="3"/>
    <x v="7"/>
    <n v="1250"/>
    <m/>
    <n v="0"/>
    <x v="4"/>
  </r>
  <r>
    <x v="901"/>
    <s v="HUNTERS COURT(N)"/>
    <s v="Cranberry Lake Estates"/>
    <x v="31"/>
    <x v="133"/>
    <n v="264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HUNTERS COURT(N)"/>
    <n v="3"/>
    <x v="0"/>
    <n v="1050"/>
    <m/>
    <n v="0"/>
    <x v="3"/>
  </r>
  <r>
    <x v="902"/>
    <s v="IRWIN DRIVE (W)"/>
    <m/>
    <x v="182"/>
    <x v="25"/>
    <n v="883"/>
    <n v="20"/>
    <s v="CS"/>
    <s v="BC"/>
    <n v="0"/>
    <m/>
    <m/>
    <m/>
    <m/>
    <m/>
    <m/>
    <n v="4"/>
    <n v="9"/>
    <n v="8"/>
    <n v="8"/>
    <m/>
    <m/>
    <m/>
    <n v="50"/>
    <m/>
    <s v="IRWIN DRIVE (W)"/>
    <n v="10"/>
    <x v="0"/>
    <n v="3511.931818181818"/>
    <m/>
    <m/>
    <x v="4"/>
  </r>
  <r>
    <x v="903"/>
    <s v="IVY COURT"/>
    <s v="Ivy Dale"/>
    <x v="183"/>
    <x v="182"/>
    <n v="1584"/>
    <n v="26"/>
    <s v="NC"/>
    <s v="SC"/>
    <n v="0"/>
    <n v="7"/>
    <n v="7"/>
    <n v="7"/>
    <n v="7"/>
    <n v="7"/>
    <n v="7"/>
    <n v="7"/>
    <n v="7"/>
    <n v="7"/>
    <n v="7"/>
    <m/>
    <m/>
    <m/>
    <n v="366"/>
    <n v="0"/>
    <s v="IVY COURT"/>
    <n v="3"/>
    <x v="7"/>
    <n v="7500"/>
    <m/>
    <n v="0"/>
    <x v="4"/>
  </r>
  <r>
    <x v="904"/>
    <s v="IVY LANE"/>
    <s v="Ivy Dale"/>
    <x v="183"/>
    <x v="182"/>
    <n v="3062"/>
    <n v="26"/>
    <s v="NC"/>
    <s v="SC"/>
    <n v="0"/>
    <n v="7"/>
    <n v="7"/>
    <n v="7"/>
    <n v="7"/>
    <n v="7"/>
    <n v="7"/>
    <n v="7"/>
    <n v="7"/>
    <n v="7"/>
    <n v="7"/>
    <m/>
    <m/>
    <m/>
    <n v="366"/>
    <n v="0"/>
    <s v="IVY LANE"/>
    <n v="3"/>
    <x v="7"/>
    <n v="14498.10606060606"/>
    <m/>
    <n v="0"/>
    <x v="4"/>
  </r>
  <r>
    <x v="905"/>
    <s v="JACKSON"/>
    <s v="Apple's Maxwell"/>
    <x v="31"/>
    <x v="33"/>
    <n v="581"/>
    <n v="26"/>
    <s v="NC"/>
    <s v="C"/>
    <n v="0"/>
    <n v="7"/>
    <n v="6"/>
    <n v="6"/>
    <n v="8"/>
    <n v="8"/>
    <n v="8"/>
    <n v="7"/>
    <n v="6"/>
    <n v="7"/>
    <n v="7"/>
    <m/>
    <m/>
    <m/>
    <n v="50"/>
    <n v="0"/>
    <s v="JACKSON STREET"/>
    <n v="2"/>
    <x v="7"/>
    <n v="2750.9469696969695"/>
    <m/>
    <n v="0"/>
    <x v="4"/>
  </r>
  <r>
    <x v="906"/>
    <s v="JACKSON (MAX)/COTT"/>
    <m/>
    <x v="21"/>
    <x v="191"/>
    <n v="694"/>
    <n v="20"/>
    <s v="CS"/>
    <s v="C"/>
    <n v="0"/>
    <n v="7"/>
    <n v="6"/>
    <n v="6"/>
    <n v="7"/>
    <n v="7"/>
    <n v="7"/>
    <n v="7"/>
    <n v="7"/>
    <n v="7"/>
    <n v="7"/>
    <m/>
    <m/>
    <m/>
    <n v="50"/>
    <n v="0"/>
    <s v="JACKSON (MAX)/COTT"/>
    <n v="3"/>
    <x v="2"/>
    <n v="4206.060606060606"/>
    <m/>
    <n v="0"/>
    <x v="0"/>
  </r>
  <r>
    <x v="907"/>
    <s v="JACOBI RD./100S"/>
    <m/>
    <x v="71"/>
    <x v="64"/>
    <n v="6640"/>
    <n v="20"/>
    <s v="CS"/>
    <s v="SC"/>
    <n v="0"/>
    <n v="8"/>
    <n v="7"/>
    <n v="8"/>
    <n v="8"/>
    <n v="7"/>
    <n v="7"/>
    <n v="6"/>
    <n v="6"/>
    <n v="6"/>
    <n v="8"/>
    <m/>
    <m/>
    <m/>
    <n v="208"/>
    <n v="0"/>
    <s v="JACOBI RD./100S"/>
    <n v="3"/>
    <x v="0"/>
    <n v="26409.090909090908"/>
    <m/>
    <n v="0"/>
    <x v="2"/>
  </r>
  <r>
    <x v="908"/>
    <s v="JACOBI RD./200S"/>
    <m/>
    <x v="62"/>
    <x v="11"/>
    <n v="6673"/>
    <n v="20"/>
    <s v="G"/>
    <s v="SC"/>
    <n v="0"/>
    <n v="8"/>
    <n v="6"/>
    <n v="5"/>
    <n v="5"/>
    <n v="6"/>
    <n v="6"/>
    <n v="6"/>
    <n v="6"/>
    <n v="6"/>
    <n v="6"/>
    <m/>
    <m/>
    <m/>
    <n v="59"/>
    <n v="0"/>
    <s v="JACOBI RD./200S"/>
    <n v="4"/>
    <x v="0"/>
    <n v="26540.340909090908"/>
    <m/>
    <n v="0"/>
    <x v="4"/>
  </r>
  <r>
    <x v="909"/>
    <s v="QUINCY DRIVE(N)"/>
    <s v="Stansbury"/>
    <x v="167"/>
    <x v="156"/>
    <n v="840"/>
    <n v="26"/>
    <s v="NC"/>
    <s v="BC"/>
    <n v="0"/>
    <n v="7"/>
    <n v="8"/>
    <n v="8"/>
    <n v="8"/>
    <n v="8"/>
    <n v="8"/>
    <n v="8"/>
    <n v="8"/>
    <n v="7"/>
    <n v="7"/>
    <m/>
    <m/>
    <m/>
    <n v="50"/>
    <n v="0"/>
    <s v="QUINCY DRIVE(N)"/>
    <n v="2"/>
    <x v="7"/>
    <n v="3977.2727272727275"/>
    <m/>
    <n v="0"/>
    <x v="6"/>
  </r>
  <r>
    <x v="910"/>
    <s v="RALEIGH DRIVE(W)"/>
    <s v="Stansbury"/>
    <x v="167"/>
    <x v="156"/>
    <n v="829"/>
    <n v="26"/>
    <s v="NC"/>
    <s v="BC"/>
    <n v="0"/>
    <n v="8"/>
    <n v="8"/>
    <n v="8"/>
    <n v="8"/>
    <n v="8"/>
    <n v="8"/>
    <n v="8"/>
    <n v="8"/>
    <n v="8"/>
    <n v="8"/>
    <m/>
    <m/>
    <m/>
    <n v="50"/>
    <n v="0"/>
    <s v="RALEIGH DRIVE(W)"/>
    <n v="2"/>
    <x v="7"/>
    <n v="3925.189393939394"/>
    <m/>
    <n v="0"/>
    <x v="6"/>
  </r>
  <r>
    <x v="911"/>
    <s v="JEANNE COURT"/>
    <s v="Fox Cove"/>
    <x v="158"/>
    <x v="158"/>
    <n v="720"/>
    <n v="26"/>
    <s v="NC"/>
    <s v="SC"/>
    <n v="0"/>
    <n v="7"/>
    <n v="7"/>
    <n v="7"/>
    <n v="7"/>
    <n v="7"/>
    <n v="8"/>
    <n v="8"/>
    <n v="8"/>
    <n v="7"/>
    <n v="7"/>
    <m/>
    <m/>
    <m/>
    <n v="667"/>
    <n v="0.5"/>
    <s v="JEANNE COURT"/>
    <n v="3.5"/>
    <x v="9"/>
    <n v="5816"/>
    <m/>
    <n v="0"/>
    <x v="3"/>
  </r>
  <r>
    <x v="912"/>
    <s v="JEFFERSON (MAX)/EA"/>
    <m/>
    <x v="21"/>
    <x v="134"/>
    <n v="612"/>
    <n v="20"/>
    <s v="CS"/>
    <s v="C"/>
    <n v="0"/>
    <n v="7"/>
    <n v="7"/>
    <n v="7"/>
    <n v="7"/>
    <n v="7"/>
    <n v="7"/>
    <n v="7"/>
    <n v="7"/>
    <n v="7"/>
    <n v="7"/>
    <m/>
    <m/>
    <m/>
    <n v="50"/>
    <n v="0"/>
    <s v="JEFFERSON (MAX)/EA"/>
    <n v="3"/>
    <x v="2"/>
    <n v="3709.090909090909"/>
    <m/>
    <n v="0"/>
    <x v="0"/>
  </r>
  <r>
    <x v="913"/>
    <s v="ROCKINGHAM LANE(N)"/>
    <s v="Easton At Stansbury"/>
    <x v="165"/>
    <x v="156"/>
    <n v="2376"/>
    <n v="26"/>
    <s v="NC"/>
    <s v="BC"/>
    <n v="0"/>
    <n v="7"/>
    <n v="8"/>
    <n v="8"/>
    <n v="8"/>
    <n v="8"/>
    <n v="8"/>
    <n v="8"/>
    <n v="8"/>
    <n v="7"/>
    <n v="7"/>
    <m/>
    <m/>
    <m/>
    <n v="50"/>
    <n v="0"/>
    <s v="ROCKINGHAM LANE(N)"/>
    <n v="2"/>
    <x v="7"/>
    <n v="11250"/>
    <m/>
    <n v="0"/>
    <x v="6"/>
  </r>
  <r>
    <x v="914"/>
    <s v="STANSBURY BLVD"/>
    <s v="Stansbury"/>
    <x v="167"/>
    <x v="156"/>
    <n v="3878"/>
    <n v="26"/>
    <s v="NC"/>
    <s v="BC"/>
    <n v="0"/>
    <n v="6"/>
    <n v="8"/>
    <n v="7"/>
    <n v="7"/>
    <n v="7"/>
    <n v="6"/>
    <n v="8"/>
    <n v="8"/>
    <n v="7"/>
    <n v="7"/>
    <m/>
    <m/>
    <m/>
    <n v="50"/>
    <n v="0"/>
    <s v="STANSBURY BLVD(W)"/>
    <n v="3"/>
    <x v="7"/>
    <n v="18361.742424242424"/>
    <m/>
    <n v="0"/>
    <x v="6"/>
  </r>
  <r>
    <x v="915"/>
    <s v="STAYLEY AVE"/>
    <s v="Price Park"/>
    <x v="184"/>
    <x v="192"/>
    <n v="392"/>
    <n v="26"/>
    <s v="NC"/>
    <s v="B"/>
    <n v="0"/>
    <n v="8"/>
    <n v="6"/>
    <n v="6"/>
    <n v="5"/>
    <n v="5"/>
    <n v="4"/>
    <n v="9"/>
    <n v="8"/>
    <n v="7"/>
    <n v="7"/>
    <m/>
    <m/>
    <m/>
    <n v="50"/>
    <n v="0"/>
    <s v="STAYLEY AVE"/>
    <n v="5"/>
    <x v="7"/>
    <n v="1856.060606060606"/>
    <m/>
    <n v="0"/>
    <x v="6"/>
  </r>
  <r>
    <x v="916"/>
    <s v="JENNIFER COURT"/>
    <s v="Buck Creek Meadows"/>
    <x v="102"/>
    <x v="163"/>
    <n v="211"/>
    <n v="26"/>
    <s v="NC"/>
    <s v="BC"/>
    <n v="0"/>
    <n v="5"/>
    <n v="5"/>
    <n v="9"/>
    <n v="9"/>
    <n v="8"/>
    <n v="7"/>
    <n v="6"/>
    <n v="7"/>
    <n v="6"/>
    <n v="7"/>
    <m/>
    <m/>
    <m/>
    <n v="50"/>
    <n v="0"/>
    <s v="JENNIFER COURT"/>
    <n v="2"/>
    <x v="7"/>
    <n v="999.05303030303025"/>
    <m/>
    <n v="0"/>
    <x v="4"/>
  </r>
  <r>
    <x v="917"/>
    <s v="JENNIFER DRIVE"/>
    <s v="Buck Creek Meadows"/>
    <x v="102"/>
    <x v="163"/>
    <n v="2323"/>
    <n v="26"/>
    <s v="NC"/>
    <s v="BC"/>
    <n v="0"/>
    <n v="6"/>
    <n v="6"/>
    <n v="9"/>
    <n v="9"/>
    <n v="8"/>
    <n v="7"/>
    <n v="6"/>
    <n v="7"/>
    <n v="7"/>
    <n v="6"/>
    <m/>
    <m/>
    <m/>
    <n v="50"/>
    <n v="0"/>
    <s v="JENNIFER DRIVE"/>
    <n v="2"/>
    <x v="7"/>
    <n v="10999.05303030303"/>
    <m/>
    <n v="0"/>
    <x v="4"/>
  </r>
  <r>
    <x v="918"/>
    <s v="JENNIFER LANE"/>
    <s v="Buck Creek Meadows"/>
    <x v="102"/>
    <x v="163"/>
    <n v="422"/>
    <n v="26"/>
    <s v="NC"/>
    <s v="BC"/>
    <n v="0"/>
    <n v="5"/>
    <n v="5"/>
    <n v="9"/>
    <n v="9"/>
    <n v="8"/>
    <n v="7"/>
    <n v="6"/>
    <n v="7"/>
    <n v="7"/>
    <n v="7"/>
    <m/>
    <m/>
    <m/>
    <n v="50"/>
    <n v="0"/>
    <s v="JENNIFER LANE"/>
    <n v="2"/>
    <x v="7"/>
    <n v="1998.1060606060605"/>
    <m/>
    <n v="0"/>
    <x v="4"/>
  </r>
  <r>
    <x v="919"/>
    <s v="KAITLIN COURT"/>
    <s v="Village Green"/>
    <x v="43"/>
    <x v="11"/>
    <n v="168"/>
    <n v="26"/>
    <s v="NC"/>
    <s v="SC"/>
    <n v="0"/>
    <m/>
    <n v="8"/>
    <n v="8"/>
    <n v="8"/>
    <n v="8"/>
    <n v="8"/>
    <n v="8"/>
    <n v="8"/>
    <n v="8"/>
    <n v="8"/>
    <m/>
    <m/>
    <m/>
    <n v="740"/>
    <n v="0.5"/>
    <s v="KAITLIN COURT"/>
    <n v="2.5"/>
    <x v="7"/>
    <n v="795.4545454545455"/>
    <m/>
    <n v="0"/>
    <x v="4"/>
  </r>
  <r>
    <x v="920"/>
    <s v="KAITLIN RD"/>
    <s v="Village Green"/>
    <x v="43"/>
    <x v="11"/>
    <n v="442"/>
    <n v="26"/>
    <s v="NC"/>
    <s v="SC"/>
    <n v="0"/>
    <m/>
    <n v="8"/>
    <n v="8"/>
    <n v="8"/>
    <n v="8"/>
    <n v="8"/>
    <n v="8"/>
    <n v="8"/>
    <n v="8"/>
    <n v="7"/>
    <m/>
    <m/>
    <m/>
    <n v="740"/>
    <n v="0.5"/>
    <s v="KAITLIN RD"/>
    <n v="2.5"/>
    <x v="7"/>
    <n v="2092.8030303030305"/>
    <m/>
    <n v="0"/>
    <x v="4"/>
  </r>
  <r>
    <x v="921"/>
    <s v="KATHLEEN COURT"/>
    <s v="Pleasant Acres"/>
    <x v="164"/>
    <x v="193"/>
    <n v="898"/>
    <n v="26"/>
    <s v="NC"/>
    <s v="BC"/>
    <n v="0"/>
    <n v="5"/>
    <n v="5"/>
    <n v="5"/>
    <n v="9"/>
    <n v="9"/>
    <n v="9"/>
    <n v="8"/>
    <n v="8"/>
    <n v="7"/>
    <n v="7"/>
    <m/>
    <m/>
    <m/>
    <n v="50"/>
    <n v="0"/>
    <s v="KATHLEEN COURT"/>
    <n v="1"/>
    <x v="7"/>
    <n v="4251.893939393939"/>
    <m/>
    <n v="0"/>
    <x v="4"/>
  </r>
  <r>
    <x v="922"/>
    <s v="KELLY DRIVE(N)"/>
    <s v="Cranberry Lake Estates"/>
    <x v="31"/>
    <x v="133"/>
    <n v="1056"/>
    <n v="26"/>
    <s v="NC"/>
    <s v="C"/>
    <n v="0"/>
    <n v="7"/>
    <n v="7"/>
    <n v="7"/>
    <n v="7"/>
    <n v="7"/>
    <n v="7"/>
    <n v="6"/>
    <n v="6"/>
    <n v="6"/>
    <n v="6"/>
    <m/>
    <m/>
    <m/>
    <n v="50"/>
    <n v="0"/>
    <s v="KELLY DRIVE(N)"/>
    <n v="3"/>
    <x v="3"/>
    <n v="9200"/>
    <m/>
    <n v="0"/>
    <x v="0"/>
  </r>
  <r>
    <x v="923"/>
    <s v="SUGAR CREEK TRAIL"/>
    <s v="Valley Green"/>
    <x v="178"/>
    <x v="153"/>
    <n v="1690"/>
    <n v="26"/>
    <s v="NC"/>
    <s v="C"/>
    <n v="0"/>
    <n v="7"/>
    <n v="7"/>
    <n v="7"/>
    <n v="7"/>
    <n v="6"/>
    <n v="6"/>
    <n v="8"/>
    <n v="8"/>
    <n v="7"/>
    <n v="7"/>
    <m/>
    <m/>
    <m/>
    <n v="50"/>
    <n v="0"/>
    <s v="SUGAR CREEK TRAIL"/>
    <n v="4"/>
    <x v="7"/>
    <n v="8001.893939393939"/>
    <m/>
    <n v="0"/>
    <x v="6"/>
  </r>
  <r>
    <x v="924"/>
    <s v="KINGBIRD COURT"/>
    <s v="Vernon Woods"/>
    <x v="49"/>
    <x v="194"/>
    <n v="422"/>
    <n v="26"/>
    <s v="NC"/>
    <s v="V"/>
    <n v="0"/>
    <n v="8"/>
    <n v="8"/>
    <n v="8"/>
    <n v="8"/>
    <n v="8"/>
    <n v="8"/>
    <n v="7"/>
    <n v="7"/>
    <n v="7"/>
    <n v="7"/>
    <m/>
    <m/>
    <m/>
    <n v="50"/>
    <n v="0"/>
    <s v="KINGBIRD COURT"/>
    <n v="2"/>
    <x v="7"/>
    <n v="1998.1060606060605"/>
    <m/>
    <n v="0"/>
    <x v="4"/>
  </r>
  <r>
    <x v="925"/>
    <s v="KINGBIRD DRIVE"/>
    <s v="Vernon Woods"/>
    <x v="49"/>
    <x v="194"/>
    <n v="1109"/>
    <n v="26"/>
    <s v="NC"/>
    <s v="V"/>
    <n v="0"/>
    <n v="8"/>
    <n v="8"/>
    <n v="8"/>
    <n v="8"/>
    <n v="8"/>
    <n v="8"/>
    <n v="7"/>
    <n v="7"/>
    <n v="7"/>
    <n v="7"/>
    <m/>
    <m/>
    <m/>
    <n v="50"/>
    <n v="0"/>
    <s v="KINGBIRD DRIVE"/>
    <n v="2"/>
    <x v="7"/>
    <n v="5250.94696969697"/>
    <m/>
    <n v="0"/>
    <x v="4"/>
  </r>
  <r>
    <x v="926"/>
    <s v="THISTLE BURR"/>
    <s v="Old Shagbark Woods"/>
    <x v="3"/>
    <x v="38"/>
    <n v="526"/>
    <n v="20"/>
    <s v="HMA"/>
    <s v="J"/>
    <n v="0"/>
    <m/>
    <m/>
    <m/>
    <n v="8"/>
    <n v="8"/>
    <n v="8"/>
    <m/>
    <m/>
    <m/>
    <n v="7"/>
    <m/>
    <m/>
    <m/>
    <n v="50"/>
    <n v="0"/>
    <s v="THISTLE BURR"/>
    <n v="2"/>
    <x v="7"/>
    <n v="2490.530303030303"/>
    <m/>
    <n v="0"/>
    <x v="6"/>
  </r>
  <r>
    <x v="927"/>
    <s v="LAKESIDE COURT"/>
    <s v="Cranberry Lake Estates"/>
    <x v="31"/>
    <x v="133"/>
    <n v="264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LAKESIDE COURT"/>
    <n v="3"/>
    <x v="0"/>
    <n v="1050"/>
    <m/>
    <n v="0"/>
    <x v="3"/>
  </r>
  <r>
    <x v="928"/>
    <s v="LAKEWOOD COURT"/>
    <s v="Cranberry Lake Estates"/>
    <x v="31"/>
    <x v="133"/>
    <n v="262.5"/>
    <m/>
    <s v="NC"/>
    <s v="C"/>
    <n v="0"/>
    <m/>
    <n v="7"/>
    <n v="7"/>
    <n v="7"/>
    <n v="7"/>
    <n v="7"/>
    <n v="7"/>
    <n v="7"/>
    <n v="7"/>
    <n v="7"/>
    <m/>
    <m/>
    <m/>
    <n v="50"/>
    <n v="0"/>
    <m/>
    <n v="3"/>
    <x v="7"/>
    <n v="1242.8977272727273"/>
    <m/>
    <n v="0"/>
    <x v="4"/>
  </r>
  <r>
    <x v="929"/>
    <s v="LAKEWOOD DRIVE"/>
    <s v="Cranberry Lake Estates"/>
    <x v="31"/>
    <x v="133"/>
    <n v="1742"/>
    <n v="26"/>
    <s v="NC"/>
    <s v="C"/>
    <n v="0"/>
    <n v="8"/>
    <n v="7"/>
    <n v="7"/>
    <n v="7"/>
    <n v="7"/>
    <n v="7"/>
    <n v="7"/>
    <n v="7"/>
    <n v="7"/>
    <n v="7"/>
    <m/>
    <m/>
    <m/>
    <n v="50"/>
    <n v="0"/>
    <s v="LAKEWOOD DRIVE"/>
    <n v="3"/>
    <x v="0"/>
    <n v="6928.409090909091"/>
    <m/>
    <n v="0"/>
    <x v="3"/>
  </r>
  <r>
    <x v="930"/>
    <s v="LANA COURT EAST"/>
    <s v="Brier Creek"/>
    <x v="102"/>
    <x v="139"/>
    <n v="581"/>
    <n v="26"/>
    <s v="NC"/>
    <s v="SC"/>
    <n v="0"/>
    <n v="7"/>
    <n v="7"/>
    <n v="7"/>
    <n v="7"/>
    <n v="8"/>
    <n v="8"/>
    <n v="8"/>
    <n v="8"/>
    <n v="7"/>
    <n v="7"/>
    <m/>
    <m/>
    <m/>
    <n v="232"/>
    <n v="0"/>
    <s v="LANA COURT EAST"/>
    <n v="2"/>
    <x v="7"/>
    <n v="2750.9469696969695"/>
    <m/>
    <n v="0"/>
    <x v="4"/>
  </r>
  <r>
    <x v="931"/>
    <s v="LANA COURT WEST"/>
    <s v="Brier Creek"/>
    <x v="102"/>
    <x v="139"/>
    <n v="581"/>
    <n v="26"/>
    <s v="NC"/>
    <s v="SC"/>
    <n v="0"/>
    <n v="7"/>
    <n v="7"/>
    <n v="7"/>
    <n v="7"/>
    <n v="8"/>
    <n v="8"/>
    <n v="8"/>
    <n v="8"/>
    <n v="7"/>
    <n v="7"/>
    <m/>
    <m/>
    <m/>
    <n v="232"/>
    <n v="0"/>
    <s v="LANA COURT WEST"/>
    <n v="2"/>
    <x v="7"/>
    <n v="2750.9469696969695"/>
    <m/>
    <n v="0"/>
    <x v="4"/>
  </r>
  <r>
    <x v="932"/>
    <s v="VERNON LANE"/>
    <s v="Alfords"/>
    <x v="0"/>
    <x v="185"/>
    <n v="370"/>
    <n v="26"/>
    <s v="NC"/>
    <s v="V"/>
    <n v="0"/>
    <n v="6"/>
    <n v="8"/>
    <n v="8"/>
    <n v="8"/>
    <n v="8"/>
    <n v="8"/>
    <n v="8"/>
    <n v="8"/>
    <n v="7"/>
    <n v="7"/>
    <m/>
    <m/>
    <m/>
    <n v="50"/>
    <n v="0"/>
    <s v="VERNON LANE"/>
    <n v="2"/>
    <x v="7"/>
    <n v="1751.8939393939395"/>
    <m/>
    <n v="0"/>
    <x v="6"/>
  </r>
  <r>
    <x v="933"/>
    <s v="LEE MAR DRIVE"/>
    <s v="Glad Acres"/>
    <x v="15"/>
    <x v="17"/>
    <n v="422"/>
    <n v="26"/>
    <s v="NC"/>
    <s v="SC"/>
    <n v="0"/>
    <n v="7"/>
    <n v="8"/>
    <n v="8"/>
    <n v="7"/>
    <n v="8"/>
    <n v="8"/>
    <n v="7"/>
    <n v="7"/>
    <n v="7"/>
    <n v="7"/>
    <m/>
    <m/>
    <m/>
    <n v="121"/>
    <n v="0"/>
    <s v="LEE MAR DRIVE"/>
    <n v="2"/>
    <x v="7"/>
    <n v="1998.1060606060605"/>
    <m/>
    <n v="0"/>
    <x v="4"/>
  </r>
  <r>
    <x v="934"/>
    <s v="LEONARD ROAD"/>
    <s v="Glad Acres"/>
    <x v="15"/>
    <x v="17"/>
    <n v="1584"/>
    <n v="26"/>
    <s v="NC"/>
    <s v="SC"/>
    <n v="0"/>
    <n v="7"/>
    <n v="8"/>
    <n v="8"/>
    <n v="7"/>
    <n v="8"/>
    <n v="8"/>
    <n v="7"/>
    <n v="7"/>
    <n v="7"/>
    <n v="7"/>
    <m/>
    <m/>
    <m/>
    <n v="121"/>
    <n v="0"/>
    <s v="LEONARD ROAD"/>
    <n v="2"/>
    <x v="7"/>
    <n v="7500"/>
    <m/>
    <n v="0"/>
    <x v="4"/>
  </r>
  <r>
    <x v="935"/>
    <s v="LILAC LANE"/>
    <s v="Gem Meadows"/>
    <x v="185"/>
    <x v="168"/>
    <n v="1214"/>
    <n v="26"/>
    <s v="NC"/>
    <s v="SC"/>
    <n v="0"/>
    <n v="8"/>
    <n v="8"/>
    <n v="8"/>
    <n v="8"/>
    <n v="8"/>
    <n v="7"/>
    <n v="7"/>
    <n v="7"/>
    <n v="7"/>
    <n v="7"/>
    <m/>
    <m/>
    <m/>
    <n v="234"/>
    <n v="0"/>
    <s v="LILAC LANE"/>
    <n v="2"/>
    <x v="5"/>
    <n v="18393.939393939392"/>
    <m/>
    <n v="0"/>
    <x v="7"/>
  </r>
  <r>
    <x v="936"/>
    <s v="LILLIAN COURT"/>
    <s v="Schildmeier Woods"/>
    <x v="102"/>
    <x v="152"/>
    <n v="317"/>
    <n v="26"/>
    <s v="NC"/>
    <s v="SC"/>
    <n v="0"/>
    <n v="9"/>
    <n v="8"/>
    <n v="10"/>
    <n v="9"/>
    <n v="8"/>
    <n v="8"/>
    <n v="7"/>
    <n v="8"/>
    <n v="7"/>
    <n v="7"/>
    <m/>
    <m/>
    <m/>
    <n v="410"/>
    <n v="0"/>
    <s v="LILLIAN COURT"/>
    <n v="2"/>
    <x v="7"/>
    <n v="1500.9469696969697"/>
    <m/>
    <n v="0"/>
    <x v="4"/>
  </r>
  <r>
    <x v="937"/>
    <s v="LILY COURT"/>
    <s v="Morning Walk"/>
    <x v="178"/>
    <x v="161"/>
    <n v="211"/>
    <n v="26"/>
    <s v="NC"/>
    <s v="C"/>
    <n v="0"/>
    <n v="7"/>
    <n v="7"/>
    <n v="7"/>
    <n v="7"/>
    <n v="7"/>
    <n v="7"/>
    <n v="7"/>
    <n v="7"/>
    <n v="7"/>
    <n v="7"/>
    <m/>
    <m/>
    <m/>
    <n v="321"/>
    <n v="0"/>
    <s v="LILY COURT"/>
    <n v="3"/>
    <x v="7"/>
    <n v="999.05303030303025"/>
    <m/>
    <n v="0"/>
    <x v="4"/>
  </r>
  <r>
    <x v="938"/>
    <s v="WALNUT/VINE(PHILY)"/>
    <m/>
    <x v="42"/>
    <x v="83"/>
    <n v="1797"/>
    <n v="20"/>
    <s v="AC"/>
    <s v="SC"/>
    <n v="0"/>
    <n v="8"/>
    <n v="6"/>
    <n v="5"/>
    <n v="4"/>
    <n v="4"/>
    <n v="4"/>
    <n v="8"/>
    <n v="8"/>
    <n v="8"/>
    <n v="8"/>
    <m/>
    <m/>
    <m/>
    <n v="50"/>
    <n v="0"/>
    <s v="WALNUT DRIVE"/>
    <n v="6"/>
    <x v="7"/>
    <n v="8508.5227272727279"/>
    <m/>
    <n v="0"/>
    <x v="6"/>
  </r>
  <r>
    <x v="939"/>
    <s v="LOGAN DR (S)"/>
    <s v="Briarwood Trace"/>
    <x v="102"/>
    <x v="166"/>
    <n v="1262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LOGAN DR (S)"/>
    <n v="3"/>
    <x v="9"/>
    <n v="14218"/>
    <m/>
    <n v="0"/>
    <x v="3"/>
  </r>
  <r>
    <x v="940"/>
    <s v="MAIELLEN COURT"/>
    <s v="Buck Creek Meadows"/>
    <x v="33"/>
    <x v="70"/>
    <n v="83.24"/>
    <m/>
    <s v="NC"/>
    <s v="BC"/>
    <n v="0"/>
    <m/>
    <n v="7"/>
    <n v="8"/>
    <n v="8"/>
    <n v="7"/>
    <n v="6"/>
    <n v="5"/>
    <n v="7"/>
    <n v="7"/>
    <n v="7"/>
    <m/>
    <m/>
    <m/>
    <n v="50"/>
    <n v="0"/>
    <s v="MAIELLEN COURT"/>
    <n v="3"/>
    <x v="7"/>
    <n v="394.12878787878782"/>
    <m/>
    <n v="0"/>
    <x v="4"/>
  </r>
  <r>
    <x v="941"/>
    <s v="MAIELLEN DRIVE"/>
    <s v="Buck Creek Meadows"/>
    <x v="102"/>
    <x v="163"/>
    <n v="1933"/>
    <n v="26"/>
    <s v="NC"/>
    <s v="BC"/>
    <n v="0"/>
    <n v="7"/>
    <n v="7"/>
    <n v="7"/>
    <n v="7"/>
    <n v="6"/>
    <n v="6"/>
    <n v="6"/>
    <n v="7"/>
    <n v="7"/>
    <n v="7"/>
    <m/>
    <m/>
    <m/>
    <n v="50"/>
    <n v="0"/>
    <s v="MAIELLEN DRIVE"/>
    <n v="4"/>
    <x v="7"/>
    <n v="9152.4621212121219"/>
    <m/>
    <n v="0"/>
    <x v="4"/>
  </r>
  <r>
    <x v="942"/>
    <s v="MAIN CROSS(PHILY)"/>
    <m/>
    <x v="23"/>
    <x v="195"/>
    <n v="612"/>
    <n v="20"/>
    <s v="AC"/>
    <s v="SC"/>
    <n v="0"/>
    <n v="5"/>
    <n v="5"/>
    <n v="5"/>
    <n v="8"/>
    <n v="8"/>
    <n v="7"/>
    <n v="7"/>
    <n v="7"/>
    <n v="7"/>
    <n v="7"/>
    <m/>
    <m/>
    <m/>
    <n v="50"/>
    <n v="0"/>
    <s v="MAIN CROSS(PHILY)"/>
    <n v="2"/>
    <x v="9"/>
    <n v="289.77272727272725"/>
    <m/>
    <n v="0"/>
    <x v="3"/>
  </r>
  <r>
    <x v="943"/>
    <s v="MAIN ST(CHAR)/25N"/>
    <m/>
    <x v="23"/>
    <x v="57"/>
    <n v="1077"/>
    <n v="20"/>
    <s v="AC"/>
    <s v="J"/>
    <n v="0"/>
    <n v="6"/>
    <n v="6"/>
    <n v="6"/>
    <n v="6"/>
    <n v="6"/>
    <n v="6"/>
    <n v="5"/>
    <n v="5"/>
    <n v="7"/>
    <n v="7"/>
    <m/>
    <m/>
    <m/>
    <n v="50"/>
    <n v="0"/>
    <s v="MAIN ST"/>
    <n v="4"/>
    <x v="2"/>
    <n v="6527.272727272727"/>
    <m/>
    <n v="0"/>
    <x v="2"/>
  </r>
  <r>
    <x v="944"/>
    <s v="MAIN ST(FINLY)/GR"/>
    <m/>
    <x v="52"/>
    <x v="196"/>
    <n v="634"/>
    <n v="20"/>
    <s v="AC"/>
    <s v="BW"/>
    <n v="0"/>
    <n v="7"/>
    <n v="7"/>
    <n v="7"/>
    <n v="7"/>
    <n v="7"/>
    <n v="7"/>
    <n v="6"/>
    <n v="6"/>
    <n v="6"/>
    <n v="7"/>
    <m/>
    <m/>
    <m/>
    <n v="35"/>
    <n v="0"/>
    <s v="MAIN ST"/>
    <n v="3"/>
    <x v="0"/>
    <n v="2521.590909090909"/>
    <m/>
    <n v="0"/>
    <x v="2"/>
  </r>
  <r>
    <x v="945"/>
    <s v="MAIN ST.(WILL BR)"/>
    <s v="Willow Branch"/>
    <x v="99"/>
    <x v="1"/>
    <n v="2620"/>
    <n v="20"/>
    <s v="AC"/>
    <s v="B"/>
    <n v="0"/>
    <n v="6"/>
    <n v="6"/>
    <n v="6"/>
    <n v="6"/>
    <n v="5"/>
    <n v="9"/>
    <n v="8"/>
    <n v="8"/>
    <n v="7"/>
    <n v="7"/>
    <m/>
    <m/>
    <m/>
    <n v="50"/>
    <n v="0"/>
    <s v="MAIN ST"/>
    <n v="5"/>
    <x v="0"/>
    <n v="10420.454545454546"/>
    <m/>
    <n v="0"/>
    <x v="4"/>
  </r>
  <r>
    <x v="946"/>
    <s v="ANITA LANE"/>
    <s v="Wildwood Estates"/>
    <x v="172"/>
    <x v="160"/>
    <n v="1478"/>
    <n v="26"/>
    <s v="NC"/>
    <s v="BC"/>
    <n v="0"/>
    <n v="6"/>
    <n v="6"/>
    <n v="6"/>
    <n v="6"/>
    <n v="6"/>
    <n v="6"/>
    <n v="6"/>
    <n v="6"/>
    <n v="6"/>
    <n v="6"/>
    <m/>
    <m/>
    <m/>
    <n v="50"/>
    <n v="0"/>
    <s v="ANITA LANE"/>
    <n v="4"/>
    <x v="10"/>
    <n v="20994.31818181818"/>
    <m/>
    <n v="0"/>
    <x v="6"/>
  </r>
  <r>
    <x v="947"/>
    <s v="MEADOW LAKE DRIVE"/>
    <s v="Meadow Lake Estates"/>
    <x v="15"/>
    <x v="169"/>
    <n v="1795"/>
    <n v="26"/>
    <s v="NC"/>
    <s v="SC"/>
    <n v="0"/>
    <n v="7"/>
    <n v="8"/>
    <n v="8"/>
    <n v="8"/>
    <n v="8"/>
    <n v="7"/>
    <n v="7"/>
    <n v="7"/>
    <n v="7"/>
    <n v="7"/>
    <m/>
    <m/>
    <m/>
    <n v="1150"/>
    <n v="0.5"/>
    <s v="MEADOW LAKE DRIVE"/>
    <n v="2.5"/>
    <x v="7"/>
    <n v="8499.05303030303"/>
    <m/>
    <n v="0"/>
    <x v="4"/>
  </r>
  <r>
    <x v="948"/>
    <s v="MEADOW SONG CT S"/>
    <s v="Meadow Lake Estates"/>
    <x v="15"/>
    <x v="169"/>
    <n v="739"/>
    <n v="26"/>
    <s v="NC"/>
    <s v="SC"/>
    <n v="0"/>
    <n v="7"/>
    <n v="8"/>
    <n v="8"/>
    <n v="8"/>
    <n v="8"/>
    <n v="7"/>
    <n v="7"/>
    <n v="7"/>
    <n v="7"/>
    <n v="7"/>
    <m/>
    <m/>
    <m/>
    <n v="1150"/>
    <n v="0.5"/>
    <s v="MEADOW SONG CT S"/>
    <n v="2.5"/>
    <x v="7"/>
    <n v="3499.0530303030305"/>
    <m/>
    <n v="0"/>
    <x v="4"/>
  </r>
  <r>
    <x v="949"/>
    <s v="MEADOWS CIRCLE"/>
    <s v="Buck Creek Meadows"/>
    <x v="102"/>
    <x v="163"/>
    <n v="739"/>
    <n v="26"/>
    <s v="NC"/>
    <s v="BC"/>
    <n v="0"/>
    <n v="7"/>
    <n v="7"/>
    <n v="7"/>
    <n v="7"/>
    <n v="7"/>
    <n v="7"/>
    <n v="6"/>
    <n v="7"/>
    <n v="7"/>
    <n v="7"/>
    <m/>
    <m/>
    <m/>
    <n v="176"/>
    <n v="0"/>
    <s v="MEADOWS CIRCLE"/>
    <n v="3"/>
    <x v="7"/>
    <n v="3499.0530303030305"/>
    <m/>
    <n v="0"/>
    <x v="4"/>
  </r>
  <r>
    <x v="950"/>
    <s v="MEADOWS LANE"/>
    <s v="Buck Creek Meadows"/>
    <x v="102"/>
    <x v="163"/>
    <n v="2059"/>
    <n v="26"/>
    <s v="NC"/>
    <s v="BC"/>
    <n v="0"/>
    <n v="7"/>
    <n v="7"/>
    <n v="7"/>
    <n v="7"/>
    <n v="7"/>
    <n v="7"/>
    <n v="6"/>
    <n v="7"/>
    <n v="7"/>
    <n v="7"/>
    <m/>
    <m/>
    <m/>
    <n v="176"/>
    <n v="0"/>
    <s v="MEADOWS LANE"/>
    <n v="3"/>
    <x v="7"/>
    <n v="9749.05303030303"/>
    <m/>
    <n v="0"/>
    <x v="4"/>
  </r>
  <r>
    <x v="951"/>
    <s v="MEADOWVIEW DR"/>
    <s v="Summerfield"/>
    <x v="180"/>
    <x v="190"/>
    <n v="1320"/>
    <n v="26"/>
    <s v="NC"/>
    <s v="BC"/>
    <n v="0"/>
    <n v="7"/>
    <n v="6"/>
    <n v="6"/>
    <n v="6"/>
    <n v="6"/>
    <n v="8"/>
    <n v="7"/>
    <n v="7"/>
    <n v="7"/>
    <n v="7"/>
    <m/>
    <m/>
    <m/>
    <n v="50"/>
    <n v="0"/>
    <s v="MEADOWVIEW DR"/>
    <n v="4"/>
    <x v="9"/>
    <n v="10677"/>
    <m/>
    <n v="0"/>
    <x v="3"/>
  </r>
  <r>
    <x v="952"/>
    <s v="MELODY LANE"/>
    <s v="Wildwood Estates"/>
    <x v="172"/>
    <x v="160"/>
    <n v="1003"/>
    <n v="26"/>
    <s v="NC"/>
    <s v="BC"/>
    <n v="0"/>
    <n v="7"/>
    <n v="7"/>
    <n v="7"/>
    <n v="7"/>
    <n v="7"/>
    <n v="7"/>
    <n v="7"/>
    <n v="6"/>
    <n v="6"/>
    <n v="6"/>
    <m/>
    <m/>
    <m/>
    <n v="50"/>
    <n v="0"/>
    <s v="MELODY LANE"/>
    <n v="3"/>
    <x v="10"/>
    <n v="14247.15909090909"/>
    <m/>
    <n v="0"/>
    <x v="6"/>
  </r>
  <r>
    <x v="953"/>
    <s v="WILDWOOD DRIVE"/>
    <s v="Wildwood Estates"/>
    <x v="172"/>
    <x v="160"/>
    <n v="1373"/>
    <n v="26"/>
    <s v="NC"/>
    <s v="BC"/>
    <n v="0"/>
    <n v="7"/>
    <n v="7"/>
    <n v="7"/>
    <n v="7"/>
    <n v="7"/>
    <n v="7"/>
    <n v="7"/>
    <n v="7"/>
    <n v="7"/>
    <n v="7"/>
    <m/>
    <m/>
    <m/>
    <n v="50"/>
    <n v="0"/>
    <s v="WILDWOOD DRIVE"/>
    <n v="3"/>
    <x v="10"/>
    <n v="19502.840909090908"/>
    <m/>
    <n v="0"/>
    <x v="6"/>
  </r>
  <r>
    <x v="954"/>
    <s v="MEMORY LANE"/>
    <s v="Time Capsule Park"/>
    <x v="164"/>
    <x v="197"/>
    <n v="634"/>
    <n v="26"/>
    <s v="NC"/>
    <s v="SC"/>
    <n v="0"/>
    <n v="8"/>
    <n v="7"/>
    <n v="7"/>
    <n v="7"/>
    <n v="7"/>
    <n v="7"/>
    <n v="7"/>
    <n v="7"/>
    <n v="7"/>
    <n v="8"/>
    <m/>
    <m/>
    <m/>
    <n v="50"/>
    <n v="0"/>
    <s v="MEMORY LANE"/>
    <n v="3"/>
    <x v="7"/>
    <n v="3001.8939393939395"/>
    <m/>
    <n v="0"/>
    <x v="4"/>
  </r>
  <r>
    <x v="955"/>
    <s v="MERIDIAN RD./1000A"/>
    <m/>
    <x v="5"/>
    <x v="61"/>
    <n v="3800"/>
    <n v="20"/>
    <s v="AC"/>
    <s v="V"/>
    <n v="0"/>
    <n v="8"/>
    <n v="7"/>
    <n v="7"/>
    <n v="7"/>
    <n v="7"/>
    <n v="6"/>
    <n v="6"/>
    <n v="6"/>
    <n v="6"/>
    <n v="7"/>
    <m/>
    <m/>
    <m/>
    <n v="250"/>
    <n v="0"/>
    <s v="MERIDIAN RD."/>
    <n v="3"/>
    <x v="2"/>
    <n v="23030.303030303032"/>
    <m/>
    <n v="0"/>
    <x v="3"/>
  </r>
  <r>
    <x v="956"/>
    <s v="300N/500W"/>
    <m/>
    <x v="117"/>
    <x v="34"/>
    <n v="4972"/>
    <n v="20"/>
    <s v="AC"/>
    <s v="BC"/>
    <n v="0"/>
    <n v="6"/>
    <n v="6"/>
    <n v="6"/>
    <n v="5"/>
    <n v="5"/>
    <n v="5"/>
    <n v="5"/>
    <n v="5"/>
    <n v="8"/>
    <n v="7"/>
    <m/>
    <m/>
    <s v="Y"/>
    <n v="4581"/>
    <n v="1.5"/>
    <s v="300N"/>
    <n v="6.5"/>
    <x v="4"/>
    <n v="103583.33333333333"/>
    <m/>
    <n v="0"/>
    <x v="6"/>
  </r>
  <r>
    <x v="957"/>
    <s v="MERIDIAN RD./100S"/>
    <m/>
    <x v="62"/>
    <x v="63"/>
    <n v="5265"/>
    <n v="20"/>
    <s v="AC"/>
    <s v="C"/>
    <n v="0"/>
    <n v="7"/>
    <n v="8"/>
    <n v="8"/>
    <n v="8"/>
    <n v="7"/>
    <n v="7"/>
    <n v="7"/>
    <n v="7"/>
    <n v="7"/>
    <n v="7"/>
    <n v="2024"/>
    <n v="2023"/>
    <s v="Y"/>
    <n v="1452"/>
    <n v="0.5"/>
    <s v="MERIDIAN RD."/>
    <n v="3.5"/>
    <x v="0"/>
    <n v="20940.340909090908"/>
    <m/>
    <n v="0"/>
    <x v="3"/>
  </r>
  <r>
    <x v="958"/>
    <s v="MERIDIAN RD./1100N"/>
    <m/>
    <x v="60"/>
    <x v="62"/>
    <n v="5315"/>
    <n v="20"/>
    <s v="AC"/>
    <s v="V"/>
    <n v="0"/>
    <n v="8"/>
    <n v="5"/>
    <n v="6"/>
    <n v="5"/>
    <n v="5"/>
    <n v="7"/>
    <n v="7"/>
    <n v="8"/>
    <n v="7"/>
    <n v="7"/>
    <m/>
    <m/>
    <m/>
    <n v="304"/>
    <n v="0"/>
    <s v="MERIDIAN RD."/>
    <n v="5"/>
    <x v="2"/>
    <n v="32212.121212121212"/>
    <m/>
    <n v="0"/>
    <x v="3"/>
  </r>
  <r>
    <x v="959"/>
    <s v="MERIDIAN RD./200S"/>
    <m/>
    <x v="63"/>
    <x v="64"/>
    <n v="5330"/>
    <n v="20"/>
    <s v="AC"/>
    <s v="BW"/>
    <n v="0"/>
    <n v="6"/>
    <n v="7"/>
    <n v="9"/>
    <n v="9"/>
    <n v="8"/>
    <n v="7"/>
    <n v="6"/>
    <n v="6"/>
    <n v="6"/>
    <n v="7"/>
    <n v="2023"/>
    <n v="2023"/>
    <s v="Y"/>
    <n v="1243"/>
    <n v="0.5"/>
    <s v="MERIDIAN RD."/>
    <n v="2.5"/>
    <x v="0"/>
    <n v="21198.863636363636"/>
    <m/>
    <n v="0"/>
    <x v="2"/>
  </r>
  <r>
    <x v="960"/>
    <s v="700W/600N"/>
    <m/>
    <x v="1"/>
    <x v="1"/>
    <n v="4963"/>
    <n v="20"/>
    <s v="CS"/>
    <s v="BC"/>
    <n v="0"/>
    <n v="7"/>
    <n v="7"/>
    <n v="7"/>
    <n v="7"/>
    <n v="8"/>
    <n v="7"/>
    <n v="7"/>
    <n v="6"/>
    <n v="6"/>
    <n v="7"/>
    <m/>
    <n v="2018"/>
    <s v="Y"/>
    <n v="2420"/>
    <n v="1"/>
    <s v="700W"/>
    <n v="3"/>
    <x v="4"/>
    <n v="103395.83333333333"/>
    <m/>
    <n v="0"/>
    <x v="6"/>
  </r>
  <r>
    <x v="961"/>
    <s v="MERIDIAN RD./400N"/>
    <m/>
    <x v="177"/>
    <x v="2"/>
    <n v="1160"/>
    <n v="20"/>
    <s v="AC"/>
    <s v="BW"/>
    <n v="0"/>
    <n v="8"/>
    <n v="7"/>
    <n v="8"/>
    <n v="8"/>
    <n v="7"/>
    <n v="7"/>
    <n v="6"/>
    <n v="6"/>
    <n v="6"/>
    <n v="6"/>
    <m/>
    <m/>
    <m/>
    <n v="540"/>
    <n v="0.5"/>
    <s v="MERIDIAN RD."/>
    <n v="3.5"/>
    <x v="1"/>
    <n v="1186.3636363636363"/>
    <m/>
    <n v="0"/>
    <x v="2"/>
  </r>
  <r>
    <x v="962"/>
    <s v="MERIDIAN RD./400S"/>
    <m/>
    <x v="24"/>
    <x v="26"/>
    <n v="5340"/>
    <n v="20"/>
    <s v="AC"/>
    <s v="BW"/>
    <n v="0"/>
    <n v="8"/>
    <n v="7"/>
    <n v="8"/>
    <n v="8"/>
    <n v="7"/>
    <n v="6"/>
    <n v="6"/>
    <n v="7"/>
    <n v="7"/>
    <n v="7"/>
    <n v="2023"/>
    <n v="2023"/>
    <s v="Y"/>
    <n v="540"/>
    <n v="0.5"/>
    <s v="MERIDIAN RD."/>
    <n v="3.5"/>
    <x v="0"/>
    <n v="21238.636363636364"/>
    <m/>
    <n v="0"/>
    <x v="4"/>
  </r>
  <r>
    <x v="963"/>
    <s v="MERIDIAN RD./500S"/>
    <m/>
    <x v="122"/>
    <x v="91"/>
    <n v="5185"/>
    <n v="20"/>
    <s v="AC"/>
    <s v="BW"/>
    <n v="0"/>
    <n v="7"/>
    <n v="5"/>
    <n v="4"/>
    <n v="4"/>
    <n v="9"/>
    <n v="9"/>
    <n v="8"/>
    <n v="7"/>
    <n v="7"/>
    <n v="7"/>
    <m/>
    <m/>
    <m/>
    <n v="486"/>
    <n v="0"/>
    <s v="MERIDIAN RD."/>
    <n v="1"/>
    <x v="1"/>
    <n v="5302.840909090909"/>
    <m/>
    <n v="0"/>
    <x v="2"/>
  </r>
  <r>
    <x v="964"/>
    <s v="MERIDIAN RD./900N"/>
    <m/>
    <x v="7"/>
    <x v="88"/>
    <n v="5300"/>
    <n v="20"/>
    <s v="CS"/>
    <s v="V"/>
    <n v="0"/>
    <n v="8"/>
    <n v="7"/>
    <n v="6"/>
    <n v="6"/>
    <n v="6"/>
    <n v="5"/>
    <n v="5"/>
    <n v="5"/>
    <n v="8"/>
    <n v="8"/>
    <m/>
    <m/>
    <m/>
    <n v="262"/>
    <n v="0"/>
    <s v="MERIDIAN RD."/>
    <n v="4"/>
    <x v="0"/>
    <n v="21079.545454545456"/>
    <m/>
    <n v="0"/>
    <x v="5"/>
  </r>
  <r>
    <x v="965"/>
    <s v="MERIDIAN RD./SR234"/>
    <m/>
    <x v="7"/>
    <x v="82"/>
    <n v="5160"/>
    <n v="20"/>
    <s v="CS"/>
    <s v="V"/>
    <n v="0"/>
    <n v="3"/>
    <n v="5"/>
    <n v="7"/>
    <n v="7"/>
    <n v="7"/>
    <n v="5"/>
    <n v="5"/>
    <n v="5"/>
    <n v="5"/>
    <n v="7"/>
    <m/>
    <m/>
    <m/>
    <n v="71"/>
    <n v="0"/>
    <s v="MERIDIAN RD."/>
    <n v="3"/>
    <x v="0"/>
    <n v="20522.727272727272"/>
    <m/>
    <n v="0"/>
    <x v="2"/>
  </r>
  <r>
    <x v="966"/>
    <s v="MICHAEL'S CT"/>
    <s v="Shel-Lyn Estates"/>
    <x v="157"/>
    <x v="177"/>
    <n v="792"/>
    <n v="26"/>
    <s v="NC"/>
    <s v="BW"/>
    <n v="0"/>
    <n v="6"/>
    <n v="9"/>
    <n v="9"/>
    <n v="8"/>
    <n v="8"/>
    <n v="8"/>
    <n v="7"/>
    <n v="7"/>
    <n v="7"/>
    <n v="7"/>
    <m/>
    <m/>
    <m/>
    <n v="141"/>
    <n v="0"/>
    <s v="MICHAEL'S CT"/>
    <n v="2"/>
    <x v="5"/>
    <n v="12000"/>
    <n v="1"/>
    <n v="12000"/>
    <x v="3"/>
  </r>
  <r>
    <x v="967"/>
    <s v="MILL BOULEVARD"/>
    <s v="Country Mill"/>
    <x v="73"/>
    <x v="198"/>
    <n v="950"/>
    <n v="26"/>
    <s v="NC"/>
    <s v="C"/>
    <n v="0"/>
    <n v="7"/>
    <n v="8"/>
    <n v="8"/>
    <n v="8"/>
    <n v="8"/>
    <n v="7"/>
    <n v="6"/>
    <n v="6"/>
    <n v="6"/>
    <n v="6"/>
    <m/>
    <m/>
    <m/>
    <n v="50"/>
    <n v="0"/>
    <s v="MILL BOULEVARD"/>
    <n v="2"/>
    <x v="5"/>
    <n v="14393.939393939394"/>
    <n v="1"/>
    <n v="14393.939393939394"/>
    <x v="3"/>
  </r>
  <r>
    <x v="968"/>
    <s v="MILL COURT"/>
    <s v="Country Mill"/>
    <x v="73"/>
    <x v="176"/>
    <n v="264"/>
    <n v="26"/>
    <s v="NC"/>
    <s v="C"/>
    <n v="0"/>
    <n v="6"/>
    <n v="8"/>
    <n v="8"/>
    <n v="8"/>
    <n v="8"/>
    <n v="7"/>
    <n v="7"/>
    <n v="7"/>
    <n v="7"/>
    <n v="7"/>
    <m/>
    <m/>
    <m/>
    <n v="50"/>
    <n v="0"/>
    <s v="MILL COURT"/>
    <n v="2"/>
    <x v="5"/>
    <n v="4000"/>
    <n v="1"/>
    <n v="4000"/>
    <x v="3"/>
  </r>
  <r>
    <x v="969"/>
    <s v="MILL STREAM DRIVE"/>
    <s v="Country Mill"/>
    <x v="73"/>
    <x v="176"/>
    <n v="1267"/>
    <n v="26"/>
    <s v="NC"/>
    <s v="C"/>
    <n v="0"/>
    <n v="6"/>
    <n v="8"/>
    <n v="8"/>
    <n v="8"/>
    <n v="8"/>
    <n v="7"/>
    <n v="7"/>
    <n v="7"/>
    <n v="7"/>
    <n v="7"/>
    <m/>
    <m/>
    <m/>
    <n v="50"/>
    <n v="0"/>
    <s v="MILL STREAM DRIVE"/>
    <n v="2"/>
    <x v="5"/>
    <n v="19196.969696969696"/>
    <n v="1"/>
    <n v="19196.969696969696"/>
    <x v="3"/>
  </r>
  <r>
    <x v="970"/>
    <s v="MOELLER CIR (S)"/>
    <s v="Briarwood Trace"/>
    <x v="102"/>
    <x v="166"/>
    <n v="663.5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MOELLER CIR (S)"/>
    <n v="3"/>
    <x v="7"/>
    <n v="3141.5719696969695"/>
    <m/>
    <n v="0"/>
    <x v="4"/>
  </r>
  <r>
    <x v="971"/>
    <s v="MOELLER CIR(N)"/>
    <s v="Briarwood Trace"/>
    <x v="102"/>
    <x v="166"/>
    <n v="858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MOELLER CIR(N)"/>
    <n v="3"/>
    <x v="9"/>
    <n v="9667"/>
    <m/>
    <n v="0"/>
    <x v="3"/>
  </r>
  <r>
    <x v="972"/>
    <s v="MOHAWK LN(MOH)/NEW"/>
    <m/>
    <x v="27"/>
    <x v="149"/>
    <n v="294"/>
    <n v="20"/>
    <s v="AC"/>
    <s v="C"/>
    <n v="0"/>
    <n v="6"/>
    <n v="4"/>
    <n v="10"/>
    <n v="9"/>
    <n v="9"/>
    <n v="8"/>
    <n v="8"/>
    <n v="7"/>
    <n v="7"/>
    <n v="7"/>
    <m/>
    <m/>
    <m/>
    <n v="50"/>
    <n v="0"/>
    <s v="MOHAWK LN(MOH)/NEW"/>
    <n v="1"/>
    <x v="2"/>
    <n v="1781.8181818181818"/>
    <m/>
    <n v="0"/>
    <x v="5"/>
  </r>
  <r>
    <x v="973"/>
    <s v="MOHR ESTATES MIDDLE DRIVE"/>
    <s v="Mohr Estates"/>
    <x v="186"/>
    <x v="199"/>
    <n v="1320"/>
    <n v="26"/>
    <s v="NC"/>
    <s v="SC"/>
    <n v="0"/>
    <n v="8"/>
    <n v="7"/>
    <n v="7"/>
    <n v="8"/>
    <n v="9"/>
    <n v="8"/>
    <n v="8"/>
    <n v="8"/>
    <n v="8"/>
    <n v="8"/>
    <m/>
    <m/>
    <m/>
    <n v="220"/>
    <n v="0"/>
    <s v="MIDDLE DRIVE"/>
    <n v="1"/>
    <x v="7"/>
    <n v="6250"/>
    <m/>
    <n v="0"/>
    <x v="4"/>
  </r>
  <r>
    <x v="974"/>
    <s v="MOHR ESTATES SOUTH DRIVE"/>
    <s v="Mohr Estates"/>
    <x v="186"/>
    <x v="199"/>
    <n v="1267"/>
    <n v="26"/>
    <s v="NC"/>
    <s v="SC"/>
    <n v="0"/>
    <n v="6"/>
    <n v="6"/>
    <n v="6"/>
    <n v="5"/>
    <n v="9"/>
    <n v="8"/>
    <n v="8"/>
    <n v="8"/>
    <n v="8"/>
    <n v="7"/>
    <m/>
    <m/>
    <m/>
    <n v="205"/>
    <n v="0"/>
    <s v="SOUTH DRIVE"/>
    <n v="1"/>
    <x v="7"/>
    <n v="5999.05303030303"/>
    <m/>
    <n v="0"/>
    <x v="4"/>
  </r>
  <r>
    <x v="975"/>
    <s v="MOHR ROAD(E)"/>
    <s v="Cranberry Lake Estates"/>
    <x v="31"/>
    <x v="133"/>
    <n v="2376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MOHR ROAD(E)"/>
    <n v="3"/>
    <x v="0"/>
    <n v="9450"/>
    <m/>
    <n v="0"/>
    <x v="3"/>
  </r>
  <r>
    <x v="976"/>
    <s v="MOHR ROAD(N)"/>
    <s v="Cranberry Lake Estates"/>
    <x v="31"/>
    <x v="133"/>
    <n v="1531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MOHR ROAD(N)"/>
    <n v="3"/>
    <x v="0"/>
    <n v="6089.204545454545"/>
    <m/>
    <n v="0"/>
    <x v="3"/>
  </r>
  <r>
    <x v="977"/>
    <s v="MORGAN COURT(W)"/>
    <s v="Village Green"/>
    <x v="187"/>
    <x v="143"/>
    <n v="638"/>
    <n v="26"/>
    <s v="NC"/>
    <s v="SC"/>
    <n v="0"/>
    <n v="7"/>
    <n v="7"/>
    <n v="7"/>
    <n v="7"/>
    <n v="7"/>
    <n v="7"/>
    <n v="7"/>
    <n v="7"/>
    <n v="7"/>
    <n v="7"/>
    <m/>
    <m/>
    <m/>
    <n v="259"/>
    <n v="0"/>
    <s v="MORGAN COURT(W)"/>
    <n v="3"/>
    <x v="5"/>
    <n v="9666.6666666666661"/>
    <n v="1"/>
    <n v="9666.6666666666661"/>
    <x v="3"/>
  </r>
  <r>
    <x v="978"/>
    <s v="MORGAN CT (E)"/>
    <s v="Village Green"/>
    <x v="188"/>
    <x v="200"/>
    <n v="331"/>
    <n v="26"/>
    <s v="NC"/>
    <s v="SC"/>
    <n v="0"/>
    <n v="7"/>
    <n v="7"/>
    <n v="7"/>
    <n v="7"/>
    <n v="7"/>
    <n v="7"/>
    <n v="7"/>
    <n v="7"/>
    <n v="7"/>
    <n v="7"/>
    <m/>
    <m/>
    <m/>
    <n v="259"/>
    <n v="0"/>
    <s v="MORGAN CT (E)"/>
    <n v="3"/>
    <x v="5"/>
    <n v="5015.151515151515"/>
    <n v="1"/>
    <n v="5015.151515151515"/>
    <x v="3"/>
  </r>
  <r>
    <x v="979"/>
    <s v="MORNING GLORY CIRCLE"/>
    <s v="Morning Walk"/>
    <x v="178"/>
    <x v="161"/>
    <n v="370"/>
    <n v="26"/>
    <s v="NC"/>
    <s v="C"/>
    <n v="0"/>
    <n v="7"/>
    <n v="6"/>
    <n v="6"/>
    <n v="6"/>
    <n v="7"/>
    <n v="7"/>
    <n v="7"/>
    <n v="7"/>
    <n v="7"/>
    <n v="7"/>
    <m/>
    <m/>
    <m/>
    <n v="321"/>
    <n v="0"/>
    <s v="MORNING GLORY CIRCLE"/>
    <n v="3"/>
    <x v="7"/>
    <n v="1751.8939393939395"/>
    <m/>
    <n v="0"/>
    <x v="4"/>
  </r>
  <r>
    <x v="980"/>
    <s v="MORNING WALK DRIVE"/>
    <s v="Morning Walk"/>
    <x v="178"/>
    <x v="161"/>
    <n v="2904"/>
    <n v="26"/>
    <s v="NC"/>
    <s v="C"/>
    <n v="0"/>
    <n v="7"/>
    <n v="7"/>
    <n v="7"/>
    <n v="7"/>
    <n v="7"/>
    <n v="7"/>
    <n v="7"/>
    <n v="7"/>
    <n v="7"/>
    <n v="7"/>
    <m/>
    <m/>
    <m/>
    <n v="321"/>
    <n v="0"/>
    <s v="MORNING WALK DRIVE"/>
    <n v="3"/>
    <x v="7"/>
    <n v="13750"/>
    <m/>
    <n v="0"/>
    <x v="4"/>
  </r>
  <r>
    <x v="981"/>
    <s v="MORRISTOWN PK./STE"/>
    <m/>
    <x v="189"/>
    <x v="64"/>
    <n v="1790"/>
    <n v="20"/>
    <s v="AC"/>
    <s v="C"/>
    <n v="0"/>
    <n v="5"/>
    <n v="7"/>
    <n v="10"/>
    <n v="9"/>
    <n v="9"/>
    <n v="9"/>
    <n v="8"/>
    <n v="7"/>
    <n v="7"/>
    <n v="7"/>
    <n v="2022"/>
    <m/>
    <s v="Y"/>
    <n v="806"/>
    <n v="0.5"/>
    <s v="MORRISTOWN PK."/>
    <n v="1.5"/>
    <x v="0"/>
    <n v="7119.318181818182"/>
    <m/>
    <n v="0"/>
    <x v="4"/>
  </r>
  <r>
    <x v="982"/>
    <s v="MORRISTOWN PK/100S"/>
    <m/>
    <x v="189"/>
    <x v="63"/>
    <n v="295"/>
    <n v="20"/>
    <s v="AC"/>
    <s v="C"/>
    <n v="0"/>
    <n v="7"/>
    <n v="7"/>
    <n v="7"/>
    <n v="7"/>
    <n v="7"/>
    <n v="7"/>
    <n v="7"/>
    <n v="7"/>
    <n v="7"/>
    <n v="7"/>
    <n v="2024"/>
    <m/>
    <s v="Y"/>
    <n v="806"/>
    <n v="0.5"/>
    <s v="MORRISTOWN PK."/>
    <n v="3.5"/>
    <x v="0"/>
    <n v="1173.2954545454545"/>
    <m/>
    <n v="0"/>
    <x v="3"/>
  </r>
  <r>
    <x v="983"/>
    <s v="MORRISTOWN PK/200S"/>
    <m/>
    <x v="62"/>
    <x v="11"/>
    <n v="5830"/>
    <n v="20"/>
    <s v="CS"/>
    <s v="BW"/>
    <n v="0"/>
    <n v="6"/>
    <n v="7"/>
    <n v="7"/>
    <n v="5"/>
    <n v="7"/>
    <n v="7"/>
    <n v="7"/>
    <n v="7"/>
    <n v="7"/>
    <n v="7"/>
    <n v="2023"/>
    <n v="2023"/>
    <s v="Y"/>
    <n v="625"/>
    <n v="0.5"/>
    <s v="MORRISTOWN PK."/>
    <n v="3.5"/>
    <x v="1"/>
    <n v="5962.5"/>
    <m/>
    <n v="0"/>
    <x v="2"/>
  </r>
  <r>
    <x v="984"/>
    <s v="MORRISTOWN PK/300S"/>
    <m/>
    <x v="63"/>
    <x v="26"/>
    <n v="5934"/>
    <n v="20"/>
    <s v="CS"/>
    <s v="BW"/>
    <n v="0"/>
    <n v="7"/>
    <n v="7"/>
    <n v="7"/>
    <n v="7"/>
    <n v="7"/>
    <n v="7"/>
    <n v="7"/>
    <n v="7"/>
    <n v="7"/>
    <n v="7"/>
    <n v="2023"/>
    <n v="2023"/>
    <s v="Y"/>
    <n v="846"/>
    <n v="0.5"/>
    <s v="MORRISTOWN PK."/>
    <n v="3.5"/>
    <x v="1"/>
    <n v="6068.863636363636"/>
    <m/>
    <n v="0"/>
    <x v="2"/>
  </r>
  <r>
    <x v="985"/>
    <s v="MORRISTOWN PK/400S"/>
    <m/>
    <x v="10"/>
    <x v="91"/>
    <n v="5960"/>
    <n v="20"/>
    <s v="CS"/>
    <s v="BR"/>
    <n v="0"/>
    <n v="7"/>
    <n v="7"/>
    <n v="7"/>
    <n v="7"/>
    <n v="7"/>
    <n v="7"/>
    <n v="7"/>
    <n v="7"/>
    <n v="7"/>
    <n v="7"/>
    <n v="2023"/>
    <n v="2023"/>
    <s v="Y"/>
    <n v="718"/>
    <n v="0.5"/>
    <s v="MORRISTOWN PK."/>
    <n v="3.5"/>
    <x v="1"/>
    <n v="6095.454545454545"/>
    <m/>
    <n v="0"/>
    <x v="2"/>
  </r>
  <r>
    <x v="986"/>
    <s v="MORRISTOWN PK/US40"/>
    <m/>
    <x v="71"/>
    <x v="201"/>
    <n v="3021"/>
    <n v="20"/>
    <s v="AC"/>
    <s v="C"/>
    <n v="0"/>
    <n v="8"/>
    <n v="8"/>
    <n v="7"/>
    <n v="7"/>
    <n v="7"/>
    <n v="7"/>
    <n v="7"/>
    <n v="7"/>
    <n v="7"/>
    <n v="7"/>
    <n v="2024"/>
    <m/>
    <s v="Y"/>
    <n v="2857"/>
    <n v="1.5"/>
    <s v="MORRISTOWN PK."/>
    <n v="4.5"/>
    <x v="0"/>
    <n v="12015.34090909091"/>
    <m/>
    <n v="0"/>
    <x v="3"/>
  </r>
  <r>
    <x v="987"/>
    <s v="MT VERNON COURT"/>
    <s v="Mt. Vernon Pointe"/>
    <x v="190"/>
    <x v="202"/>
    <n v="370"/>
    <n v="26"/>
    <s v="NC"/>
    <s v="V"/>
    <n v="0"/>
    <n v="7"/>
    <n v="8"/>
    <n v="8"/>
    <n v="7"/>
    <n v="7"/>
    <n v="7"/>
    <n v="7"/>
    <n v="7"/>
    <n v="7"/>
    <n v="7"/>
    <m/>
    <m/>
    <m/>
    <n v="50"/>
    <n v="0"/>
    <s v="MT VERNON COURT"/>
    <n v="3"/>
    <x v="5"/>
    <n v="5606.060606060606"/>
    <n v="1"/>
    <n v="5606.060606060606"/>
    <x v="3"/>
  </r>
  <r>
    <x v="988"/>
    <s v="MT VERNON WAY"/>
    <s v="Mt. Vernon Pointe"/>
    <x v="190"/>
    <x v="202"/>
    <n v="2534"/>
    <n v="26"/>
    <s v="NC"/>
    <s v="V"/>
    <n v="0"/>
    <n v="7"/>
    <n v="8"/>
    <n v="8"/>
    <n v="7"/>
    <n v="7"/>
    <n v="6"/>
    <n v="7"/>
    <n v="7"/>
    <n v="6"/>
    <n v="7"/>
    <m/>
    <m/>
    <m/>
    <n v="50"/>
    <n v="0"/>
    <s v="MT VERNON WAY"/>
    <n v="3"/>
    <x v="5"/>
    <n v="38393.939393939392"/>
    <n v="1"/>
    <n v="38393.939393939392"/>
    <x v="3"/>
  </r>
  <r>
    <x v="989"/>
    <s v="600E/200S"/>
    <m/>
    <x v="62"/>
    <x v="129"/>
    <n v="2164"/>
    <n v="20"/>
    <s v="AC"/>
    <s v="BR"/>
    <n v="0"/>
    <n v="7"/>
    <n v="7"/>
    <n v="7"/>
    <n v="7"/>
    <n v="7"/>
    <n v="7"/>
    <n v="7"/>
    <n v="7"/>
    <n v="7"/>
    <n v="8"/>
    <m/>
    <n v="2020"/>
    <s v="Y"/>
    <n v="1415"/>
    <n v="0.5"/>
    <s v="600E"/>
    <n v="3.5"/>
    <x v="4"/>
    <n v="45083.333333333336"/>
    <m/>
    <n v="0"/>
    <x v="6"/>
  </r>
  <r>
    <x v="990"/>
    <s v="NASHVILLE RD./775E"/>
    <m/>
    <x v="46"/>
    <x v="88"/>
    <n v="5960"/>
    <n v="20"/>
    <s v="AC"/>
    <s v="B"/>
    <n v="0"/>
    <n v="6"/>
    <n v="6"/>
    <n v="6"/>
    <n v="5"/>
    <n v="5"/>
    <n v="9"/>
    <n v="8"/>
    <n v="7"/>
    <n v="7"/>
    <n v="7"/>
    <m/>
    <n v="2023"/>
    <s v="Y"/>
    <n v="124"/>
    <n v="0"/>
    <s v="NASHVILLE RD."/>
    <n v="5"/>
    <x v="5"/>
    <n v="90303.030303030304"/>
    <n v="1"/>
    <n v="90303.030303030304"/>
    <x v="3"/>
  </r>
  <r>
    <x v="991"/>
    <s v="NASHVILLE RD./900N"/>
    <m/>
    <x v="5"/>
    <x v="8"/>
    <n v="4480"/>
    <n v="20"/>
    <s v="AC"/>
    <s v="B"/>
    <n v="0"/>
    <n v="7"/>
    <n v="7"/>
    <n v="7"/>
    <n v="6"/>
    <n v="6"/>
    <n v="9"/>
    <n v="8"/>
    <n v="7"/>
    <n v="7"/>
    <n v="7"/>
    <m/>
    <n v="2023"/>
    <s v="Y"/>
    <n v="272"/>
    <n v="0"/>
    <s v="NASHVILLE RD."/>
    <n v="4"/>
    <x v="5"/>
    <n v="67878.787878787873"/>
    <n v="1"/>
    <n v="67878.787878787873"/>
    <x v="3"/>
  </r>
  <r>
    <x v="992"/>
    <s v="NASHVILLE RD/1000N"/>
    <m/>
    <x v="46"/>
    <x v="61"/>
    <n v="820"/>
    <n v="20"/>
    <s v="AC"/>
    <s v="B"/>
    <n v="0"/>
    <n v="6"/>
    <n v="6"/>
    <n v="6"/>
    <n v="6"/>
    <n v="5"/>
    <n v="9"/>
    <n v="8"/>
    <n v="7"/>
    <n v="7"/>
    <n v="7"/>
    <m/>
    <n v="2023"/>
    <s v="Y"/>
    <n v="222"/>
    <n v="0"/>
    <s v="NASHVILLE RD."/>
    <n v="5"/>
    <x v="5"/>
    <n v="12424.242424242424"/>
    <n v="1"/>
    <n v="12424.242424242424"/>
    <x v="3"/>
  </r>
  <r>
    <x v="993"/>
    <s v="NASHVILLE RD/1100N"/>
    <m/>
    <x v="105"/>
    <x v="21"/>
    <n v="858"/>
    <n v="20"/>
    <s v="AC"/>
    <s v="B"/>
    <n v="0"/>
    <n v="6"/>
    <n v="6"/>
    <n v="6"/>
    <n v="6"/>
    <n v="6"/>
    <n v="9"/>
    <n v="8"/>
    <n v="7"/>
    <n v="7"/>
    <n v="7"/>
    <m/>
    <n v="2023"/>
    <s v="Y"/>
    <n v="222"/>
    <n v="0"/>
    <s v="NASHVILLE RD."/>
    <n v="4"/>
    <x v="5"/>
    <n v="13000"/>
    <n v="1"/>
    <n v="13000"/>
    <x v="3"/>
  </r>
  <r>
    <x v="994"/>
    <s v="NASHVILLE RD/675E"/>
    <m/>
    <x v="60"/>
    <x v="21"/>
    <n v="6328"/>
    <n v="20"/>
    <s v="AC"/>
    <s v="B"/>
    <n v="0"/>
    <n v="7"/>
    <n v="6"/>
    <n v="6"/>
    <n v="6"/>
    <n v="5"/>
    <n v="9"/>
    <n v="8"/>
    <n v="7"/>
    <n v="7"/>
    <n v="7"/>
    <m/>
    <n v="2023"/>
    <s v="Y"/>
    <n v="222"/>
    <n v="0"/>
    <s v="NASHVILLE RD."/>
    <n v="5"/>
    <x v="5"/>
    <n v="95878.787878787873"/>
    <n v="1"/>
    <n v="95878.787878787873"/>
    <x v="3"/>
  </r>
  <r>
    <x v="995"/>
    <s v="NEW ST(MOH)/MOH LN"/>
    <m/>
    <x v="3"/>
    <x v="203"/>
    <n v="622"/>
    <n v="20"/>
    <s v="AC"/>
    <s v="C"/>
    <n v="0"/>
    <n v="5"/>
    <n v="4"/>
    <n v="10"/>
    <n v="9"/>
    <n v="9"/>
    <n v="8"/>
    <n v="8"/>
    <n v="7"/>
    <n v="7"/>
    <n v="7"/>
    <m/>
    <m/>
    <m/>
    <n v="50"/>
    <n v="0"/>
    <s v="NEW ST."/>
    <n v="1"/>
    <x v="2"/>
    <n v="3769.6969696969695"/>
    <m/>
    <n v="0"/>
    <x v="5"/>
  </r>
  <r>
    <x v="996"/>
    <s v="NORTH ST(CHAR)/END"/>
    <m/>
    <x v="146"/>
    <x v="25"/>
    <n v="1007"/>
    <n v="20"/>
    <s v="AC"/>
    <s v="J"/>
    <n v="0"/>
    <n v="6"/>
    <n v="6"/>
    <n v="6"/>
    <n v="6"/>
    <n v="6"/>
    <n v="6"/>
    <n v="6"/>
    <n v="6"/>
    <n v="7"/>
    <n v="7"/>
    <m/>
    <m/>
    <m/>
    <n v="50"/>
    <n v="0"/>
    <s v="NORTH ST."/>
    <n v="4"/>
    <x v="3"/>
    <n v="8773.1060606060601"/>
    <m/>
    <n v="0"/>
    <x v="5"/>
  </r>
  <r>
    <x v="997"/>
    <s v="NORTH/EAST ST"/>
    <m/>
    <x v="191"/>
    <x v="174"/>
    <n v="835"/>
    <n v="20"/>
    <s v="G"/>
    <s v="BC"/>
    <n v="0"/>
    <n v="7"/>
    <n v="7"/>
    <n v="6"/>
    <n v="6"/>
    <n v="6"/>
    <n v="6"/>
    <n v="5"/>
    <n v="5"/>
    <n v="5"/>
    <n v="5"/>
    <m/>
    <m/>
    <m/>
    <n v="50"/>
    <n v="0"/>
    <s v="NORTH ST."/>
    <n v="4"/>
    <x v="0"/>
    <n v="3321.0227272727275"/>
    <m/>
    <n v="0"/>
    <x v="0"/>
  </r>
  <r>
    <x v="998"/>
    <s v="OAK DRIVE"/>
    <s v="Lantern Woods"/>
    <x v="15"/>
    <x v="161"/>
    <n v="1267"/>
    <n v="26"/>
    <s v="NC"/>
    <s v="SC"/>
    <n v="0"/>
    <n v="7"/>
    <n v="7"/>
    <n v="7"/>
    <n v="7"/>
    <n v="7"/>
    <n v="7"/>
    <n v="7"/>
    <n v="7"/>
    <n v="7"/>
    <n v="7"/>
    <m/>
    <m/>
    <m/>
    <n v="191"/>
    <n v="0"/>
    <s v="OAK DRIVE"/>
    <n v="3"/>
    <x v="7"/>
    <n v="5999.05303030303"/>
    <m/>
    <n v="0"/>
    <x v="4"/>
  </r>
  <r>
    <x v="999"/>
    <s v="OAK STREET"/>
    <s v="Hamilton Heights"/>
    <x v="161"/>
    <x v="139"/>
    <n v="792"/>
    <n v="26"/>
    <s v="NC"/>
    <s v="SC"/>
    <n v="0"/>
    <n v="7"/>
    <n v="7"/>
    <n v="7"/>
    <n v="8"/>
    <n v="8"/>
    <n v="7"/>
    <n v="7"/>
    <n v="7"/>
    <n v="7"/>
    <n v="7"/>
    <m/>
    <m/>
    <m/>
    <n v="69"/>
    <n v="0"/>
    <s v="OAK STREET"/>
    <n v="2"/>
    <x v="7"/>
    <n v="3750"/>
    <m/>
    <n v="0"/>
    <x v="4"/>
  </r>
  <r>
    <x v="1000"/>
    <s v="OAKWOOD COURT"/>
    <s v="Oakwood"/>
    <x v="192"/>
    <x v="204"/>
    <n v="581"/>
    <n v="26"/>
    <s v="NC"/>
    <s v="SC"/>
    <n v="0"/>
    <n v="9"/>
    <n v="8"/>
    <n v="8"/>
    <n v="8"/>
    <n v="8"/>
    <n v="8"/>
    <n v="8"/>
    <n v="7"/>
    <n v="7"/>
    <n v="7"/>
    <m/>
    <m/>
    <m/>
    <n v="217"/>
    <n v="0"/>
    <s v="OAKWOOD COURT"/>
    <n v="2"/>
    <x v="7"/>
    <n v="2750.9469696969695"/>
    <m/>
    <n v="0"/>
    <x v="4"/>
  </r>
  <r>
    <x v="1001"/>
    <s v="OAKWOOD DRIVE"/>
    <s v="Oakwood"/>
    <x v="192"/>
    <x v="204"/>
    <n v="2165"/>
    <n v="26"/>
    <s v="NC"/>
    <s v="SC"/>
    <n v="0"/>
    <n v="9"/>
    <n v="8"/>
    <n v="8"/>
    <n v="8"/>
    <n v="8"/>
    <n v="7"/>
    <n v="7"/>
    <n v="7"/>
    <n v="7"/>
    <n v="7"/>
    <m/>
    <m/>
    <m/>
    <n v="217"/>
    <n v="0"/>
    <s v="OAKWOOD DRIVE"/>
    <n v="2"/>
    <x v="7"/>
    <n v="10250.94696969697"/>
    <m/>
    <n v="0"/>
    <x v="4"/>
  </r>
  <r>
    <x v="1002"/>
    <s v="ODEN ROAD"/>
    <s v="North Brandywine Heights"/>
    <x v="193"/>
    <x v="139"/>
    <n v="1056"/>
    <n v="26"/>
    <s v="NC"/>
    <s v="C"/>
    <n v="0"/>
    <n v="6"/>
    <n v="6"/>
    <n v="6"/>
    <n v="5"/>
    <n v="4"/>
    <n v="9"/>
    <n v="8"/>
    <n v="7"/>
    <n v="7"/>
    <n v="7"/>
    <m/>
    <m/>
    <m/>
    <n v="50"/>
    <n v="0"/>
    <s v="ODEN ROAD"/>
    <n v="6"/>
    <x v="0"/>
    <n v="4200"/>
    <m/>
    <n v="0"/>
    <x v="3"/>
  </r>
  <r>
    <x v="1003"/>
    <s v="OLD 1200E/NEW1200E"/>
    <m/>
    <x v="194"/>
    <x v="205"/>
    <n v="1645"/>
    <n v="20"/>
    <s v="AC"/>
    <s v="B"/>
    <n v="0"/>
    <n v="8"/>
    <n v="7"/>
    <n v="7"/>
    <n v="7"/>
    <n v="7"/>
    <n v="7"/>
    <n v="7"/>
    <n v="7"/>
    <n v="7"/>
    <n v="7"/>
    <m/>
    <m/>
    <m/>
    <n v="50"/>
    <n v="0"/>
    <s v="OLD 1200E"/>
    <n v="3"/>
    <x v="1"/>
    <n v="1682.3863636363637"/>
    <m/>
    <n v="0"/>
    <x v="2"/>
  </r>
  <r>
    <x v="1004"/>
    <s v="OLD COLONY DR WEST"/>
    <s v="Schildmeier Village"/>
    <x v="102"/>
    <x v="152"/>
    <n v="1056"/>
    <n v="26"/>
    <s v="NC"/>
    <s v="SC"/>
    <n v="0"/>
    <n v="7"/>
    <n v="8"/>
    <n v="7"/>
    <n v="7"/>
    <n v="7"/>
    <n v="6"/>
    <n v="7"/>
    <n v="8"/>
    <n v="7"/>
    <n v="6"/>
    <m/>
    <m/>
    <m/>
    <n v="1074"/>
    <n v="0.5"/>
    <s v="OLD COLONEY DR WEST"/>
    <n v="3.5"/>
    <x v="5"/>
    <n v="16000"/>
    <n v="1"/>
    <n v="16000"/>
    <x v="3"/>
  </r>
  <r>
    <x v="1005"/>
    <s v="OLVEY RD./900N"/>
    <m/>
    <x v="5"/>
    <x v="18"/>
    <n v="3981"/>
    <n v="20"/>
    <s v="CS"/>
    <s v="G"/>
    <n v="0"/>
    <n v="7"/>
    <n v="6"/>
    <n v="6"/>
    <n v="5"/>
    <n v="5"/>
    <n v="5"/>
    <n v="5"/>
    <n v="8"/>
    <n v="8"/>
    <n v="7"/>
    <m/>
    <m/>
    <m/>
    <n v="15"/>
    <n v="0"/>
    <s v="OLVEY RD."/>
    <n v="5"/>
    <x v="0"/>
    <n v="15833.522727272728"/>
    <m/>
    <n v="0"/>
    <x v="4"/>
  </r>
  <r>
    <x v="1006"/>
    <s v="600E/250S"/>
    <m/>
    <x v="128"/>
    <x v="11"/>
    <n v="2692"/>
    <n v="20"/>
    <s v="AC"/>
    <s v="BR"/>
    <n v="0"/>
    <n v="8"/>
    <n v="7"/>
    <n v="7"/>
    <n v="7"/>
    <n v="6"/>
    <n v="7"/>
    <n v="7"/>
    <n v="6"/>
    <n v="7"/>
    <n v="7"/>
    <m/>
    <m/>
    <s v="Y"/>
    <n v="1415"/>
    <n v="0.5"/>
    <s v="600E"/>
    <n v="4.5"/>
    <x v="4"/>
    <n v="56083.333333333336"/>
    <m/>
    <n v="0"/>
    <x v="6"/>
  </r>
  <r>
    <x v="1007"/>
    <s v="OSMAN LANE"/>
    <s v="Wildwood North"/>
    <x v="172"/>
    <x v="160"/>
    <n v="1954"/>
    <n v="26"/>
    <s v="NC"/>
    <s v="BC"/>
    <n v="0"/>
    <n v="7"/>
    <n v="5"/>
    <n v="8"/>
    <n v="8"/>
    <n v="7"/>
    <n v="6"/>
    <n v="6"/>
    <n v="6"/>
    <n v="6"/>
    <n v="6"/>
    <m/>
    <m/>
    <m/>
    <n v="50"/>
    <n v="0"/>
    <s v="OSMAN LANE"/>
    <n v="3"/>
    <x v="3"/>
    <n v="17023.484848484848"/>
    <m/>
    <n v="0"/>
    <x v="4"/>
  </r>
  <r>
    <x v="1008"/>
    <s v="OSPREY DR"/>
    <s v="Greyhawk Woods"/>
    <x v="73"/>
    <x v="186"/>
    <n v="317"/>
    <n v="26"/>
    <s v="NC"/>
    <s v="BW"/>
    <n v="0"/>
    <n v="7"/>
    <n v="8"/>
    <n v="8"/>
    <n v="8"/>
    <n v="8"/>
    <n v="8"/>
    <n v="7"/>
    <n v="7"/>
    <n v="7"/>
    <n v="7"/>
    <m/>
    <m/>
    <m/>
    <n v="439"/>
    <n v="0"/>
    <s v="OSPREY"/>
    <n v="2"/>
    <x v="5"/>
    <n v="4803.030303030303"/>
    <n v="1"/>
    <n v="4803.030303030303"/>
    <x v="3"/>
  </r>
  <r>
    <x v="1009"/>
    <s v="PARKER LANE (S)"/>
    <s v="Village Green"/>
    <x v="187"/>
    <x v="143"/>
    <n v="1478"/>
    <n v="26"/>
    <s v="NC"/>
    <s v="SC"/>
    <n v="0"/>
    <n v="7"/>
    <n v="7"/>
    <n v="7"/>
    <n v="7"/>
    <n v="7"/>
    <n v="7"/>
    <n v="6"/>
    <n v="7"/>
    <n v="7"/>
    <n v="7"/>
    <m/>
    <m/>
    <m/>
    <n v="259"/>
    <n v="0"/>
    <s v="PARKER LANE (S)"/>
    <n v="3"/>
    <x v="5"/>
    <n v="22393.939393939392"/>
    <n v="1"/>
    <n v="22393.939393939392"/>
    <x v="3"/>
  </r>
  <r>
    <x v="1010"/>
    <s v="PARKSIDE DRIVE"/>
    <s v="Countryside"/>
    <x v="15"/>
    <x v="154"/>
    <n v="1003"/>
    <n v="26"/>
    <s v="NC"/>
    <s v="SC"/>
    <n v="0"/>
    <n v="7"/>
    <n v="8"/>
    <n v="8"/>
    <n v="8"/>
    <n v="8"/>
    <n v="7"/>
    <n v="7"/>
    <n v="7"/>
    <n v="7"/>
    <n v="7"/>
    <m/>
    <m/>
    <m/>
    <n v="433"/>
    <n v="0"/>
    <s v="PARKSIDE DRIVE(CO)(S)"/>
    <n v="2"/>
    <x v="9"/>
    <n v="474.905303030303"/>
    <m/>
    <n v="0"/>
    <x v="3"/>
  </r>
  <r>
    <x v="1011"/>
    <s v="PARKVIEW DR"/>
    <s v="Bristol Ridge"/>
    <x v="166"/>
    <x v="167"/>
    <n v="965.4"/>
    <m/>
    <s v="NC"/>
    <s v="SC"/>
    <n v="0"/>
    <m/>
    <n v="8"/>
    <n v="8"/>
    <n v="8"/>
    <n v="8"/>
    <n v="8"/>
    <n v="8"/>
    <n v="8"/>
    <n v="8"/>
    <n v="8"/>
    <m/>
    <m/>
    <m/>
    <n v="325"/>
    <n v="0"/>
    <m/>
    <n v="2"/>
    <x v="7"/>
    <n v="4571.022727272727"/>
    <m/>
    <n v="0"/>
    <x v="4"/>
  </r>
  <r>
    <x v="1012"/>
    <s v="300S/700W"/>
    <m/>
    <x v="51"/>
    <x v="48"/>
    <n v="5370"/>
    <n v="20"/>
    <s v="AC"/>
    <s v="SC"/>
    <n v="0"/>
    <n v="7"/>
    <n v="7"/>
    <n v="8"/>
    <n v="8"/>
    <n v="7"/>
    <n v="6"/>
    <n v="6"/>
    <n v="6"/>
    <n v="6"/>
    <n v="6"/>
    <n v="2024"/>
    <m/>
    <s v="N"/>
    <n v="1412"/>
    <n v="0.5"/>
    <s v="300S"/>
    <n v="3.5"/>
    <x v="4"/>
    <n v="111875"/>
    <m/>
    <n v="0"/>
    <x v="6"/>
  </r>
  <r>
    <x v="1013"/>
    <s v="300N/525E"/>
    <m/>
    <x v="100"/>
    <x v="106"/>
    <n v="4046"/>
    <n v="20"/>
    <s v="AC"/>
    <s v="C"/>
    <n v="0"/>
    <n v="8"/>
    <n v="7"/>
    <n v="7"/>
    <n v="7"/>
    <n v="7"/>
    <n v="6"/>
    <n v="6"/>
    <n v="6"/>
    <n v="7"/>
    <n v="7"/>
    <m/>
    <m/>
    <s v="Y"/>
    <n v="1394"/>
    <n v="0.5"/>
    <s v="300N"/>
    <n v="3.5"/>
    <x v="4"/>
    <n v="84291.666666666672"/>
    <m/>
    <n v="0"/>
    <x v="6"/>
  </r>
  <r>
    <x v="1014"/>
    <s v="PEACE STREET"/>
    <s v="Ridgewood"/>
    <x v="75"/>
    <x v="161"/>
    <n v="1162"/>
    <n v="26"/>
    <s v="NC"/>
    <s v="SC"/>
    <n v="0"/>
    <n v="7"/>
    <n v="7"/>
    <n v="10"/>
    <n v="9"/>
    <n v="8"/>
    <n v="7"/>
    <n v="7"/>
    <n v="7"/>
    <n v="6"/>
    <n v="6"/>
    <m/>
    <m/>
    <m/>
    <n v="202"/>
    <n v="0"/>
    <s v="PEACE STREET"/>
    <n v="2"/>
    <x v="5"/>
    <n v="17606.060606060608"/>
    <n v="1"/>
    <n v="17606.060606060608"/>
    <x v="3"/>
  </r>
  <r>
    <x v="1015"/>
    <s v="PEARL ST(PHILY)"/>
    <m/>
    <x v="23"/>
    <x v="25"/>
    <n v="634"/>
    <n v="20"/>
    <s v="AC"/>
    <s v="C"/>
    <n v="0"/>
    <n v="7"/>
    <n v="7"/>
    <n v="6"/>
    <n v="6"/>
    <n v="6"/>
    <n v="6"/>
    <n v="6"/>
    <n v="6"/>
    <n v="8"/>
    <n v="8"/>
    <m/>
    <m/>
    <m/>
    <n v="50"/>
    <n v="0"/>
    <s v="PEARL ST(PHILY)"/>
    <n v="4"/>
    <x v="0"/>
    <n v="2521.590909090909"/>
    <m/>
    <n v="0"/>
    <x v="5"/>
  </r>
  <r>
    <x v="1016"/>
    <s v="400W/100N"/>
    <m/>
    <x v="44"/>
    <x v="170"/>
    <n v="6620"/>
    <n v="20"/>
    <s v="AC"/>
    <s v="BC"/>
    <n v="0"/>
    <n v="8"/>
    <n v="7"/>
    <n v="7"/>
    <n v="7"/>
    <n v="7"/>
    <n v="7"/>
    <n v="7"/>
    <n v="7"/>
    <n v="7"/>
    <n v="7"/>
    <n v="2023"/>
    <n v="2023"/>
    <s v="Y"/>
    <n v="982"/>
    <n v="0.5"/>
    <s v="400W"/>
    <n v="3.5"/>
    <x v="4"/>
    <n v="137916.66666666666"/>
    <m/>
    <n v="0"/>
    <x v="6"/>
  </r>
  <r>
    <x v="1017"/>
    <s v="400S/100E"/>
    <m/>
    <x v="41"/>
    <x v="42"/>
    <n v="5115"/>
    <n v="20"/>
    <s v="AC"/>
    <s v="BW"/>
    <n v="0"/>
    <n v="8"/>
    <n v="7"/>
    <n v="7"/>
    <n v="7"/>
    <n v="6"/>
    <n v="6"/>
    <n v="5"/>
    <n v="5"/>
    <n v="5"/>
    <n v="6"/>
    <m/>
    <m/>
    <m/>
    <n v="608"/>
    <n v="0.5"/>
    <s v="400S"/>
    <n v="4.5"/>
    <x v="4"/>
    <n v="106562.5"/>
    <m/>
    <n v="0"/>
    <x v="6"/>
  </r>
  <r>
    <x v="1018"/>
    <s v="PINE BLUFF DRIVE(W)"/>
    <s v="Countryside"/>
    <x v="15"/>
    <x v="154"/>
    <n v="1073"/>
    <n v="26"/>
    <s v="NC"/>
    <s v="SC"/>
    <n v="0"/>
    <n v="7"/>
    <n v="6"/>
    <n v="7"/>
    <n v="7"/>
    <n v="7"/>
    <n v="7"/>
    <n v="7"/>
    <n v="7"/>
    <n v="7"/>
    <n v="7"/>
    <m/>
    <m/>
    <m/>
    <n v="515"/>
    <n v="0.5"/>
    <s v="PINE BLUFF DRIVE(W)"/>
    <n v="3.5"/>
    <x v="9"/>
    <n v="508.04924242424244"/>
    <m/>
    <n v="0"/>
    <x v="3"/>
  </r>
  <r>
    <x v="1019"/>
    <s v="PINE COURT"/>
    <s v="Colonial Heights"/>
    <x v="102"/>
    <x v="160"/>
    <n v="317"/>
    <n v="26"/>
    <s v="NC"/>
    <s v="BC"/>
    <n v="0"/>
    <n v="6"/>
    <n v="6"/>
    <n v="8"/>
    <n v="8"/>
    <n v="7"/>
    <n v="7"/>
    <n v="6"/>
    <n v="7"/>
    <n v="7"/>
    <n v="7"/>
    <m/>
    <m/>
    <m/>
    <n v="50"/>
    <n v="0"/>
    <s v="PINE COURT"/>
    <n v="3"/>
    <x v="7"/>
    <n v="1500.9469696969697"/>
    <m/>
    <n v="0"/>
    <x v="4"/>
  </r>
  <r>
    <x v="1020"/>
    <s v="PINE ST(CHAR)/1050"/>
    <m/>
    <x v="146"/>
    <x v="86"/>
    <n v="793"/>
    <n v="20"/>
    <s v="AC"/>
    <s v="J"/>
    <n v="0"/>
    <n v="6"/>
    <n v="6"/>
    <n v="6"/>
    <n v="9"/>
    <n v="8"/>
    <n v="7"/>
    <n v="7"/>
    <n v="7"/>
    <n v="7"/>
    <n v="7"/>
    <m/>
    <m/>
    <m/>
    <n v="50"/>
    <n v="0"/>
    <s v="PINE ST(CHAR)/1050"/>
    <n v="2"/>
    <x v="2"/>
    <n v="4806.060606060606"/>
    <m/>
    <n v="0"/>
    <x v="5"/>
  </r>
  <r>
    <x v="1021"/>
    <s v="PLANTATION ROW (W)"/>
    <s v="Valley View Plantation"/>
    <x v="172"/>
    <x v="206"/>
    <n v="1056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PLANTATION ROW (W)"/>
    <n v="3"/>
    <x v="7"/>
    <n v="5000"/>
    <m/>
    <n v="0"/>
    <x v="4"/>
  </r>
  <r>
    <x v="1022"/>
    <s v="PLEASANT DRIVE"/>
    <s v="Ridgewood"/>
    <x v="75"/>
    <x v="161"/>
    <n v="581"/>
    <n v="26"/>
    <s v="NC"/>
    <s v="SC"/>
    <n v="0"/>
    <n v="7"/>
    <n v="8"/>
    <n v="10"/>
    <n v="9"/>
    <n v="8"/>
    <n v="7"/>
    <n v="7"/>
    <n v="7"/>
    <n v="6"/>
    <n v="6"/>
    <m/>
    <m/>
    <m/>
    <n v="202"/>
    <n v="0"/>
    <s v="PLEASANT DRIVE"/>
    <n v="2"/>
    <x v="5"/>
    <n v="8803.0303030303039"/>
    <n v="1"/>
    <n v="8803.0303030303039"/>
    <x v="3"/>
  </r>
  <r>
    <x v="1023"/>
    <s v="900N/500W"/>
    <m/>
    <x v="117"/>
    <x v="78"/>
    <n v="2703"/>
    <n v="20"/>
    <s v="AC"/>
    <s v="V"/>
    <n v="0"/>
    <n v="6"/>
    <n v="6"/>
    <n v="6"/>
    <n v="6"/>
    <n v="9"/>
    <n v="8"/>
    <n v="8"/>
    <n v="7"/>
    <n v="7"/>
    <n v="7"/>
    <m/>
    <m/>
    <m/>
    <n v="287"/>
    <n v="0"/>
    <s v="900N"/>
    <n v="1"/>
    <x v="4"/>
    <n v="56312.5"/>
    <m/>
    <n v="0"/>
    <x v="6"/>
  </r>
  <r>
    <x v="1024"/>
    <s v="PORTALAN DRIVE"/>
    <s v="Portalan Pleasant Plains"/>
    <x v="164"/>
    <x v="163"/>
    <n v="1320"/>
    <n v="26"/>
    <s v="NC"/>
    <s v="BC"/>
    <n v="0"/>
    <n v="6"/>
    <n v="5"/>
    <n v="10"/>
    <n v="7"/>
    <n v="7"/>
    <n v="8"/>
    <n v="7"/>
    <n v="7"/>
    <n v="7"/>
    <n v="7"/>
    <m/>
    <m/>
    <m/>
    <n v="50"/>
    <n v="0"/>
    <s v="PORTALAN DRIVE"/>
    <n v="3"/>
    <x v="7"/>
    <n v="6250"/>
    <m/>
    <n v="0"/>
    <x v="4"/>
  </r>
  <r>
    <x v="1025"/>
    <s v="PORTIA DRIVE"/>
    <s v="Portalan Pleasant Plains"/>
    <x v="164"/>
    <x v="193"/>
    <n v="634"/>
    <n v="26"/>
    <s v="NC"/>
    <s v="BC"/>
    <n v="0"/>
    <n v="6"/>
    <n v="7"/>
    <n v="10"/>
    <n v="9"/>
    <n v="9"/>
    <n v="9"/>
    <n v="8"/>
    <n v="7"/>
    <n v="7"/>
    <n v="7"/>
    <m/>
    <m/>
    <m/>
    <n v="50"/>
    <n v="0"/>
    <s v="PORTIA DRIVE"/>
    <n v="1"/>
    <x v="7"/>
    <n v="3001.8939393939395"/>
    <m/>
    <n v="0"/>
    <x v="4"/>
  </r>
  <r>
    <x v="1026"/>
    <s v="POSTMASTER LANE"/>
    <s v="Wildwood North"/>
    <x v="172"/>
    <x v="160"/>
    <n v="1954"/>
    <n v="26"/>
    <s v="NC"/>
    <s v="BC"/>
    <n v="0"/>
    <n v="7"/>
    <n v="7"/>
    <n v="6"/>
    <n v="6"/>
    <n v="6"/>
    <n v="7"/>
    <n v="7"/>
    <n v="6"/>
    <n v="6"/>
    <n v="6"/>
    <m/>
    <m/>
    <m/>
    <n v="50"/>
    <n v="0"/>
    <s v="POSTMASTER LANE"/>
    <n v="4"/>
    <x v="9"/>
    <n v="22015"/>
    <m/>
    <n v="0"/>
    <x v="3"/>
  </r>
  <r>
    <x v="1027"/>
    <s v="PRAIRIE COURT"/>
    <s v="Doe Creek Estates"/>
    <x v="154"/>
    <x v="143"/>
    <n v="317"/>
    <n v="26"/>
    <s v="NC"/>
    <s v="SC"/>
    <n v="0"/>
    <n v="7"/>
    <n v="8"/>
    <n v="7"/>
    <n v="7"/>
    <n v="7"/>
    <n v="7"/>
    <n v="7"/>
    <n v="7"/>
    <n v="7"/>
    <n v="7"/>
    <m/>
    <m/>
    <m/>
    <n v="392"/>
    <n v="0"/>
    <s v="PRAIRIE COURT"/>
    <n v="3"/>
    <x v="7"/>
    <n v="1500.9469696969697"/>
    <m/>
    <n v="0"/>
    <x v="4"/>
  </r>
  <r>
    <x v="1028"/>
    <s v="QUAIL COURT"/>
    <s v="Spring Meadows"/>
    <x v="15"/>
    <x v="188"/>
    <n v="581"/>
    <n v="26"/>
    <s v="NC"/>
    <s v="SC"/>
    <n v="0"/>
    <n v="7"/>
    <n v="8"/>
    <n v="8"/>
    <n v="8"/>
    <n v="8"/>
    <n v="7"/>
    <n v="7"/>
    <n v="7"/>
    <n v="7"/>
    <n v="6"/>
    <m/>
    <m/>
    <m/>
    <n v="580"/>
    <n v="0.5"/>
    <s v="QUAIL COURT"/>
    <n v="2.5"/>
    <x v="7"/>
    <n v="2750.9469696969695"/>
    <m/>
    <n v="0"/>
    <x v="4"/>
  </r>
  <r>
    <x v="1029"/>
    <s v="QUAIL RUN DRIVE"/>
    <s v="Spring Meadows"/>
    <x v="15"/>
    <x v="188"/>
    <n v="2429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QUAIL RUN DRIVE"/>
    <n v="2.5"/>
    <x v="7"/>
    <n v="11500.94696969697"/>
    <m/>
    <n v="0"/>
    <x v="4"/>
  </r>
  <r>
    <x v="1030"/>
    <s v="ALEXANDRIA DRIVE"/>
    <s v="Wildwood Estates"/>
    <x v="172"/>
    <x v="160"/>
    <n v="1637"/>
    <n v="26"/>
    <s v="NC"/>
    <s v="BC"/>
    <n v="0"/>
    <n v="5"/>
    <n v="5"/>
    <n v="5"/>
    <n v="6"/>
    <n v="6"/>
    <n v="6"/>
    <n v="6"/>
    <n v="6"/>
    <n v="7"/>
    <n v="7"/>
    <m/>
    <m/>
    <m/>
    <n v="50"/>
    <n v="0"/>
    <s v="ALEXANDRIA DRIVE"/>
    <n v="4"/>
    <x v="4"/>
    <n v="34104.166666666664"/>
    <m/>
    <n v="0"/>
    <x v="6"/>
  </r>
  <r>
    <x v="1031"/>
    <s v="ASHLEY DRIVE(S)"/>
    <s v="BoMar Manor"/>
    <x v="73"/>
    <x v="167"/>
    <n v="528"/>
    <n v="26"/>
    <s v="NC"/>
    <s v="BW"/>
    <n v="0"/>
    <n v="7"/>
    <n v="7"/>
    <n v="10"/>
    <n v="9"/>
    <n v="7"/>
    <n v="7"/>
    <n v="6"/>
    <n v="7"/>
    <n v="6"/>
    <n v="6"/>
    <m/>
    <m/>
    <m/>
    <n v="50"/>
    <n v="0"/>
    <s v="ASHLEY DRIVE(S)"/>
    <n v="3"/>
    <x v="4"/>
    <n v="11000"/>
    <m/>
    <n v="0"/>
    <x v="6"/>
  </r>
  <r>
    <x v="1032"/>
    <s v="BOMAR BOULEVARD"/>
    <s v="BoMar Manor"/>
    <x v="73"/>
    <x v="167"/>
    <n v="1690"/>
    <n v="26"/>
    <s v="NC"/>
    <s v="BW"/>
    <n v="0"/>
    <n v="6"/>
    <n v="6"/>
    <n v="10"/>
    <n v="9"/>
    <n v="7"/>
    <n v="7"/>
    <n v="6"/>
    <n v="6"/>
    <n v="6"/>
    <n v="6"/>
    <m/>
    <m/>
    <m/>
    <n v="50"/>
    <n v="0"/>
    <s v="BOMAR BOULEVARD"/>
    <n v="3"/>
    <x v="4"/>
    <n v="35208.333333333336"/>
    <m/>
    <n v="0"/>
    <x v="6"/>
  </r>
  <r>
    <x v="1033"/>
    <s v="BOMAR CIRCLE"/>
    <s v="BoMar Manor"/>
    <x v="73"/>
    <x v="167"/>
    <n v="317"/>
    <n v="26"/>
    <s v="NC"/>
    <s v="BW"/>
    <n v="0"/>
    <n v="7"/>
    <n v="7"/>
    <n v="7"/>
    <n v="9"/>
    <n v="7"/>
    <n v="7"/>
    <n v="7"/>
    <n v="7"/>
    <n v="6"/>
    <n v="6"/>
    <m/>
    <m/>
    <m/>
    <n v="50"/>
    <n v="0"/>
    <s v="BOMAR CIRCLE"/>
    <n v="3"/>
    <x v="4"/>
    <n v="6604.166666666667"/>
    <m/>
    <n v="0"/>
    <x v="6"/>
  </r>
  <r>
    <x v="1034"/>
    <s v="RAVEN FIELD BLVD(W)"/>
    <s v="Raven Field"/>
    <x v="180"/>
    <x v="160"/>
    <n v="1267"/>
    <n v="26"/>
    <s v="NC"/>
    <s v="BC"/>
    <n v="0"/>
    <n v="7"/>
    <n v="7"/>
    <n v="7"/>
    <n v="6"/>
    <n v="6"/>
    <n v="6"/>
    <n v="6"/>
    <n v="7"/>
    <n v="7"/>
    <n v="7"/>
    <m/>
    <m/>
    <m/>
    <n v="50"/>
    <n v="0"/>
    <s v="RAVEN FIELD BLVD(W)"/>
    <n v="4"/>
    <x v="7"/>
    <n v="5999.05303030303"/>
    <m/>
    <n v="0"/>
    <x v="4"/>
  </r>
  <r>
    <x v="1035"/>
    <s v="RAVENFIELD CRT(N)"/>
    <s v="Raven Field"/>
    <x v="180"/>
    <x v="160"/>
    <n v="686"/>
    <n v="26"/>
    <s v="NC"/>
    <s v="BC"/>
    <n v="0"/>
    <n v="7"/>
    <n v="7"/>
    <n v="7"/>
    <n v="6"/>
    <n v="6"/>
    <n v="6"/>
    <n v="6"/>
    <n v="7"/>
    <n v="6"/>
    <n v="7"/>
    <m/>
    <m/>
    <m/>
    <n v="50"/>
    <n v="0"/>
    <s v="RAVEN FIELD CRT(N)"/>
    <n v="4"/>
    <x v="7"/>
    <n v="3248.1060606060605"/>
    <m/>
    <n v="0"/>
    <x v="4"/>
  </r>
  <r>
    <x v="1036"/>
    <s v="RAYLEE GARDEN DR(S)"/>
    <s v="Meadow Lake Village"/>
    <x v="176"/>
    <x v="139"/>
    <n v="1716"/>
    <n v="26"/>
    <s v="NC"/>
    <s v="SC"/>
    <n v="0"/>
    <n v="8"/>
    <n v="8"/>
    <n v="8"/>
    <n v="8"/>
    <n v="8"/>
    <n v="7"/>
    <n v="7"/>
    <n v="7"/>
    <n v="7"/>
    <n v="7"/>
    <m/>
    <m/>
    <m/>
    <n v="364"/>
    <n v="0"/>
    <s v="RAYLEE GARDEN DR(S)"/>
    <n v="2"/>
    <x v="7"/>
    <n v="8125"/>
    <m/>
    <n v="0"/>
    <x v="4"/>
  </r>
  <r>
    <x v="1037"/>
    <s v="RED FOX TRAIL (N)"/>
    <s v="Fox Cove"/>
    <x v="158"/>
    <x v="158"/>
    <n v="475"/>
    <n v="26"/>
    <s v="NC"/>
    <s v="SC"/>
    <n v="0"/>
    <n v="7"/>
    <n v="7"/>
    <n v="7"/>
    <n v="7"/>
    <n v="7"/>
    <n v="8"/>
    <n v="8"/>
    <n v="8"/>
    <n v="7"/>
    <n v="7"/>
    <m/>
    <m/>
    <m/>
    <n v="667"/>
    <n v="0.5"/>
    <s v="RED FOX TRAIL (N)"/>
    <n v="3.5"/>
    <x v="9"/>
    <n v="3786"/>
    <m/>
    <n v="0"/>
    <x v="3"/>
  </r>
  <r>
    <x v="1038"/>
    <s v="RED OAK DRIVE"/>
    <s v="Twin Oaks"/>
    <x v="73"/>
    <x v="142"/>
    <n v="2640"/>
    <n v="26"/>
    <s v="NC"/>
    <s v="C"/>
    <n v="0"/>
    <n v="7"/>
    <n v="8"/>
    <n v="8"/>
    <n v="7"/>
    <n v="7"/>
    <n v="8"/>
    <n v="7"/>
    <n v="7"/>
    <n v="6"/>
    <n v="6"/>
    <m/>
    <m/>
    <m/>
    <n v="50"/>
    <n v="0"/>
    <s v="RED OAK DRIVE"/>
    <n v="3"/>
    <x v="5"/>
    <n v="40000"/>
    <n v="1"/>
    <n v="40000"/>
    <x v="3"/>
  </r>
  <r>
    <x v="1039"/>
    <s v="REDBUD CIRCLE"/>
    <s v="Sugar Creek Valley Estates"/>
    <x v="161"/>
    <x v="163"/>
    <n v="193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REDBUD CIRCLE"/>
    <n v="3"/>
    <x v="9"/>
    <n v="1561.15"/>
    <m/>
    <n v="0"/>
    <x v="3"/>
  </r>
  <r>
    <x v="1040"/>
    <s v="REMBRANT COURT"/>
    <s v="Schildmeier Woods"/>
    <x v="102"/>
    <x v="152"/>
    <n v="158"/>
    <n v="26"/>
    <s v="NC"/>
    <s v="SC"/>
    <n v="0"/>
    <n v="7"/>
    <n v="7"/>
    <n v="9"/>
    <n v="9"/>
    <n v="8"/>
    <n v="7"/>
    <n v="7"/>
    <n v="8"/>
    <n v="7"/>
    <n v="8"/>
    <m/>
    <m/>
    <m/>
    <n v="668"/>
    <n v="0.5"/>
    <s v="REMBRANT COURT"/>
    <n v="2.5"/>
    <x v="7"/>
    <n v="748.10606060606062"/>
    <m/>
    <n v="0"/>
    <x v="4"/>
  </r>
  <r>
    <x v="1041"/>
    <s v="REX RIDGE ROAD"/>
    <s v="Fox Cove"/>
    <x v="158"/>
    <x v="158"/>
    <n v="528"/>
    <n v="26"/>
    <s v="NC"/>
    <s v="SC"/>
    <n v="0"/>
    <n v="7"/>
    <n v="7"/>
    <n v="7"/>
    <n v="7"/>
    <n v="7"/>
    <n v="7"/>
    <n v="7"/>
    <n v="7"/>
    <n v="7"/>
    <n v="7"/>
    <m/>
    <m/>
    <m/>
    <n v="667"/>
    <n v="0.5"/>
    <s v="REX RIDGE ROAD"/>
    <n v="3.5"/>
    <x v="9"/>
    <n v="4270.9399999999996"/>
    <m/>
    <n v="0"/>
    <x v="3"/>
  </r>
  <r>
    <x v="1042"/>
    <s v="RICHMAN BLVD"/>
    <s v="Richman Platz"/>
    <x v="164"/>
    <x v="207"/>
    <n v="264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BLVD"/>
    <n v="2.5"/>
    <x v="7"/>
    <n v="1250"/>
    <m/>
    <n v="0"/>
    <x v="4"/>
  </r>
  <r>
    <x v="1043"/>
    <s v="RICHMAN CIRCLE"/>
    <s v="Richman Platz"/>
    <x v="170"/>
    <x v="208"/>
    <n v="264"/>
    <n v="26"/>
    <s v="NC"/>
    <s v="SC"/>
    <n v="0"/>
    <m/>
    <n v="9"/>
    <n v="9"/>
    <n v="8"/>
    <n v="8"/>
    <n v="7"/>
    <n v="7"/>
    <n v="7"/>
    <n v="7"/>
    <n v="7"/>
    <m/>
    <m/>
    <m/>
    <n v="653"/>
    <n v="0.5"/>
    <s v="RICHMAN CIRCLE"/>
    <n v="2.5"/>
    <x v="7"/>
    <n v="1250"/>
    <m/>
    <n v="0"/>
    <x v="4"/>
  </r>
  <r>
    <x v="1044"/>
    <s v="RICHMAN COURT"/>
    <s v="Richman Platz"/>
    <x v="164"/>
    <x v="207"/>
    <n v="317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COURT"/>
    <n v="2.5"/>
    <x v="7"/>
    <n v="1500.9469696969697"/>
    <m/>
    <n v="0"/>
    <x v="4"/>
  </r>
  <r>
    <x v="1045"/>
    <s v="RICHMAN DRIVE(S)"/>
    <s v="Richman Platz"/>
    <x v="164"/>
    <x v="207"/>
    <n v="845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DRIVE(S)"/>
    <n v="2.5"/>
    <x v="7"/>
    <n v="4000.9469696969695"/>
    <m/>
    <n v="0"/>
    <x v="4"/>
  </r>
  <r>
    <x v="1046"/>
    <s v="RICHMAN LANE(W)"/>
    <s v="Richman Platz"/>
    <x v="164"/>
    <x v="207"/>
    <n v="1056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LANE(W)"/>
    <n v="2.5"/>
    <x v="7"/>
    <n v="5000"/>
    <m/>
    <n v="0"/>
    <x v="4"/>
  </r>
  <r>
    <x v="1047"/>
    <s v="RICHMAN WAY(S)"/>
    <s v="Richman Platz"/>
    <x v="164"/>
    <x v="207"/>
    <n v="1531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WAY(S)"/>
    <n v="2.5"/>
    <x v="7"/>
    <n v="7249.05303030303"/>
    <m/>
    <n v="0"/>
    <x v="4"/>
  </r>
  <r>
    <x v="1048"/>
    <s v="RICKS DRIVE EAST"/>
    <s v="Woodbury Manor"/>
    <x v="152"/>
    <x v="209"/>
    <n v="1531"/>
    <n v="20"/>
    <s v="NC"/>
    <s v="V"/>
    <n v="0"/>
    <n v="7"/>
    <n v="7"/>
    <n v="7"/>
    <n v="7"/>
    <n v="7"/>
    <n v="8"/>
    <n v="8"/>
    <n v="7"/>
    <n v="7"/>
    <n v="7"/>
    <m/>
    <m/>
    <m/>
    <n v="50"/>
    <n v="0"/>
    <s v="RICKS DRIVE EAST"/>
    <n v="3"/>
    <x v="9"/>
    <n v="13269"/>
    <m/>
    <n v="0"/>
    <x v="3"/>
  </r>
  <r>
    <x v="1049"/>
    <s v="RICKS DRIVE SOUTH"/>
    <s v="Woodbury Manor"/>
    <x v="152"/>
    <x v="209"/>
    <n v="422"/>
    <n v="20"/>
    <s v="NC"/>
    <s v="V"/>
    <n v="0"/>
    <n v="7"/>
    <n v="7"/>
    <n v="7"/>
    <n v="7"/>
    <n v="7"/>
    <n v="8"/>
    <n v="8"/>
    <n v="7"/>
    <n v="7"/>
    <n v="7"/>
    <m/>
    <m/>
    <m/>
    <n v="50"/>
    <n v="0"/>
    <s v="RICKS DRIVE SOUTH"/>
    <n v="3"/>
    <x v="9"/>
    <n v="3658"/>
    <m/>
    <n v="0"/>
    <x v="3"/>
  </r>
  <r>
    <x v="1050"/>
    <s v="RICKS DRIVE WEST"/>
    <s v="Woodbury Manor"/>
    <x v="152"/>
    <x v="209"/>
    <n v="1267"/>
    <n v="20"/>
    <s v="NC"/>
    <s v="V"/>
    <n v="0"/>
    <n v="7"/>
    <n v="7"/>
    <n v="7"/>
    <n v="7"/>
    <n v="7"/>
    <n v="8"/>
    <n v="8"/>
    <n v="7"/>
    <n v="7"/>
    <n v="7"/>
    <m/>
    <m/>
    <m/>
    <n v="50"/>
    <n v="0"/>
    <s v="RICKS DRIVE WEST"/>
    <n v="3"/>
    <x v="9"/>
    <n v="10981"/>
    <m/>
    <n v="0"/>
    <x v="3"/>
  </r>
  <r>
    <x v="1051"/>
    <s v="RIDGE DRIVE"/>
    <s v="Walnut Ridge"/>
    <x v="195"/>
    <x v="178"/>
    <n v="1320"/>
    <n v="26"/>
    <s v="NC"/>
    <s v="C"/>
    <n v="0"/>
    <n v="7"/>
    <n v="8"/>
    <n v="8"/>
    <n v="8"/>
    <n v="8"/>
    <n v="8"/>
    <n v="7"/>
    <n v="7"/>
    <n v="7"/>
    <n v="7"/>
    <m/>
    <m/>
    <m/>
    <n v="50"/>
    <n v="0"/>
    <s v="RIDGE DRIVE"/>
    <n v="2"/>
    <x v="7"/>
    <n v="6250"/>
    <m/>
    <n v="0"/>
    <x v="4"/>
  </r>
  <r>
    <x v="1052"/>
    <s v="RIDGEVIEW"/>
    <s v="Greyhawk Woods"/>
    <x v="73"/>
    <x v="186"/>
    <n v="1109"/>
    <n v="26"/>
    <s v="NC"/>
    <s v="BW"/>
    <n v="0"/>
    <n v="7"/>
    <n v="6"/>
    <n v="9"/>
    <n v="8"/>
    <n v="8"/>
    <n v="8"/>
    <n v="7"/>
    <n v="7"/>
    <n v="7"/>
    <n v="7"/>
    <m/>
    <m/>
    <m/>
    <n v="439"/>
    <n v="0"/>
    <s v="RIDGEVIEW"/>
    <n v="2"/>
    <x v="5"/>
    <n v="16803.030303030304"/>
    <n v="1"/>
    <n v="16803.030303030304"/>
    <x v="3"/>
  </r>
  <r>
    <x v="1053"/>
    <s v="ROBERTS CT. (W)"/>
    <s v="Maple Grove"/>
    <x v="196"/>
    <x v="143"/>
    <n v="698"/>
    <n v="26"/>
    <s v="AC"/>
    <s v="BW"/>
    <m/>
    <m/>
    <m/>
    <m/>
    <m/>
    <n v="8"/>
    <n v="8"/>
    <n v="8"/>
    <n v="8"/>
    <n v="8"/>
    <n v="8"/>
    <m/>
    <m/>
    <m/>
    <n v="118"/>
    <n v="0"/>
    <s v="ROBERTS CT. (W)"/>
    <n v="2"/>
    <x v="7"/>
    <n v="3304.9242424242425"/>
    <m/>
    <n v="0"/>
    <x v="4"/>
  </r>
  <r>
    <x v="1054"/>
    <s v="BOMAR LANE"/>
    <s v="BoMar Manor"/>
    <x v="73"/>
    <x v="167"/>
    <n v="1584"/>
    <n v="26"/>
    <s v="NC"/>
    <s v="BW"/>
    <n v="0"/>
    <n v="6"/>
    <n v="6"/>
    <n v="10"/>
    <n v="9"/>
    <n v="7"/>
    <n v="7"/>
    <n v="7"/>
    <n v="7"/>
    <n v="7"/>
    <n v="6"/>
    <m/>
    <m/>
    <m/>
    <n v="50"/>
    <n v="0"/>
    <s v="BOMAR LANE"/>
    <n v="3"/>
    <x v="4"/>
    <n v="33000"/>
    <m/>
    <n v="0"/>
    <x v="6"/>
  </r>
  <r>
    <x v="1055"/>
    <s v="ROCKWAY DRIVE(W)"/>
    <s v="Countryside"/>
    <x v="15"/>
    <x v="154"/>
    <n v="1320"/>
    <n v="26"/>
    <s v="NC"/>
    <s v="SC"/>
    <n v="0"/>
    <n v="7"/>
    <n v="8"/>
    <n v="8"/>
    <n v="7"/>
    <n v="7"/>
    <n v="8"/>
    <n v="8"/>
    <n v="7"/>
    <n v="7"/>
    <n v="7"/>
    <m/>
    <m/>
    <m/>
    <n v="889"/>
    <n v="0.5"/>
    <s v="ROCKWAY DRIVE(W)"/>
    <n v="3.5"/>
    <x v="9"/>
    <n v="625"/>
    <m/>
    <n v="0"/>
    <x v="3"/>
  </r>
  <r>
    <x v="1056"/>
    <s v="BRANDYWINE COURT"/>
    <s v="BoMar Manor"/>
    <x v="73"/>
    <x v="167"/>
    <n v="1320"/>
    <n v="26"/>
    <s v="NC"/>
    <s v="BW"/>
    <n v="0"/>
    <n v="7"/>
    <n v="6"/>
    <n v="10"/>
    <n v="9"/>
    <n v="7"/>
    <n v="7"/>
    <n v="6"/>
    <n v="5"/>
    <n v="5"/>
    <n v="5"/>
    <m/>
    <m/>
    <m/>
    <n v="50"/>
    <n v="0"/>
    <s v="BRANDYWINE COURT"/>
    <n v="3"/>
    <x v="4"/>
    <n v="27500"/>
    <m/>
    <n v="0"/>
    <x v="6"/>
  </r>
  <r>
    <x v="1057"/>
    <s v="ROSEWIND DR (S)"/>
    <s v="Willow Grove"/>
    <x v="102"/>
    <x v="172"/>
    <n v="1320"/>
    <n v="26"/>
    <s v="NC"/>
    <s v="SC"/>
    <n v="0"/>
    <n v="7"/>
    <n v="7"/>
    <n v="7"/>
    <n v="7"/>
    <n v="7"/>
    <n v="7"/>
    <n v="7"/>
    <n v="7"/>
    <n v="7"/>
    <n v="7"/>
    <m/>
    <m/>
    <m/>
    <n v="888"/>
    <n v="0.5"/>
    <s v="ROSEWIND DR (S)"/>
    <n v="3.5"/>
    <x v="7"/>
    <n v="6250"/>
    <m/>
    <n v="0"/>
    <x v="4"/>
  </r>
  <r>
    <x v="1058"/>
    <s v="CENTENNIAL AVE (S)"/>
    <s v="Centennial Village"/>
    <x v="117"/>
    <x v="64"/>
    <n v="570"/>
    <n v="26"/>
    <m/>
    <s v="SC"/>
    <n v="0"/>
    <m/>
    <m/>
    <m/>
    <n v="9"/>
    <n v="9"/>
    <n v="8"/>
    <n v="8"/>
    <n v="8"/>
    <n v="8"/>
    <n v="8"/>
    <m/>
    <m/>
    <m/>
    <n v="640"/>
    <m/>
    <s v="S CENTENNIAL AVE"/>
    <n v="1"/>
    <x v="7"/>
    <n v="2698.8636363636365"/>
    <m/>
    <n v="0"/>
    <x v="4"/>
  </r>
  <r>
    <x v="1059"/>
    <s v="PHILADELPHIA PASS (S)"/>
    <s v="Centennial Village"/>
    <x v="117"/>
    <x v="64"/>
    <n v="316"/>
    <n v="26"/>
    <m/>
    <s v="SC"/>
    <n v="0"/>
    <m/>
    <m/>
    <m/>
    <n v="9"/>
    <n v="8"/>
    <n v="8"/>
    <n v="7"/>
    <n v="8"/>
    <n v="8"/>
    <n v="8"/>
    <m/>
    <m/>
    <m/>
    <n v="640"/>
    <m/>
    <s v="S PHILADELPHIA PASS"/>
    <n v="2"/>
    <x v="7"/>
    <n v="1496.2121212121212"/>
    <m/>
    <n v="0"/>
    <x v="4"/>
  </r>
  <r>
    <x v="1060"/>
    <s v="SACREMENTO DRIVE"/>
    <s v="Huntington Heights"/>
    <x v="102"/>
    <x v="163"/>
    <n v="2693"/>
    <n v="26"/>
    <s v="NC"/>
    <s v="BC"/>
    <n v="0"/>
    <n v="7"/>
    <n v="7"/>
    <n v="7"/>
    <n v="7"/>
    <n v="7"/>
    <n v="7"/>
    <n v="6"/>
    <n v="7"/>
    <n v="7"/>
    <n v="7"/>
    <m/>
    <m/>
    <m/>
    <n v="207"/>
    <n v="0"/>
    <s v="SACREMENTO DRIVE"/>
    <n v="3"/>
    <x v="7"/>
    <n v="12750.94696969697"/>
    <m/>
    <n v="0"/>
    <x v="4"/>
  </r>
  <r>
    <x v="1061"/>
    <s v="SAW MILL COURT"/>
    <s v="Cornerstone Village"/>
    <x v="152"/>
    <x v="152"/>
    <n v="290"/>
    <n v="26"/>
    <s v="NC"/>
    <s v="SC"/>
    <n v="0"/>
    <n v="7"/>
    <n v="8"/>
    <n v="8"/>
    <n v="8"/>
    <n v="8"/>
    <n v="7"/>
    <n v="7"/>
    <n v="7"/>
    <n v="7"/>
    <n v="7"/>
    <m/>
    <m/>
    <m/>
    <n v="50"/>
    <n v="0"/>
    <s v="SAW MILL COURT"/>
    <n v="2"/>
    <x v="7"/>
    <n v="1373.1060606060605"/>
    <m/>
    <n v="0"/>
    <x v="4"/>
  </r>
  <r>
    <x v="1062"/>
    <s v="SCHOOL ST(MAX)/END"/>
    <m/>
    <x v="21"/>
    <x v="25"/>
    <n v="337"/>
    <n v="20"/>
    <s v="CS"/>
    <s v="C"/>
    <n v="0"/>
    <n v="7"/>
    <n v="5"/>
    <n v="5"/>
    <n v="5"/>
    <n v="5"/>
    <n v="7"/>
    <n v="7"/>
    <n v="7"/>
    <n v="7"/>
    <n v="7"/>
    <m/>
    <m/>
    <m/>
    <n v="50"/>
    <n v="0"/>
    <s v="SCHOOL ST(MAX)/END"/>
    <n v="5"/>
    <x v="2"/>
    <n v="2042.4242424242425"/>
    <m/>
    <n v="0"/>
    <x v="0"/>
  </r>
  <r>
    <x v="1063"/>
    <s v="SECOND (CHAR)/CART"/>
    <m/>
    <x v="133"/>
    <x v="144"/>
    <n v="759"/>
    <n v="20"/>
    <s v="CS"/>
    <s v="J"/>
    <n v="0"/>
    <n v="6"/>
    <n v="5"/>
    <n v="5"/>
    <n v="9"/>
    <n v="9"/>
    <n v="8"/>
    <n v="7"/>
    <n v="7"/>
    <n v="7"/>
    <n v="7"/>
    <m/>
    <m/>
    <m/>
    <n v="50"/>
    <n v="0"/>
    <s v="SECOND ST."/>
    <n v="1"/>
    <x v="0"/>
    <n v="3018.75"/>
    <m/>
    <n v="0"/>
    <x v="5"/>
  </r>
  <r>
    <x v="1064"/>
    <s v="BRANDYWINE LANE(E)"/>
    <s v="BoMar Manor"/>
    <x v="73"/>
    <x v="167"/>
    <n v="2376"/>
    <n v="26"/>
    <s v="NC"/>
    <s v="BW"/>
    <n v="0"/>
    <n v="7"/>
    <n v="6"/>
    <n v="10"/>
    <n v="9"/>
    <n v="7"/>
    <n v="7"/>
    <n v="7"/>
    <n v="7"/>
    <n v="7"/>
    <n v="6"/>
    <m/>
    <m/>
    <m/>
    <n v="50"/>
    <n v="0"/>
    <s v="BRANDYWINE LANE€"/>
    <n v="3"/>
    <x v="4"/>
    <n v="49500"/>
    <m/>
    <n v="0"/>
    <x v="6"/>
  </r>
  <r>
    <x v="1065"/>
    <s v="SECOND ST(WIL BRA)"/>
    <s v="Willow Branch"/>
    <x v="146"/>
    <x v="210"/>
    <n v="280"/>
    <n v="20"/>
    <s v="AC"/>
    <s v="B"/>
    <n v="0"/>
    <n v="6"/>
    <n v="6"/>
    <n v="6"/>
    <n v="5"/>
    <n v="5"/>
    <n v="9"/>
    <n v="8"/>
    <n v="8"/>
    <n v="7"/>
    <n v="7"/>
    <m/>
    <m/>
    <m/>
    <n v="50"/>
    <n v="0"/>
    <s v="SECOND ST."/>
    <n v="5"/>
    <x v="0"/>
    <n v="1113.6363636363637"/>
    <m/>
    <n v="0"/>
    <x v="3"/>
  </r>
  <r>
    <x v="1066"/>
    <s v="SHADELAND DRIVE"/>
    <s v="Lynnwood"/>
    <x v="197"/>
    <x v="158"/>
    <n v="528"/>
    <n v="26"/>
    <s v="NC"/>
    <s v="BW"/>
    <n v="0"/>
    <n v="6"/>
    <n v="6"/>
    <n v="6"/>
    <n v="6"/>
    <n v="8"/>
    <n v="7"/>
    <n v="6"/>
    <n v="6"/>
    <n v="6"/>
    <n v="6"/>
    <m/>
    <m/>
    <m/>
    <n v="77"/>
    <n v="0"/>
    <s v="SHADELAND DRIVE"/>
    <n v="2"/>
    <x v="7"/>
    <n v="2500"/>
    <m/>
    <n v="0"/>
    <x v="4"/>
  </r>
  <r>
    <x v="1067"/>
    <s v="SHADOW CREEK WAY WEST"/>
    <s v="Shadow Creek"/>
    <x v="198"/>
    <x v="211"/>
    <n v="898"/>
    <n v="26"/>
    <s v="NC"/>
    <s v="BC"/>
    <n v="0"/>
    <n v="7"/>
    <n v="8"/>
    <n v="8"/>
    <n v="8"/>
    <n v="8"/>
    <n v="7"/>
    <n v="6"/>
    <n v="6"/>
    <n v="7"/>
    <n v="7"/>
    <m/>
    <m/>
    <m/>
    <n v="50"/>
    <n v="0"/>
    <s v="SHADOW CREEK WAY WEST"/>
    <n v="2"/>
    <x v="3"/>
    <n v="7823.484848484848"/>
    <m/>
    <n v="0"/>
    <x v="4"/>
  </r>
  <r>
    <x v="1068"/>
    <s v="SHADY CREEK DRIVE"/>
    <s v="Shady Creek"/>
    <x v="199"/>
    <x v="212"/>
    <n v="950"/>
    <n v="26"/>
    <s v="NC"/>
    <s v="SC"/>
    <n v="0"/>
    <n v="6"/>
    <n v="6"/>
    <n v="5"/>
    <n v="5"/>
    <n v="5"/>
    <n v="9"/>
    <n v="8"/>
    <n v="8"/>
    <n v="8"/>
    <n v="7"/>
    <m/>
    <m/>
    <m/>
    <n v="112"/>
    <n v="0"/>
    <s v="SHADY CREEK DRIVE"/>
    <n v="5"/>
    <x v="0"/>
    <n v="3778.409090909091"/>
    <m/>
    <n v="0"/>
    <x v="3"/>
  </r>
  <r>
    <x v="1069"/>
    <s v="SHARON DRIVE"/>
    <s v="Sugar Creek Estates"/>
    <x v="200"/>
    <x v="213"/>
    <n v="1320"/>
    <n v="26"/>
    <s v="NC"/>
    <s v="BC"/>
    <n v="0"/>
    <n v="7"/>
    <n v="7"/>
    <n v="7"/>
    <n v="6"/>
    <n v="6"/>
    <n v="6"/>
    <n v="6"/>
    <n v="7"/>
    <n v="6"/>
    <n v="6"/>
    <m/>
    <m/>
    <m/>
    <n v="50"/>
    <n v="0"/>
    <s v="SHARON DRIVE"/>
    <n v="4"/>
    <x v="7"/>
    <n v="6250"/>
    <m/>
    <n v="0"/>
    <x v="4"/>
  </r>
  <r>
    <x v="1070"/>
    <s v="SHEL-LYN COURT"/>
    <s v="Shel-Lyn Estates"/>
    <x v="201"/>
    <x v="177"/>
    <n v="1162"/>
    <n v="26"/>
    <s v="NC"/>
    <s v="BW"/>
    <n v="0"/>
    <n v="7"/>
    <n v="7"/>
    <n v="7"/>
    <n v="7"/>
    <n v="6"/>
    <n v="6"/>
    <n v="5"/>
    <n v="5"/>
    <n v="7"/>
    <n v="7"/>
    <m/>
    <m/>
    <m/>
    <n v="162"/>
    <n v="0"/>
    <s v="SHEL-LYN COURT"/>
    <n v="4"/>
    <x v="7"/>
    <n v="5501.893939393939"/>
    <m/>
    <n v="0"/>
    <x v="5"/>
  </r>
  <r>
    <x v="1071"/>
    <s v="SHEL-LYN DRIVE"/>
    <s v="Shel-Lyn Estates"/>
    <x v="201"/>
    <x v="177"/>
    <n v="422"/>
    <n v="26"/>
    <s v="NC"/>
    <s v="BW"/>
    <n v="0"/>
    <n v="7"/>
    <n v="7"/>
    <n v="7"/>
    <n v="7"/>
    <n v="6"/>
    <n v="6"/>
    <n v="5"/>
    <n v="5"/>
    <n v="7"/>
    <n v="7"/>
    <m/>
    <m/>
    <m/>
    <n v="162"/>
    <n v="0"/>
    <s v="SHEL-LYN DRIVE"/>
    <n v="4"/>
    <x v="7"/>
    <n v="1998.1060606060605"/>
    <m/>
    <n v="0"/>
    <x v="5"/>
  </r>
  <r>
    <x v="1072"/>
    <s v="SOUTH ST(CHAR)/EAS"/>
    <m/>
    <x v="133"/>
    <x v="134"/>
    <n v="382"/>
    <n v="20"/>
    <s v="P"/>
    <s v="J"/>
    <n v="0"/>
    <n v="6"/>
    <n v="3"/>
    <n v="8"/>
    <n v="8"/>
    <n v="8"/>
    <n v="8"/>
    <n v="7"/>
    <n v="7"/>
    <n v="7"/>
    <n v="7"/>
    <m/>
    <m/>
    <m/>
    <n v="50"/>
    <n v="0"/>
    <s v="SOUTH ST."/>
    <n v="2"/>
    <x v="2"/>
    <n v="2315.151515151515"/>
    <m/>
    <n v="0"/>
    <x v="5"/>
  </r>
  <r>
    <x v="1073"/>
    <s v="SOUTH ST(MAX)/CENT"/>
    <m/>
    <x v="21"/>
    <x v="214"/>
    <n v="283"/>
    <n v="20"/>
    <s v="G"/>
    <s v="C"/>
    <n v="0"/>
    <n v="6"/>
    <n v="6"/>
    <n v="6"/>
    <n v="5"/>
    <n v="5"/>
    <n v="5"/>
    <n v="5"/>
    <n v="5"/>
    <n v="5"/>
    <n v="5"/>
    <m/>
    <m/>
    <m/>
    <n v="50"/>
    <n v="0"/>
    <s v="SOUTH ST."/>
    <n v="5"/>
    <x v="4"/>
    <n v="5895.833333333333"/>
    <m/>
    <n v="0"/>
    <x v="0"/>
  </r>
  <r>
    <x v="1074"/>
    <s v="SOUTH ST/END"/>
    <m/>
    <x v="202"/>
    <x v="25"/>
    <n v="451"/>
    <n v="20"/>
    <s v="AC"/>
    <s v="C"/>
    <n v="0"/>
    <n v="7"/>
    <n v="6"/>
    <m/>
    <m/>
    <n v="9"/>
    <n v="8"/>
    <n v="7"/>
    <n v="7"/>
    <n v="7"/>
    <n v="7"/>
    <m/>
    <m/>
    <m/>
    <n v="50"/>
    <n v="0"/>
    <s v="SOUTH ST."/>
    <n v="1"/>
    <x v="0"/>
    <n v="1793.75"/>
    <m/>
    <n v="0"/>
    <x v="2"/>
  </r>
  <r>
    <x v="1075"/>
    <s v="SOUTHWAY DR (S)"/>
    <s v="Willow Grove"/>
    <x v="102"/>
    <x v="172"/>
    <n v="1954"/>
    <n v="26"/>
    <s v="NC"/>
    <s v="SC"/>
    <n v="0"/>
    <n v="8"/>
    <n v="7"/>
    <n v="7"/>
    <n v="7"/>
    <n v="7"/>
    <n v="7"/>
    <n v="7"/>
    <n v="7"/>
    <n v="7"/>
    <n v="7"/>
    <m/>
    <m/>
    <m/>
    <n v="888"/>
    <n v="0.5"/>
    <s v="SOUTHWAY DR (S)"/>
    <n v="3.5"/>
    <x v="7"/>
    <n v="9251.8939393939399"/>
    <m/>
    <n v="0"/>
    <x v="4"/>
  </r>
  <r>
    <x v="1076"/>
    <s v="SPARKS RD./300N"/>
    <m/>
    <x v="50"/>
    <x v="25"/>
    <n v="2160"/>
    <n v="20"/>
    <s v="CS"/>
    <s v="BC"/>
    <n v="0"/>
    <n v="7"/>
    <n v="7"/>
    <n v="7"/>
    <n v="6"/>
    <n v="6"/>
    <n v="5"/>
    <n v="5"/>
    <n v="5"/>
    <n v="5"/>
    <n v="7"/>
    <m/>
    <m/>
    <m/>
    <n v="50"/>
    <n v="0"/>
    <s v="SPARKS RD."/>
    <n v="4"/>
    <x v="2"/>
    <n v="13090.90909090909"/>
    <m/>
    <n v="0"/>
    <x v="2"/>
  </r>
  <r>
    <x v="1077"/>
    <s v="BRANDYWINE TRAIL(E)"/>
    <s v="BoMar Manor"/>
    <x v="73"/>
    <x v="167"/>
    <n v="2059"/>
    <n v="26"/>
    <s v="NC"/>
    <s v="BW"/>
    <n v="0"/>
    <n v="6"/>
    <n v="6"/>
    <n v="10"/>
    <n v="9"/>
    <n v="7"/>
    <n v="7"/>
    <n v="7"/>
    <n v="7"/>
    <n v="7"/>
    <n v="7"/>
    <m/>
    <m/>
    <m/>
    <n v="50"/>
    <n v="0"/>
    <s v="BRANDYWINE TRAIL€"/>
    <n v="3"/>
    <x v="4"/>
    <n v="42895.833333333336"/>
    <m/>
    <n v="0"/>
    <x v="6"/>
  </r>
  <r>
    <x v="1078"/>
    <s v="STATION WAY/350N"/>
    <m/>
    <x v="43"/>
    <x v="59"/>
    <n v="3308"/>
    <n v="20"/>
    <s v="AC"/>
    <s v="BC"/>
    <n v="0"/>
    <n v="7"/>
    <n v="7"/>
    <n v="7"/>
    <n v="7"/>
    <n v="6"/>
    <n v="5"/>
    <n v="5"/>
    <n v="5"/>
    <n v="5"/>
    <n v="5"/>
    <n v="2024"/>
    <m/>
    <s v="Y"/>
    <n v="66"/>
    <n v="0"/>
    <s v="STATION WAY/350N"/>
    <n v="4"/>
    <x v="4"/>
    <n v="68916.666666666672"/>
    <n v="1"/>
    <n v="68916.666666666672"/>
    <x v="0"/>
  </r>
  <r>
    <x v="1079"/>
    <s v="BRANDYWINE TRAIL(S)"/>
    <s v="BoMar Manor"/>
    <x v="73"/>
    <x v="167"/>
    <n v="2059"/>
    <n v="26"/>
    <s v="NC"/>
    <s v="BW"/>
    <n v="0"/>
    <n v="6"/>
    <n v="6"/>
    <n v="10"/>
    <n v="9"/>
    <n v="7"/>
    <n v="7"/>
    <n v="7"/>
    <n v="7"/>
    <n v="7"/>
    <n v="7"/>
    <m/>
    <m/>
    <m/>
    <n v="50"/>
    <n v="0"/>
    <s v="BRANDYWINE TRAIL(S)"/>
    <n v="3"/>
    <x v="4"/>
    <n v="42895.833333333336"/>
    <m/>
    <n v="0"/>
    <x v="6"/>
  </r>
  <r>
    <x v="1080"/>
    <s v="STEELEFORD RD/END"/>
    <m/>
    <x v="203"/>
    <x v="215"/>
    <n v="2116"/>
    <n v="20"/>
    <s v="CS"/>
    <s v="C"/>
    <n v="0"/>
    <n v="5"/>
    <n v="6"/>
    <n v="7"/>
    <n v="6"/>
    <n v="7"/>
    <n v="7"/>
    <n v="7"/>
    <n v="7"/>
    <n v="7"/>
    <n v="7"/>
    <m/>
    <m/>
    <m/>
    <n v="50"/>
    <n v="0"/>
    <s v="STEELFORD"/>
    <n v="3"/>
    <x v="0"/>
    <n v="8415.9090909090901"/>
    <m/>
    <n v="0"/>
    <x v="0"/>
  </r>
  <r>
    <x v="1081"/>
    <s v="CENTER ST(PHIL)/VI"/>
    <m/>
    <x v="204"/>
    <x v="150"/>
    <n v="264"/>
    <n v="20"/>
    <s v="AC"/>
    <s v="SC"/>
    <n v="0"/>
    <n v="7"/>
    <n v="6"/>
    <n v="6"/>
    <n v="6"/>
    <n v="6"/>
    <n v="6"/>
    <n v="8"/>
    <n v="8"/>
    <n v="8"/>
    <n v="8"/>
    <m/>
    <m/>
    <m/>
    <n v="50"/>
    <n v="0"/>
    <s v="CENTER ST(PHIL)/VI"/>
    <n v="4"/>
    <x v="4"/>
    <n v="5500"/>
    <m/>
    <n v="0"/>
    <x v="6"/>
  </r>
  <r>
    <x v="1082"/>
    <s v="COUNTRY TRAIL(E)"/>
    <s v="BoMar Manor"/>
    <x v="73"/>
    <x v="167"/>
    <n v="369"/>
    <n v="26"/>
    <s v="NC"/>
    <s v="BW"/>
    <n v="0"/>
    <n v="7"/>
    <n v="7"/>
    <n v="7"/>
    <n v="7"/>
    <n v="7"/>
    <n v="7"/>
    <n v="6"/>
    <n v="6"/>
    <n v="7"/>
    <n v="7"/>
    <m/>
    <m/>
    <m/>
    <n v="50"/>
    <n v="0"/>
    <s v="COUNTRY TRAIL(E)"/>
    <n v="3"/>
    <x v="4"/>
    <n v="7687.5"/>
    <m/>
    <n v="0"/>
    <x v="6"/>
  </r>
  <r>
    <x v="1083"/>
    <s v="STINEMYER RD/550W"/>
    <m/>
    <x v="119"/>
    <x v="34"/>
    <n v="2520"/>
    <n v="20"/>
    <s v="AC"/>
    <s v="SC"/>
    <n v="0"/>
    <n v="8"/>
    <n v="8"/>
    <n v="7"/>
    <n v="7"/>
    <n v="7"/>
    <n v="7"/>
    <n v="7"/>
    <n v="7"/>
    <n v="7"/>
    <n v="7"/>
    <n v="2024"/>
    <n v="2021"/>
    <s v="Y"/>
    <n v="521"/>
    <n v="0.5"/>
    <s v="STINEMEYER RD"/>
    <n v="3.5"/>
    <x v="0"/>
    <n v="10022.727272727272"/>
    <m/>
    <n v="0"/>
    <x v="4"/>
  </r>
  <r>
    <x v="1084"/>
    <s v="STINEMYER RD/600W"/>
    <m/>
    <x v="43"/>
    <x v="216"/>
    <n v="2720"/>
    <n v="20"/>
    <s v="AC"/>
    <s v="SC"/>
    <n v="0"/>
    <n v="8"/>
    <n v="7"/>
    <n v="7"/>
    <n v="7"/>
    <n v="7"/>
    <n v="7"/>
    <n v="8"/>
    <n v="7"/>
    <n v="6"/>
    <n v="7"/>
    <n v="2024"/>
    <n v="2021"/>
    <s v="Y"/>
    <n v="587"/>
    <n v="0.5"/>
    <s v="STINEMEYER RD"/>
    <n v="3.5"/>
    <x v="4"/>
    <n v="56666.666666666664"/>
    <n v="1"/>
    <n v="56666.666666666664"/>
    <x v="3"/>
  </r>
  <r>
    <x v="1085"/>
    <s v="300S/SR9"/>
    <m/>
    <x v="41"/>
    <x v="79"/>
    <n v="5350"/>
    <n v="20"/>
    <s v="AC"/>
    <s v="BW"/>
    <n v="0"/>
    <n v="7"/>
    <n v="7"/>
    <n v="7"/>
    <n v="7"/>
    <n v="7"/>
    <n v="7"/>
    <n v="6"/>
    <n v="6"/>
    <n v="6"/>
    <n v="7"/>
    <n v="2024"/>
    <m/>
    <s v="N"/>
    <n v="975"/>
    <n v="0.5"/>
    <s v="300S"/>
    <n v="3.5"/>
    <x v="3"/>
    <n v="46609.848484848488"/>
    <m/>
    <n v="0"/>
    <x v="6"/>
  </r>
  <r>
    <x v="1086"/>
    <s v="400N/600W"/>
    <m/>
    <x v="33"/>
    <x v="34"/>
    <n v="5390"/>
    <n v="20"/>
    <s v="AC"/>
    <s v="BC"/>
    <n v="0"/>
    <n v="4"/>
    <n v="8"/>
    <n v="8"/>
    <n v="8"/>
    <n v="7"/>
    <n v="7"/>
    <n v="7"/>
    <n v="6"/>
    <n v="6"/>
    <n v="6"/>
    <m/>
    <m/>
    <m/>
    <n v="785"/>
    <n v="0.5"/>
    <s v="400N"/>
    <n v="3.5"/>
    <x v="3"/>
    <n v="46958.333333333336"/>
    <m/>
    <n v="0"/>
    <x v="6"/>
  </r>
  <r>
    <x v="1087"/>
    <s v="400N/SR9"/>
    <m/>
    <x v="21"/>
    <x v="45"/>
    <n v="5790"/>
    <n v="20"/>
    <s v="AC"/>
    <s v="C"/>
    <n v="0"/>
    <n v="8"/>
    <n v="7"/>
    <n v="7"/>
    <n v="7"/>
    <n v="7"/>
    <n v="7"/>
    <n v="6"/>
    <n v="6"/>
    <n v="6"/>
    <n v="6"/>
    <n v="2024"/>
    <n v="2021"/>
    <s v="Y"/>
    <n v="677"/>
    <n v="0.5"/>
    <s v="400N"/>
    <n v="3.5"/>
    <x v="3"/>
    <n v="50443.181818181816"/>
    <m/>
    <n v="0"/>
    <x v="6"/>
  </r>
  <r>
    <x v="1088"/>
    <s v="STONE WAY(S)"/>
    <s v="Countryside"/>
    <x v="15"/>
    <x v="154"/>
    <n v="441"/>
    <n v="26"/>
    <s v="NC"/>
    <s v="SC"/>
    <n v="0"/>
    <n v="7"/>
    <n v="8"/>
    <n v="8"/>
    <n v="8"/>
    <n v="8"/>
    <n v="8"/>
    <n v="8"/>
    <n v="7"/>
    <n v="7"/>
    <n v="7"/>
    <m/>
    <m/>
    <m/>
    <n v="515"/>
    <n v="0.5"/>
    <s v="STONE WAY(S)"/>
    <n v="2.5"/>
    <x v="9"/>
    <n v="208.80681818181819"/>
    <m/>
    <n v="0"/>
    <x v="3"/>
  </r>
  <r>
    <x v="1089"/>
    <s v="STONE WAY(W)"/>
    <s v="Countryside"/>
    <x v="15"/>
    <x v="154"/>
    <n v="932"/>
    <n v="26"/>
    <s v="NC"/>
    <s v="SC"/>
    <n v="0"/>
    <n v="7"/>
    <n v="8"/>
    <n v="8"/>
    <n v="8"/>
    <n v="8"/>
    <n v="8"/>
    <n v="8"/>
    <n v="7"/>
    <n v="7"/>
    <n v="7"/>
    <m/>
    <m/>
    <m/>
    <n v="515"/>
    <n v="0.5"/>
    <s v="STONE WAY(W)"/>
    <n v="2.5"/>
    <x v="9"/>
    <n v="441.28787878787881"/>
    <m/>
    <n v="0"/>
    <x v="3"/>
  </r>
  <r>
    <x v="1090"/>
    <s v="STONEHAVEN LANE(W)"/>
    <s v="Countryside"/>
    <x v="15"/>
    <x v="154"/>
    <n v="3775"/>
    <n v="26"/>
    <s v="NC"/>
    <s v="SC"/>
    <n v="0"/>
    <n v="7"/>
    <n v="8"/>
    <n v="7"/>
    <n v="6"/>
    <n v="7"/>
    <n v="8"/>
    <n v="8"/>
    <n v="7"/>
    <n v="7"/>
    <n v="7"/>
    <m/>
    <m/>
    <m/>
    <n v="515"/>
    <n v="0.5"/>
    <s v="STONEHAVEN LANE"/>
    <n v="3.5"/>
    <x v="9"/>
    <n v="1787.405303030303"/>
    <m/>
    <n v="0"/>
    <x v="3"/>
  </r>
  <r>
    <x v="1091"/>
    <s v="STONER"/>
    <s v="Mt. Comfort Commercial Park"/>
    <x v="164"/>
    <x v="217"/>
    <n v="1901"/>
    <n v="26"/>
    <s v="NC"/>
    <s v="BC"/>
    <n v="0"/>
    <n v="7"/>
    <n v="7"/>
    <n v="7"/>
    <n v="7"/>
    <n v="6"/>
    <n v="8"/>
    <n v="8"/>
    <n v="7"/>
    <n v="7"/>
    <n v="7"/>
    <m/>
    <m/>
    <m/>
    <n v="50"/>
    <n v="0"/>
    <s v="STONER"/>
    <n v="4"/>
    <x v="7"/>
    <n v="9000.94696969697"/>
    <m/>
    <n v="0"/>
    <x v="4"/>
  </r>
  <r>
    <x v="1092"/>
    <s v="STONY RIDGE COURT"/>
    <s v="Countryside"/>
    <x v="15"/>
    <x v="154"/>
    <n v="264"/>
    <n v="26"/>
    <s v="NC"/>
    <s v="SC"/>
    <n v="0"/>
    <n v="7"/>
    <n v="8"/>
    <n v="7"/>
    <n v="7"/>
    <n v="7"/>
    <n v="7"/>
    <n v="7"/>
    <n v="7"/>
    <n v="7"/>
    <n v="7"/>
    <m/>
    <m/>
    <m/>
    <n v="515"/>
    <n v="0.5"/>
    <s v="STONY RIDGE COURT"/>
    <n v="3.5"/>
    <x v="9"/>
    <n v="125"/>
    <m/>
    <n v="0"/>
    <x v="3"/>
  </r>
  <r>
    <x v="1093"/>
    <s v="STRAHL DRIVE(N)"/>
    <s v="Cranberry Lake Estates"/>
    <x v="31"/>
    <x v="133"/>
    <n v="1478"/>
    <n v="26"/>
    <s v="NC"/>
    <s v="C"/>
    <n v="0"/>
    <n v="7"/>
    <n v="7"/>
    <n v="7"/>
    <n v="6"/>
    <n v="7"/>
    <n v="7"/>
    <n v="6"/>
    <n v="6"/>
    <n v="6"/>
    <n v="6"/>
    <m/>
    <m/>
    <m/>
    <n v="50"/>
    <n v="0"/>
    <s v="STRAHL DRIVE(N)"/>
    <n v="3"/>
    <x v="3"/>
    <n v="12876.515151515152"/>
    <m/>
    <n v="0"/>
    <x v="0"/>
  </r>
  <r>
    <x v="1094"/>
    <s v="SUGAR BEND RUN (N)"/>
    <s v="Sugar Creek Valley Estates"/>
    <x v="161"/>
    <x v="163"/>
    <n v="1056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SUGAR BEND RUN (N)"/>
    <n v="3"/>
    <x v="9"/>
    <n v="8541.8700000000008"/>
    <m/>
    <n v="0"/>
    <x v="3"/>
  </r>
  <r>
    <x v="1095"/>
    <s v="400W/100S"/>
    <m/>
    <x v="62"/>
    <x v="63"/>
    <n v="5340"/>
    <n v="20"/>
    <s v="AC"/>
    <s v="SC"/>
    <n v="0"/>
    <n v="7"/>
    <n v="10"/>
    <n v="9"/>
    <n v="9"/>
    <n v="9"/>
    <n v="8"/>
    <n v="8"/>
    <n v="8"/>
    <n v="7"/>
    <n v="7"/>
    <n v="2023"/>
    <n v="2023"/>
    <s v="Y"/>
    <n v="514"/>
    <n v="0.5"/>
    <s v="400W"/>
    <n v="1.5"/>
    <x v="3"/>
    <n v="46522.727272727272"/>
    <m/>
    <n v="0"/>
    <x v="6"/>
  </r>
  <r>
    <x v="1096"/>
    <s v="SUGAR HILLS CT"/>
    <s v="Sugar Hills"/>
    <x v="157"/>
    <x v="218"/>
    <n v="475"/>
    <n v="26"/>
    <s v="NC"/>
    <s v="C"/>
    <n v="0"/>
    <n v="7"/>
    <n v="7"/>
    <n v="7"/>
    <n v="6"/>
    <n v="6"/>
    <n v="6"/>
    <n v="6"/>
    <n v="6"/>
    <n v="6"/>
    <n v="6"/>
    <m/>
    <m/>
    <m/>
    <n v="50"/>
    <n v="0"/>
    <s v="SUGAR HILLS CT"/>
    <n v="4"/>
    <x v="7"/>
    <n v="2249.0530303030305"/>
    <m/>
    <n v="0"/>
    <x v="4"/>
  </r>
  <r>
    <x v="1097"/>
    <s v="SUGAR HILLS DR"/>
    <s v="Sugar Hills"/>
    <x v="157"/>
    <x v="218"/>
    <n v="4224"/>
    <n v="26"/>
    <s v="NC"/>
    <s v="C"/>
    <n v="0"/>
    <n v="7"/>
    <n v="8"/>
    <n v="8"/>
    <n v="8"/>
    <n v="8"/>
    <n v="7"/>
    <n v="7"/>
    <n v="7"/>
    <n v="7"/>
    <n v="7"/>
    <m/>
    <m/>
    <m/>
    <n v="50"/>
    <n v="0"/>
    <s v="SUGAR HILLS DR"/>
    <n v="2"/>
    <x v="7"/>
    <n v="20000"/>
    <m/>
    <n v="0"/>
    <x v="4"/>
  </r>
  <r>
    <x v="1098"/>
    <s v="SUMMERFIELD DR(N)"/>
    <s v="Summerfield"/>
    <x v="180"/>
    <x v="190"/>
    <n v="1003"/>
    <n v="26"/>
    <s v="NC"/>
    <s v="BC"/>
    <n v="0"/>
    <n v="8"/>
    <n v="8"/>
    <n v="8"/>
    <n v="8"/>
    <n v="7"/>
    <n v="8"/>
    <n v="7"/>
    <n v="7"/>
    <n v="7"/>
    <n v="7"/>
    <m/>
    <m/>
    <m/>
    <n v="50"/>
    <n v="0"/>
    <s v="SUMMERFIELD DR(N)"/>
    <n v="3"/>
    <x v="9"/>
    <n v="8113"/>
    <m/>
    <n v="0"/>
    <x v="3"/>
  </r>
  <r>
    <x v="1099"/>
    <s v="SUMMERHAVEN COURT"/>
    <s v="Summerhaven"/>
    <x v="141"/>
    <x v="139"/>
    <n v="528"/>
    <n v="26"/>
    <s v="NC"/>
    <s v="SC"/>
    <n v="0"/>
    <n v="8"/>
    <n v="8"/>
    <n v="8"/>
    <n v="8"/>
    <n v="8"/>
    <n v="8"/>
    <n v="8"/>
    <n v="8"/>
    <n v="8"/>
    <n v="7"/>
    <m/>
    <m/>
    <m/>
    <n v="2144"/>
    <n v="1"/>
    <s v="SUMMERHAVEN COURT"/>
    <n v="3"/>
    <x v="7"/>
    <n v="2500"/>
    <m/>
    <n v="0"/>
    <x v="4"/>
  </r>
  <r>
    <x v="1100"/>
    <s v="SUMMERHAVEN DRIVE"/>
    <s v="Summerhaven"/>
    <x v="141"/>
    <x v="139"/>
    <n v="1003"/>
    <n v="26"/>
    <s v="NC"/>
    <s v="SC"/>
    <n v="0"/>
    <m/>
    <n v="7"/>
    <n v="7"/>
    <n v="7"/>
    <n v="7"/>
    <n v="7"/>
    <n v="7"/>
    <n v="7"/>
    <n v="7"/>
    <n v="7"/>
    <m/>
    <m/>
    <m/>
    <n v="2144"/>
    <n v="1"/>
    <s v="SUMMERHAVEN DRIVE"/>
    <n v="4"/>
    <x v="7"/>
    <n v="4749.05303030303"/>
    <m/>
    <n v="0"/>
    <x v="4"/>
  </r>
  <r>
    <x v="1101"/>
    <s v="SUN CLOUD DR (W)"/>
    <s v="Willow Grove"/>
    <x v="102"/>
    <x v="172"/>
    <n v="845"/>
    <n v="26"/>
    <s v="NC"/>
    <s v="SC"/>
    <n v="0"/>
    <n v="8"/>
    <n v="7"/>
    <n v="7"/>
    <n v="7"/>
    <n v="7"/>
    <n v="7"/>
    <n v="7"/>
    <n v="7"/>
    <n v="7"/>
    <n v="7"/>
    <m/>
    <m/>
    <m/>
    <n v="888"/>
    <n v="0.5"/>
    <s v="SUN CLOUD DR (W)"/>
    <n v="3.5"/>
    <x v="7"/>
    <n v="4000.9469696969695"/>
    <m/>
    <n v="0"/>
    <x v="5"/>
  </r>
  <r>
    <x v="1102"/>
    <s v="SUN RISE CT"/>
    <s v="Sun Ridge Estates"/>
    <x v="188"/>
    <x v="181"/>
    <n v="739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SUN RISE CT"/>
    <n v="3"/>
    <x v="7"/>
    <n v="3499.0530303030305"/>
    <m/>
    <n v="0"/>
    <x v="4"/>
  </r>
  <r>
    <x v="1103"/>
    <s v="SUN RISE DR"/>
    <s v="Sun Ridge Estates"/>
    <x v="188"/>
    <x v="181"/>
    <n v="2957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SUN RISE DR"/>
    <n v="3"/>
    <x v="7"/>
    <n v="14000.94696969697"/>
    <m/>
    <n v="0"/>
    <x v="4"/>
  </r>
  <r>
    <x v="1104"/>
    <s v="SUNSET COURT"/>
    <s v="Sunset Manor"/>
    <x v="180"/>
    <x v="160"/>
    <n v="211"/>
    <n v="26"/>
    <s v="NC"/>
    <s v="BC"/>
    <n v="0"/>
    <n v="7"/>
    <n v="6"/>
    <n v="6"/>
    <n v="6"/>
    <n v="6"/>
    <n v="8"/>
    <n v="7"/>
    <n v="7"/>
    <n v="7"/>
    <n v="7"/>
    <m/>
    <m/>
    <m/>
    <n v="278"/>
    <n v="0"/>
    <s v="SUNSET COURT"/>
    <n v="4"/>
    <x v="10"/>
    <n v="2997.159090909091"/>
    <m/>
    <n v="0"/>
    <x v="3"/>
  </r>
  <r>
    <x v="1105"/>
    <s v="SUNSET DRIVE NORTH"/>
    <s v="Sunset Manor"/>
    <x v="180"/>
    <x v="160"/>
    <n v="1531"/>
    <n v="26"/>
    <s v="NC"/>
    <s v="BC"/>
    <n v="0"/>
    <n v="7"/>
    <n v="6"/>
    <n v="6"/>
    <n v="6"/>
    <n v="6"/>
    <n v="6"/>
    <n v="6"/>
    <n v="7"/>
    <n v="7"/>
    <n v="7"/>
    <m/>
    <m/>
    <m/>
    <n v="278"/>
    <n v="0"/>
    <s v="SUNSET DRIVE NORTH"/>
    <n v="4"/>
    <x v="10"/>
    <n v="21747.159090909092"/>
    <m/>
    <n v="0"/>
    <x v="3"/>
  </r>
  <r>
    <x v="1106"/>
    <s v="SUNSET DRIVE SOUTH"/>
    <s v="Sunset Manor"/>
    <x v="180"/>
    <x v="160"/>
    <n v="1584"/>
    <n v="26"/>
    <s v="NC"/>
    <s v="BC"/>
    <n v="0"/>
    <n v="7"/>
    <n v="7"/>
    <n v="7"/>
    <n v="7"/>
    <n v="7"/>
    <n v="7"/>
    <n v="7"/>
    <n v="7"/>
    <n v="7"/>
    <n v="7"/>
    <m/>
    <m/>
    <m/>
    <n v="278"/>
    <n v="0"/>
    <s v="SUNSET DRIVE SOUTH"/>
    <n v="3"/>
    <x v="10"/>
    <n v="22500"/>
    <m/>
    <n v="0"/>
    <x v="3"/>
  </r>
  <r>
    <x v="1107"/>
    <s v="SUNSHINE DRIVE"/>
    <s v="Philly Estates"/>
    <x v="172"/>
    <x v="213"/>
    <n v="528"/>
    <n v="26"/>
    <s v="NC"/>
    <s v="SC"/>
    <n v="0"/>
    <n v="7"/>
    <n v="8"/>
    <n v="8"/>
    <n v="7"/>
    <n v="7"/>
    <n v="8"/>
    <n v="7"/>
    <n v="7"/>
    <n v="7"/>
    <n v="7"/>
    <m/>
    <m/>
    <m/>
    <n v="50"/>
    <n v="0"/>
    <s v="SUNSHINE DRIVE"/>
    <n v="3"/>
    <x v="7"/>
    <n v="2500"/>
    <m/>
    <n v="0"/>
    <x v="4"/>
  </r>
  <r>
    <x v="1108"/>
    <s v="SURREY CT WEST"/>
    <s v="Schildmeier Village"/>
    <x v="102"/>
    <x v="152"/>
    <n v="317"/>
    <n v="26"/>
    <s v="NC"/>
    <s v="SC"/>
    <n v="0"/>
    <n v="7"/>
    <n v="8"/>
    <n v="8"/>
    <n v="8"/>
    <n v="8"/>
    <n v="7"/>
    <n v="7"/>
    <n v="8"/>
    <n v="7"/>
    <n v="7"/>
    <m/>
    <m/>
    <m/>
    <n v="1074"/>
    <n v="0.5"/>
    <s v="SURREY CT WEST"/>
    <n v="2.5"/>
    <x v="5"/>
    <n v="4803.030303030303"/>
    <n v="1"/>
    <n v="4803.030303030303"/>
    <x v="3"/>
  </r>
  <r>
    <x v="1109"/>
    <s v="SURREY LANE SOUTH"/>
    <s v="Schildmeier Village"/>
    <x v="102"/>
    <x v="152"/>
    <n v="528"/>
    <n v="26"/>
    <s v="NC"/>
    <s v="SC"/>
    <n v="0"/>
    <n v="7"/>
    <n v="8"/>
    <n v="8"/>
    <n v="8"/>
    <n v="8"/>
    <n v="7"/>
    <n v="7"/>
    <n v="8"/>
    <n v="7"/>
    <n v="7"/>
    <m/>
    <m/>
    <m/>
    <n v="1074"/>
    <n v="0.5"/>
    <s v="SURREY LANE SOUTH"/>
    <n v="2.5"/>
    <x v="5"/>
    <n v="8000"/>
    <n v="1"/>
    <n v="8000"/>
    <x v="3"/>
  </r>
  <r>
    <x v="1110"/>
    <s v="SWEET CREEK DRIVE"/>
    <s v="Sweet Creek Woods"/>
    <x v="171"/>
    <x v="219"/>
    <n v="2746"/>
    <n v="26"/>
    <s v="NC"/>
    <s v="SC"/>
    <n v="0"/>
    <n v="6"/>
    <n v="5"/>
    <n v="5"/>
    <n v="5"/>
    <n v="9"/>
    <n v="8"/>
    <n v="8"/>
    <n v="8"/>
    <n v="7"/>
    <n v="7"/>
    <m/>
    <m/>
    <m/>
    <n v="233"/>
    <n v="0"/>
    <s v="SWEET CREEK DRIVE"/>
    <n v="1"/>
    <x v="7"/>
    <n v="13001.89393939394"/>
    <m/>
    <n v="0"/>
    <x v="4"/>
  </r>
  <r>
    <x v="1111"/>
    <s v="SYCAMORE CT"/>
    <s v="Timberbrook Estates"/>
    <x v="200"/>
    <x v="160"/>
    <n v="528"/>
    <n v="26"/>
    <s v="NC"/>
    <s v="BC"/>
    <n v="0"/>
    <n v="7"/>
    <n v="5"/>
    <n v="10"/>
    <n v="9"/>
    <n v="8"/>
    <n v="7"/>
    <n v="7"/>
    <n v="7"/>
    <n v="7"/>
    <n v="7"/>
    <m/>
    <m/>
    <m/>
    <n v="50"/>
    <n v="0"/>
    <s v="SYCAMORE CT"/>
    <n v="2"/>
    <x v="7"/>
    <n v="2500"/>
    <m/>
    <n v="0"/>
    <x v="4"/>
  </r>
  <r>
    <x v="1112"/>
    <s v="SYCAMORE DRIVE"/>
    <s v="Hamilton Heights"/>
    <x v="161"/>
    <x v="139"/>
    <n v="3221"/>
    <n v="26"/>
    <s v="NC"/>
    <s v="SC"/>
    <n v="0"/>
    <n v="7"/>
    <n v="7"/>
    <n v="7"/>
    <n v="8"/>
    <n v="8"/>
    <n v="7"/>
    <n v="7"/>
    <n v="7"/>
    <n v="7"/>
    <n v="7"/>
    <m/>
    <m/>
    <m/>
    <n v="240"/>
    <n v="0"/>
    <s v="SYCAMORE DRIVE"/>
    <n v="2"/>
    <x v="7"/>
    <n v="15250.94696969697"/>
    <m/>
    <n v="0"/>
    <x v="4"/>
  </r>
  <r>
    <x v="1113"/>
    <s v="100W/400S"/>
    <m/>
    <x v="10"/>
    <x v="91"/>
    <n v="5350"/>
    <n v="20"/>
    <s v="AC"/>
    <s v="BW"/>
    <n v="0"/>
    <n v="8"/>
    <n v="6"/>
    <n v="7"/>
    <n v="7"/>
    <n v="7"/>
    <n v="6"/>
    <n v="6"/>
    <n v="6"/>
    <n v="7"/>
    <n v="7"/>
    <m/>
    <m/>
    <m/>
    <n v="473"/>
    <n v="0"/>
    <s v="100W"/>
    <n v="3"/>
    <x v="3"/>
    <n v="46609.848484848488"/>
    <m/>
    <n v="0"/>
    <x v="6"/>
  </r>
  <r>
    <x v="1114"/>
    <s v="THEODORE LANE"/>
    <s v="New Palestine Village"/>
    <x v="159"/>
    <x v="143"/>
    <n v="264"/>
    <n v="26"/>
    <s v="NC"/>
    <s v="SC"/>
    <n v="0"/>
    <n v="7"/>
    <n v="6"/>
    <n v="6"/>
    <n v="9"/>
    <n v="9"/>
    <n v="8"/>
    <n v="8"/>
    <n v="7"/>
    <n v="7"/>
    <n v="7"/>
    <m/>
    <m/>
    <m/>
    <n v="155"/>
    <n v="0"/>
    <s v="THEODORE LANE"/>
    <n v="1"/>
    <x v="5"/>
    <n v="4000"/>
    <m/>
    <n v="0"/>
    <x v="5"/>
  </r>
  <r>
    <x v="1115"/>
    <s v="THIRD ST(WILL BRA)"/>
    <s v="Willow Branch"/>
    <x v="146"/>
    <x v="210"/>
    <n v="288"/>
    <n v="20"/>
    <s v="AC"/>
    <s v="B"/>
    <n v="0"/>
    <n v="6"/>
    <n v="6"/>
    <n v="6"/>
    <n v="5"/>
    <n v="5"/>
    <n v="9"/>
    <n v="8"/>
    <n v="8"/>
    <n v="7"/>
    <n v="7"/>
    <m/>
    <m/>
    <m/>
    <n v="50"/>
    <n v="0"/>
    <s v="THIRD ST(WILL BRA)"/>
    <n v="5"/>
    <x v="0"/>
    <n v="1145.4545454545455"/>
    <m/>
    <n v="0"/>
    <x v="3"/>
  </r>
  <r>
    <x v="1116"/>
    <s v="1000N/500E"/>
    <m/>
    <x v="32"/>
    <x v="73"/>
    <n v="5438"/>
    <n v="20"/>
    <s v="AC"/>
    <s v="G"/>
    <n v="0"/>
    <n v="7"/>
    <n v="7"/>
    <n v="7"/>
    <n v="7"/>
    <n v="7"/>
    <n v="6"/>
    <n v="6"/>
    <n v="6"/>
    <n v="6"/>
    <n v="6"/>
    <n v="2022"/>
    <n v="2022"/>
    <s v="Y"/>
    <n v="324"/>
    <n v="0"/>
    <s v="1000N"/>
    <n v="3"/>
    <x v="3"/>
    <n v="47376.515151515152"/>
    <m/>
    <n v="0"/>
    <x v="6"/>
  </r>
  <r>
    <x v="1117"/>
    <s v="THOMAS COURT"/>
    <s v="Little Brandywine"/>
    <x v="76"/>
    <x v="161"/>
    <n v="419"/>
    <n v="26"/>
    <s v="NC"/>
    <s v="C"/>
    <n v="0"/>
    <n v="7"/>
    <n v="10"/>
    <n v="10"/>
    <n v="9"/>
    <n v="9"/>
    <n v="8"/>
    <n v="8"/>
    <n v="7"/>
    <n v="7"/>
    <n v="7"/>
    <m/>
    <m/>
    <m/>
    <n v="50"/>
    <n v="0"/>
    <s v="THOMAS COURT"/>
    <n v="1"/>
    <x v="7"/>
    <n v="1983.9015151515152"/>
    <m/>
    <n v="0"/>
    <x v="4"/>
  </r>
  <r>
    <x v="1118"/>
    <s v="THOMAS RD./SR234"/>
    <m/>
    <x v="7"/>
    <x v="5"/>
    <n v="8725"/>
    <n v="20"/>
    <s v="AC"/>
    <s v="B"/>
    <n v="0"/>
    <n v="6"/>
    <n v="6"/>
    <n v="6"/>
    <n v="5"/>
    <n v="5"/>
    <n v="9"/>
    <n v="8"/>
    <n v="7"/>
    <n v="7"/>
    <n v="7"/>
    <m/>
    <m/>
    <m/>
    <n v="68"/>
    <n v="0"/>
    <s v="THOMAS RD."/>
    <n v="5"/>
    <x v="2"/>
    <n v="52878.78787878788"/>
    <n v="1"/>
    <n v="52878.78787878788"/>
    <x v="3"/>
  </r>
  <r>
    <x v="1119"/>
    <s v="THOMAS ST(WILL BR)"/>
    <s v="Willow Branch"/>
    <x v="205"/>
    <x v="220"/>
    <n v="539"/>
    <n v="20"/>
    <s v="AC"/>
    <s v="B"/>
    <n v="0"/>
    <n v="6"/>
    <n v="6"/>
    <n v="6"/>
    <n v="5"/>
    <n v="5"/>
    <n v="9"/>
    <n v="8"/>
    <n v="8"/>
    <n v="7"/>
    <n v="7"/>
    <m/>
    <m/>
    <m/>
    <n v="50"/>
    <n v="0"/>
    <s v="THOMAS ST."/>
    <n v="5"/>
    <x v="0"/>
    <n v="2143.75"/>
    <m/>
    <n v="0"/>
    <x v="3"/>
  </r>
  <r>
    <x v="1120"/>
    <s v="TIMBER DRIVE"/>
    <s v="Doe Creek Manor"/>
    <x v="102"/>
    <x v="219"/>
    <n v="1267"/>
    <n v="26"/>
    <s v="NC"/>
    <s v="SC"/>
    <n v="0"/>
    <n v="6"/>
    <n v="6"/>
    <n v="6"/>
    <n v="5"/>
    <n v="9"/>
    <n v="8"/>
    <n v="8"/>
    <n v="7"/>
    <n v="7"/>
    <n v="8"/>
    <m/>
    <m/>
    <m/>
    <n v="169"/>
    <n v="0"/>
    <s v="TIMBER DRIVE"/>
    <n v="1"/>
    <x v="7"/>
    <n v="5999.05303030303"/>
    <m/>
    <n v="0"/>
    <x v="4"/>
  </r>
  <r>
    <x v="1121"/>
    <s v="TOMKE DRIVE"/>
    <s v="Glad Acres"/>
    <x v="15"/>
    <x v="17"/>
    <n v="422"/>
    <n v="26"/>
    <s v="NC"/>
    <s v="SC"/>
    <n v="0"/>
    <n v="7"/>
    <n v="8"/>
    <n v="8"/>
    <n v="8"/>
    <n v="8"/>
    <n v="8"/>
    <n v="7"/>
    <n v="7"/>
    <n v="7"/>
    <n v="7"/>
    <m/>
    <m/>
    <m/>
    <n v="114"/>
    <n v="0"/>
    <s v="TOMKE DRIVE"/>
    <n v="2"/>
    <x v="7"/>
    <n v="1998.1060606060605"/>
    <m/>
    <n v="0"/>
    <x v="4"/>
  </r>
  <r>
    <x v="1122"/>
    <s v="TROY RD./900N"/>
    <m/>
    <x v="206"/>
    <x v="88"/>
    <n v="5332"/>
    <n v="20"/>
    <s v="CS"/>
    <s v="G"/>
    <n v="0"/>
    <n v="7"/>
    <n v="4"/>
    <n v="8"/>
    <n v="9"/>
    <n v="7"/>
    <n v="7"/>
    <n v="7"/>
    <n v="7"/>
    <n v="7"/>
    <n v="7"/>
    <m/>
    <m/>
    <m/>
    <n v="57"/>
    <n v="0"/>
    <s v="TROY RD."/>
    <n v="3"/>
    <x v="0"/>
    <n v="21206.81818181818"/>
    <m/>
    <n v="0"/>
    <x v="2"/>
  </r>
  <r>
    <x v="1123"/>
    <s v="TROY RD./EDEN RD"/>
    <m/>
    <x v="7"/>
    <x v="85"/>
    <n v="725"/>
    <n v="20"/>
    <s v="AC"/>
    <s v="G"/>
    <n v="0"/>
    <n v="8"/>
    <n v="6"/>
    <n v="8"/>
    <n v="7"/>
    <n v="6"/>
    <n v="6"/>
    <n v="6"/>
    <n v="6"/>
    <n v="8"/>
    <n v="8"/>
    <m/>
    <m/>
    <m/>
    <n v="123"/>
    <n v="0"/>
    <s v="TROY RD."/>
    <n v="4"/>
    <x v="0"/>
    <n v="2883.5227272727275"/>
    <m/>
    <n v="0"/>
    <x v="5"/>
  </r>
  <r>
    <x v="1124"/>
    <s v="TROY RD./SR234"/>
    <m/>
    <x v="7"/>
    <x v="82"/>
    <n v="5300"/>
    <n v="20"/>
    <s v="P"/>
    <s v="G"/>
    <n v="0"/>
    <n v="4"/>
    <n v="3"/>
    <n v="10"/>
    <n v="9"/>
    <n v="9"/>
    <n v="8"/>
    <n v="8"/>
    <n v="8"/>
    <n v="7"/>
    <n v="7"/>
    <m/>
    <m/>
    <m/>
    <n v="97"/>
    <n v="0"/>
    <s v="TROY RD."/>
    <n v="1"/>
    <x v="0"/>
    <n v="21079.545454545456"/>
    <m/>
    <n v="0"/>
    <x v="5"/>
  </r>
  <r>
    <x v="1125"/>
    <s v="TULIP TREE DRIVE"/>
    <s v="Hickory Woods"/>
    <x v="179"/>
    <x v="189"/>
    <n v="1320"/>
    <n v="26"/>
    <s v="NC"/>
    <s v="BC"/>
    <n v="0"/>
    <n v="7"/>
    <n v="7"/>
    <n v="7"/>
    <n v="6"/>
    <n v="9"/>
    <n v="9"/>
    <n v="8"/>
    <n v="7"/>
    <n v="7"/>
    <n v="7"/>
    <m/>
    <m/>
    <m/>
    <n v="50"/>
    <n v="0"/>
    <s v="TULIP TREE DRIVE"/>
    <n v="1"/>
    <x v="7"/>
    <n v="6250"/>
    <m/>
    <n v="0"/>
    <x v="4"/>
  </r>
  <r>
    <x v="1126"/>
    <s v="TUMBLEWEED COURT(W)"/>
    <s v="Countryside"/>
    <x v="15"/>
    <x v="154"/>
    <n v="438"/>
    <n v="26"/>
    <s v="NC"/>
    <s v="SC"/>
    <n v="0"/>
    <n v="7"/>
    <n v="8"/>
    <n v="8"/>
    <n v="8"/>
    <n v="8"/>
    <n v="8"/>
    <n v="7"/>
    <n v="7"/>
    <n v="7"/>
    <n v="7"/>
    <m/>
    <m/>
    <m/>
    <n v="433"/>
    <n v="0"/>
    <s v="TUMBLEWEED COURT(W)"/>
    <n v="2"/>
    <x v="9"/>
    <n v="207.38636363636363"/>
    <m/>
    <n v="0"/>
    <x v="3"/>
  </r>
  <r>
    <x v="1127"/>
    <s v="TUMBLEWEED DRIVE(S)"/>
    <s v="Countryside"/>
    <x v="15"/>
    <x v="154"/>
    <n v="1320"/>
    <n v="26"/>
    <s v="NC"/>
    <s v="SC"/>
    <n v="0"/>
    <n v="7"/>
    <n v="8"/>
    <n v="8"/>
    <n v="8"/>
    <n v="7"/>
    <n v="7"/>
    <n v="7"/>
    <n v="7"/>
    <n v="7"/>
    <n v="7"/>
    <m/>
    <m/>
    <m/>
    <n v="433"/>
    <n v="0"/>
    <s v="TUMBLEWEED DRIVE(S)"/>
    <n v="3"/>
    <x v="9"/>
    <n v="625"/>
    <m/>
    <n v="0"/>
    <x v="3"/>
  </r>
  <r>
    <x v="1128"/>
    <s v="TWIN OAK BLVD (E)"/>
    <s v="Twin Oaks"/>
    <x v="73"/>
    <x v="142"/>
    <n v="528"/>
    <n v="26"/>
    <s v="NC"/>
    <s v="C"/>
    <n v="0"/>
    <n v="7"/>
    <n v="8"/>
    <n v="8"/>
    <n v="8"/>
    <n v="8"/>
    <n v="8"/>
    <n v="8"/>
    <n v="7"/>
    <n v="6"/>
    <n v="6"/>
    <m/>
    <m/>
    <m/>
    <n v="50"/>
    <n v="0"/>
    <s v="TWIN OAK BLVD (E)"/>
    <n v="2"/>
    <x v="5"/>
    <n v="8000"/>
    <n v="1"/>
    <n v="8000"/>
    <x v="3"/>
  </r>
  <r>
    <x v="1129"/>
    <s v="VALLEY COURT"/>
    <s v="Ridgeview Est."/>
    <x v="157"/>
    <x v="153"/>
    <n v="475"/>
    <n v="26"/>
    <s v="NC"/>
    <s v="C"/>
    <n v="0"/>
    <n v="7"/>
    <n v="7"/>
    <n v="7"/>
    <n v="6"/>
    <n v="9"/>
    <n v="9"/>
    <n v="8"/>
    <n v="8"/>
    <n v="8"/>
    <n v="8"/>
    <m/>
    <m/>
    <m/>
    <n v="50"/>
    <n v="0"/>
    <s v="VALLEY COURT"/>
    <n v="1"/>
    <x v="7"/>
    <n v="2249.0530303030305"/>
    <m/>
    <n v="0"/>
    <x v="4"/>
  </r>
  <r>
    <x v="1130"/>
    <s v="VALLEY LANE"/>
    <s v="Ridgeview Est."/>
    <x v="157"/>
    <x v="153"/>
    <n v="1003"/>
    <n v="26"/>
    <s v="NC"/>
    <s v="C"/>
    <n v="0"/>
    <n v="6"/>
    <n v="5"/>
    <n v="4"/>
    <n v="4"/>
    <n v="9"/>
    <n v="9"/>
    <n v="8"/>
    <n v="8"/>
    <n v="8"/>
    <n v="8"/>
    <m/>
    <m/>
    <m/>
    <n v="50"/>
    <n v="0"/>
    <s v="VALLEY LANE"/>
    <n v="1"/>
    <x v="7"/>
    <n v="4749.05303030303"/>
    <m/>
    <n v="0"/>
    <x v="4"/>
  </r>
  <r>
    <x v="1131"/>
    <s v="VERA DRIVE"/>
    <s v="Brier Creek"/>
    <x v="102"/>
    <x v="139"/>
    <n v="1109"/>
    <n v="26"/>
    <s v="NC"/>
    <s v="SC"/>
    <n v="0"/>
    <n v="7"/>
    <n v="7"/>
    <n v="7"/>
    <n v="7"/>
    <n v="8"/>
    <n v="8"/>
    <n v="8"/>
    <n v="8"/>
    <n v="7"/>
    <n v="7"/>
    <m/>
    <m/>
    <m/>
    <n v="232"/>
    <n v="0"/>
    <s v="VERA DRIVE"/>
    <n v="2"/>
    <x v="7"/>
    <n v="5250.94696969697"/>
    <m/>
    <n v="0"/>
    <x v="4"/>
  </r>
  <r>
    <x v="1132"/>
    <s v="600E/400S"/>
    <m/>
    <x v="24"/>
    <x v="26"/>
    <n v="5300"/>
    <n v="20"/>
    <s v="AC"/>
    <s v="BR"/>
    <n v="0"/>
    <n v="9"/>
    <n v="7"/>
    <n v="7"/>
    <n v="6"/>
    <n v="6"/>
    <n v="6"/>
    <n v="6"/>
    <n v="6"/>
    <n v="7"/>
    <n v="7"/>
    <m/>
    <n v="2020"/>
    <s v="Y"/>
    <n v="320"/>
    <n v="0"/>
    <s v="600E"/>
    <n v="4"/>
    <x v="3"/>
    <n v="46174.242424242424"/>
    <m/>
    <n v="0"/>
    <x v="6"/>
  </r>
  <r>
    <x v="1133"/>
    <s v="VILLAGE DRIVE"/>
    <s v="Schildmeier Village"/>
    <x v="159"/>
    <x v="143"/>
    <n v="1109"/>
    <n v="26"/>
    <s v="NC"/>
    <s v="SC"/>
    <n v="0"/>
    <n v="6"/>
    <n v="6"/>
    <n v="5"/>
    <n v="9"/>
    <n v="9"/>
    <n v="8"/>
    <n v="8"/>
    <n v="7"/>
    <n v="7"/>
    <n v="7"/>
    <m/>
    <m/>
    <m/>
    <n v="155"/>
    <n v="0"/>
    <s v="VILLAGE DRIVE"/>
    <n v="1"/>
    <x v="5"/>
    <n v="16803.030303030304"/>
    <n v="1"/>
    <n v="16803.030303030304"/>
    <x v="3"/>
  </r>
  <r>
    <x v="1134"/>
    <s v="VILLAGE DRIVE (S)"/>
    <s v="New Palestine Village"/>
    <x v="102"/>
    <x v="152"/>
    <n v="1818"/>
    <n v="26"/>
    <s v="NC"/>
    <s v="SC"/>
    <n v="0"/>
    <m/>
    <n v="7"/>
    <n v="7"/>
    <n v="7"/>
    <n v="7"/>
    <n v="7"/>
    <n v="7"/>
    <n v="8"/>
    <n v="7"/>
    <n v="7"/>
    <m/>
    <m/>
    <m/>
    <n v="1074"/>
    <n v="0.5"/>
    <s v="VILLAGE DRIVE (S)"/>
    <n v="3.5"/>
    <x v="5"/>
    <n v="27545.454545454544"/>
    <m/>
    <n v="0"/>
    <x v="4"/>
  </r>
  <r>
    <x v="1135"/>
    <s v="VILLAGE ROW"/>
    <s v="Schildmeier Village"/>
    <x v="102"/>
    <x v="152"/>
    <n v="2006"/>
    <n v="26"/>
    <s v="NC"/>
    <s v="SC"/>
    <n v="0"/>
    <n v="7"/>
    <n v="7"/>
    <n v="9"/>
    <n v="8"/>
    <n v="8"/>
    <n v="7"/>
    <n v="7"/>
    <n v="8"/>
    <n v="7"/>
    <n v="7"/>
    <m/>
    <m/>
    <m/>
    <n v="1074"/>
    <n v="0.5"/>
    <s v="VILLAGE ROW"/>
    <n v="2.5"/>
    <x v="5"/>
    <n v="30393.939393939392"/>
    <n v="1"/>
    <n v="30393.939393939392"/>
    <x v="3"/>
  </r>
  <r>
    <x v="1136"/>
    <s v="VILLAGE WAY WEST"/>
    <s v="Schildmeier Village"/>
    <x v="102"/>
    <x v="152"/>
    <n v="845"/>
    <n v="26"/>
    <s v="NC"/>
    <s v="SC"/>
    <n v="0"/>
    <n v="7"/>
    <n v="6"/>
    <n v="8"/>
    <n v="8"/>
    <n v="8"/>
    <n v="7"/>
    <n v="7"/>
    <n v="8"/>
    <n v="7"/>
    <n v="7"/>
    <m/>
    <m/>
    <m/>
    <n v="1074"/>
    <n v="0.5"/>
    <s v="VILLAGE WAY WEST"/>
    <n v="2.5"/>
    <x v="5"/>
    <n v="12803.030303030304"/>
    <n v="1"/>
    <n v="12803.030303030304"/>
    <x v="3"/>
  </r>
  <r>
    <x v="1137"/>
    <s v="CONGRESS CV (W)"/>
    <s v="Centennial Village"/>
    <x v="117"/>
    <x v="64"/>
    <n v="110"/>
    <n v="26"/>
    <m/>
    <s v="SC"/>
    <n v="0"/>
    <m/>
    <m/>
    <m/>
    <n v="9"/>
    <n v="9"/>
    <n v="8"/>
    <n v="7"/>
    <n v="8"/>
    <n v="8"/>
    <n v="8"/>
    <m/>
    <m/>
    <m/>
    <n v="640"/>
    <m/>
    <s v="W CONGRESS CV"/>
    <n v="1"/>
    <x v="7"/>
    <n v="520.83333333333337"/>
    <m/>
    <n v="0"/>
    <x v="4"/>
  </r>
  <r>
    <x v="1138"/>
    <s v="HARRISBURG CT (W)"/>
    <s v="Centennial Village"/>
    <x v="117"/>
    <x v="64"/>
    <n v="411"/>
    <n v="26"/>
    <m/>
    <s v="SC"/>
    <n v="0"/>
    <m/>
    <m/>
    <m/>
    <n v="9"/>
    <n v="9"/>
    <n v="8"/>
    <n v="7"/>
    <n v="8"/>
    <n v="8"/>
    <n v="8"/>
    <m/>
    <m/>
    <m/>
    <n v="640"/>
    <m/>
    <s v="W HARRISBURG CT"/>
    <n v="1"/>
    <x v="7"/>
    <n v="1946.0227272727273"/>
    <m/>
    <n v="0"/>
    <x v="4"/>
  </r>
  <r>
    <x v="1139"/>
    <s v="WALNUT CT"/>
    <s v="Timberbrook Estates"/>
    <x v="200"/>
    <x v="160"/>
    <n v="739"/>
    <n v="26"/>
    <s v="NC"/>
    <s v="BC"/>
    <n v="0"/>
    <n v="6"/>
    <n v="5"/>
    <n v="5"/>
    <n v="9"/>
    <n v="8"/>
    <n v="7"/>
    <n v="7"/>
    <n v="7"/>
    <n v="7"/>
    <n v="7"/>
    <m/>
    <m/>
    <m/>
    <n v="50"/>
    <n v="0"/>
    <s v="WALNUT CT"/>
    <n v="2"/>
    <x v="7"/>
    <n v="3499.0530303030305"/>
    <m/>
    <n v="0"/>
    <x v="4"/>
  </r>
  <r>
    <x v="1140"/>
    <s v="WALNUT DR(S)"/>
    <s v="Hamilton Heights"/>
    <x v="161"/>
    <x v="139"/>
    <n v="1320"/>
    <n v="26"/>
    <s v="NC"/>
    <s v="SC"/>
    <n v="0"/>
    <n v="7"/>
    <n v="7"/>
    <n v="7"/>
    <n v="8"/>
    <n v="8"/>
    <n v="7"/>
    <n v="7"/>
    <n v="7"/>
    <n v="7"/>
    <n v="7"/>
    <m/>
    <m/>
    <m/>
    <n v="240"/>
    <n v="0"/>
    <s v="WALNUT DR(S)"/>
    <n v="2"/>
    <x v="7"/>
    <n v="6250"/>
    <m/>
    <n v="0"/>
    <x v="4"/>
  </r>
  <r>
    <x v="1141"/>
    <s v="1000N/675E"/>
    <m/>
    <x v="207"/>
    <x v="21"/>
    <n v="2798"/>
    <n v="20"/>
    <s v="AC"/>
    <s v="B"/>
    <n v="0"/>
    <n v="8"/>
    <n v="7"/>
    <n v="7"/>
    <n v="7"/>
    <n v="7"/>
    <n v="6"/>
    <n v="6"/>
    <n v="6"/>
    <n v="6"/>
    <n v="6"/>
    <n v="2022"/>
    <n v="2022"/>
    <s v="Y"/>
    <n v="125"/>
    <n v="0"/>
    <s v="1000N"/>
    <n v="3"/>
    <x v="3"/>
    <n v="24376.515151515152"/>
    <m/>
    <n v="0"/>
    <x v="6"/>
  </r>
  <r>
    <x v="1142"/>
    <s v="WASHINGTON (MAX)/E"/>
    <m/>
    <x v="21"/>
    <x v="134"/>
    <n v="614"/>
    <n v="20"/>
    <s v="CS"/>
    <s v="C"/>
    <n v="0"/>
    <n v="7"/>
    <n v="6"/>
    <n v="6"/>
    <n v="6"/>
    <n v="6"/>
    <n v="6"/>
    <n v="6"/>
    <n v="6"/>
    <n v="6"/>
    <n v="6"/>
    <m/>
    <m/>
    <m/>
    <n v="50"/>
    <n v="0"/>
    <s v="WASHINGTON"/>
    <n v="4"/>
    <x v="2"/>
    <n v="3721.212121212121"/>
    <m/>
    <n v="0"/>
    <x v="2"/>
  </r>
  <r>
    <x v="1143"/>
    <s v="WATER WHEEL DRIVE"/>
    <s v="Country Mill"/>
    <x v="73"/>
    <x v="198"/>
    <n v="845"/>
    <n v="26"/>
    <s v="NC"/>
    <s v="C"/>
    <n v="0"/>
    <n v="7"/>
    <n v="8"/>
    <n v="8"/>
    <n v="7"/>
    <n v="8"/>
    <n v="7"/>
    <n v="7"/>
    <n v="7"/>
    <n v="7"/>
    <n v="7"/>
    <m/>
    <m/>
    <m/>
    <n v="50"/>
    <n v="0"/>
    <s v="WATER WHEEL DRIVE"/>
    <n v="2"/>
    <x v="5"/>
    <n v="12803.030303030304"/>
    <n v="1"/>
    <n v="12803.030303030304"/>
    <x v="3"/>
  </r>
  <r>
    <x v="1144"/>
    <s v="WATERS EDGE BLVD"/>
    <s v="Heron Creek"/>
    <x v="171"/>
    <x v="178"/>
    <n v="1072"/>
    <m/>
    <s v="NC"/>
    <s v="BC"/>
    <n v="0"/>
    <m/>
    <n v="10"/>
    <n v="10"/>
    <n v="9"/>
    <n v="8"/>
    <n v="8"/>
    <n v="7"/>
    <n v="7"/>
    <n v="7"/>
    <n v="7"/>
    <m/>
    <m/>
    <m/>
    <m/>
    <n v="0"/>
    <s v="WATERS EDGE BLVD"/>
    <n v="2"/>
    <x v="7"/>
    <n v="5075.757575757576"/>
    <m/>
    <n v="0"/>
    <x v="4"/>
  </r>
  <r>
    <x v="1145"/>
    <s v="WATERS EDGE CT"/>
    <s v="Heron Creek"/>
    <x v="171"/>
    <x v="178"/>
    <n v="393.8"/>
    <m/>
    <s v="NC"/>
    <s v="BC"/>
    <n v="0"/>
    <m/>
    <n v="10"/>
    <n v="10"/>
    <n v="9"/>
    <n v="9"/>
    <n v="9"/>
    <n v="8"/>
    <n v="8"/>
    <n v="8"/>
    <n v="8"/>
    <m/>
    <m/>
    <m/>
    <m/>
    <n v="0"/>
    <s v="WATERS EDGE CT"/>
    <n v="1"/>
    <x v="7"/>
    <n v="1864.5833333333333"/>
    <m/>
    <n v="0"/>
    <x v="4"/>
  </r>
  <r>
    <x v="1146"/>
    <s v="WATERWAY DRIVE"/>
    <s v="Meadow Lake Estates"/>
    <x v="15"/>
    <x v="169"/>
    <n v="158"/>
    <n v="26"/>
    <s v="NC"/>
    <s v="SC"/>
    <n v="0"/>
    <n v="8"/>
    <n v="9"/>
    <n v="9"/>
    <n v="9"/>
    <n v="9"/>
    <n v="8"/>
    <n v="8"/>
    <n v="7"/>
    <n v="7"/>
    <n v="7"/>
    <m/>
    <m/>
    <m/>
    <n v="364"/>
    <n v="0"/>
    <s v="WATERWAY DRIVE"/>
    <n v="1"/>
    <x v="7"/>
    <n v="748.10606060606062"/>
    <m/>
    <n v="0"/>
    <x v="4"/>
  </r>
  <r>
    <x v="1147"/>
    <s v="WAYNE DRIVE"/>
    <s v="Wildwood Estates"/>
    <x v="172"/>
    <x v="160"/>
    <n v="2429"/>
    <n v="26"/>
    <s v="NC"/>
    <s v="BC"/>
    <n v="0"/>
    <n v="6"/>
    <n v="6"/>
    <n v="6"/>
    <n v="6"/>
    <n v="9"/>
    <n v="7"/>
    <n v="6"/>
    <n v="5"/>
    <n v="5"/>
    <n v="6"/>
    <m/>
    <m/>
    <m/>
    <n v="50"/>
    <n v="0"/>
    <s v="WAYNE DRIVE"/>
    <n v="1"/>
    <x v="10"/>
    <n v="34502.840909090912"/>
    <m/>
    <n v="0"/>
    <x v="0"/>
  </r>
  <r>
    <x v="1148"/>
    <s v="WELKER DRIVE"/>
    <s v="Sugar Creek Heights"/>
    <x v="200"/>
    <x v="105"/>
    <n v="1267"/>
    <n v="26"/>
    <s v="NC"/>
    <s v="SC"/>
    <n v="0"/>
    <n v="7"/>
    <n v="5"/>
    <n v="4"/>
    <n v="9"/>
    <n v="9"/>
    <n v="9"/>
    <n v="8"/>
    <n v="8"/>
    <n v="8"/>
    <n v="7"/>
    <m/>
    <m/>
    <m/>
    <n v="50"/>
    <n v="0"/>
    <s v="WELKER DRIVE"/>
    <n v="1"/>
    <x v="7"/>
    <n v="5999.05303030303"/>
    <m/>
    <n v="0"/>
    <x v="4"/>
  </r>
  <r>
    <x v="1149"/>
    <s v="WEST ST(CHAR)/CART"/>
    <m/>
    <x v="23"/>
    <x v="144"/>
    <n v="538"/>
    <n v="20"/>
    <s v="P"/>
    <s v="J"/>
    <n v="0"/>
    <n v="6"/>
    <n v="3"/>
    <n v="3"/>
    <n v="9"/>
    <n v="8"/>
    <n v="7"/>
    <n v="7"/>
    <n v="6"/>
    <n v="6"/>
    <n v="7"/>
    <m/>
    <m/>
    <m/>
    <n v="50"/>
    <n v="0"/>
    <s v="WEST ST(CHAR)/CART"/>
    <n v="2"/>
    <x v="2"/>
    <n v="3260.6060606060605"/>
    <m/>
    <n v="0"/>
    <x v="5"/>
  </r>
  <r>
    <x v="1150"/>
    <s v="WEST ST(FINLY)"/>
    <m/>
    <x v="52"/>
    <x v="196"/>
    <n v="396"/>
    <n v="20"/>
    <s v="AC"/>
    <s v="BW"/>
    <n v="0"/>
    <n v="7"/>
    <n v="7"/>
    <n v="7"/>
    <n v="7"/>
    <n v="7"/>
    <n v="7"/>
    <n v="6"/>
    <n v="6"/>
    <n v="6"/>
    <n v="7"/>
    <m/>
    <m/>
    <m/>
    <n v="50"/>
    <n v="0"/>
    <s v="WEST ST(FINLY)"/>
    <n v="3"/>
    <x v="0"/>
    <n v="1575"/>
    <m/>
    <n v="0"/>
    <x v="2"/>
  </r>
  <r>
    <x v="1151"/>
    <s v="WESTERN CT (W)"/>
    <s v="Willow Grove"/>
    <x v="102"/>
    <x v="172"/>
    <n v="475"/>
    <n v="26"/>
    <s v="NC"/>
    <s v="SC"/>
    <n v="0"/>
    <n v="7"/>
    <n v="7"/>
    <n v="7"/>
    <n v="7"/>
    <n v="7"/>
    <n v="7"/>
    <n v="7"/>
    <n v="7"/>
    <n v="7"/>
    <n v="7"/>
    <m/>
    <m/>
    <m/>
    <n v="888"/>
    <n v="0.5"/>
    <s v="WESTERN CT (W)"/>
    <n v="3.5"/>
    <x v="7"/>
    <n v="2249.0530303030305"/>
    <m/>
    <n v="0"/>
    <x v="4"/>
  </r>
  <r>
    <x v="1152"/>
    <s v="WHISPERING WAY"/>
    <s v="Heron Creek"/>
    <x v="171"/>
    <x v="178"/>
    <n v="400"/>
    <n v="26"/>
    <s v="NC"/>
    <s v="BC"/>
    <n v="0"/>
    <m/>
    <n v="10"/>
    <n v="10"/>
    <n v="9"/>
    <n v="9"/>
    <n v="9"/>
    <n v="8"/>
    <n v="8"/>
    <n v="8"/>
    <n v="8"/>
    <m/>
    <m/>
    <m/>
    <n v="50"/>
    <n v="0"/>
    <s v="WHISPERING WAY"/>
    <n v="1"/>
    <x v="7"/>
    <n v="1893.939393939394"/>
    <m/>
    <n v="0"/>
    <x v="4"/>
  </r>
  <r>
    <x v="1153"/>
    <s v="WHITE OAK DRIVE"/>
    <s v="Schildmeier Village"/>
    <x v="102"/>
    <x v="152"/>
    <n v="1373"/>
    <n v="26"/>
    <s v="NC"/>
    <s v="SC"/>
    <n v="0"/>
    <n v="7"/>
    <n v="7"/>
    <n v="6"/>
    <n v="6"/>
    <n v="6"/>
    <n v="6"/>
    <n v="8"/>
    <n v="8"/>
    <n v="7"/>
    <n v="7"/>
    <m/>
    <m/>
    <m/>
    <n v="1074"/>
    <n v="0.5"/>
    <s v="WHITE OAK DRIVE"/>
    <n v="4.5"/>
    <x v="5"/>
    <n v="20803.030303030304"/>
    <n v="1"/>
    <n v="20803.030303030304"/>
    <x v="3"/>
  </r>
  <r>
    <x v="1154"/>
    <s v="WHITESIDE CT"/>
    <s v="Heron Creek"/>
    <x v="171"/>
    <x v="178"/>
    <n v="371"/>
    <m/>
    <s v="NC"/>
    <s v="BC"/>
    <n v="0"/>
    <m/>
    <n v="10"/>
    <n v="10"/>
    <n v="9"/>
    <n v="9"/>
    <n v="9"/>
    <n v="8"/>
    <n v="8"/>
    <n v="8"/>
    <n v="8"/>
    <m/>
    <m/>
    <m/>
    <m/>
    <n v="0"/>
    <s v="WHITESIDE CT"/>
    <n v="1"/>
    <x v="7"/>
    <n v="1756.628787878788"/>
    <m/>
    <n v="0"/>
    <x v="4"/>
  </r>
  <r>
    <x v="1155"/>
    <s v="WILDFLOWER LN"/>
    <s v="Briarwood Trace"/>
    <x v="102"/>
    <x v="166"/>
    <n v="739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WILDFLOWER LN"/>
    <n v="3"/>
    <x v="9"/>
    <n v="8326"/>
    <m/>
    <n v="0"/>
    <x v="3"/>
  </r>
  <r>
    <x v="1156"/>
    <s v="MCCORD RD./500W"/>
    <m/>
    <x v="117"/>
    <x v="88"/>
    <n v="2450"/>
    <n v="20"/>
    <s v="AC"/>
    <s v="V"/>
    <n v="0"/>
    <n v="6"/>
    <n v="8"/>
    <n v="8"/>
    <n v="7"/>
    <n v="7"/>
    <n v="7"/>
    <n v="7"/>
    <n v="6"/>
    <n v="5"/>
    <n v="6"/>
    <m/>
    <m/>
    <m/>
    <n v="121"/>
    <n v="0"/>
    <s v="MCCORD RD./500W"/>
    <n v="3"/>
    <x v="3"/>
    <n v="21344.696969696968"/>
    <m/>
    <n v="0"/>
    <x v="6"/>
  </r>
  <r>
    <x v="1157"/>
    <s v="WILLIAMSWOOD DRIVE"/>
    <s v="Schildmeier Village"/>
    <x v="102"/>
    <x v="152"/>
    <n v="1056"/>
    <n v="26"/>
    <s v="NC"/>
    <s v="SC"/>
    <n v="0"/>
    <n v="7"/>
    <n v="8"/>
    <n v="8"/>
    <n v="8"/>
    <n v="8"/>
    <n v="7"/>
    <n v="7"/>
    <n v="8"/>
    <n v="7"/>
    <n v="6"/>
    <m/>
    <m/>
    <m/>
    <n v="1074"/>
    <n v="0.5"/>
    <s v="WILLIAMSWOOD DRIVE"/>
    <n v="2.5"/>
    <x v="5"/>
    <n v="16000"/>
    <n v="1"/>
    <n v="16000"/>
    <x v="3"/>
  </r>
  <r>
    <x v="1158"/>
    <s v="WILLOW GROVE DR (S)"/>
    <s v="Willow Grove"/>
    <x v="102"/>
    <x v="172"/>
    <n v="758"/>
    <n v="26"/>
    <s v="NC"/>
    <s v="SC"/>
    <n v="0"/>
    <n v="7"/>
    <n v="7"/>
    <n v="7"/>
    <n v="7"/>
    <n v="9"/>
    <n v="8"/>
    <n v="8"/>
    <n v="7"/>
    <n v="7"/>
    <n v="7"/>
    <m/>
    <m/>
    <m/>
    <n v="888"/>
    <n v="0.5"/>
    <s v="WILLOW GROVE DR (S)"/>
    <n v="1.5"/>
    <x v="5"/>
    <n v="11484.848484848484"/>
    <m/>
    <n v="0"/>
    <x v="7"/>
  </r>
  <r>
    <x v="1159"/>
    <s v="WILLOW GROVE DR (W)"/>
    <s v="Willow Grove"/>
    <x v="102"/>
    <x v="172"/>
    <n v="2002"/>
    <n v="26"/>
    <s v="NC"/>
    <s v="SC"/>
    <n v="0"/>
    <n v="7"/>
    <n v="7"/>
    <n v="6"/>
    <n v="6"/>
    <n v="9"/>
    <n v="8"/>
    <n v="8"/>
    <n v="7"/>
    <n v="7"/>
    <n v="7"/>
    <m/>
    <m/>
    <m/>
    <n v="888"/>
    <n v="0.5"/>
    <s v="WILLOW GROVE DR (W)"/>
    <n v="1.5"/>
    <x v="7"/>
    <n v="9479.1666666666661"/>
    <m/>
    <n v="0"/>
    <x v="4"/>
  </r>
  <r>
    <x v="1160"/>
    <s v="WILMONT"/>
    <s v="Wilmont"/>
    <x v="208"/>
    <x v="174"/>
    <n v="458"/>
    <n v="26"/>
    <s v="NC"/>
    <s v="SC"/>
    <m/>
    <m/>
    <m/>
    <m/>
    <n v="9"/>
    <n v="9"/>
    <n v="9"/>
    <n v="8"/>
    <n v="8"/>
    <n v="7"/>
    <n v="7"/>
    <m/>
    <m/>
    <m/>
    <n v="76"/>
    <m/>
    <s v="WILMONT"/>
    <n v="1"/>
    <x v="7"/>
    <n v="2168.560606060606"/>
    <m/>
    <n v="0"/>
    <x v="4"/>
  </r>
  <r>
    <x v="1161"/>
    <m/>
    <m/>
    <x v="209"/>
    <x v="221"/>
    <n v="1185"/>
    <n v="20"/>
    <s v="AC"/>
    <s v="B"/>
    <n v="0"/>
    <n v="7"/>
    <n v="8"/>
    <n v="8"/>
    <n v="7"/>
    <n v="7"/>
    <n v="8"/>
    <n v="8"/>
    <n v="8"/>
    <n v="7"/>
    <n v="7"/>
    <m/>
    <n v="2019"/>
    <s v="Y"/>
    <n v="100"/>
    <n v="0"/>
    <s v="E. E ST."/>
    <n v="4"/>
    <x v="3"/>
    <n v="3500"/>
    <m/>
    <n v="0"/>
    <x v="6"/>
  </r>
  <r>
    <x v="1162"/>
    <s v="WINDMILL WAY(W)"/>
    <s v="Countryside"/>
    <x v="15"/>
    <x v="154"/>
    <n v="1003"/>
    <n v="26"/>
    <s v="NC"/>
    <s v="SC"/>
    <n v="0"/>
    <n v="7"/>
    <n v="8"/>
    <n v="8"/>
    <n v="8"/>
    <n v="8"/>
    <n v="7"/>
    <n v="7"/>
    <n v="7"/>
    <n v="7"/>
    <n v="7"/>
    <m/>
    <m/>
    <m/>
    <n v="433"/>
    <n v="0"/>
    <s v="WINDMILL WAY(W)"/>
    <n v="2"/>
    <x v="9"/>
    <n v="474.905303030303"/>
    <m/>
    <n v="0"/>
    <x v="3"/>
  </r>
  <r>
    <x v="1163"/>
    <s v="25W/500N"/>
    <m/>
    <x v="1"/>
    <x v="95"/>
    <n v="5600"/>
    <n v="20"/>
    <s v="CS"/>
    <s v="C"/>
    <n v="0"/>
    <n v="7"/>
    <n v="8"/>
    <n v="8"/>
    <n v="7"/>
    <n v="7"/>
    <n v="6"/>
    <n v="6"/>
    <n v="6"/>
    <n v="6"/>
    <n v="5"/>
    <m/>
    <m/>
    <m/>
    <n v="50"/>
    <n v="0"/>
    <s v="25W"/>
    <n v="3"/>
    <x v="3"/>
    <n v="48787.878787878784"/>
    <m/>
    <n v="0"/>
    <x v="6"/>
  </r>
  <r>
    <x v="1164"/>
    <s v="WOLLENWEBER ROAD"/>
    <s v="Doe Creek Estates"/>
    <x v="154"/>
    <x v="143"/>
    <n v="2112"/>
    <n v="26"/>
    <s v="NC"/>
    <s v="SC"/>
    <n v="0"/>
    <n v="8"/>
    <n v="7"/>
    <n v="7"/>
    <n v="7"/>
    <n v="7"/>
    <n v="7"/>
    <n v="7"/>
    <n v="7"/>
    <n v="7"/>
    <n v="7"/>
    <m/>
    <m/>
    <m/>
    <n v="392"/>
    <n v="0"/>
    <s v="WOLLENWEBER ROAD"/>
    <n v="3"/>
    <x v="7"/>
    <n v="10000"/>
    <m/>
    <n v="0"/>
    <x v="4"/>
  </r>
  <r>
    <x v="1165"/>
    <s v="WOODCREST DRIVE"/>
    <s v="Woodcrest"/>
    <x v="102"/>
    <x v="160"/>
    <n v="1267"/>
    <n v="26"/>
    <s v="NC"/>
    <s v="SC"/>
    <n v="0"/>
    <n v="6"/>
    <n v="6"/>
    <n v="5"/>
    <n v="5"/>
    <n v="9"/>
    <n v="9"/>
    <n v="8"/>
    <n v="8"/>
    <n v="8"/>
    <n v="8"/>
    <m/>
    <m/>
    <m/>
    <n v="162"/>
    <n v="0"/>
    <s v="WOODCREST DRIVE"/>
    <n v="1"/>
    <x v="7"/>
    <n v="5999.05303030303"/>
    <m/>
    <n v="0"/>
    <x v="4"/>
  </r>
  <r>
    <x v="1166"/>
    <s v="WOODFIELD DRIVE"/>
    <s v="Schildmeier Village"/>
    <x v="102"/>
    <x v="152"/>
    <n v="634"/>
    <n v="26"/>
    <s v="NC"/>
    <s v="SC"/>
    <n v="0"/>
    <n v="7"/>
    <n v="8"/>
    <n v="8"/>
    <n v="8"/>
    <n v="8"/>
    <n v="7"/>
    <n v="7"/>
    <n v="8"/>
    <n v="7"/>
    <n v="8"/>
    <m/>
    <m/>
    <m/>
    <n v="1074"/>
    <n v="0.5"/>
    <s v="WOODFIELD DRIVE"/>
    <n v="2.5"/>
    <x v="5"/>
    <n v="9606.060606060606"/>
    <n v="1"/>
    <n v="9606.060606060606"/>
    <x v="3"/>
  </r>
  <r>
    <x v="1167"/>
    <s v="WOODGROVE WAY(S)"/>
    <s v="Briarwood Trace"/>
    <x v="102"/>
    <x v="166"/>
    <n v="792"/>
    <n v="26"/>
    <s v="NC"/>
    <s v="SC"/>
    <n v="0"/>
    <n v="8"/>
    <n v="7"/>
    <n v="7"/>
    <n v="7"/>
    <n v="7"/>
    <n v="7"/>
    <n v="7"/>
    <n v="7"/>
    <n v="7"/>
    <n v="7"/>
    <m/>
    <m/>
    <m/>
    <n v="50"/>
    <n v="0"/>
    <s v="WOODGROVE WAY(S)"/>
    <n v="3"/>
    <x v="9"/>
    <n v="8924"/>
    <m/>
    <n v="0"/>
    <x v="3"/>
  </r>
  <r>
    <x v="1168"/>
    <s v="500W"/>
    <m/>
    <x v="210"/>
    <x v="222"/>
    <n v="5000"/>
    <n v="20"/>
    <s v="&lt;Null&gt;"/>
    <s v="BC"/>
    <n v="0"/>
    <n v="8"/>
    <n v="7"/>
    <n v="8"/>
    <n v="8"/>
    <n v="8"/>
    <n v="7"/>
    <n v="7"/>
    <n v="5"/>
    <n v="5"/>
    <m/>
    <m/>
    <m/>
    <m/>
    <n v="50"/>
    <n v="0"/>
    <s v="500W"/>
    <n v="2"/>
    <x v="2"/>
    <n v="30303.030303030304"/>
    <m/>
    <n v="0"/>
    <x v="8"/>
  </r>
  <r>
    <x v="1168"/>
    <m/>
    <m/>
    <x v="170"/>
    <x v="174"/>
    <m/>
    <m/>
    <m/>
    <m/>
    <m/>
    <n v="1.111545979060494"/>
    <n v="1.1887587479500223"/>
    <n v="1.3218950536487677"/>
    <n v="1.252582350422428"/>
    <n v="1.1691491295148184"/>
    <n v="1.0178846097760363"/>
    <n v="0.87494939921664205"/>
    <n v="0.74184383560534117"/>
    <n v="0.5734132839075613"/>
    <n v="0.5222963495084707"/>
    <m/>
    <m/>
    <m/>
    <m/>
    <m/>
    <m/>
    <m/>
    <x v="6"/>
    <m/>
    <m/>
    <m/>
    <x v="1"/>
  </r>
  <r>
    <x v="1168"/>
    <m/>
    <m/>
    <x v="170"/>
    <x v="174"/>
    <m/>
    <m/>
    <m/>
    <m/>
    <m/>
    <n v="6.8884118361166404"/>
    <n v="6.9474949129014343"/>
    <n v="7.3099666463113122"/>
    <n v="7.2339461138571179"/>
    <n v="7.271590235575756"/>
    <n v="7.2311469506365578"/>
    <n v="6.975499797596866"/>
    <n v="6.9189673753424215"/>
    <n v="6.8582936531356298"/>
    <n v="6.902089185398034"/>
    <m/>
    <m/>
    <m/>
    <m/>
    <m/>
    <m/>
    <m/>
    <x v="6"/>
    <n v="1531568.3712121206"/>
    <m/>
    <n v="0"/>
    <x v="1"/>
  </r>
  <r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9">
  <r>
    <s v="B69"/>
    <x v="0"/>
    <s v="1000E/1000N"/>
    <m/>
    <x v="0"/>
    <x v="0"/>
    <n v="5333"/>
    <n v="20"/>
    <s v="CS"/>
    <s v="B"/>
    <n v="0"/>
    <n v="5"/>
    <n v="5"/>
    <n v="5"/>
    <n v="5"/>
    <n v="9"/>
    <n v="9"/>
    <n v="8"/>
    <n v="8"/>
    <n v="8"/>
    <n v="8"/>
    <m/>
    <m/>
    <m/>
    <n v="1045"/>
    <n v="0.5"/>
    <s v="1000E"/>
    <n v="1.5"/>
    <x v="0"/>
    <n v="21210.795454545456"/>
    <n v="1"/>
    <n v="21210.795454545456"/>
    <x v="0"/>
  </r>
  <r>
    <s v="BC59"/>
    <x v="1"/>
    <s v="600W/600N"/>
    <m/>
    <x v="1"/>
    <x v="1"/>
    <n v="5110"/>
    <n v="20"/>
    <s v="AC"/>
    <s v="BC"/>
    <n v="0"/>
    <n v="7"/>
    <n v="7"/>
    <m/>
    <m/>
    <n v="7"/>
    <m/>
    <m/>
    <m/>
    <m/>
    <m/>
    <m/>
    <m/>
    <s v="Y"/>
    <n v="9003"/>
    <n v="1.5"/>
    <s v="600W"/>
    <n v="4.5"/>
    <x v="1"/>
    <n v="5226.136363636364"/>
    <m/>
    <n v="0"/>
    <x v="1"/>
  </r>
  <r>
    <s v="J86"/>
    <x v="2"/>
    <s v="1000E/350N"/>
    <m/>
    <x v="2"/>
    <x v="2"/>
    <n v="2647"/>
    <n v="20"/>
    <s v="CS"/>
    <s v="J"/>
    <n v="0"/>
    <n v="7"/>
    <n v="5"/>
    <n v="8"/>
    <n v="8"/>
    <n v="7"/>
    <n v="7"/>
    <n v="7"/>
    <n v="7"/>
    <n v="6"/>
    <n v="7"/>
    <m/>
    <m/>
    <m/>
    <n v="50"/>
    <n v="0"/>
    <s v="1000E"/>
    <n v="3"/>
    <x v="0"/>
    <n v="10527.84090909091"/>
    <m/>
    <n v="0"/>
    <x v="2"/>
  </r>
  <r>
    <s v="J85"/>
    <x v="3"/>
    <s v="1000E/500N"/>
    <m/>
    <x v="3"/>
    <x v="3"/>
    <n v="5320"/>
    <n v="20"/>
    <s v="CS"/>
    <s v="J"/>
    <n v="0"/>
    <n v="7"/>
    <n v="8"/>
    <n v="8"/>
    <n v="8"/>
    <n v="8"/>
    <n v="7"/>
    <n v="7"/>
    <n v="7"/>
    <n v="7"/>
    <n v="7"/>
    <m/>
    <m/>
    <m/>
    <n v="24"/>
    <n v="0"/>
    <s v="1000E"/>
    <n v="2"/>
    <x v="2"/>
    <n v="32242.424242424244"/>
    <n v="1"/>
    <n v="32242.424242424244"/>
    <x v="3"/>
  </r>
  <r>
    <s v="J86"/>
    <x v="4"/>
    <s v="1000E/550N"/>
    <m/>
    <x v="1"/>
    <x v="4"/>
    <n v="2693"/>
    <n v="20"/>
    <s v="AC"/>
    <s v="J"/>
    <n v="0"/>
    <n v="7"/>
    <n v="6"/>
    <n v="6"/>
    <n v="5"/>
    <n v="7"/>
    <n v="7"/>
    <n v="7"/>
    <n v="7"/>
    <n v="7"/>
    <n v="7"/>
    <m/>
    <m/>
    <m/>
    <n v="34"/>
    <n v="0"/>
    <s v="1000E"/>
    <n v="3"/>
    <x v="2"/>
    <n v="16321.212121212122"/>
    <m/>
    <n v="0"/>
    <x v="4"/>
  </r>
  <r>
    <s v="B66"/>
    <x v="5"/>
    <s v="1000E/650N"/>
    <m/>
    <x v="4"/>
    <x v="5"/>
    <n v="2910"/>
    <n v="20"/>
    <s v="CS"/>
    <s v="B"/>
    <n v="0"/>
    <n v="7"/>
    <n v="7"/>
    <n v="7"/>
    <n v="7"/>
    <n v="6"/>
    <n v="6"/>
    <n v="5"/>
    <n v="5"/>
    <n v="5"/>
    <n v="8"/>
    <m/>
    <m/>
    <m/>
    <n v="25"/>
    <n v="0"/>
    <s v="1000E"/>
    <n v="4"/>
    <x v="0"/>
    <n v="11573.863636363636"/>
    <m/>
    <n v="0"/>
    <x v="2"/>
  </r>
  <r>
    <s v="B68"/>
    <x v="6"/>
    <s v="1000E/900N"/>
    <m/>
    <x v="5"/>
    <x v="6"/>
    <n v="5290"/>
    <n v="20"/>
    <s v="CS"/>
    <s v="B"/>
    <n v="0"/>
    <n v="5"/>
    <n v="5"/>
    <n v="5"/>
    <n v="5"/>
    <n v="4"/>
    <n v="9"/>
    <n v="8"/>
    <n v="8"/>
    <n v="8"/>
    <n v="8"/>
    <m/>
    <m/>
    <m/>
    <n v="175"/>
    <n v="0"/>
    <s v="1000E"/>
    <n v="6"/>
    <x v="0"/>
    <n v="21039.772727272728"/>
    <n v="1"/>
    <n v="21039.772727272728"/>
    <x v="3"/>
  </r>
  <r>
    <s v="J86-1"/>
    <x v="7"/>
    <s v="1000E/N.TWP LINE"/>
    <m/>
    <x v="6"/>
    <x v="7"/>
    <n v="2640"/>
    <n v="20"/>
    <s v="AC"/>
    <s v="J"/>
    <n v="0"/>
    <n v="6"/>
    <n v="6"/>
    <n v="6"/>
    <n v="5"/>
    <n v="5"/>
    <n v="5"/>
    <n v="6"/>
    <n v="6"/>
    <n v="6"/>
    <n v="7"/>
    <m/>
    <m/>
    <m/>
    <n v="78"/>
    <n v="0"/>
    <s v="1000E"/>
    <n v="5"/>
    <x v="2"/>
    <n v="16000"/>
    <m/>
    <n v="0"/>
    <x v="4"/>
  </r>
  <r>
    <s v="B67"/>
    <x v="8"/>
    <s v="1000E/SR109"/>
    <m/>
    <x v="7"/>
    <x v="8"/>
    <n v="3854"/>
    <n v="20"/>
    <s v="AC"/>
    <s v="B"/>
    <n v="0"/>
    <n v="10"/>
    <n v="10"/>
    <n v="10"/>
    <n v="9"/>
    <n v="8"/>
    <n v="8"/>
    <n v="8"/>
    <n v="7"/>
    <n v="7"/>
    <n v="7"/>
    <m/>
    <m/>
    <m/>
    <n v="175"/>
    <n v="0"/>
    <s v="1000E"/>
    <n v="2"/>
    <x v="0"/>
    <n v="15328.40909090909"/>
    <m/>
    <n v="0"/>
    <x v="4"/>
  </r>
  <r>
    <s v="B37"/>
    <x v="9"/>
    <s v="1000N/1000E"/>
    <m/>
    <x v="8"/>
    <x v="8"/>
    <n v="5320"/>
    <n v="20"/>
    <s v="CS"/>
    <s v="B"/>
    <n v="0"/>
    <n v="6"/>
    <n v="6"/>
    <n v="6"/>
    <n v="6"/>
    <n v="9"/>
    <n v="8"/>
    <n v="7"/>
    <n v="7"/>
    <n v="7"/>
    <n v="7"/>
    <m/>
    <m/>
    <m/>
    <m/>
    <n v="0"/>
    <s v="1000N"/>
    <n v="1"/>
    <x v="0"/>
    <n v="21159.090909090908"/>
    <n v="1"/>
    <n v="21159.090909090908"/>
    <x v="0"/>
  </r>
  <r>
    <s v="B38"/>
    <x v="10"/>
    <s v="1000N/1100E"/>
    <m/>
    <x v="8"/>
    <x v="9"/>
    <n v="5470"/>
    <n v="20"/>
    <s v="AC"/>
    <s v="B"/>
    <n v="0"/>
    <n v="7"/>
    <n v="8"/>
    <n v="8"/>
    <n v="8"/>
    <n v="7"/>
    <n v="6"/>
    <n v="6"/>
    <n v="6"/>
    <n v="7"/>
    <n v="7"/>
    <m/>
    <m/>
    <m/>
    <n v="178"/>
    <n v="0"/>
    <s v="1000N"/>
    <n v="3"/>
    <x v="3"/>
    <n v="47655.303030303032"/>
    <m/>
    <n v="0"/>
    <x v="5"/>
  </r>
  <r>
    <s v="BC75"/>
    <x v="11"/>
    <s v="400W/500N"/>
    <m/>
    <x v="3"/>
    <x v="3"/>
    <n v="5290"/>
    <n v="20"/>
    <s v="P"/>
    <s v="BC"/>
    <n v="0"/>
    <n v="7"/>
    <n v="6"/>
    <n v="5"/>
    <n v="5"/>
    <n v="9"/>
    <n v="9"/>
    <n v="8"/>
    <n v="8"/>
    <n v="8"/>
    <n v="8"/>
    <m/>
    <m/>
    <m/>
    <n v="984"/>
    <n v="0.5"/>
    <s v="400W"/>
    <n v="1.5"/>
    <x v="1"/>
    <n v="5410.227272727273"/>
    <m/>
    <n v="0"/>
    <x v="6"/>
  </r>
  <r>
    <s v="V41"/>
    <x v="12"/>
    <s v="1000N/125W"/>
    <m/>
    <x v="9"/>
    <x v="10"/>
    <n v="2650"/>
    <n v="20"/>
    <s v="CS"/>
    <s v="V"/>
    <n v="0"/>
    <n v="7"/>
    <n v="7"/>
    <n v="8"/>
    <n v="7"/>
    <n v="7"/>
    <n v="8"/>
    <n v="8"/>
    <n v="8"/>
    <n v="8"/>
    <n v="8"/>
    <n v="2024"/>
    <n v="2023"/>
    <s v="Y"/>
    <n v="1365"/>
    <n v="0.5"/>
    <s v="1000N"/>
    <n v="3.5"/>
    <x v="2"/>
    <n v="16060.60606060606"/>
    <m/>
    <n v="0"/>
    <x v="4"/>
  </r>
  <r>
    <s v="SC87"/>
    <x v="13"/>
    <s v="450W/300S"/>
    <m/>
    <x v="10"/>
    <x v="11"/>
    <n v="1660"/>
    <n v="20"/>
    <s v="AC"/>
    <s v="SC"/>
    <n v="0"/>
    <n v="10"/>
    <n v="7"/>
    <n v="7"/>
    <n v="7"/>
    <n v="7"/>
    <n v="7"/>
    <n v="7"/>
    <n v="7"/>
    <n v="7"/>
    <n v="7"/>
    <m/>
    <m/>
    <m/>
    <n v="912"/>
    <n v="0.5"/>
    <s v="450W"/>
    <n v="3.5"/>
    <x v="1"/>
    <n v="1697.7272727272727"/>
    <m/>
    <n v="0"/>
    <x v="6"/>
  </r>
  <r>
    <s v="SC25"/>
    <x v="14"/>
    <s v="400S/400W"/>
    <m/>
    <x v="11"/>
    <x v="12"/>
    <n v="2715"/>
    <n v="20"/>
    <s v="CS"/>
    <s v="SC"/>
    <n v="0"/>
    <n v="10"/>
    <n v="9"/>
    <n v="8"/>
    <n v="8"/>
    <n v="8"/>
    <n v="8"/>
    <n v="8"/>
    <n v="8"/>
    <n v="7"/>
    <n v="7"/>
    <n v="2024"/>
    <n v="2016"/>
    <s v="Y"/>
    <n v="478"/>
    <n v="0"/>
    <s v="400S"/>
    <n v="2"/>
    <x v="1"/>
    <n v="2776.7045454545455"/>
    <m/>
    <n v="0"/>
    <x v="6"/>
  </r>
  <r>
    <s v="V42"/>
    <x v="15"/>
    <s v="1000N/50W"/>
    <m/>
    <x v="12"/>
    <x v="13"/>
    <n v="4013"/>
    <n v="20"/>
    <s v="CS"/>
    <s v="V"/>
    <n v="0"/>
    <n v="7"/>
    <n v="7"/>
    <n v="6"/>
    <n v="6"/>
    <n v="6"/>
    <n v="8"/>
    <n v="8"/>
    <n v="8"/>
    <n v="8"/>
    <n v="8"/>
    <n v="2024"/>
    <n v="2023"/>
    <s v="Y"/>
    <n v="954"/>
    <n v="0.5"/>
    <s v="1000N"/>
    <n v="4.5"/>
    <x v="2"/>
    <n v="24321.21212121212"/>
    <m/>
    <n v="0"/>
    <x v="4"/>
  </r>
  <r>
    <s v="G38"/>
    <x v="16"/>
    <s v="1000N/550E"/>
    <m/>
    <x v="13"/>
    <x v="14"/>
    <n v="2693"/>
    <n v="20"/>
    <s v="AC"/>
    <s v="G"/>
    <n v="0"/>
    <n v="7"/>
    <n v="7"/>
    <n v="7"/>
    <n v="7"/>
    <n v="6"/>
    <n v="6"/>
    <n v="6"/>
    <n v="6"/>
    <n v="6"/>
    <n v="6"/>
    <n v="2023"/>
    <n v="2023"/>
    <s v="Y"/>
    <n v="98"/>
    <n v="0"/>
    <s v="1000N"/>
    <n v="4"/>
    <x v="3"/>
    <n v="23461.742424242424"/>
    <m/>
    <n v="0"/>
    <x v="5"/>
  </r>
  <r>
    <s v="G39"/>
    <x v="17"/>
    <s v="1000N/600E"/>
    <m/>
    <x v="14"/>
    <x v="15"/>
    <n v="2638"/>
    <n v="20"/>
    <s v="AC"/>
    <s v="G"/>
    <n v="0"/>
    <n v="6"/>
    <n v="6"/>
    <n v="6"/>
    <n v="6"/>
    <n v="6"/>
    <n v="6"/>
    <n v="6"/>
    <n v="7"/>
    <n v="7"/>
    <n v="7"/>
    <n v="2023"/>
    <n v="2023"/>
    <s v="Y"/>
    <n v="100"/>
    <n v="0"/>
    <s v="1000N"/>
    <n v="4"/>
    <x v="2"/>
    <n v="15987.878787878788"/>
    <m/>
    <n v="0"/>
    <x v="4"/>
  </r>
  <r>
    <s v="B01"/>
    <x v="18"/>
    <s v="600N/MAIN ST."/>
    <m/>
    <x v="14"/>
    <x v="16"/>
    <n v="1620"/>
    <n v="20"/>
    <s v="AC"/>
    <s v="B"/>
    <n v="0"/>
    <n v="5"/>
    <n v="5"/>
    <n v="9"/>
    <n v="10"/>
    <n v="9"/>
    <n v="9"/>
    <n v="8"/>
    <n v="8"/>
    <n v="7"/>
    <n v="7"/>
    <m/>
    <n v="2018"/>
    <s v="Y"/>
    <n v="333"/>
    <n v="0"/>
    <s v="600N"/>
    <n v="1"/>
    <x v="1"/>
    <n v="1656.8181818181818"/>
    <m/>
    <n v="0"/>
    <x v="6"/>
  </r>
  <r>
    <s v=""/>
    <x v="19"/>
    <s v="RAESNER SOUTH DR"/>
    <s v="Raesner-Johnson"/>
    <x v="15"/>
    <x v="17"/>
    <n v="581"/>
    <n v="26"/>
    <s v="NC"/>
    <s v="SC"/>
    <n v="0"/>
    <n v="4"/>
    <n v="10"/>
    <n v="10"/>
    <n v="9"/>
    <n v="9"/>
    <n v="8"/>
    <n v="8"/>
    <n v="8"/>
    <n v="8"/>
    <n v="8"/>
    <m/>
    <m/>
    <m/>
    <n v="115"/>
    <n v="0"/>
    <s v="RAESNER SOUTH DR"/>
    <n v="1"/>
    <x v="1"/>
    <n v="594.2045454545455"/>
    <m/>
    <n v="0"/>
    <x v="6"/>
  </r>
  <r>
    <s v="G33"/>
    <x v="20"/>
    <s v="1000N/ALFORD RD"/>
    <m/>
    <x v="16"/>
    <x v="18"/>
    <n v="6758"/>
    <n v="20"/>
    <s v="AC"/>
    <s v="G"/>
    <n v="0"/>
    <n v="6"/>
    <n v="6"/>
    <n v="4"/>
    <n v="7"/>
    <n v="6"/>
    <n v="6"/>
    <n v="6"/>
    <n v="7"/>
    <n v="7"/>
    <n v="7"/>
    <n v="2024"/>
    <n v="2023"/>
    <s v="Y"/>
    <n v="857"/>
    <n v="0.5"/>
    <s v="1000N"/>
    <n v="4.5"/>
    <x v="0"/>
    <n v="26878.409090909092"/>
    <m/>
    <n v="0"/>
    <x v="4"/>
  </r>
  <r>
    <s v="G35"/>
    <x v="21"/>
    <s v="1000N/BARNARD RD"/>
    <m/>
    <x v="17"/>
    <x v="19"/>
    <n v="4963"/>
    <n v="20"/>
    <s v="AC"/>
    <s v="G"/>
    <n v="0"/>
    <n v="8"/>
    <n v="8"/>
    <n v="8"/>
    <n v="8"/>
    <n v="8"/>
    <n v="8"/>
    <n v="8"/>
    <n v="8"/>
    <n v="7"/>
    <n v="7"/>
    <n v="2023"/>
    <n v="2023"/>
    <s v="Y"/>
    <n v="623"/>
    <n v="0.5"/>
    <s v="1000N"/>
    <n v="2.5"/>
    <x v="2"/>
    <n v="30078.78787878788"/>
    <m/>
    <n v="0"/>
    <x v="4"/>
  </r>
  <r>
    <s v="V43"/>
    <x v="22"/>
    <s v="1000N/MERIDIAN RD"/>
    <m/>
    <x v="18"/>
    <x v="20"/>
    <n v="2693"/>
    <n v="20"/>
    <s v="AC"/>
    <s v="V"/>
    <n v="0"/>
    <n v="7"/>
    <n v="8"/>
    <n v="6"/>
    <n v="6"/>
    <n v="6"/>
    <n v="8"/>
    <n v="8"/>
    <n v="8"/>
    <n v="8"/>
    <n v="8"/>
    <n v="2024"/>
    <n v="2023"/>
    <s v="Y"/>
    <n v="1025"/>
    <n v="0.5"/>
    <s v="1000N"/>
    <n v="4.5"/>
    <x v="2"/>
    <n v="16321.212121212122"/>
    <m/>
    <n v="0"/>
    <x v="4"/>
  </r>
  <r>
    <s v="B35"/>
    <x v="23"/>
    <s v="1000N/NASHVILLE RD"/>
    <m/>
    <x v="19"/>
    <x v="21"/>
    <n v="4270"/>
    <n v="20"/>
    <s v="AC"/>
    <s v="B"/>
    <n v="0"/>
    <n v="8"/>
    <n v="6"/>
    <n v="6"/>
    <n v="6"/>
    <n v="6"/>
    <n v="6"/>
    <n v="6"/>
    <n v="6"/>
    <n v="6"/>
    <n v="7"/>
    <n v="2024"/>
    <n v="2022"/>
    <s v="Y"/>
    <n v="100"/>
    <n v="0"/>
    <s v="1000N"/>
    <n v="4"/>
    <x v="4"/>
    <n v="88958.333333333328"/>
    <n v="1"/>
    <n v="88958.333333333328"/>
    <x v="0"/>
  </r>
  <r>
    <s v="B36"/>
    <x v="24"/>
    <s v="1000N/SR109"/>
    <m/>
    <x v="20"/>
    <x v="22"/>
    <n v="7025"/>
    <n v="20"/>
    <s v="AC"/>
    <s v="B"/>
    <n v="0"/>
    <n v="6"/>
    <n v="8"/>
    <n v="8"/>
    <n v="8"/>
    <n v="7"/>
    <n v="6"/>
    <n v="5"/>
    <n v="7"/>
    <n v="7"/>
    <n v="8"/>
    <m/>
    <m/>
    <m/>
    <n v="93"/>
    <n v="0"/>
    <s v="1000N"/>
    <n v="3"/>
    <x v="2"/>
    <n v="42575.757575757576"/>
    <m/>
    <n v="0"/>
    <x v="4"/>
  </r>
  <r>
    <s v="G34"/>
    <x v="25"/>
    <s v="1000N/SR9"/>
    <m/>
    <x v="21"/>
    <x v="23"/>
    <n v="3062"/>
    <n v="20"/>
    <s v="CS"/>
    <s v="G"/>
    <n v="0"/>
    <n v="5"/>
    <n v="5"/>
    <n v="7"/>
    <n v="7"/>
    <n v="7"/>
    <n v="7"/>
    <n v="7"/>
    <n v="7"/>
    <n v="7"/>
    <n v="7"/>
    <n v="2023"/>
    <n v="2023"/>
    <s v="Y"/>
    <n v="427"/>
    <n v="0"/>
    <s v="1000N"/>
    <n v="3"/>
    <x v="0"/>
    <n v="12178.40909090909"/>
    <m/>
    <n v="0"/>
    <x v="2"/>
  </r>
  <r>
    <s v="B24"/>
    <x v="26"/>
    <s v="900N/675E"/>
    <m/>
    <x v="22"/>
    <x v="24"/>
    <n v="4000"/>
    <n v="20"/>
    <s v="AC"/>
    <s v="B"/>
    <n v="0"/>
    <n v="8"/>
    <n v="7"/>
    <n v="7"/>
    <n v="7"/>
    <n v="7"/>
    <n v="6"/>
    <n v="6"/>
    <n v="6"/>
    <n v="8"/>
    <n v="7"/>
    <m/>
    <m/>
    <m/>
    <n v="81"/>
    <n v="0"/>
    <s v="900N"/>
    <n v="3"/>
    <x v="1"/>
    <n v="4090.909090909091"/>
    <m/>
    <n v="0"/>
    <x v="6"/>
  </r>
  <r>
    <s v=""/>
    <x v="27"/>
    <s v="RAESNER NORTH DR"/>
    <s v="Raesner-Johnson"/>
    <x v="15"/>
    <x v="17"/>
    <n v="1162"/>
    <n v="26"/>
    <s v="NC"/>
    <s v="SC"/>
    <n v="0"/>
    <n v="6"/>
    <n v="10"/>
    <n v="10"/>
    <n v="9"/>
    <n v="9"/>
    <n v="8"/>
    <n v="8"/>
    <n v="8"/>
    <n v="8"/>
    <n v="8"/>
    <m/>
    <m/>
    <m/>
    <n v="60"/>
    <n v="0"/>
    <s v="RAESNER NORTH DR"/>
    <n v="1"/>
    <x v="1"/>
    <n v="1188.409090909091"/>
    <m/>
    <n v="0"/>
    <x v="6"/>
  </r>
  <r>
    <s v=""/>
    <x v="28"/>
    <s v="300W/US40"/>
    <m/>
    <x v="23"/>
    <x v="25"/>
    <n v="5000"/>
    <n v="20"/>
    <s v="P"/>
    <s v="SC"/>
    <n v="0"/>
    <n v="4"/>
    <n v="4"/>
    <n v="4"/>
    <n v="4"/>
    <n v="9"/>
    <n v="8"/>
    <n v="8"/>
    <n v="8"/>
    <n v="7"/>
    <n v="7"/>
    <m/>
    <m/>
    <m/>
    <n v="50"/>
    <n v="0"/>
    <s v="300W"/>
    <n v="1"/>
    <x v="1"/>
    <n v="5113.636363636364"/>
    <m/>
    <n v="0"/>
    <x v="6"/>
  </r>
  <r>
    <s v="BW47"/>
    <x v="29"/>
    <s v="100E/500S"/>
    <m/>
    <x v="24"/>
    <x v="26"/>
    <n v="5320"/>
    <n v="20"/>
    <s v="AC"/>
    <s v="BW"/>
    <n v="0"/>
    <n v="8"/>
    <n v="7"/>
    <n v="8"/>
    <n v="7"/>
    <n v="6"/>
    <n v="6"/>
    <n v="7"/>
    <n v="6"/>
    <n v="7"/>
    <n v="7"/>
    <m/>
    <m/>
    <m/>
    <n v="1054"/>
    <n v="0.5"/>
    <s v="100E"/>
    <n v="4.5"/>
    <x v="5"/>
    <n v="80606.060606060608"/>
    <n v="1"/>
    <n v="80606.060606060608"/>
    <x v="3"/>
  </r>
  <r>
    <s v="BC82a"/>
    <x v="30"/>
    <s v="350W/US40"/>
    <m/>
    <x v="23"/>
    <x v="25"/>
    <n v="1372"/>
    <n v="20"/>
    <s v="P"/>
    <s v="SC"/>
    <n v="0"/>
    <n v="4"/>
    <n v="4"/>
    <n v="4"/>
    <n v="4"/>
    <n v="9"/>
    <n v="8"/>
    <n v="8"/>
    <n v="7"/>
    <n v="7"/>
    <n v="7"/>
    <m/>
    <m/>
    <m/>
    <n v="50"/>
    <n v="0"/>
    <s v="350W"/>
    <n v="1"/>
    <x v="1"/>
    <n v="1403.1818181818182"/>
    <m/>
    <n v="0"/>
    <x v="6"/>
  </r>
  <r>
    <s v="C12"/>
    <x v="31"/>
    <s v="100N/100W"/>
    <m/>
    <x v="25"/>
    <x v="27"/>
    <n v="2691"/>
    <n v="20"/>
    <s v="AC"/>
    <s v="C"/>
    <n v="0"/>
    <n v="7"/>
    <n v="7"/>
    <n v="6"/>
    <n v="6"/>
    <n v="7"/>
    <n v="7"/>
    <n v="7"/>
    <n v="7"/>
    <n v="7"/>
    <n v="7"/>
    <n v="2022"/>
    <n v="2022"/>
    <s v="Y"/>
    <n v="3879"/>
    <n v="1.5"/>
    <s v="100N"/>
    <n v="4.5"/>
    <x v="2"/>
    <n v="16309.09090909091"/>
    <m/>
    <n v="0"/>
    <x v="5"/>
  </r>
  <r>
    <s v="C11"/>
    <x v="32"/>
    <s v="100N/150W"/>
    <m/>
    <x v="26"/>
    <x v="28"/>
    <n v="2683"/>
    <n v="20"/>
    <s v="AC"/>
    <s v="C"/>
    <n v="0"/>
    <n v="7"/>
    <n v="7"/>
    <n v="7"/>
    <n v="7"/>
    <n v="7"/>
    <n v="7"/>
    <n v="7"/>
    <n v="7"/>
    <n v="7"/>
    <n v="7"/>
    <n v="2022"/>
    <n v="2022"/>
    <s v="Y"/>
    <n v="3955"/>
    <n v="1.5"/>
    <s v="100N"/>
    <n v="4.5"/>
    <x v="2"/>
    <n v="16260.60606060606"/>
    <m/>
    <n v="0"/>
    <x v="5"/>
  </r>
  <r>
    <s v="BC08"/>
    <x v="33"/>
    <s v="100N/200W"/>
    <m/>
    <x v="27"/>
    <x v="29"/>
    <n v="5337"/>
    <n v="20"/>
    <s v="AC"/>
    <s v="BC"/>
    <n v="0"/>
    <n v="7"/>
    <n v="6"/>
    <n v="7"/>
    <n v="9"/>
    <n v="8"/>
    <n v="7"/>
    <n v="7"/>
    <n v="7"/>
    <n v="7"/>
    <n v="7"/>
    <n v="2022"/>
    <n v="2017"/>
    <s v="Y"/>
    <n v="2608"/>
    <n v="1.5"/>
    <s v="100N"/>
    <n v="3.5"/>
    <x v="2"/>
    <n v="32345.454545454544"/>
    <m/>
    <n v="0"/>
    <x v="5"/>
  </r>
  <r>
    <s v="BC07"/>
    <x v="34"/>
    <s v="100N/300W"/>
    <m/>
    <x v="28"/>
    <x v="30"/>
    <n v="2697"/>
    <n v="20"/>
    <s v="AC"/>
    <s v="BC"/>
    <n v="0"/>
    <n v="7"/>
    <n v="7"/>
    <n v="7"/>
    <n v="7"/>
    <n v="7"/>
    <n v="7"/>
    <n v="7"/>
    <n v="7"/>
    <n v="7"/>
    <n v="7"/>
    <n v="2022"/>
    <n v="2022"/>
    <s v="Y"/>
    <n v="2370"/>
    <n v="1"/>
    <s v="100N"/>
    <n v="4"/>
    <x v="2"/>
    <n v="16345.454545454546"/>
    <m/>
    <n v="0"/>
    <x v="5"/>
  </r>
  <r>
    <s v="BC06"/>
    <x v="35"/>
    <s v="100N/350W"/>
    <m/>
    <x v="29"/>
    <x v="31"/>
    <n v="2698"/>
    <n v="20"/>
    <s v="AC"/>
    <s v="BC"/>
    <n v="0"/>
    <n v="7"/>
    <n v="6"/>
    <n v="6"/>
    <n v="9"/>
    <n v="8"/>
    <n v="8"/>
    <n v="7"/>
    <n v="7"/>
    <n v="7"/>
    <n v="7"/>
    <n v="2022"/>
    <n v="2022"/>
    <s v="Y"/>
    <n v="2450"/>
    <n v="1"/>
    <s v="100N"/>
    <n v="3"/>
    <x v="2"/>
    <n v="16351.515151515152"/>
    <m/>
    <n v="0"/>
    <x v="5"/>
  </r>
  <r>
    <s v="BC05"/>
    <x v="36"/>
    <s v="100N/400W"/>
    <m/>
    <x v="11"/>
    <x v="32"/>
    <n v="6720"/>
    <n v="20"/>
    <s v="AC"/>
    <s v="BC"/>
    <n v="0"/>
    <n v="6"/>
    <n v="6"/>
    <n v="6"/>
    <n v="9"/>
    <n v="8"/>
    <n v="8"/>
    <n v="7"/>
    <n v="7"/>
    <n v="7"/>
    <n v="7"/>
    <n v="2022"/>
    <n v="2022"/>
    <s v="Y"/>
    <n v="2354"/>
    <n v="1"/>
    <s v="100N"/>
    <n v="3"/>
    <x v="2"/>
    <n v="40727.272727272728"/>
    <m/>
    <n v="0"/>
    <x v="5"/>
  </r>
  <r>
    <s v="C14"/>
    <x v="37"/>
    <s v="100N/500E"/>
    <m/>
    <x v="30"/>
    <x v="14"/>
    <n v="5438"/>
    <n v="20"/>
    <s v="CS"/>
    <s v="C"/>
    <n v="0"/>
    <n v="6"/>
    <n v="6"/>
    <n v="6"/>
    <n v="6"/>
    <n v="6"/>
    <n v="6"/>
    <n v="6"/>
    <n v="6"/>
    <n v="6"/>
    <n v="8"/>
    <n v="2022"/>
    <n v="2022"/>
    <s v="Y"/>
    <n v="995"/>
    <n v="0.5"/>
    <s v="100N"/>
    <n v="4.5"/>
    <x v="0"/>
    <n v="21628.409090909092"/>
    <m/>
    <n v="0"/>
    <x v="2"/>
  </r>
  <r>
    <s v=""/>
    <x v="38"/>
    <s v="COTTONWOOD DR"/>
    <m/>
    <x v="31"/>
    <x v="33"/>
    <n v="581"/>
    <n v="26"/>
    <s v="NC"/>
    <s v="BW"/>
    <n v="0"/>
    <n v="6"/>
    <n v="6"/>
    <n v="6"/>
    <n v="6"/>
    <n v="7"/>
    <n v="7"/>
    <n v="7"/>
    <n v="7"/>
    <n v="7"/>
    <n v="7"/>
    <m/>
    <m/>
    <m/>
    <n v="50"/>
    <n v="0"/>
    <s v="COTTONWOOD DR"/>
    <n v="3"/>
    <x v="1"/>
    <n v="594.2045454545455"/>
    <m/>
    <n v="0"/>
    <x v="6"/>
  </r>
  <r>
    <s v="J02"/>
    <x v="39"/>
    <s v="100N/600E"/>
    <m/>
    <x v="32"/>
    <x v="24"/>
    <n v="5386"/>
    <n v="20"/>
    <s v="AC"/>
    <s v="J"/>
    <n v="0"/>
    <n v="6"/>
    <n v="6"/>
    <n v="6"/>
    <n v="8"/>
    <n v="7"/>
    <n v="7"/>
    <n v="7"/>
    <n v="7"/>
    <n v="7"/>
    <n v="7"/>
    <n v="2022"/>
    <n v="2022"/>
    <s v="Y"/>
    <n v="801"/>
    <n v="0.5"/>
    <s v="100N"/>
    <n v="3.5"/>
    <x v="2"/>
    <n v="32642.424242424244"/>
    <m/>
    <n v="0"/>
    <x v="5"/>
  </r>
  <r>
    <s v="BC03"/>
    <x v="40"/>
    <s v="100N/600W"/>
    <m/>
    <x v="33"/>
    <x v="34"/>
    <n v="5350"/>
    <n v="20"/>
    <s v="AC"/>
    <s v="BC"/>
    <n v="0"/>
    <n v="7"/>
    <n v="8"/>
    <n v="8"/>
    <n v="8"/>
    <n v="8"/>
    <n v="8"/>
    <n v="7"/>
    <n v="7"/>
    <n v="7"/>
    <n v="7"/>
    <n v="2022"/>
    <n v="2017"/>
    <s v="Y"/>
    <n v="2940"/>
    <n v="1.5"/>
    <s v="100N"/>
    <n v="3.5"/>
    <x v="0"/>
    <n v="21278.409090909092"/>
    <m/>
    <n v="0"/>
    <x v="2"/>
  </r>
  <r>
    <s v="V44"/>
    <x v="41"/>
    <s v="1050N/FORT.LIM W"/>
    <m/>
    <x v="34"/>
    <x v="35"/>
    <n v="2376"/>
    <n v="20"/>
    <s v="AC"/>
    <s v="V"/>
    <n v="0"/>
    <n v="7"/>
    <n v="7"/>
    <n v="7"/>
    <n v="7"/>
    <n v="7"/>
    <n v="7"/>
    <n v="7"/>
    <n v="7"/>
    <n v="7"/>
    <n v="7"/>
    <m/>
    <m/>
    <m/>
    <n v="6778"/>
    <n v="1.5"/>
    <s v="1050N"/>
    <n v="4.5"/>
    <x v="0"/>
    <n v="9450"/>
    <m/>
    <n v="0"/>
    <x v="6"/>
  </r>
  <r>
    <s v="BC55"/>
    <x v="42"/>
    <s v="700W/300N"/>
    <m/>
    <x v="35"/>
    <x v="36"/>
    <n v="5416"/>
    <n v="20"/>
    <s v="AC"/>
    <s v="BC"/>
    <n v="0"/>
    <n v="7"/>
    <n v="7"/>
    <n v="6"/>
    <n v="9"/>
    <n v="8"/>
    <n v="7"/>
    <n v="7"/>
    <n v="7"/>
    <n v="6"/>
    <n v="6"/>
    <m/>
    <n v="2020"/>
    <s v="Y"/>
    <n v="4173"/>
    <n v="1.5"/>
    <s v="700W"/>
    <n v="3.5"/>
    <x v="0"/>
    <n v="21540.909090909092"/>
    <m/>
    <n v="0"/>
    <x v="6"/>
  </r>
  <r>
    <s v="C13"/>
    <x v="43"/>
    <s v="100N/75W"/>
    <m/>
    <x v="36"/>
    <x v="37"/>
    <n v="1334"/>
    <n v="20"/>
    <s v="AC"/>
    <s v="C"/>
    <n v="0"/>
    <n v="7"/>
    <n v="5"/>
    <n v="10"/>
    <n v="9"/>
    <n v="8"/>
    <n v="8"/>
    <n v="7"/>
    <n v="7"/>
    <n v="7"/>
    <n v="7"/>
    <n v="2022"/>
    <n v="2022"/>
    <s v="Y"/>
    <n v="4670"/>
    <n v="1.5"/>
    <s v="100N"/>
    <n v="3.5"/>
    <x v="2"/>
    <n v="8084.848484848485"/>
    <m/>
    <n v="0"/>
    <x v="5"/>
  </r>
  <r>
    <s v="J04"/>
    <x v="44"/>
    <s v="100N/800E"/>
    <m/>
    <x v="37"/>
    <x v="38"/>
    <n v="5403"/>
    <n v="20"/>
    <s v="CS"/>
    <s v="J"/>
    <n v="0"/>
    <n v="7"/>
    <n v="7"/>
    <n v="6"/>
    <n v="5"/>
    <n v="6"/>
    <n v="8"/>
    <n v="7"/>
    <n v="7"/>
    <n v="7"/>
    <n v="7"/>
    <m/>
    <m/>
    <m/>
    <n v="75"/>
    <n v="0"/>
    <s v="100N"/>
    <n v="4"/>
    <x v="0"/>
    <n v="21489.204545454544"/>
    <n v="1"/>
    <n v="21489.204545454544"/>
    <x v="3"/>
  </r>
  <r>
    <s v="J05"/>
    <x v="45"/>
    <s v="100N/850E"/>
    <m/>
    <x v="38"/>
    <x v="39"/>
    <n v="2532"/>
    <n v="20"/>
    <s v="CS"/>
    <s v="J"/>
    <n v="0"/>
    <n v="7"/>
    <n v="8"/>
    <n v="7"/>
    <n v="7"/>
    <n v="7"/>
    <n v="7"/>
    <n v="7"/>
    <n v="7"/>
    <n v="7"/>
    <n v="6"/>
    <m/>
    <m/>
    <m/>
    <n v="60"/>
    <n v="0"/>
    <s v="100N"/>
    <n v="3"/>
    <x v="2"/>
    <n v="15345.454545454546"/>
    <m/>
    <n v="0"/>
    <x v="4"/>
  </r>
  <r>
    <s v="BC01"/>
    <x v="46"/>
    <s v="100N/BUCK CR RD"/>
    <m/>
    <x v="39"/>
    <x v="40"/>
    <n v="2636"/>
    <n v="20"/>
    <s v="AC"/>
    <s v="BC"/>
    <n v="0"/>
    <n v="7"/>
    <n v="7"/>
    <n v="7"/>
    <n v="7"/>
    <n v="7"/>
    <n v="7"/>
    <n v="7"/>
    <n v="7"/>
    <n v="7"/>
    <n v="7"/>
    <m/>
    <n v="2017"/>
    <s v="Y"/>
    <n v="3679"/>
    <n v="1.5"/>
    <s v="100N"/>
    <n v="4.5"/>
    <x v="0"/>
    <n v="10484.09090909091"/>
    <m/>
    <n v="0"/>
    <x v="1"/>
  </r>
  <r>
    <s v="J06"/>
    <x v="47"/>
    <s v="100N/GRANISON RD"/>
    <m/>
    <x v="40"/>
    <x v="41"/>
    <n v="7320"/>
    <n v="20"/>
    <s v="CS"/>
    <s v="J"/>
    <n v="0"/>
    <n v="7"/>
    <n v="9"/>
    <n v="8"/>
    <n v="8"/>
    <n v="8"/>
    <n v="7"/>
    <n v="7"/>
    <n v="7"/>
    <n v="6"/>
    <n v="7"/>
    <m/>
    <m/>
    <m/>
    <n v="50"/>
    <n v="0"/>
    <s v="100N"/>
    <n v="2"/>
    <x v="4"/>
    <n v="152500"/>
    <n v="1"/>
    <n v="152500"/>
    <x v="0"/>
  </r>
  <r>
    <s v="C09"/>
    <x v="48"/>
    <s v="100S/100E"/>
    <m/>
    <x v="41"/>
    <x v="42"/>
    <n v="5090"/>
    <n v="20"/>
    <s v="AC"/>
    <s v="C"/>
    <n v="0"/>
    <n v="7"/>
    <n v="7"/>
    <m/>
    <m/>
    <m/>
    <m/>
    <m/>
    <s v="city"/>
    <m/>
    <m/>
    <m/>
    <m/>
    <m/>
    <n v="657"/>
    <n v="0.5"/>
    <s v="100S"/>
    <n v="10.5"/>
    <x v="6"/>
    <n v="0"/>
    <m/>
    <n v="0"/>
    <x v="1"/>
  </r>
  <r>
    <s v="C07"/>
    <x v="49"/>
    <s v="100S/150W"/>
    <m/>
    <x v="26"/>
    <x v="28"/>
    <n v="3310"/>
    <n v="20"/>
    <s v="AC"/>
    <s v="C"/>
    <n v="0"/>
    <n v="7"/>
    <n v="8"/>
    <n v="7"/>
    <n v="7"/>
    <n v="7"/>
    <n v="7"/>
    <n v="7"/>
    <n v="7"/>
    <n v="7"/>
    <n v="7"/>
    <n v="2024"/>
    <n v="2023"/>
    <s v="Y"/>
    <n v="676"/>
    <n v="0.5"/>
    <s v="100S"/>
    <n v="3.5"/>
    <x v="5"/>
    <n v="50151.515151515152"/>
    <n v="1"/>
    <n v="50151.515151515152"/>
    <x v="3"/>
  </r>
  <r>
    <s v="SC51"/>
    <x v="50"/>
    <s v="100S/200W"/>
    <m/>
    <x v="27"/>
    <x v="43"/>
    <n v="2590"/>
    <n v="20"/>
    <s v="AC"/>
    <s v="SC"/>
    <n v="0"/>
    <n v="7"/>
    <n v="9"/>
    <n v="6"/>
    <n v="9"/>
    <n v="9"/>
    <n v="8"/>
    <n v="8"/>
    <n v="8"/>
    <n v="8"/>
    <n v="8"/>
    <n v="2023"/>
    <n v="2023"/>
    <s v="Y"/>
    <n v="523"/>
    <n v="0.5"/>
    <s v="100S"/>
    <n v="1.5"/>
    <x v="5"/>
    <n v="39242.42424242424"/>
    <n v="1"/>
    <n v="39242.42424242424"/>
    <x v="3"/>
  </r>
  <r>
    <s v="SC50"/>
    <x v="51"/>
    <s v="100S/250W"/>
    <m/>
    <x v="42"/>
    <x v="44"/>
    <n v="2650"/>
    <n v="20"/>
    <s v="AC"/>
    <s v="SC"/>
    <n v="0"/>
    <n v="6"/>
    <n v="6"/>
    <n v="8"/>
    <n v="9"/>
    <n v="8"/>
    <n v="8"/>
    <n v="8"/>
    <n v="7"/>
    <n v="7"/>
    <n v="7"/>
    <n v="2023"/>
    <n v="2023"/>
    <s v="Y"/>
    <n v="604"/>
    <n v="0.5"/>
    <s v="100S"/>
    <n v="2.5"/>
    <x v="5"/>
    <n v="40151.515151515152"/>
    <n v="1"/>
    <n v="40151.515151515152"/>
    <x v="3"/>
  </r>
  <r>
    <s v="C23"/>
    <x v="52"/>
    <s v="300N/SR9"/>
    <m/>
    <x v="21"/>
    <x v="45"/>
    <n v="6025"/>
    <n v="20"/>
    <s v="AC"/>
    <s v="C"/>
    <n v="0"/>
    <n v="8"/>
    <n v="7"/>
    <n v="7"/>
    <n v="6"/>
    <n v="6"/>
    <n v="7"/>
    <n v="7"/>
    <n v="7"/>
    <n v="7"/>
    <n v="7"/>
    <n v="2023"/>
    <n v="2023"/>
    <s v="Y"/>
    <n v="3914"/>
    <n v="1.5"/>
    <s v="300N"/>
    <n v="5.5"/>
    <x v="0"/>
    <n v="23963.06818181818"/>
    <m/>
    <n v="0"/>
    <x v="6"/>
  </r>
  <r>
    <s v="SC48"/>
    <x v="53"/>
    <s v="100S/400W"/>
    <m/>
    <x v="11"/>
    <x v="46"/>
    <n v="5340"/>
    <n v="20"/>
    <s v="AC"/>
    <s v="SC"/>
    <n v="0"/>
    <n v="7"/>
    <n v="6"/>
    <n v="7"/>
    <n v="8"/>
    <n v="8"/>
    <n v="7"/>
    <n v="7"/>
    <n v="7"/>
    <n v="7"/>
    <n v="7"/>
    <n v="2024"/>
    <n v="2023"/>
    <s v="Y"/>
    <n v="588"/>
    <n v="0.5"/>
    <s v="100S"/>
    <n v="2.5"/>
    <x v="5"/>
    <n v="80909.090909090912"/>
    <n v="1"/>
    <n v="80909.090909090912"/>
    <x v="3"/>
  </r>
  <r>
    <s v="BC02"/>
    <x v="54"/>
    <s v="100N/700W"/>
    <m/>
    <x v="33"/>
    <x v="47"/>
    <n v="2643"/>
    <n v="20"/>
    <s v="AC"/>
    <s v="BC"/>
    <n v="0"/>
    <n v="8"/>
    <n v="8"/>
    <n v="8"/>
    <n v="8"/>
    <n v="8"/>
    <n v="8"/>
    <n v="7"/>
    <n v="7"/>
    <n v="7"/>
    <n v="7"/>
    <m/>
    <n v="2020"/>
    <s v="Y"/>
    <n v="3091"/>
    <n v="1.5"/>
    <s v="100N"/>
    <n v="3.5"/>
    <x v="0"/>
    <n v="10511.931818181818"/>
    <m/>
    <n v="0"/>
    <x v="6"/>
  </r>
  <r>
    <s v="BR37"/>
    <x v="55"/>
    <s v="100S/600E"/>
    <m/>
    <x v="14"/>
    <x v="14"/>
    <n v="5310"/>
    <n v="20"/>
    <s v="AC"/>
    <s v="BR"/>
    <n v="0"/>
    <n v="7"/>
    <n v="7"/>
    <n v="7"/>
    <n v="6"/>
    <n v="6"/>
    <n v="9"/>
    <n v="9"/>
    <n v="8"/>
    <n v="7"/>
    <n v="7"/>
    <n v="2024"/>
    <n v="2019"/>
    <s v="Y"/>
    <n v="548"/>
    <n v="0.5"/>
    <s v="100S"/>
    <n v="4.5"/>
    <x v="0"/>
    <n v="21119.31818181818"/>
    <m/>
    <n v="0"/>
    <x v="3"/>
  </r>
  <r>
    <s v="SC47"/>
    <x v="56"/>
    <s v="100S/600W"/>
    <m/>
    <x v="43"/>
    <x v="48"/>
    <n v="5330"/>
    <n v="20"/>
    <s v="AC"/>
    <s v="SC"/>
    <n v="0"/>
    <n v="6"/>
    <n v="6"/>
    <n v="6"/>
    <n v="8"/>
    <n v="8"/>
    <n v="7"/>
    <n v="7"/>
    <n v="7"/>
    <n v="7"/>
    <n v="7"/>
    <n v="2023"/>
    <n v="2023"/>
    <s v="Y"/>
    <n v="521"/>
    <n v="0.5"/>
    <s v="100S"/>
    <n v="2.5"/>
    <x v="0"/>
    <n v="21198.863636363636"/>
    <m/>
    <n v="0"/>
    <x v="2"/>
  </r>
  <r>
    <s v="C62"/>
    <x v="57"/>
    <s v="MERIDIAN RD./100N"/>
    <m/>
    <x v="44"/>
    <x v="49"/>
    <n v="2620"/>
    <n v="20"/>
    <s v="AC"/>
    <s v="C"/>
    <n v="0"/>
    <n v="8"/>
    <n v="7"/>
    <n v="7"/>
    <n v="7"/>
    <n v="7"/>
    <n v="7"/>
    <n v="7"/>
    <n v="7"/>
    <n v="7"/>
    <n v="7"/>
    <m/>
    <m/>
    <s v="Y"/>
    <n v="2784"/>
    <n v="1.5"/>
    <s v="MERIDIAN RD."/>
    <n v="4.5"/>
    <x v="4"/>
    <n v="54583.333333333336"/>
    <m/>
    <n v="0"/>
    <x v="6"/>
  </r>
  <r>
    <s v="BR39"/>
    <x v="58"/>
    <s v="100S/750E"/>
    <m/>
    <x v="45"/>
    <x v="21"/>
    <n v="4070"/>
    <n v="20"/>
    <s v="CS"/>
    <s v="BR"/>
    <n v="0"/>
    <n v="6"/>
    <n v="7"/>
    <n v="7"/>
    <n v="6"/>
    <n v="8"/>
    <n v="8"/>
    <n v="8"/>
    <n v="7"/>
    <n v="7"/>
    <n v="7"/>
    <m/>
    <m/>
    <m/>
    <n v="338"/>
    <n v="0"/>
    <s v="100S"/>
    <n v="2"/>
    <x v="0"/>
    <n v="19270.830000000002"/>
    <m/>
    <n v="0"/>
    <x v="2"/>
  </r>
  <r>
    <s v="BR40"/>
    <x v="59"/>
    <s v="100S/775E"/>
    <m/>
    <x v="46"/>
    <x v="50"/>
    <n v="2240"/>
    <n v="20"/>
    <s v="AC"/>
    <s v="BR"/>
    <n v="0"/>
    <n v="6"/>
    <n v="6"/>
    <n v="6"/>
    <n v="6"/>
    <n v="8"/>
    <n v="8"/>
    <n v="8"/>
    <n v="7"/>
    <n v="7"/>
    <n v="7"/>
    <m/>
    <m/>
    <m/>
    <n v="338"/>
    <n v="0"/>
    <s v="100S"/>
    <n v="2"/>
    <x v="1"/>
    <n v="2290.909090909091"/>
    <m/>
    <n v="0"/>
    <x v="2"/>
  </r>
  <r>
    <n v="100"/>
    <x v="60"/>
    <s v="100S/850E"/>
    <m/>
    <x v="40"/>
    <x v="22"/>
    <n v="3255"/>
    <n v="20"/>
    <s v="CS"/>
    <s v="BR"/>
    <n v="0"/>
    <n v="6"/>
    <n v="6"/>
    <n v="6"/>
    <n v="6"/>
    <n v="8"/>
    <n v="8"/>
    <n v="8"/>
    <n v="7"/>
    <n v="7"/>
    <n v="7"/>
    <m/>
    <m/>
    <m/>
    <n v="318"/>
    <n v="0"/>
    <s v="100S"/>
    <n v="2"/>
    <x v="0"/>
    <n v="12946.022727272728"/>
    <m/>
    <n v="0"/>
    <x v="2"/>
  </r>
  <r>
    <s v="BR42"/>
    <x v="61"/>
    <s v="100S/E. CO. LINE"/>
    <m/>
    <x v="47"/>
    <x v="39"/>
    <n v="2720"/>
    <n v="20"/>
    <s v="CS"/>
    <s v="BR"/>
    <n v="0"/>
    <n v="5"/>
    <n v="5"/>
    <n v="6"/>
    <n v="5"/>
    <n v="8"/>
    <n v="7"/>
    <n v="7"/>
    <n v="7"/>
    <n v="7"/>
    <n v="7"/>
    <m/>
    <m/>
    <m/>
    <n v="164"/>
    <n v="0"/>
    <s v="100S"/>
    <n v="2"/>
    <x v="2"/>
    <n v="16484.848484848484"/>
    <m/>
    <n v="0"/>
    <x v="3"/>
  </r>
  <r>
    <s v="SC49"/>
    <x v="62"/>
    <s v="100S/JACOBI RD"/>
    <m/>
    <x v="48"/>
    <x v="31"/>
    <n v="5370"/>
    <n v="20"/>
    <s v="AC"/>
    <s v="SC"/>
    <n v="0"/>
    <n v="5"/>
    <n v="6"/>
    <n v="9"/>
    <n v="9"/>
    <n v="8"/>
    <n v="8"/>
    <n v="8"/>
    <n v="8"/>
    <n v="7"/>
    <n v="7"/>
    <n v="2023"/>
    <n v="2023"/>
    <s v="Y"/>
    <n v="890"/>
    <n v="0.5"/>
    <s v="100S"/>
    <n v="2.5"/>
    <x v="5"/>
    <n v="81363.636363636368"/>
    <n v="1"/>
    <n v="81363.636363636368"/>
    <x v="3"/>
  </r>
  <r>
    <s v="C08"/>
    <x v="63"/>
    <s v="100S/MERIDIAN RD"/>
    <m/>
    <x v="49"/>
    <x v="27"/>
    <n v="7340"/>
    <n v="20"/>
    <s v="AC"/>
    <s v="C"/>
    <n v="0"/>
    <n v="7"/>
    <n v="7"/>
    <n v="9"/>
    <n v="8"/>
    <n v="8"/>
    <n v="8"/>
    <n v="8"/>
    <n v="8"/>
    <n v="7"/>
    <n v="7"/>
    <n v="2024"/>
    <n v="2023"/>
    <s v="Y"/>
    <n v="1064"/>
    <n v="0.5"/>
    <s v="100S"/>
    <n v="2.5"/>
    <x v="5"/>
    <n v="111212.12121212122"/>
    <n v="1"/>
    <n v="111212.12121212122"/>
    <x v="3"/>
  </r>
  <r>
    <s v="BW38"/>
    <x v="64"/>
    <s v="100W/125W"/>
    <m/>
    <x v="9"/>
    <x v="26"/>
    <n v="2225"/>
    <n v="20"/>
    <s v="CS"/>
    <s v="BW"/>
    <n v="0"/>
    <n v="7"/>
    <n v="5"/>
    <n v="8"/>
    <n v="8"/>
    <n v="7"/>
    <n v="7"/>
    <n v="6"/>
    <n v="6"/>
    <n v="6"/>
    <n v="8"/>
    <m/>
    <m/>
    <m/>
    <n v="71"/>
    <n v="0"/>
    <s v="100W"/>
    <n v="3"/>
    <x v="0"/>
    <n v="8849.431818181818"/>
    <m/>
    <n v="0"/>
    <x v="2"/>
  </r>
  <r>
    <s v="C53"/>
    <x v="65"/>
    <s v="100W/200N"/>
    <m/>
    <x v="44"/>
    <x v="51"/>
    <n v="5310"/>
    <n v="20"/>
    <s v="AC"/>
    <s v="C"/>
    <n v="0"/>
    <n v="7"/>
    <n v="8"/>
    <n v="8"/>
    <n v="8"/>
    <n v="8"/>
    <n v="7"/>
    <n v="7"/>
    <n v="6"/>
    <n v="7"/>
    <n v="7"/>
    <m/>
    <m/>
    <m/>
    <n v="149"/>
    <n v="0"/>
    <s v="100W"/>
    <n v="2"/>
    <x v="0"/>
    <n v="21119.31818181818"/>
    <n v="1"/>
    <n v="21119.31818181818"/>
    <x v="0"/>
  </r>
  <r>
    <s v="BC12"/>
    <x v="66"/>
    <s v="200N/700W"/>
    <m/>
    <x v="33"/>
    <x v="47"/>
    <n v="3674"/>
    <n v="20"/>
    <s v="AC"/>
    <s v="BC"/>
    <n v="0"/>
    <n v="8"/>
    <n v="8"/>
    <n v="7"/>
    <n v="7"/>
    <n v="7"/>
    <n v="7"/>
    <n v="7"/>
    <n v="7"/>
    <n v="7"/>
    <n v="7"/>
    <m/>
    <n v="2020"/>
    <s v="Y"/>
    <n v="2245"/>
    <n v="1"/>
    <s v="200N"/>
    <n v="4"/>
    <x v="0"/>
    <n v="14612.5"/>
    <m/>
    <n v="0"/>
    <x v="6"/>
  </r>
  <r>
    <s v="C56"/>
    <x v="67"/>
    <s v="100W/400N"/>
    <m/>
    <x v="50"/>
    <x v="2"/>
    <n v="5280"/>
    <n v="20"/>
    <s v="AC"/>
    <s v="C"/>
    <n v="0"/>
    <n v="5"/>
    <n v="5"/>
    <n v="6"/>
    <n v="6"/>
    <n v="6"/>
    <n v="5"/>
    <n v="5"/>
    <n v="8"/>
    <n v="7"/>
    <n v="7"/>
    <m/>
    <m/>
    <m/>
    <n v="50"/>
    <n v="0"/>
    <s v="100W"/>
    <n v="4"/>
    <x v="0"/>
    <n v="21000"/>
    <m/>
    <n v="0"/>
    <x v="4"/>
  </r>
  <r>
    <s v="SC38"/>
    <x v="68"/>
    <s v="200S/700W"/>
    <m/>
    <x v="51"/>
    <x v="48"/>
    <n v="5375"/>
    <n v="20"/>
    <s v="AC"/>
    <s v="SC"/>
    <n v="0"/>
    <n v="7"/>
    <n v="5"/>
    <n v="7"/>
    <n v="7"/>
    <n v="7"/>
    <n v="7"/>
    <n v="7"/>
    <n v="7"/>
    <n v="7"/>
    <n v="7"/>
    <n v="2024"/>
    <n v="2020"/>
    <s v="Y"/>
    <n v="2235"/>
    <n v="1"/>
    <s v="200S"/>
    <n v="4"/>
    <x v="0"/>
    <n v="21377.840909090908"/>
    <m/>
    <n v="0"/>
    <x v="6"/>
  </r>
  <r>
    <s v="BW35"/>
    <x v="69"/>
    <s v="100W/500S"/>
    <m/>
    <x v="24"/>
    <x v="52"/>
    <n v="3365"/>
    <n v="20"/>
    <s v="AC"/>
    <s v="BW"/>
    <n v="0"/>
    <n v="6"/>
    <n v="6"/>
    <n v="9"/>
    <n v="9"/>
    <n v="9"/>
    <n v="8"/>
    <n v="8"/>
    <n v="7"/>
    <n v="6"/>
    <n v="8"/>
    <m/>
    <m/>
    <m/>
    <n v="721"/>
    <n v="0.5"/>
    <s v="100W"/>
    <n v="1.5"/>
    <x v="0"/>
    <n v="13383.522727272728"/>
    <m/>
    <n v="0"/>
    <x v="2"/>
  </r>
  <r>
    <s v="C55"/>
    <x v="70"/>
    <s v="100W/I70"/>
    <m/>
    <x v="35"/>
    <x v="53"/>
    <n v="2400"/>
    <n v="20"/>
    <s v="CS"/>
    <s v="C"/>
    <n v="0"/>
    <n v="3"/>
    <n v="3"/>
    <n v="8"/>
    <n v="7"/>
    <n v="7"/>
    <n v="7"/>
    <n v="6"/>
    <n v="6"/>
    <n v="6"/>
    <n v="6"/>
    <m/>
    <m/>
    <m/>
    <n v="50"/>
    <n v="0"/>
    <s v="100W"/>
    <n v="3"/>
    <x v="4"/>
    <n v="50000"/>
    <n v="1"/>
    <n v="50000"/>
    <x v="0"/>
  </r>
  <r>
    <s v="BW34"/>
    <x v="71"/>
    <s v="100W/US52"/>
    <m/>
    <x v="52"/>
    <x v="54"/>
    <n v="1890"/>
    <n v="20"/>
    <s v="AC"/>
    <s v="BW"/>
    <n v="0"/>
    <n v="9"/>
    <n v="8"/>
    <n v="8"/>
    <n v="8"/>
    <n v="8"/>
    <n v="7"/>
    <n v="7"/>
    <n v="6"/>
    <n v="6"/>
    <n v="6"/>
    <n v="2024"/>
    <n v="2017"/>
    <s v="Y"/>
    <n v="905"/>
    <n v="0.5"/>
    <s v="100W"/>
    <n v="2.5"/>
    <x v="3"/>
    <n v="16465.909090909092"/>
    <m/>
    <n v="0"/>
    <x v="4"/>
  </r>
  <r>
    <s v="SC33"/>
    <x v="72"/>
    <s v="300S/400W"/>
    <m/>
    <x v="53"/>
    <x v="31"/>
    <n v="1380"/>
    <n v="20"/>
    <s v="AC"/>
    <s v="SC"/>
    <n v="0"/>
    <n v="8"/>
    <n v="7"/>
    <n v="7"/>
    <n v="7"/>
    <n v="7"/>
    <n v="7"/>
    <n v="7"/>
    <n v="7"/>
    <n v="6"/>
    <n v="6"/>
    <n v="2024"/>
    <m/>
    <s v="N"/>
    <n v="1989"/>
    <n v="1"/>
    <s v="300S"/>
    <n v="4"/>
    <x v="0"/>
    <n v="5488.636363636364"/>
    <m/>
    <n v="0"/>
    <x v="6"/>
  </r>
  <r>
    <s v="J89"/>
    <x v="73"/>
    <s v="1050E/150N"/>
    <m/>
    <x v="54"/>
    <x v="55"/>
    <n v="5138"/>
    <n v="20"/>
    <s v="AC"/>
    <s v="J"/>
    <n v="0"/>
    <n v="7"/>
    <n v="7"/>
    <n v="7"/>
    <n v="7"/>
    <n v="6"/>
    <n v="6"/>
    <n v="6"/>
    <n v="6"/>
    <n v="6"/>
    <n v="7"/>
    <m/>
    <n v="2021"/>
    <s v="Y"/>
    <n v="966"/>
    <n v="0.5"/>
    <s v="1025E"/>
    <n v="4.5"/>
    <x v="7"/>
    <n v="24327.651515151516"/>
    <m/>
    <n v="0"/>
    <x v="5"/>
  </r>
  <r>
    <s v="J90"/>
    <x v="74"/>
    <s v="1050E/200N"/>
    <m/>
    <x v="55"/>
    <x v="51"/>
    <n v="2688"/>
    <n v="20"/>
    <s v="AC"/>
    <s v="J"/>
    <n v="0"/>
    <n v="7"/>
    <n v="7"/>
    <n v="7"/>
    <n v="7"/>
    <n v="7"/>
    <n v="7"/>
    <n v="6"/>
    <n v="6"/>
    <n v="6"/>
    <n v="7"/>
    <m/>
    <n v="2021"/>
    <s v="Y"/>
    <n v="975"/>
    <n v="0.5"/>
    <s v="1025E"/>
    <n v="3.5"/>
    <x v="7"/>
    <n v="12727.272727272728"/>
    <m/>
    <n v="0"/>
    <x v="5"/>
  </r>
  <r>
    <s v="J91"/>
    <x v="75"/>
    <s v="1050E/250N"/>
    <m/>
    <x v="35"/>
    <x v="56"/>
    <n v="2665"/>
    <n v="20"/>
    <s v="AC"/>
    <s v="J"/>
    <n v="0"/>
    <n v="7"/>
    <n v="7"/>
    <n v="7"/>
    <n v="7"/>
    <n v="7"/>
    <n v="7"/>
    <n v="6"/>
    <n v="6"/>
    <n v="6"/>
    <n v="7"/>
    <m/>
    <n v="2021"/>
    <s v="Y"/>
    <n v="1015"/>
    <n v="0.5"/>
    <s v="1025E"/>
    <n v="3.5"/>
    <x v="7"/>
    <n v="12618.371212121212"/>
    <m/>
    <n v="0"/>
    <x v="5"/>
  </r>
  <r>
    <s v="J88"/>
    <x v="76"/>
    <s v="1050E/25N"/>
    <m/>
    <x v="23"/>
    <x v="57"/>
    <n v="1043"/>
    <n v="20"/>
    <s v="AC"/>
    <s v="J"/>
    <n v="0"/>
    <n v="7"/>
    <n v="7"/>
    <n v="7"/>
    <n v="7"/>
    <n v="7"/>
    <n v="7"/>
    <n v="6"/>
    <n v="6"/>
    <n v="6"/>
    <n v="7"/>
    <m/>
    <n v="2021"/>
    <s v="Y"/>
    <n v="932"/>
    <n v="0.5"/>
    <s v="1025E"/>
    <n v="3.5"/>
    <x v="7"/>
    <n v="4938.44696969697"/>
    <m/>
    <n v="0"/>
    <x v="5"/>
  </r>
  <r>
    <s v="J92"/>
    <x v="77"/>
    <s v="1050E/325N"/>
    <m/>
    <x v="56"/>
    <x v="58"/>
    <n v="3937"/>
    <n v="20"/>
    <s v="AC"/>
    <s v="J"/>
    <n v="0"/>
    <n v="7"/>
    <n v="8"/>
    <n v="8"/>
    <n v="8"/>
    <n v="7"/>
    <n v="7"/>
    <n v="7"/>
    <n v="7"/>
    <n v="7"/>
    <n v="7"/>
    <m/>
    <n v="2021"/>
    <s v="Y"/>
    <n v="1360"/>
    <n v="0.5"/>
    <s v="1025E"/>
    <n v="3.5"/>
    <x v="7"/>
    <n v="18641.098484848484"/>
    <m/>
    <n v="0"/>
    <x v="5"/>
  </r>
  <r>
    <s v="J93"/>
    <x v="78"/>
    <s v="1050E/350N"/>
    <m/>
    <x v="57"/>
    <x v="59"/>
    <n v="1316"/>
    <n v="20"/>
    <s v="AC"/>
    <s v="J"/>
    <n v="0"/>
    <n v="7"/>
    <n v="8"/>
    <n v="8"/>
    <n v="8"/>
    <n v="7"/>
    <n v="7"/>
    <n v="7"/>
    <n v="7"/>
    <n v="7"/>
    <n v="7"/>
    <m/>
    <n v="2021"/>
    <s v="Y"/>
    <n v="1186"/>
    <n v="0.5"/>
    <s v="1025E"/>
    <n v="3.5"/>
    <x v="7"/>
    <n v="6231.060606060606"/>
    <m/>
    <n v="0"/>
    <x v="5"/>
  </r>
  <r>
    <s v="J94"/>
    <x v="79"/>
    <s v="1050E/450N"/>
    <m/>
    <x v="2"/>
    <x v="60"/>
    <n v="5290"/>
    <n v="20"/>
    <s v="AC"/>
    <s v="J"/>
    <n v="0"/>
    <n v="7"/>
    <n v="8"/>
    <n v="8"/>
    <n v="8"/>
    <n v="7"/>
    <n v="7"/>
    <n v="7"/>
    <n v="7"/>
    <n v="7"/>
    <n v="7"/>
    <m/>
    <n v="2021"/>
    <s v="Y"/>
    <n v="1097"/>
    <n v="0.5"/>
    <s v="1025E"/>
    <n v="3.5"/>
    <x v="7"/>
    <n v="25047.348484848484"/>
    <m/>
    <n v="0"/>
    <x v="5"/>
  </r>
  <r>
    <s v="J95"/>
    <x v="80"/>
    <s v="1050E/500N"/>
    <m/>
    <x v="58"/>
    <x v="3"/>
    <n v="2669"/>
    <n v="20"/>
    <s v="AC"/>
    <s v="J"/>
    <n v="0"/>
    <n v="7"/>
    <n v="8"/>
    <n v="8"/>
    <n v="8"/>
    <n v="7"/>
    <n v="7"/>
    <n v="7"/>
    <n v="7"/>
    <n v="7"/>
    <n v="7"/>
    <m/>
    <n v="2021"/>
    <s v="Y"/>
    <n v="1160"/>
    <n v="0.5"/>
    <s v="1025E"/>
    <n v="3.5"/>
    <x v="7"/>
    <n v="12637.310606060606"/>
    <m/>
    <n v="0"/>
    <x v="5"/>
  </r>
  <r>
    <s v="J96"/>
    <x v="81"/>
    <s v="1050E/550N"/>
    <m/>
    <x v="1"/>
    <x v="4"/>
    <n v="2644"/>
    <n v="20"/>
    <s v="AC"/>
    <s v="J"/>
    <n v="0"/>
    <n v="7"/>
    <n v="8"/>
    <n v="8"/>
    <n v="8"/>
    <n v="7"/>
    <n v="7"/>
    <n v="7"/>
    <n v="7"/>
    <n v="7"/>
    <n v="7"/>
    <m/>
    <n v="2021"/>
    <s v="Y"/>
    <n v="1202"/>
    <n v="0.5"/>
    <s v="1025E"/>
    <n v="3.5"/>
    <x v="7"/>
    <n v="12518.939393939394"/>
    <m/>
    <n v="0"/>
    <x v="5"/>
  </r>
  <r>
    <s v="B71"/>
    <x v="82"/>
    <s v="1050E/650N"/>
    <m/>
    <x v="59"/>
    <x v="5"/>
    <n v="2505"/>
    <n v="20"/>
    <s v="AC"/>
    <s v="B"/>
    <n v="0"/>
    <n v="7"/>
    <n v="8"/>
    <n v="8"/>
    <n v="8"/>
    <n v="8"/>
    <n v="7"/>
    <n v="6"/>
    <n v="6"/>
    <n v="7"/>
    <n v="7"/>
    <m/>
    <n v="2021"/>
    <s v="Y"/>
    <n v="1645"/>
    <n v="1"/>
    <s v="1025E"/>
    <n v="3"/>
    <x v="7"/>
    <n v="11860.795454545454"/>
    <m/>
    <n v="0"/>
    <x v="5"/>
  </r>
  <r>
    <s v="J97"/>
    <x v="83"/>
    <s v="1050E/N. TWP LINE"/>
    <m/>
    <x v="59"/>
    <x v="4"/>
    <n v="2505"/>
    <n v="20"/>
    <s v="AC"/>
    <s v="J"/>
    <n v="0"/>
    <n v="7"/>
    <n v="8"/>
    <n v="8"/>
    <n v="8"/>
    <n v="7"/>
    <n v="7"/>
    <n v="7"/>
    <n v="7"/>
    <n v="7"/>
    <n v="7"/>
    <m/>
    <n v="2021"/>
    <s v="Y"/>
    <n v="1194"/>
    <n v="0.5"/>
    <s v="1025E"/>
    <n v="3.5"/>
    <x v="7"/>
    <n v="11860.795454545454"/>
    <m/>
    <n v="0"/>
    <x v="5"/>
  </r>
  <r>
    <s v="V45"/>
    <x v="84"/>
    <s v="1050N/50W"/>
    <m/>
    <x v="12"/>
    <x v="10"/>
    <n v="3976"/>
    <n v="20"/>
    <s v="CS"/>
    <s v="V"/>
    <n v="0"/>
    <n v="7"/>
    <n v="7"/>
    <n v="7"/>
    <n v="7"/>
    <n v="7"/>
    <n v="7"/>
    <n v="7"/>
    <n v="7"/>
    <n v="7"/>
    <n v="8"/>
    <m/>
    <m/>
    <m/>
    <n v="461"/>
    <n v="0"/>
    <s v="1050N"/>
    <n v="3"/>
    <x v="0"/>
    <n v="15813.636363636364"/>
    <m/>
    <n v="0"/>
    <x v="2"/>
  </r>
  <r>
    <s v="SC32"/>
    <x v="85"/>
    <s v="300S/425W"/>
    <m/>
    <x v="53"/>
    <x v="12"/>
    <n v="792"/>
    <n v="20"/>
    <s v="AC"/>
    <s v="SC"/>
    <n v="0"/>
    <n v="8"/>
    <n v="7"/>
    <n v="7"/>
    <n v="7"/>
    <n v="7"/>
    <n v="7"/>
    <n v="7"/>
    <n v="7"/>
    <n v="7"/>
    <n v="7"/>
    <n v="2024"/>
    <m/>
    <s v="N"/>
    <n v="1989"/>
    <n v="1"/>
    <s v="300S"/>
    <n v="4"/>
    <x v="0"/>
    <n v="3150"/>
    <m/>
    <n v="0"/>
    <x v="6"/>
  </r>
  <r>
    <m/>
    <x v="86"/>
    <s v="1100E/1000N"/>
    <m/>
    <x v="5"/>
    <x v="61"/>
    <n v="5300"/>
    <n v="20"/>
    <s v="AC"/>
    <s v="B"/>
    <n v="0"/>
    <n v="7"/>
    <n v="7"/>
    <n v="7"/>
    <n v="6"/>
    <n v="6"/>
    <n v="5"/>
    <n v="5"/>
    <n v="5"/>
    <n v="8"/>
    <n v="8"/>
    <m/>
    <m/>
    <m/>
    <n v="34"/>
    <n v="0"/>
    <s v="1100E"/>
    <n v="4"/>
    <x v="3"/>
    <n v="46174.242424242424"/>
    <m/>
    <n v="0"/>
    <x v="5"/>
  </r>
  <r>
    <s v="B73"/>
    <x v="87"/>
    <s v="1100E/1100N"/>
    <m/>
    <x v="60"/>
    <x v="62"/>
    <n v="5290"/>
    <n v="20"/>
    <s v="CS"/>
    <s v="B"/>
    <n v="0"/>
    <n v="6"/>
    <n v="6"/>
    <n v="6"/>
    <n v="5"/>
    <n v="6"/>
    <n v="5"/>
    <n v="5"/>
    <n v="9"/>
    <n v="8"/>
    <n v="8"/>
    <m/>
    <m/>
    <m/>
    <n v="34"/>
    <n v="0"/>
    <s v="1100E"/>
    <n v="4"/>
    <x v="0"/>
    <n v="21039.772727272728"/>
    <m/>
    <n v="0"/>
    <x v="4"/>
  </r>
  <r>
    <s v="B74"/>
    <x v="88"/>
    <s v="1125E/650N"/>
    <m/>
    <x v="61"/>
    <x v="5"/>
    <n v="3080"/>
    <n v="20"/>
    <s v="CS"/>
    <s v="B"/>
    <n v="0"/>
    <n v="7"/>
    <n v="7"/>
    <n v="7"/>
    <n v="7"/>
    <n v="7"/>
    <n v="7"/>
    <n v="6"/>
    <n v="6"/>
    <n v="6"/>
    <n v="8"/>
    <m/>
    <m/>
    <m/>
    <n v="94"/>
    <n v="0"/>
    <s v="1125E"/>
    <n v="3"/>
    <x v="0"/>
    <n v="12250"/>
    <m/>
    <n v="0"/>
    <x v="2"/>
  </r>
  <r>
    <s v="C67"/>
    <x v="89"/>
    <s v="100E/100S"/>
    <m/>
    <x v="62"/>
    <x v="63"/>
    <n v="5330"/>
    <n v="20"/>
    <s v="AC"/>
    <s v="C"/>
    <n v="0"/>
    <n v="6"/>
    <n v="6"/>
    <n v="6"/>
    <n v="6"/>
    <n v="6"/>
    <n v="8"/>
    <n v="7"/>
    <n v="7"/>
    <n v="7"/>
    <n v="7"/>
    <m/>
    <m/>
    <m/>
    <n v="1892"/>
    <n v="1"/>
    <s v="100E"/>
    <n v="5"/>
    <x v="0"/>
    <n v="21198.863636363636"/>
    <m/>
    <n v="0"/>
    <x v="6"/>
  </r>
  <r>
    <s v="BW49"/>
    <x v="90"/>
    <s v="100E/300S"/>
    <m/>
    <x v="63"/>
    <x v="64"/>
    <n v="5325"/>
    <n v="20"/>
    <s v="AC"/>
    <s v="BW"/>
    <n v="0"/>
    <n v="8"/>
    <n v="7"/>
    <n v="8"/>
    <n v="7"/>
    <n v="7"/>
    <n v="8"/>
    <n v="7"/>
    <n v="7"/>
    <n v="7"/>
    <n v="7"/>
    <m/>
    <m/>
    <m/>
    <n v="1544"/>
    <n v="1"/>
    <s v="100E"/>
    <n v="4"/>
    <x v="0"/>
    <n v="21178.977272727272"/>
    <m/>
    <n v="0"/>
    <x v="6"/>
  </r>
  <r>
    <s v="C27"/>
    <x v="91"/>
    <s v="300N/450E"/>
    <m/>
    <x v="30"/>
    <x v="65"/>
    <n v="2680"/>
    <n v="20"/>
    <s v="AC"/>
    <s v="C"/>
    <n v="0"/>
    <n v="8"/>
    <n v="7"/>
    <n v="7"/>
    <n v="7"/>
    <n v="7"/>
    <n v="7"/>
    <n v="7"/>
    <n v="7"/>
    <n v="7"/>
    <n v="7"/>
    <m/>
    <m/>
    <s v="Y"/>
    <n v="1394"/>
    <n v="0.5"/>
    <s v="300N"/>
    <n v="3.5"/>
    <x v="0"/>
    <n v="10659.09090909091"/>
    <m/>
    <n v="0"/>
    <x v="6"/>
  </r>
  <r>
    <s v=""/>
    <x v="92"/>
    <s v="1175E PENN. ST/END"/>
    <m/>
    <x v="64"/>
    <x v="25"/>
    <n v="1389"/>
    <n v="20"/>
    <s v="AC"/>
    <s v="B"/>
    <n v="0"/>
    <n v="7"/>
    <n v="7"/>
    <n v="7"/>
    <n v="7"/>
    <n v="6"/>
    <n v="6"/>
    <n v="6"/>
    <n v="6"/>
    <n v="7"/>
    <n v="7"/>
    <m/>
    <m/>
    <m/>
    <n v="50"/>
    <n v="0"/>
    <s v="1175E (PENN ST)"/>
    <n v="4"/>
    <x v="0"/>
    <n v="5524.431818181818"/>
    <m/>
    <n v="0"/>
    <x v="2"/>
  </r>
  <r>
    <s v="B82"/>
    <x v="93"/>
    <s v="1200E/1000N"/>
    <m/>
    <x v="5"/>
    <x v="61"/>
    <n v="5325"/>
    <n v="20"/>
    <s v="AC"/>
    <s v="B"/>
    <n v="0"/>
    <n v="7"/>
    <n v="7"/>
    <n v="7"/>
    <n v="7"/>
    <n v="7"/>
    <n v="6"/>
    <n v="6"/>
    <n v="6"/>
    <n v="8"/>
    <n v="8"/>
    <m/>
    <m/>
    <m/>
    <n v="126"/>
    <n v="0"/>
    <s v="1200E"/>
    <n v="3"/>
    <x v="3"/>
    <n v="46392.045454545456"/>
    <m/>
    <n v="0"/>
    <x v="5"/>
  </r>
  <r>
    <s v="BW48"/>
    <x v="94"/>
    <s v="100E/400S"/>
    <m/>
    <x v="10"/>
    <x v="11"/>
    <n v="5350"/>
    <n v="20"/>
    <s v="AC"/>
    <s v="BW"/>
    <n v="0"/>
    <n v="7"/>
    <n v="7"/>
    <n v="7"/>
    <n v="6"/>
    <n v="6"/>
    <n v="8"/>
    <n v="7"/>
    <n v="7"/>
    <n v="7"/>
    <n v="7"/>
    <m/>
    <m/>
    <m/>
    <n v="1303"/>
    <n v="0.5"/>
    <s v="100E"/>
    <n v="4.5"/>
    <x v="0"/>
    <n v="21278.409090909092"/>
    <m/>
    <n v="0"/>
    <x v="6"/>
  </r>
  <r>
    <s v="C10"/>
    <x v="95"/>
    <s v="100S/400E"/>
    <m/>
    <x v="30"/>
    <x v="66"/>
    <n v="7215"/>
    <n v="20"/>
    <s v="AC"/>
    <s v="C"/>
    <n v="0"/>
    <n v="7"/>
    <n v="8"/>
    <n v="7"/>
    <n v="5"/>
    <n v="5"/>
    <n v="5"/>
    <n v="9"/>
    <n v="8"/>
    <n v="7"/>
    <n v="7"/>
    <m/>
    <n v="2020"/>
    <s v="Y"/>
    <n v="1243"/>
    <n v="0.5"/>
    <s v="100S"/>
    <n v="5.5"/>
    <x v="0"/>
    <n v="28696.022727272728"/>
    <m/>
    <n v="0"/>
    <x v="6"/>
  </r>
  <r>
    <s v="SC70"/>
    <x v="96"/>
    <s v="700W/US52"/>
    <m/>
    <x v="52"/>
    <x v="67"/>
    <n v="5100"/>
    <n v="20"/>
    <s v="AC"/>
    <s v="SC"/>
    <n v="0"/>
    <n v="7"/>
    <n v="7"/>
    <n v="7"/>
    <n v="7"/>
    <n v="7"/>
    <n v="7"/>
    <n v="7"/>
    <n v="7"/>
    <n v="7"/>
    <n v="7"/>
    <n v="2022"/>
    <n v="2020"/>
    <s v="Y"/>
    <n v="1204"/>
    <n v="0.5"/>
    <s v="700W"/>
    <n v="3.5"/>
    <x v="0"/>
    <n v="20284.090909090908"/>
    <m/>
    <m/>
    <x v="6"/>
  </r>
  <r>
    <s v="J15"/>
    <x v="97"/>
    <s v="250N/800E"/>
    <m/>
    <x v="37"/>
    <x v="38"/>
    <n v="5438"/>
    <n v="20"/>
    <s v="AC"/>
    <s v="J"/>
    <n v="0"/>
    <n v="6"/>
    <n v="6"/>
    <n v="8"/>
    <n v="8"/>
    <n v="7"/>
    <n v="7"/>
    <n v="7"/>
    <n v="7"/>
    <n v="7"/>
    <n v="7"/>
    <n v="2024"/>
    <n v="2020"/>
    <s v="Y"/>
    <n v="1172"/>
    <n v="0.5"/>
    <s v="250N"/>
    <n v="3.5"/>
    <x v="0"/>
    <n v="21628.409090909092"/>
    <m/>
    <n v="0"/>
    <x v="6"/>
  </r>
  <r>
    <s v="B80"/>
    <x v="98"/>
    <s v="1200E/SR234"/>
    <m/>
    <x v="65"/>
    <x v="6"/>
    <n v="2100"/>
    <n v="20"/>
    <s v="AC"/>
    <s v="B"/>
    <n v="0"/>
    <n v="7"/>
    <n v="7"/>
    <n v="7"/>
    <n v="7"/>
    <n v="7"/>
    <n v="9"/>
    <n v="8"/>
    <n v="8"/>
    <n v="8"/>
    <n v="8"/>
    <n v="2024"/>
    <n v="2019"/>
    <s v="Y"/>
    <n v="1230"/>
    <n v="0.5"/>
    <s v="1200E"/>
    <n v="3.5"/>
    <x v="0"/>
    <n v="8352.2727272727279"/>
    <m/>
    <n v="0"/>
    <x v="3"/>
  </r>
  <r>
    <s v="V91"/>
    <x v="99"/>
    <s v="125W/1000N"/>
    <m/>
    <x v="66"/>
    <x v="61"/>
    <n v="2650"/>
    <n v="20"/>
    <s v="AC"/>
    <s v="V"/>
    <n v="0"/>
    <n v="7"/>
    <n v="6"/>
    <n v="6"/>
    <n v="6"/>
    <n v="6"/>
    <n v="5"/>
    <n v="5"/>
    <n v="5"/>
    <n v="5"/>
    <n v="5"/>
    <m/>
    <m/>
    <m/>
    <n v="50"/>
    <n v="0"/>
    <s v="125W"/>
    <n v="4"/>
    <x v="0"/>
    <n v="10539.772727272728"/>
    <m/>
    <n v="0"/>
    <x v="2"/>
  </r>
  <r>
    <s v="J16"/>
    <x v="100"/>
    <s v="250N/850E"/>
    <m/>
    <x v="38"/>
    <x v="39"/>
    <n v="2746"/>
    <n v="20"/>
    <s v="AC"/>
    <s v="J"/>
    <n v="0"/>
    <n v="5"/>
    <n v="5"/>
    <n v="8"/>
    <n v="8"/>
    <n v="7"/>
    <n v="7"/>
    <n v="7"/>
    <n v="7"/>
    <n v="7"/>
    <n v="7"/>
    <n v="2024"/>
    <n v="2020"/>
    <s v="Y"/>
    <n v="1141"/>
    <n v="0.5"/>
    <s v="250N"/>
    <n v="3.5"/>
    <x v="0"/>
    <n v="10921.59090909091"/>
    <m/>
    <n v="0"/>
    <x v="6"/>
  </r>
  <r>
    <s v="J14"/>
    <x v="101"/>
    <s v="250N/700E"/>
    <m/>
    <x v="14"/>
    <x v="68"/>
    <n v="4400"/>
    <n v="20"/>
    <s v="AC"/>
    <s v="J"/>
    <n v="0"/>
    <n v="6"/>
    <n v="6"/>
    <n v="8"/>
    <n v="8"/>
    <n v="7"/>
    <n v="7"/>
    <n v="7"/>
    <n v="7"/>
    <n v="7"/>
    <n v="7"/>
    <n v="2024"/>
    <n v="2020"/>
    <s v="Y"/>
    <n v="1137"/>
    <n v="0.5"/>
    <s v="250N"/>
    <n v="3.5"/>
    <x v="0"/>
    <n v="17500"/>
    <m/>
    <n v="0"/>
    <x v="6"/>
  </r>
  <r>
    <s v="BW33"/>
    <x v="102"/>
    <s v="125W/300S"/>
    <m/>
    <x v="63"/>
    <x v="37"/>
    <n v="4002"/>
    <n v="20"/>
    <s v="CS"/>
    <s v="BW"/>
    <n v="0"/>
    <n v="5"/>
    <n v="5"/>
    <n v="10"/>
    <n v="9"/>
    <n v="9"/>
    <n v="8"/>
    <n v="7"/>
    <n v="7"/>
    <n v="7"/>
    <n v="7"/>
    <m/>
    <m/>
    <m/>
    <n v="71"/>
    <n v="0"/>
    <s v="125W"/>
    <n v="1"/>
    <x v="0"/>
    <n v="15917.045454545454"/>
    <n v="1"/>
    <n v="15917.045454545454"/>
    <x v="0"/>
  </r>
  <r>
    <s v="J08"/>
    <x v="103"/>
    <s v="150N/1050E"/>
    <m/>
    <x v="67"/>
    <x v="41"/>
    <n v="5350"/>
    <n v="20"/>
    <s v="P"/>
    <s v="J"/>
    <n v="0"/>
    <n v="7"/>
    <n v="6"/>
    <n v="6"/>
    <n v="6"/>
    <n v="8"/>
    <n v="8"/>
    <n v="8"/>
    <n v="7"/>
    <n v="7"/>
    <n v="7"/>
    <m/>
    <m/>
    <m/>
    <n v="50"/>
    <n v="0"/>
    <s v="150N"/>
    <n v="2"/>
    <x v="1"/>
    <n v="5471.590909090909"/>
    <m/>
    <n v="0"/>
    <x v="2"/>
  </r>
  <r>
    <s v="BC10"/>
    <x v="104"/>
    <s v="150N/400W"/>
    <m/>
    <x v="68"/>
    <x v="31"/>
    <n v="6690"/>
    <n v="20"/>
    <s v="CS"/>
    <s v="BC"/>
    <n v="0"/>
    <n v="7"/>
    <n v="6"/>
    <n v="6"/>
    <n v="6"/>
    <n v="5"/>
    <n v="3"/>
    <n v="4"/>
    <n v="8"/>
    <n v="8"/>
    <n v="7"/>
    <m/>
    <m/>
    <m/>
    <n v="61"/>
    <n v="0"/>
    <s v="150N"/>
    <n v="5"/>
    <x v="0"/>
    <n v="26607.954545454544"/>
    <m/>
    <n v="0"/>
    <x v="4"/>
  </r>
  <r>
    <s v="BC09"/>
    <x v="105"/>
    <s v="150N/700W"/>
    <m/>
    <x v="69"/>
    <x v="48"/>
    <n v="2620"/>
    <n v="20"/>
    <s v="CS"/>
    <s v="BC"/>
    <n v="0"/>
    <n v="7"/>
    <n v="7"/>
    <n v="7"/>
    <n v="7"/>
    <n v="7"/>
    <n v="7"/>
    <n v="7"/>
    <n v="6"/>
    <n v="6"/>
    <n v="6"/>
    <m/>
    <m/>
    <m/>
    <n v="518"/>
    <n v="0.5"/>
    <s v="150N"/>
    <n v="3.5"/>
    <x v="4"/>
    <n v="54583.333333333336"/>
    <n v="1"/>
    <n v="54583.333333333336"/>
    <x v="0"/>
  </r>
  <r>
    <s v="J07"/>
    <x v="106"/>
    <s v="150N/800E"/>
    <m/>
    <x v="38"/>
    <x v="68"/>
    <n v="5380"/>
    <n v="20"/>
    <s v="DS"/>
    <s v="J"/>
    <n v="0"/>
    <n v="6"/>
    <n v="8"/>
    <n v="8"/>
    <n v="7"/>
    <n v="7"/>
    <n v="7"/>
    <n v="7"/>
    <n v="7"/>
    <n v="7"/>
    <n v="7"/>
    <m/>
    <m/>
    <m/>
    <n v="50"/>
    <n v="0"/>
    <s v="150N"/>
    <n v="3"/>
    <x v="2"/>
    <n v="32606.060606060608"/>
    <m/>
    <n v="0"/>
    <x v="2"/>
  </r>
  <r>
    <s v="J09"/>
    <x v="107"/>
    <s v="150N/E. CO. LINE"/>
    <m/>
    <x v="67"/>
    <x v="69"/>
    <n v="2680"/>
    <n v="20"/>
    <s v="CS"/>
    <s v="J"/>
    <n v="0"/>
    <n v="4"/>
    <n v="4"/>
    <n v="4"/>
    <n v="4"/>
    <n v="9"/>
    <n v="9"/>
    <n v="8"/>
    <n v="8"/>
    <n v="7"/>
    <n v="7"/>
    <m/>
    <m/>
    <m/>
    <n v="50"/>
    <n v="0"/>
    <s v="150N"/>
    <n v="1"/>
    <x v="0"/>
    <n v="10659.09090909091"/>
    <n v="1"/>
    <n v="10659.09090909091"/>
    <x v="0"/>
  </r>
  <r>
    <s v="BR35"/>
    <x v="108"/>
    <s v="150S/900E"/>
    <m/>
    <x v="70"/>
    <x v="39"/>
    <n v="2715"/>
    <n v="20"/>
    <s v="CS"/>
    <s v="BR"/>
    <n v="0"/>
    <n v="8"/>
    <n v="7"/>
    <n v="7"/>
    <n v="7"/>
    <n v="7"/>
    <n v="7"/>
    <n v="6"/>
    <n v="6"/>
    <n v="6"/>
    <n v="7"/>
    <m/>
    <m/>
    <m/>
    <n v="50"/>
    <n v="0"/>
    <s v="150S"/>
    <n v="3"/>
    <x v="2"/>
    <n v="16454.545454545456"/>
    <m/>
    <n v="0"/>
    <x v="2"/>
  </r>
  <r>
    <s v="C50"/>
    <x v="109"/>
    <s v="150W/100N"/>
    <m/>
    <x v="23"/>
    <x v="70"/>
    <n v="5930"/>
    <n v="20"/>
    <s v="CS"/>
    <s v="C"/>
    <n v="0"/>
    <n v="8"/>
    <n v="7"/>
    <n v="7"/>
    <n v="7"/>
    <n v="6"/>
    <n v="6"/>
    <n v="5"/>
    <n v="5"/>
    <n v="5"/>
    <n v="8"/>
    <m/>
    <m/>
    <m/>
    <n v="294"/>
    <n v="0"/>
    <s v="150W"/>
    <n v="4"/>
    <x v="0"/>
    <n v="23585.227272727272"/>
    <m/>
    <n v="0"/>
    <x v="2"/>
  </r>
  <r>
    <s v="C48"/>
    <x v="110"/>
    <s v="150W/100S"/>
    <m/>
    <x v="71"/>
    <x v="64"/>
    <n v="5320"/>
    <n v="20"/>
    <s v="CS"/>
    <s v="C"/>
    <n v="0"/>
    <n v="6"/>
    <n v="6"/>
    <n v="8"/>
    <n v="8"/>
    <n v="8"/>
    <n v="8"/>
    <n v="8"/>
    <n v="7"/>
    <n v="6"/>
    <n v="6"/>
    <m/>
    <m/>
    <m/>
    <n v="536"/>
    <n v="0.5"/>
    <s v="150W"/>
    <n v="2.5"/>
    <x v="0"/>
    <n v="21159.090909090908"/>
    <m/>
    <n v="0"/>
    <x v="3"/>
  </r>
  <r>
    <s v="BW32"/>
    <x v="111"/>
    <s v="150W/200S"/>
    <m/>
    <x v="62"/>
    <x v="11"/>
    <n v="5335"/>
    <n v="20"/>
    <s v="G"/>
    <s v="BW"/>
    <n v="0"/>
    <n v="10"/>
    <n v="8"/>
    <n v="8"/>
    <n v="7"/>
    <n v="7"/>
    <n v="7"/>
    <n v="7"/>
    <n v="7"/>
    <n v="7"/>
    <n v="7"/>
    <m/>
    <m/>
    <m/>
    <n v="50"/>
    <n v="0"/>
    <s v="150W"/>
    <n v="3"/>
    <x v="2"/>
    <n v="32333.333333333332"/>
    <m/>
    <n v="0"/>
    <x v="3"/>
  </r>
  <r>
    <s v="C49"/>
    <x v="112"/>
    <s v="150W/US40"/>
    <m/>
    <x v="23"/>
    <x v="63"/>
    <n v="3845"/>
    <n v="20"/>
    <s v="P"/>
    <s v="C"/>
    <n v="0"/>
    <n v="5"/>
    <n v="5"/>
    <n v="5"/>
    <n v="9"/>
    <n v="8"/>
    <n v="8"/>
    <n v="7"/>
    <n v="7"/>
    <n v="7"/>
    <n v="7"/>
    <m/>
    <m/>
    <m/>
    <n v="448"/>
    <n v="0"/>
    <s v="150W"/>
    <n v="2"/>
    <x v="2"/>
    <n v="23303.030303030304"/>
    <m/>
    <n v="0"/>
    <x v="5"/>
  </r>
  <r>
    <s v="BW31"/>
    <x v="113"/>
    <s v="150W/US52"/>
    <m/>
    <x v="72"/>
    <x v="71"/>
    <n v="2820"/>
    <n v="20"/>
    <s v="AC"/>
    <s v="BW"/>
    <n v="0"/>
    <n v="7"/>
    <n v="9"/>
    <n v="8"/>
    <n v="7"/>
    <n v="7"/>
    <n v="7"/>
    <n v="7"/>
    <n v="7"/>
    <n v="7"/>
    <n v="7"/>
    <m/>
    <m/>
    <m/>
    <n v="132"/>
    <n v="0"/>
    <s v="150W"/>
    <n v="3"/>
    <x v="0"/>
    <n v="11215.90909090909"/>
    <m/>
    <n v="0"/>
    <x v="2"/>
  </r>
  <r>
    <s v="BW28"/>
    <x v="114"/>
    <s v="300S/275E"/>
    <m/>
    <x v="73"/>
    <x v="72"/>
    <n v="4000"/>
    <n v="20"/>
    <s v="AC"/>
    <s v="BW"/>
    <n v="0"/>
    <n v="8"/>
    <n v="7"/>
    <n v="7"/>
    <n v="7"/>
    <n v="8"/>
    <n v="8"/>
    <n v="8"/>
    <n v="8"/>
    <n v="8"/>
    <n v="8"/>
    <m/>
    <m/>
    <m/>
    <n v="1107"/>
    <n v="0.5"/>
    <s v="300S"/>
    <n v="2.5"/>
    <x v="0"/>
    <n v="15909.09090909091"/>
    <m/>
    <n v="0"/>
    <x v="6"/>
  </r>
  <r>
    <s v="C15"/>
    <x v="115"/>
    <s v="200N/100W"/>
    <m/>
    <x v="25"/>
    <x v="28"/>
    <n v="1088"/>
    <n v="20"/>
    <s v="CS"/>
    <s v="C"/>
    <n v="0"/>
    <n v="7"/>
    <n v="7"/>
    <n v="7"/>
    <n v="7"/>
    <n v="7"/>
    <n v="7"/>
    <n v="7"/>
    <n v="7"/>
    <n v="7"/>
    <n v="7"/>
    <n v="2024"/>
    <n v="2022"/>
    <s v="Y"/>
    <n v="3700"/>
    <n v="1.5"/>
    <s v="200N"/>
    <n v="4.5"/>
    <x v="4"/>
    <n v="22666.666666666668"/>
    <n v="1"/>
    <n v="22666.666666666668"/>
    <x v="3"/>
  </r>
  <r>
    <s v="BC18"/>
    <x v="116"/>
    <s v="200N/200W"/>
    <m/>
    <x v="27"/>
    <x v="29"/>
    <n v="5324"/>
    <n v="20"/>
    <s v="CS"/>
    <s v="BC"/>
    <n v="0"/>
    <n v="7"/>
    <n v="7"/>
    <n v="7"/>
    <n v="6"/>
    <n v="8"/>
    <n v="7"/>
    <n v="7"/>
    <n v="7"/>
    <n v="7"/>
    <n v="7"/>
    <n v="2024"/>
    <n v="2022"/>
    <s v="Y"/>
    <n v="2563"/>
    <n v="1.5"/>
    <s v="200N"/>
    <n v="3.5"/>
    <x v="0"/>
    <n v="21175"/>
    <n v="1"/>
    <n v="21175"/>
    <x v="0"/>
  </r>
  <r>
    <s v="BC17"/>
    <x v="117"/>
    <s v="200N/300W"/>
    <m/>
    <x v="28"/>
    <x v="30"/>
    <n v="2680"/>
    <n v="20"/>
    <s v="AC"/>
    <s v="BC"/>
    <n v="0"/>
    <n v="8"/>
    <n v="7"/>
    <n v="7"/>
    <n v="7"/>
    <n v="7"/>
    <n v="7"/>
    <n v="7"/>
    <n v="7"/>
    <n v="7"/>
    <n v="7"/>
    <n v="2024"/>
    <n v="2022"/>
    <s v="Y"/>
    <n v="2864"/>
    <n v="1.5"/>
    <s v="200N"/>
    <n v="4.5"/>
    <x v="5"/>
    <n v="40606.060606060608"/>
    <n v="1"/>
    <n v="40606.060606060608"/>
    <x v="3"/>
  </r>
  <r>
    <s v="BC16"/>
    <x v="118"/>
    <s v="200N/350W"/>
    <m/>
    <x v="29"/>
    <x v="31"/>
    <n v="2664"/>
    <n v="20"/>
    <s v="CS"/>
    <s v="BC"/>
    <n v="0"/>
    <n v="7"/>
    <n v="7"/>
    <n v="7"/>
    <n v="7"/>
    <n v="7"/>
    <n v="7"/>
    <n v="7"/>
    <n v="7"/>
    <n v="7"/>
    <n v="7"/>
    <n v="2024"/>
    <n v="2022"/>
    <s v="Y"/>
    <n v="2901"/>
    <n v="1.5"/>
    <s v="200N"/>
    <n v="4.5"/>
    <x v="5"/>
    <n v="40363.63636363636"/>
    <n v="1"/>
    <n v="40363.63636363636"/>
    <x v="3"/>
  </r>
  <r>
    <s v="C17"/>
    <x v="119"/>
    <s v="200N/400E"/>
    <m/>
    <x v="74"/>
    <x v="73"/>
    <n v="4003"/>
    <n v="20"/>
    <s v="AC"/>
    <s v="C"/>
    <n v="0"/>
    <n v="10"/>
    <n v="10"/>
    <n v="10"/>
    <n v="9"/>
    <n v="9"/>
    <n v="8"/>
    <n v="7"/>
    <n v="7"/>
    <n v="7"/>
    <n v="7"/>
    <n v="2022"/>
    <n v="2022"/>
    <s v="Y"/>
    <n v="2802"/>
    <n v="1.5"/>
    <s v="200N"/>
    <n v="2.5"/>
    <x v="0"/>
    <n v="15921.022727272728"/>
    <m/>
    <n v="0"/>
    <x v="4"/>
  </r>
  <r>
    <s v="BC15"/>
    <x v="120"/>
    <s v="200N/400W"/>
    <m/>
    <x v="11"/>
    <x v="32"/>
    <n v="6729"/>
    <n v="20"/>
    <s v="CS"/>
    <s v="BC"/>
    <n v="0"/>
    <n v="7"/>
    <n v="7"/>
    <n v="7"/>
    <n v="6"/>
    <n v="7"/>
    <n v="7"/>
    <n v="7"/>
    <n v="7"/>
    <n v="7"/>
    <n v="7"/>
    <n v="2024"/>
    <n v="2022"/>
    <s v="Y"/>
    <n v="2884"/>
    <n v="1.5"/>
    <s v="200N"/>
    <n v="4.5"/>
    <x v="5"/>
    <n v="101954.54545454546"/>
    <n v="1"/>
    <n v="101954.54545454546"/>
    <x v="3"/>
  </r>
  <r>
    <s v="C18"/>
    <x v="121"/>
    <s v="200N/500E"/>
    <m/>
    <x v="32"/>
    <x v="73"/>
    <n v="5390"/>
    <n v="20"/>
    <s v="AC"/>
    <s v="C"/>
    <n v="0"/>
    <n v="9"/>
    <n v="8"/>
    <n v="8"/>
    <n v="7"/>
    <n v="7"/>
    <n v="7"/>
    <n v="7"/>
    <n v="7"/>
    <n v="7"/>
    <n v="7"/>
    <n v="2022"/>
    <n v="2022"/>
    <s v="Y"/>
    <n v="2786"/>
    <n v="1.5"/>
    <s v="200N"/>
    <n v="4.5"/>
    <x v="4"/>
    <n v="112291.66666666667"/>
    <m/>
    <n v="0"/>
    <x v="5"/>
  </r>
  <r>
    <s v="BC14"/>
    <x v="122"/>
    <s v="200N/525W"/>
    <m/>
    <x v="68"/>
    <x v="34"/>
    <n v="3545"/>
    <n v="20"/>
    <s v="AC"/>
    <s v="BC"/>
    <n v="0"/>
    <n v="6"/>
    <n v="6"/>
    <n v="6"/>
    <n v="9"/>
    <n v="8"/>
    <n v="7"/>
    <n v="7"/>
    <n v="7"/>
    <n v="7"/>
    <n v="7"/>
    <n v="2022"/>
    <n v="2022"/>
    <s v="Y"/>
    <n v="3064"/>
    <n v="1.5"/>
    <s v="200N"/>
    <n v="3.5"/>
    <x v="1"/>
    <n v="3625.568181818182"/>
    <m/>
    <n v="0"/>
    <x v="2"/>
  </r>
  <r>
    <s v="J10"/>
    <x v="123"/>
    <s v="200N/600E"/>
    <m/>
    <x v="14"/>
    <x v="14"/>
    <n v="5330"/>
    <n v="20"/>
    <s v="AC"/>
    <s v="J"/>
    <n v="0"/>
    <n v="10"/>
    <n v="9"/>
    <n v="9"/>
    <n v="9"/>
    <n v="8"/>
    <n v="8"/>
    <n v="8"/>
    <n v="7"/>
    <n v="7"/>
    <n v="7"/>
    <n v="2022"/>
    <n v="2022"/>
    <s v="Y"/>
    <n v="2564"/>
    <n v="1.5"/>
    <s v="200N"/>
    <n v="3.5"/>
    <x v="4"/>
    <n v="111041.66666666667"/>
    <m/>
    <n v="0"/>
    <x v="5"/>
  </r>
  <r>
    <s v="BC13"/>
    <x v="124"/>
    <s v="200N/600W"/>
    <m/>
    <x v="43"/>
    <x v="48"/>
    <n v="5616"/>
    <n v="20"/>
    <s v="AC"/>
    <s v="BC"/>
    <n v="0"/>
    <n v="7"/>
    <n v="7"/>
    <n v="6"/>
    <n v="6"/>
    <n v="6"/>
    <n v="6"/>
    <n v="5"/>
    <n v="8"/>
    <n v="7"/>
    <n v="7"/>
    <m/>
    <m/>
    <s v="Y"/>
    <n v="996"/>
    <n v="0.5"/>
    <s v="200N"/>
    <n v="4.5"/>
    <x v="0"/>
    <n v="22336.363636363636"/>
    <m/>
    <n v="0"/>
    <x v="4"/>
  </r>
  <r>
    <s v="J11"/>
    <x v="125"/>
    <s v="200N/700E"/>
    <m/>
    <x v="37"/>
    <x v="24"/>
    <n v="4365"/>
    <n v="20"/>
    <s v="AC"/>
    <s v="J"/>
    <n v="0"/>
    <n v="7"/>
    <n v="7"/>
    <n v="6"/>
    <n v="5"/>
    <n v="5"/>
    <n v="5"/>
    <n v="5"/>
    <n v="7"/>
    <n v="7"/>
    <n v="7"/>
    <m/>
    <m/>
    <m/>
    <n v="277"/>
    <n v="0"/>
    <s v="200N"/>
    <n v="5"/>
    <x v="0"/>
    <n v="17360.795454545456"/>
    <m/>
    <n v="0"/>
    <x v="4"/>
  </r>
  <r>
    <s v="C76"/>
    <x v="126"/>
    <s v="400E/200N"/>
    <m/>
    <x v="44"/>
    <x v="51"/>
    <n v="5330"/>
    <n v="20"/>
    <s v="AC"/>
    <s v="C"/>
    <n v="0"/>
    <n v="7"/>
    <n v="9"/>
    <n v="8"/>
    <n v="8"/>
    <n v="8"/>
    <n v="7"/>
    <n v="8"/>
    <n v="7"/>
    <n v="7"/>
    <n v="7"/>
    <m/>
    <m/>
    <m/>
    <n v="1000"/>
    <n v="0.5"/>
    <s v="400E"/>
    <n v="2.5"/>
    <x v="0"/>
    <n v="21198.863636363636"/>
    <m/>
    <n v="0"/>
    <x v="6"/>
  </r>
  <r>
    <s v="BC11"/>
    <x v="127"/>
    <s v="200N/BUCK CREEK RD"/>
    <m/>
    <x v="39"/>
    <x v="74"/>
    <n v="2624"/>
    <n v="20"/>
    <s v="AC"/>
    <s v="BC"/>
    <n v="0"/>
    <n v="7"/>
    <n v="6"/>
    <n v="5"/>
    <n v="4"/>
    <n v="4"/>
    <n v="9"/>
    <n v="6"/>
    <n v="6"/>
    <n v="6"/>
    <n v="6"/>
    <n v="2024"/>
    <n v="2019"/>
    <s v="Y"/>
    <n v="2245"/>
    <n v="1"/>
    <s v="200N"/>
    <n v="7"/>
    <x v="4"/>
    <n v="54666.666666666664"/>
    <n v="1"/>
    <n v="54666.666666666664"/>
    <x v="3"/>
  </r>
  <r>
    <s v="J12"/>
    <x v="128"/>
    <s v="200N/E. CO. LINE"/>
    <m/>
    <x v="67"/>
    <x v="69"/>
    <n v="2710"/>
    <n v="20"/>
    <s v="CS"/>
    <s v="J"/>
    <n v="0"/>
    <n v="5"/>
    <n v="5"/>
    <n v="5"/>
    <n v="4"/>
    <n v="4"/>
    <n v="8"/>
    <n v="8"/>
    <n v="8"/>
    <n v="7"/>
    <n v="7"/>
    <m/>
    <m/>
    <m/>
    <n v="50"/>
    <n v="0"/>
    <s v="200N"/>
    <n v="6"/>
    <x v="0"/>
    <n v="10778.40909090909"/>
    <m/>
    <n v="0"/>
    <x v="4"/>
  </r>
  <r>
    <s v="C15.5"/>
    <x v="129"/>
    <s v="200N/100W"/>
    <m/>
    <x v="49"/>
    <x v="37"/>
    <n v="1088"/>
    <n v="20"/>
    <s v="CS"/>
    <s v="C"/>
    <n v="0"/>
    <n v="7"/>
    <n v="7"/>
    <n v="7"/>
    <n v="7"/>
    <n v="7"/>
    <n v="7"/>
    <n v="7"/>
    <n v="7"/>
    <n v="7"/>
    <n v="7"/>
    <n v="2024"/>
    <n v="2022"/>
    <s v="Y"/>
    <n v="3693"/>
    <n v="1.5"/>
    <s v="200N"/>
    <n v="4.5"/>
    <x v="4"/>
    <n v="22666.666666666668"/>
    <n v="1"/>
    <n v="22666.666666666668"/>
    <x v="3"/>
  </r>
  <r>
    <s v="C04"/>
    <x v="130"/>
    <s v="200S/100E"/>
    <m/>
    <x v="49"/>
    <x v="75"/>
    <n v="5046"/>
    <n v="20"/>
    <s v="AC"/>
    <s v="C"/>
    <n v="0"/>
    <n v="7"/>
    <n v="7"/>
    <n v="7"/>
    <n v="7"/>
    <n v="7"/>
    <n v="6"/>
    <n v="6"/>
    <n v="7"/>
    <n v="7"/>
    <n v="7"/>
    <m/>
    <m/>
    <m/>
    <n v="488"/>
    <n v="0"/>
    <s v="200S"/>
    <n v="3"/>
    <x v="0"/>
    <n v="20069.31818181818"/>
    <m/>
    <n v="0"/>
    <x v="4"/>
  </r>
  <r>
    <s v="C01"/>
    <x v="131"/>
    <s v="200S/150W"/>
    <m/>
    <x v="27"/>
    <x v="27"/>
    <n v="3250"/>
    <n v="20"/>
    <s v="AC"/>
    <s v="C"/>
    <n v="0"/>
    <n v="7"/>
    <n v="7"/>
    <n v="8"/>
    <n v="7"/>
    <n v="7"/>
    <n v="6"/>
    <n v="6"/>
    <n v="7"/>
    <n v="7"/>
    <n v="7"/>
    <m/>
    <m/>
    <m/>
    <n v="497"/>
    <n v="0"/>
    <s v="200S"/>
    <n v="3"/>
    <x v="0"/>
    <n v="12926.136363636364"/>
    <m/>
    <n v="0"/>
    <x v="4"/>
  </r>
  <r>
    <s v="SC46"/>
    <x v="132"/>
    <s v="200S/200W"/>
    <m/>
    <x v="42"/>
    <x v="28"/>
    <n v="2640"/>
    <n v="20"/>
    <s v="AC"/>
    <s v="SC"/>
    <n v="0"/>
    <n v="4"/>
    <n v="4"/>
    <n v="4"/>
    <n v="4"/>
    <n v="4"/>
    <n v="9"/>
    <n v="7"/>
    <n v="7"/>
    <n v="7"/>
    <n v="7"/>
    <m/>
    <m/>
    <m/>
    <n v="292"/>
    <n v="0"/>
    <s v="200S"/>
    <n v="6"/>
    <x v="0"/>
    <n v="10500"/>
    <m/>
    <n v="0"/>
    <x v="4"/>
  </r>
  <r>
    <s v="SC45"/>
    <x v="133"/>
    <s v="200S/250W"/>
    <m/>
    <x v="42"/>
    <x v="29"/>
    <n v="2693"/>
    <n v="20"/>
    <s v="AC"/>
    <s v="SC"/>
    <n v="0"/>
    <n v="7"/>
    <n v="7"/>
    <n v="7"/>
    <n v="7"/>
    <n v="7"/>
    <n v="7"/>
    <n v="7"/>
    <n v="7"/>
    <n v="7"/>
    <n v="7"/>
    <m/>
    <m/>
    <m/>
    <n v="443"/>
    <n v="0"/>
    <s v="200S"/>
    <n v="3"/>
    <x v="0"/>
    <n v="10710.795454545454"/>
    <m/>
    <n v="0"/>
    <x v="4"/>
  </r>
  <r>
    <s v="SC44"/>
    <x v="134"/>
    <s v="200S/300W"/>
    <m/>
    <x v="75"/>
    <x v="29"/>
    <n v="1373"/>
    <n v="20"/>
    <s v="AC"/>
    <s v="SC"/>
    <n v="0"/>
    <n v="7"/>
    <n v="7"/>
    <n v="6"/>
    <n v="6"/>
    <n v="6"/>
    <n v="8"/>
    <n v="8"/>
    <n v="8"/>
    <n v="7"/>
    <n v="7"/>
    <m/>
    <m/>
    <m/>
    <n v="811"/>
    <n v="0.5"/>
    <s v="200S"/>
    <n v="4.5"/>
    <x v="0"/>
    <n v="5460.795454545455"/>
    <m/>
    <n v="0"/>
    <x v="4"/>
  </r>
  <r>
    <s v="C06"/>
    <x v="135"/>
    <s v="200S/400E"/>
    <m/>
    <x v="76"/>
    <x v="73"/>
    <n v="4000"/>
    <n v="20"/>
    <s v="AC"/>
    <s v="C"/>
    <n v="0"/>
    <n v="6"/>
    <n v="6"/>
    <n v="6"/>
    <n v="4"/>
    <n v="4"/>
    <n v="7"/>
    <n v="7"/>
    <n v="7"/>
    <n v="7"/>
    <n v="7"/>
    <m/>
    <m/>
    <m/>
    <n v="105"/>
    <n v="0"/>
    <s v="200S"/>
    <n v="6"/>
    <x v="0"/>
    <n v="15909.09090909091"/>
    <m/>
    <n v="0"/>
    <x v="3"/>
  </r>
  <r>
    <s v="SC42"/>
    <x v="136"/>
    <s v="200S/400W"/>
    <m/>
    <x v="11"/>
    <x v="76"/>
    <n v="1326"/>
    <n v="20"/>
    <s v="AC"/>
    <s v="SC"/>
    <n v="0"/>
    <n v="7"/>
    <n v="6"/>
    <n v="8"/>
    <n v="8"/>
    <n v="8"/>
    <n v="7"/>
    <n v="7"/>
    <n v="7"/>
    <n v="7"/>
    <n v="7"/>
    <n v="2024"/>
    <m/>
    <s v="N"/>
    <n v="746"/>
    <n v="0.5"/>
    <s v="200S"/>
    <n v="2.5"/>
    <x v="0"/>
    <n v="5273.863636363636"/>
    <m/>
    <n v="0"/>
    <x v="4"/>
  </r>
  <r>
    <s v="SC41"/>
    <x v="137"/>
    <s v="200S/425W"/>
    <m/>
    <x v="53"/>
    <x v="46"/>
    <n v="2874"/>
    <n v="20"/>
    <s v="AC"/>
    <s v="SC"/>
    <n v="0"/>
    <n v="5"/>
    <n v="5"/>
    <n v="8"/>
    <n v="8"/>
    <n v="8"/>
    <n v="8"/>
    <n v="8"/>
    <n v="7"/>
    <n v="7"/>
    <n v="7"/>
    <n v="2024"/>
    <m/>
    <s v="N"/>
    <n v="1652"/>
    <n v="1"/>
    <s v="200S"/>
    <n v="3"/>
    <x v="1"/>
    <n v="2939.318181818182"/>
    <m/>
    <n v="0"/>
    <x v="2"/>
  </r>
  <r>
    <s v="BR57"/>
    <x v="138"/>
    <s v="600E/300S"/>
    <m/>
    <x v="10"/>
    <x v="11"/>
    <n v="5365"/>
    <n v="20"/>
    <s v="AC"/>
    <s v="BR"/>
    <n v="0"/>
    <n v="7"/>
    <n v="6"/>
    <n v="6"/>
    <n v="5"/>
    <n v="5"/>
    <n v="7"/>
    <n v="7"/>
    <n v="7"/>
    <n v="7"/>
    <n v="7"/>
    <m/>
    <n v="2020"/>
    <s v="Y"/>
    <n v="921"/>
    <n v="0.5"/>
    <s v="600E"/>
    <n v="5.5"/>
    <x v="0"/>
    <n v="21338.06818181818"/>
    <m/>
    <n v="0"/>
    <x v="6"/>
  </r>
  <r>
    <s v="SC40"/>
    <x v="139"/>
    <s v="200S/500W"/>
    <m/>
    <x v="43"/>
    <x v="46"/>
    <n v="5125"/>
    <n v="20"/>
    <s v="AC"/>
    <s v="SC"/>
    <n v="0"/>
    <n v="7"/>
    <n v="6"/>
    <n v="6"/>
    <n v="5"/>
    <n v="5"/>
    <n v="8"/>
    <n v="7"/>
    <n v="7"/>
    <n v="7"/>
    <n v="7"/>
    <n v="2024"/>
    <m/>
    <s v="N"/>
    <n v="1578"/>
    <n v="1"/>
    <s v="200S"/>
    <n v="6"/>
    <x v="0"/>
    <n v="20383.522727272728"/>
    <m/>
    <n v="0"/>
    <x v="3"/>
  </r>
  <r>
    <s v="BR29"/>
    <x v="140"/>
    <s v="200S/600E"/>
    <m/>
    <x v="32"/>
    <x v="24"/>
    <n v="5310"/>
    <n v="20"/>
    <s v="CS"/>
    <s v="BR"/>
    <n v="0"/>
    <n v="5"/>
    <n v="5"/>
    <n v="5"/>
    <n v="5"/>
    <n v="4"/>
    <n v="8"/>
    <n v="8"/>
    <n v="8"/>
    <n v="7"/>
    <n v="7"/>
    <m/>
    <m/>
    <m/>
    <n v="132"/>
    <n v="0"/>
    <s v="200S"/>
    <n v="6"/>
    <x v="0"/>
    <n v="21119.31818181818"/>
    <m/>
    <n v="0"/>
    <x v="3"/>
  </r>
  <r>
    <s v="SC39"/>
    <x v="141"/>
    <s v="200S/600W"/>
    <m/>
    <x v="33"/>
    <x v="34"/>
    <n v="5340"/>
    <n v="20"/>
    <s v="AC"/>
    <s v="SC"/>
    <n v="0"/>
    <n v="7"/>
    <n v="7"/>
    <n v="8"/>
    <n v="8"/>
    <n v="7"/>
    <n v="7"/>
    <n v="7"/>
    <n v="7"/>
    <n v="7"/>
    <n v="7"/>
    <n v="2024"/>
    <m/>
    <s v="N"/>
    <n v="1768"/>
    <n v="1"/>
    <s v="200S"/>
    <n v="4"/>
    <x v="0"/>
    <n v="21238.636363636364"/>
    <m/>
    <n v="0"/>
    <x v="4"/>
  </r>
  <r>
    <s v="BR30"/>
    <x v="142"/>
    <s v="200S/675E"/>
    <m/>
    <x v="14"/>
    <x v="21"/>
    <n v="3660"/>
    <n v="20"/>
    <s v="CS"/>
    <s v="BR"/>
    <n v="0"/>
    <n v="6"/>
    <n v="8"/>
    <n v="8"/>
    <n v="9"/>
    <n v="8"/>
    <n v="7"/>
    <n v="7"/>
    <n v="7"/>
    <n v="7"/>
    <n v="7"/>
    <m/>
    <m/>
    <m/>
    <n v="50"/>
    <n v="0"/>
    <s v="200S"/>
    <n v="2"/>
    <x v="0"/>
    <n v="14556.818181818182"/>
    <m/>
    <n v="0"/>
    <x v="3"/>
  </r>
  <r>
    <s v="BR31"/>
    <x v="143"/>
    <s v="200S/700E"/>
    <m/>
    <x v="22"/>
    <x v="68"/>
    <n v="1320"/>
    <n v="20"/>
    <s v="CS"/>
    <s v="BR"/>
    <n v="0"/>
    <n v="7"/>
    <n v="6"/>
    <n v="6"/>
    <n v="9"/>
    <n v="8"/>
    <n v="8"/>
    <n v="7"/>
    <n v="7"/>
    <n v="7"/>
    <n v="7"/>
    <m/>
    <m/>
    <m/>
    <n v="50"/>
    <n v="0"/>
    <s v="200S"/>
    <n v="2"/>
    <x v="0"/>
    <n v="5250"/>
    <m/>
    <n v="0"/>
    <x v="2"/>
  </r>
  <r>
    <s v="BW02"/>
    <x v="144"/>
    <s v="600S/100W"/>
    <m/>
    <x v="26"/>
    <x v="37"/>
    <n v="2983"/>
    <n v="20"/>
    <s v="AC"/>
    <s v="BW"/>
    <n v="0"/>
    <n v="7"/>
    <n v="7"/>
    <n v="7"/>
    <n v="6"/>
    <n v="6"/>
    <n v="5"/>
    <n v="9"/>
    <n v="8"/>
    <n v="7"/>
    <n v="7"/>
    <m/>
    <n v="2020"/>
    <s v="Y"/>
    <n v="913"/>
    <n v="0.5"/>
    <s v="600S"/>
    <n v="4.5"/>
    <x v="0"/>
    <n v="11864.204545454546"/>
    <m/>
    <n v="0"/>
    <x v="6"/>
  </r>
  <r>
    <s v="BR32"/>
    <x v="145"/>
    <s v="200S/750E"/>
    <m/>
    <x v="37"/>
    <x v="50"/>
    <n v="2750"/>
    <n v="20"/>
    <s v="CS"/>
    <s v="BR"/>
    <n v="0"/>
    <n v="5"/>
    <n v="5"/>
    <n v="5"/>
    <n v="9"/>
    <n v="8"/>
    <n v="8"/>
    <n v="7"/>
    <n v="6"/>
    <n v="6"/>
    <n v="8"/>
    <m/>
    <m/>
    <m/>
    <n v="50"/>
    <n v="0"/>
    <s v="200S"/>
    <n v="2"/>
    <x v="0"/>
    <n v="10937.5"/>
    <m/>
    <n v="0"/>
    <x v="2"/>
  </r>
  <r>
    <s v="BR33"/>
    <x v="146"/>
    <s v="200S/800E"/>
    <m/>
    <x v="45"/>
    <x v="38"/>
    <n v="2740"/>
    <n v="20"/>
    <s v="CS"/>
    <s v="BR"/>
    <n v="0"/>
    <n v="4"/>
    <n v="5"/>
    <n v="10"/>
    <n v="9"/>
    <n v="8"/>
    <n v="8"/>
    <n v="8"/>
    <n v="8"/>
    <n v="7"/>
    <n v="7"/>
    <m/>
    <m/>
    <m/>
    <n v="50"/>
    <n v="0"/>
    <s v="200S"/>
    <n v="2"/>
    <x v="0"/>
    <n v="10897.727272727272"/>
    <m/>
    <n v="0"/>
    <x v="3"/>
  </r>
  <r>
    <s v="BR34"/>
    <x v="147"/>
    <s v="200S/900E"/>
    <m/>
    <x v="38"/>
    <x v="77"/>
    <n v="5470"/>
    <n v="20"/>
    <s v="CS"/>
    <s v="BR"/>
    <n v="0"/>
    <n v="4"/>
    <n v="7"/>
    <n v="10"/>
    <n v="9"/>
    <n v="8"/>
    <n v="8"/>
    <n v="8"/>
    <n v="8"/>
    <n v="7"/>
    <n v="7"/>
    <m/>
    <m/>
    <m/>
    <n v="50"/>
    <n v="0"/>
    <s v="200S"/>
    <n v="2"/>
    <x v="0"/>
    <n v="21755.68181818182"/>
    <m/>
    <n v="0"/>
    <x v="3"/>
  </r>
  <r>
    <s v="V66"/>
    <x v="148"/>
    <s v="500W/MCCORD RD"/>
    <m/>
    <x v="5"/>
    <x v="78"/>
    <n v="3801"/>
    <n v="20"/>
    <s v="AC"/>
    <s v="V"/>
    <n v="0"/>
    <n v="7"/>
    <n v="7"/>
    <n v="8"/>
    <n v="8"/>
    <n v="8"/>
    <n v="7"/>
    <n v="8"/>
    <n v="7"/>
    <n v="7"/>
    <n v="7"/>
    <m/>
    <m/>
    <m/>
    <n v="900"/>
    <n v="0.5"/>
    <s v="500W"/>
    <n v="2.5"/>
    <x v="0"/>
    <n v="15117.613636363636"/>
    <m/>
    <n v="0"/>
    <x v="6"/>
  </r>
  <r>
    <s v="C03"/>
    <x v="149"/>
    <s v="200S/MERIDIAN RD"/>
    <m/>
    <x v="26"/>
    <x v="42"/>
    <n v="7335"/>
    <n v="20"/>
    <s v="AC"/>
    <s v="C"/>
    <n v="0"/>
    <n v="7"/>
    <n v="6"/>
    <n v="7"/>
    <n v="7"/>
    <n v="7"/>
    <n v="6"/>
    <n v="6"/>
    <n v="7"/>
    <n v="7"/>
    <n v="7"/>
    <m/>
    <m/>
    <m/>
    <n v="463"/>
    <n v="0"/>
    <s v="200S"/>
    <n v="3"/>
    <x v="0"/>
    <n v="29173.295454545456"/>
    <m/>
    <n v="0"/>
    <x v="4"/>
  </r>
  <r>
    <s v="C05"/>
    <x v="150"/>
    <s v="200S/SR9"/>
    <m/>
    <x v="41"/>
    <x v="79"/>
    <n v="1335"/>
    <n v="20"/>
    <s v="AC"/>
    <s v="C"/>
    <n v="0"/>
    <n v="6"/>
    <n v="6"/>
    <n v="6"/>
    <n v="10"/>
    <n v="9"/>
    <n v="8"/>
    <n v="8"/>
    <n v="7"/>
    <n v="7"/>
    <n v="7"/>
    <m/>
    <m/>
    <m/>
    <n v="528"/>
    <n v="0.5"/>
    <s v="200S"/>
    <n v="1.5"/>
    <x v="2"/>
    <n v="8090.909090909091"/>
    <m/>
    <n v="0"/>
    <x v="5"/>
  </r>
  <r>
    <s v="BC95"/>
    <x v="151"/>
    <s v="200W/100N"/>
    <m/>
    <x v="44"/>
    <x v="80"/>
    <n v="5982"/>
    <n v="20"/>
    <s v="AC"/>
    <s v="BC"/>
    <n v="0"/>
    <n v="7"/>
    <n v="7"/>
    <n v="6"/>
    <n v="6"/>
    <n v="9"/>
    <n v="8"/>
    <n v="7"/>
    <n v="7"/>
    <n v="7"/>
    <n v="7"/>
    <n v="2024"/>
    <n v="2021"/>
    <s v="Y"/>
    <n v="3064"/>
    <n v="1.5"/>
    <s v="200W"/>
    <n v="2.5"/>
    <x v="1"/>
    <n v="6117.954545454545"/>
    <m/>
    <n v="0"/>
    <x v="2"/>
  </r>
  <r>
    <s v="SC108"/>
    <x v="152"/>
    <s v="200W/100S"/>
    <m/>
    <x v="62"/>
    <x v="63"/>
    <n v="5330"/>
    <n v="20"/>
    <s v="CS"/>
    <s v="SC"/>
    <n v="0"/>
    <n v="7"/>
    <n v="8"/>
    <n v="7"/>
    <n v="7"/>
    <n v="8"/>
    <n v="8"/>
    <n v="7"/>
    <n v="7"/>
    <n v="7"/>
    <n v="7"/>
    <n v="2023"/>
    <n v="2023"/>
    <s v="Y"/>
    <n v="2534"/>
    <n v="1.5"/>
    <s v="200W"/>
    <n v="3.5"/>
    <x v="5"/>
    <n v="80757.57575757576"/>
    <n v="1"/>
    <n v="80757.57575757576"/>
    <x v="0"/>
  </r>
  <r>
    <s v="BC94"/>
    <x v="153"/>
    <s v="200W/200N"/>
    <m/>
    <x v="35"/>
    <x v="70"/>
    <n v="5300"/>
    <n v="20"/>
    <s v="AC"/>
    <s v="BC"/>
    <n v="0"/>
    <n v="10"/>
    <n v="7"/>
    <n v="8"/>
    <n v="8"/>
    <n v="8"/>
    <n v="8"/>
    <n v="7"/>
    <n v="7"/>
    <n v="7"/>
    <n v="7"/>
    <n v="2024"/>
    <n v="2021"/>
    <s v="Y"/>
    <n v="1937"/>
    <n v="1"/>
    <s v="200W"/>
    <n v="3"/>
    <x v="0"/>
    <n v="21079.545454545456"/>
    <m/>
    <n v="0"/>
    <x v="4"/>
  </r>
  <r>
    <s v="SC109"/>
    <x v="154"/>
    <s v="200W/200S"/>
    <m/>
    <x v="63"/>
    <x v="64"/>
    <n v="5330"/>
    <n v="20"/>
    <s v="CS"/>
    <s v="SC"/>
    <n v="0"/>
    <n v="7"/>
    <n v="8"/>
    <n v="7"/>
    <n v="7"/>
    <n v="8"/>
    <n v="8"/>
    <n v="7"/>
    <n v="7"/>
    <n v="7"/>
    <n v="7"/>
    <n v="2023"/>
    <n v="2023"/>
    <s v="Y"/>
    <n v="2353"/>
    <n v="1"/>
    <s v="200W"/>
    <n v="3"/>
    <x v="5"/>
    <n v="80757.57575757576"/>
    <n v="1"/>
    <n v="80757.57575757576"/>
    <x v="0"/>
  </r>
  <r>
    <s v="BC93"/>
    <x v="155"/>
    <s v="200W/300N"/>
    <m/>
    <x v="50"/>
    <x v="51"/>
    <n v="5300"/>
    <n v="20"/>
    <s v="AC"/>
    <s v="BC"/>
    <n v="0"/>
    <n v="9"/>
    <n v="7"/>
    <n v="7"/>
    <n v="8"/>
    <n v="7"/>
    <n v="7"/>
    <n v="7"/>
    <n v="7"/>
    <n v="7"/>
    <n v="7"/>
    <n v="2024"/>
    <n v="2021"/>
    <s v="Y"/>
    <n v="3324"/>
    <n v="1.5"/>
    <s v="200W"/>
    <n v="4.5"/>
    <x v="0"/>
    <n v="21079.545454545456"/>
    <m/>
    <n v="0"/>
    <x v="4"/>
  </r>
  <r>
    <s v="SC110"/>
    <x v="156"/>
    <s v="200W/300S"/>
    <m/>
    <x v="10"/>
    <x v="11"/>
    <n v="5350"/>
    <n v="20"/>
    <s v="CS"/>
    <s v="SC"/>
    <n v="0"/>
    <n v="7"/>
    <n v="8"/>
    <n v="8"/>
    <n v="7"/>
    <n v="8"/>
    <n v="8"/>
    <n v="7"/>
    <n v="7"/>
    <n v="7"/>
    <n v="7"/>
    <n v="2023"/>
    <n v="2023"/>
    <s v="Y"/>
    <n v="2109"/>
    <n v="1"/>
    <s v="200W"/>
    <n v="3"/>
    <x v="5"/>
    <n v="81060.606060606064"/>
    <n v="1"/>
    <n v="81060.606060606064"/>
    <x v="0"/>
  </r>
  <r>
    <s v="BC92"/>
    <x v="157"/>
    <s v="200W/400N"/>
    <m/>
    <x v="3"/>
    <x v="36"/>
    <n v="5300"/>
    <n v="20"/>
    <s v="AC"/>
    <s v="BC"/>
    <n v="0"/>
    <n v="9"/>
    <n v="7"/>
    <n v="7"/>
    <n v="7"/>
    <n v="7"/>
    <n v="7"/>
    <n v="7"/>
    <n v="7"/>
    <n v="7"/>
    <n v="7"/>
    <n v="2024"/>
    <n v="2017"/>
    <s v="Y"/>
    <n v="2241"/>
    <n v="1"/>
    <s v="200W"/>
    <n v="4"/>
    <x v="0"/>
    <n v="21079.545454545456"/>
    <m/>
    <n v="0"/>
    <x v="4"/>
  </r>
  <r>
    <s v="SC111"/>
    <x v="158"/>
    <s v="200W/400S"/>
    <m/>
    <x v="10"/>
    <x v="81"/>
    <n v="4488"/>
    <n v="20"/>
    <s v="CS"/>
    <s v="SC"/>
    <n v="0"/>
    <n v="7"/>
    <n v="7"/>
    <n v="8"/>
    <n v="7"/>
    <n v="7"/>
    <n v="7"/>
    <n v="7"/>
    <n v="7"/>
    <n v="7"/>
    <n v="7"/>
    <n v="2023"/>
    <n v="2023"/>
    <s v="Y"/>
    <n v="1552"/>
    <n v="1"/>
    <s v="200W"/>
    <n v="4"/>
    <x v="5"/>
    <n v="68000"/>
    <n v="1"/>
    <n v="68000"/>
    <x v="0"/>
  </r>
  <r>
    <s v="BC91"/>
    <x v="159"/>
    <s v="200W/500N"/>
    <m/>
    <x v="1"/>
    <x v="2"/>
    <n v="5300"/>
    <n v="20"/>
    <s v="AC"/>
    <s v="BC"/>
    <n v="0"/>
    <n v="6"/>
    <n v="6"/>
    <n v="6"/>
    <n v="6"/>
    <n v="6"/>
    <n v="8"/>
    <n v="7"/>
    <n v="7"/>
    <n v="7"/>
    <n v="7"/>
    <n v="2024"/>
    <n v="2021"/>
    <s v="Y"/>
    <n v="1364"/>
    <n v="0.5"/>
    <s v="200W"/>
    <n v="4.5"/>
    <x v="4"/>
    <n v="110416.66666666667"/>
    <n v="1"/>
    <n v="110416.66666666667"/>
    <x v="3"/>
  </r>
  <r>
    <s v="BC90"/>
    <x v="160"/>
    <s v="200W/600N"/>
    <m/>
    <x v="77"/>
    <x v="3"/>
    <n v="5170"/>
    <n v="20"/>
    <s v="CS"/>
    <s v="BC"/>
    <n v="0"/>
    <n v="5"/>
    <n v="5"/>
    <n v="9"/>
    <n v="9"/>
    <n v="8"/>
    <n v="7"/>
    <n v="7"/>
    <n v="7"/>
    <n v="7"/>
    <n v="7"/>
    <n v="2024"/>
    <n v="2021"/>
    <s v="Y"/>
    <n v="1779"/>
    <n v="1"/>
    <s v="200W"/>
    <n v="3"/>
    <x v="0"/>
    <n v="20562.5"/>
    <m/>
    <n v="0"/>
    <x v="2"/>
  </r>
  <r>
    <s v="V80"/>
    <x v="161"/>
    <s v="200W/700N"/>
    <m/>
    <x v="77"/>
    <x v="82"/>
    <n v="5296"/>
    <n v="20"/>
    <s v="AC"/>
    <s v="V"/>
    <n v="0"/>
    <n v="7"/>
    <n v="7"/>
    <n v="7"/>
    <n v="6"/>
    <n v="8"/>
    <n v="8"/>
    <n v="7"/>
    <n v="7"/>
    <n v="7"/>
    <n v="7"/>
    <n v="2023"/>
    <n v="2023"/>
    <s v="Y"/>
    <n v="1758"/>
    <n v="1"/>
    <s v="200W"/>
    <n v="3"/>
    <x v="5"/>
    <n v="80242.42424242424"/>
    <n v="1"/>
    <n v="80242.42424242424"/>
    <x v="3"/>
  </r>
  <r>
    <s v="SC112"/>
    <x v="162"/>
    <s v="200W/FURRY RD"/>
    <m/>
    <x v="78"/>
    <x v="71"/>
    <n v="2587"/>
    <n v="20"/>
    <s v="CS"/>
    <s v="SC"/>
    <n v="0"/>
    <n v="7"/>
    <n v="7"/>
    <n v="7"/>
    <n v="6"/>
    <n v="7"/>
    <n v="7"/>
    <n v="7"/>
    <n v="7"/>
    <n v="7"/>
    <n v="7"/>
    <n v="2023"/>
    <n v="2023"/>
    <s v="Y"/>
    <n v="1552"/>
    <n v="1"/>
    <s v="200W"/>
    <n v="4"/>
    <x v="5"/>
    <n v="39196.969696969696"/>
    <n v="1"/>
    <n v="39196.969696969696"/>
    <x v="0"/>
  </r>
  <r>
    <s v="V81"/>
    <x v="163"/>
    <s v="200W/SR234"/>
    <m/>
    <x v="65"/>
    <x v="6"/>
    <n v="5386"/>
    <n v="20"/>
    <s v="AC"/>
    <s v="V"/>
    <n v="0"/>
    <n v="7"/>
    <n v="7"/>
    <n v="7"/>
    <n v="6"/>
    <n v="8"/>
    <n v="8"/>
    <n v="7"/>
    <n v="7"/>
    <n v="7"/>
    <n v="7"/>
    <n v="2023"/>
    <n v="2023"/>
    <s v="Y"/>
    <n v="2746"/>
    <n v="1.5"/>
    <s v="200W"/>
    <n v="3.5"/>
    <x v="5"/>
    <n v="81606.060606060608"/>
    <n v="1"/>
    <n v="81606.060606060608"/>
    <x v="3"/>
  </r>
  <r>
    <s v="SC107"/>
    <x v="164"/>
    <s v="200W/US40"/>
    <m/>
    <x v="71"/>
    <x v="83"/>
    <n v="3650"/>
    <n v="20"/>
    <s v="CS"/>
    <s v="SC"/>
    <n v="0"/>
    <n v="7"/>
    <n v="7"/>
    <n v="8"/>
    <n v="7"/>
    <n v="7"/>
    <n v="7"/>
    <n v="7"/>
    <n v="7"/>
    <n v="7"/>
    <n v="7"/>
    <n v="2023"/>
    <n v="2023"/>
    <s v="Y"/>
    <n v="2987"/>
    <n v="1.5"/>
    <s v="200W"/>
    <n v="4.5"/>
    <x v="5"/>
    <n v="55303.030303030304"/>
    <n v="1"/>
    <n v="55303.030303030304"/>
    <x v="0"/>
  </r>
  <r>
    <s v=""/>
    <x v="165"/>
    <s v="225N/END"/>
    <m/>
    <x v="43"/>
    <x v="25"/>
    <n v="850"/>
    <n v="20"/>
    <s v="AC"/>
    <s v="BC"/>
    <n v="0"/>
    <n v="9"/>
    <n v="8"/>
    <n v="8"/>
    <n v="8"/>
    <n v="8"/>
    <n v="8"/>
    <n v="8"/>
    <n v="8"/>
    <n v="7"/>
    <n v="7"/>
    <m/>
    <m/>
    <m/>
    <n v="50"/>
    <n v="0"/>
    <s v="225N"/>
    <n v="2"/>
    <x v="0"/>
    <n v="3380.681818181818"/>
    <m/>
    <n v="0"/>
    <x v="3"/>
  </r>
  <r>
    <s v="G46"/>
    <x v="166"/>
    <s v="250E/625N"/>
    <m/>
    <x v="77"/>
    <x v="84"/>
    <n v="1318"/>
    <n v="20"/>
    <s v="AC"/>
    <s v="G"/>
    <n v="0"/>
    <n v="6"/>
    <n v="5"/>
    <n v="5"/>
    <n v="9"/>
    <n v="9"/>
    <n v="9"/>
    <n v="8"/>
    <n v="7"/>
    <n v="7"/>
    <n v="7"/>
    <m/>
    <m/>
    <m/>
    <n v="202"/>
    <n v="0"/>
    <s v="250E"/>
    <n v="1"/>
    <x v="2"/>
    <n v="7987.878787878788"/>
    <m/>
    <n v="0"/>
    <x v="5"/>
  </r>
  <r>
    <s v="G47"/>
    <x v="167"/>
    <s v="250E/700N"/>
    <m/>
    <x v="79"/>
    <x v="82"/>
    <n v="4013"/>
    <n v="20"/>
    <s v="AC"/>
    <s v="G"/>
    <n v="0"/>
    <n v="5"/>
    <n v="5"/>
    <n v="5"/>
    <n v="9"/>
    <n v="9"/>
    <n v="9"/>
    <n v="8"/>
    <n v="7"/>
    <n v="7"/>
    <n v="7"/>
    <m/>
    <m/>
    <m/>
    <n v="202"/>
    <n v="0"/>
    <s v="250E"/>
    <n v="1"/>
    <x v="2"/>
    <n v="24321.21212121212"/>
    <m/>
    <n v="0"/>
    <x v="5"/>
  </r>
  <r>
    <s v="G49"/>
    <x v="168"/>
    <s v="250E/EDEN RD"/>
    <m/>
    <x v="7"/>
    <x v="85"/>
    <n v="1795"/>
    <n v="20"/>
    <s v="AC"/>
    <s v="G"/>
    <n v="0"/>
    <n v="6"/>
    <n v="6"/>
    <n v="6"/>
    <n v="9"/>
    <n v="9"/>
    <n v="8"/>
    <n v="7"/>
    <n v="7"/>
    <n v="7"/>
    <n v="7"/>
    <m/>
    <m/>
    <m/>
    <n v="97"/>
    <n v="0"/>
    <s v="250E"/>
    <n v="1"/>
    <x v="2"/>
    <n v="10878.787878787878"/>
    <m/>
    <n v="0"/>
    <x v="5"/>
  </r>
  <r>
    <s v="G48"/>
    <x v="169"/>
    <s v="250E/SR234"/>
    <m/>
    <x v="65"/>
    <x v="6"/>
    <n v="5438"/>
    <n v="20"/>
    <s v="AC"/>
    <s v="G"/>
    <n v="0"/>
    <n v="6"/>
    <n v="5"/>
    <n v="5"/>
    <n v="4"/>
    <n v="4"/>
    <n v="8"/>
    <n v="7"/>
    <n v="7"/>
    <n v="7"/>
    <n v="7"/>
    <m/>
    <m/>
    <m/>
    <n v="154"/>
    <n v="0"/>
    <s v="250E"/>
    <n v="6"/>
    <x v="2"/>
    <n v="32957.57575757576"/>
    <m/>
    <n v="0"/>
    <x v="3"/>
  </r>
  <r>
    <s v="J18"/>
    <x v="170"/>
    <s v="250N/1050E"/>
    <m/>
    <x v="80"/>
    <x v="86"/>
    <n v="5420"/>
    <n v="20"/>
    <s v="AC"/>
    <s v="J"/>
    <n v="0"/>
    <n v="9"/>
    <n v="10"/>
    <n v="9"/>
    <n v="8"/>
    <n v="8"/>
    <n v="8"/>
    <n v="7"/>
    <n v="7"/>
    <n v="7"/>
    <n v="7"/>
    <n v="2024"/>
    <n v="2021"/>
    <s v="Y"/>
    <n v="1354"/>
    <n v="0.5"/>
    <s v="250N"/>
    <n v="2.5"/>
    <x v="0"/>
    <n v="21556.81818181818"/>
    <m/>
    <n v="0"/>
    <x v="4"/>
  </r>
  <r>
    <s v="J13"/>
    <x v="171"/>
    <s v="250N/600E"/>
    <m/>
    <x v="32"/>
    <x v="24"/>
    <n v="5420"/>
    <n v="20"/>
    <s v="CS"/>
    <s v="J"/>
    <n v="0"/>
    <n v="5"/>
    <n v="5"/>
    <n v="4"/>
    <n v="4"/>
    <n v="4"/>
    <n v="8"/>
    <n v="7"/>
    <n v="7"/>
    <n v="7"/>
    <n v="7"/>
    <m/>
    <m/>
    <m/>
    <n v="50"/>
    <n v="0"/>
    <s v="250N"/>
    <n v="6"/>
    <x v="0"/>
    <n v="21556.81818181818"/>
    <m/>
    <n v="0"/>
    <x v="4"/>
  </r>
  <r>
    <s v="SC104"/>
    <x v="172"/>
    <s v="250W/US40"/>
    <m/>
    <x v="71"/>
    <x v="83"/>
    <n v="4000"/>
    <n v="20"/>
    <s v="CS"/>
    <s v="SC"/>
    <n v="0"/>
    <n v="6"/>
    <n v="6"/>
    <n v="5"/>
    <n v="9"/>
    <n v="8"/>
    <n v="7"/>
    <n v="7"/>
    <n v="7"/>
    <n v="7"/>
    <n v="7"/>
    <m/>
    <m/>
    <m/>
    <n v="843"/>
    <n v="0.5"/>
    <s v="250W"/>
    <n v="2.5"/>
    <x v="0"/>
    <n v="15909.09090909091"/>
    <m/>
    <n v="0"/>
    <x v="6"/>
  </r>
  <r>
    <s v="SC43"/>
    <x v="173"/>
    <s v="200S/JACOBI RD"/>
    <m/>
    <x v="11"/>
    <x v="44"/>
    <n v="4010"/>
    <n v="20"/>
    <s v="AC"/>
    <s v="SC"/>
    <n v="0"/>
    <n v="7"/>
    <n v="7"/>
    <n v="6"/>
    <n v="6"/>
    <n v="6"/>
    <n v="8"/>
    <n v="8"/>
    <n v="8"/>
    <n v="7"/>
    <n v="7"/>
    <m/>
    <m/>
    <m/>
    <n v="811"/>
    <n v="0.5"/>
    <s v="200S"/>
    <n v="4.5"/>
    <x v="0"/>
    <n v="15948.863636363636"/>
    <m/>
    <n v="0"/>
    <x v="6"/>
  </r>
  <r>
    <s v="BW44"/>
    <x v="174"/>
    <s v="MERIDIAN RD./300S"/>
    <m/>
    <x v="10"/>
    <x v="11"/>
    <n v="5360"/>
    <n v="20"/>
    <s v="AC"/>
    <s v="BW"/>
    <n v="0"/>
    <n v="7"/>
    <n v="8"/>
    <n v="8"/>
    <n v="8"/>
    <n v="7"/>
    <n v="6"/>
    <n v="8"/>
    <n v="7"/>
    <n v="7"/>
    <n v="7"/>
    <n v="2023"/>
    <n v="2023"/>
    <s v="Y"/>
    <n v="777"/>
    <n v="0.5"/>
    <s v="MERIDIAN RD."/>
    <n v="3.5"/>
    <x v="0"/>
    <n v="21318.18181818182"/>
    <m/>
    <n v="0"/>
    <x v="6"/>
  </r>
  <r>
    <s v="J17"/>
    <x v="175"/>
    <s v="250N/GRANDISON RD"/>
    <m/>
    <x v="40"/>
    <x v="41"/>
    <n v="5380"/>
    <n v="20"/>
    <s v="AC"/>
    <s v="J"/>
    <n v="0"/>
    <n v="6"/>
    <n v="8"/>
    <n v="9"/>
    <n v="10"/>
    <n v="9"/>
    <n v="8"/>
    <n v="8"/>
    <n v="7"/>
    <n v="7"/>
    <n v="7"/>
    <n v="2024"/>
    <n v="2017"/>
    <s v="Y"/>
    <n v="1354"/>
    <n v="0.5"/>
    <s v="250N"/>
    <n v="1.5"/>
    <x v="0"/>
    <n v="21397.727272727272"/>
    <m/>
    <n v="0"/>
    <x v="4"/>
  </r>
  <r>
    <s v="BR27"/>
    <x v="176"/>
    <s v="250S/700E"/>
    <m/>
    <x v="37"/>
    <x v="24"/>
    <n v="4790"/>
    <n v="20"/>
    <s v="P"/>
    <s v="BR"/>
    <n v="0"/>
    <n v="4"/>
    <n v="4"/>
    <n v="10"/>
    <n v="9"/>
    <n v="9"/>
    <n v="7"/>
    <n v="7"/>
    <n v="7"/>
    <n v="7"/>
    <n v="7"/>
    <m/>
    <m/>
    <m/>
    <n v="449"/>
    <n v="0"/>
    <s v="250S"/>
    <n v="1"/>
    <x v="2"/>
    <n v="29030.303030303032"/>
    <m/>
    <n v="0"/>
    <x v="5"/>
  </r>
  <r>
    <s v="SC105"/>
    <x v="177"/>
    <s v="250W/100S"/>
    <m/>
    <x v="62"/>
    <x v="63"/>
    <n v="5350"/>
    <n v="20"/>
    <s v="AC"/>
    <s v="SC"/>
    <n v="0"/>
    <n v="6"/>
    <n v="6"/>
    <n v="5"/>
    <n v="5"/>
    <n v="5"/>
    <n v="8"/>
    <n v="7"/>
    <n v="7"/>
    <n v="7"/>
    <n v="7"/>
    <n v="2024"/>
    <n v="2017"/>
    <s v="Y"/>
    <n v="220"/>
    <n v="0"/>
    <s v="250W"/>
    <n v="5"/>
    <x v="3"/>
    <n v="46609.848484848488"/>
    <m/>
    <n v="0"/>
    <x v="3"/>
  </r>
  <r>
    <m/>
    <x v="178"/>
    <s v="STINEMYER RD/700W"/>
    <m/>
    <x v="33"/>
    <x v="87"/>
    <n v="5325"/>
    <n v="20"/>
    <s v="AC"/>
    <m/>
    <n v="0"/>
    <n v="8"/>
    <n v="8"/>
    <n v="7"/>
    <n v="7"/>
    <n v="7"/>
    <n v="7"/>
    <n v="7"/>
    <n v="7"/>
    <n v="7"/>
    <n v="7"/>
    <n v="2024"/>
    <n v="2021"/>
    <s v="Y"/>
    <n v="678"/>
    <n v="0.5"/>
    <s v="STINEMEYER RD"/>
    <n v="3.5"/>
    <x v="0"/>
    <n v="21178.977272727272"/>
    <m/>
    <n v="0"/>
    <x v="6"/>
  </r>
  <r>
    <s v="V65"/>
    <x v="179"/>
    <s v="500W/900N"/>
    <m/>
    <x v="81"/>
    <x v="88"/>
    <n v="6178"/>
    <n v="20"/>
    <s v="AC"/>
    <s v="V"/>
    <n v="0"/>
    <n v="7"/>
    <n v="7"/>
    <n v="8"/>
    <n v="8"/>
    <n v="7"/>
    <n v="6"/>
    <n v="7"/>
    <n v="7"/>
    <n v="7"/>
    <n v="7"/>
    <m/>
    <m/>
    <m/>
    <n v="664"/>
    <n v="0.5"/>
    <s v="500W"/>
    <n v="3.5"/>
    <x v="0"/>
    <n v="24571.590909090908"/>
    <m/>
    <n v="0"/>
    <x v="6"/>
  </r>
  <r>
    <s v="J01"/>
    <x v="180"/>
    <s v="25N/1050E"/>
    <m/>
    <x v="67"/>
    <x v="41"/>
    <n v="1730"/>
    <n v="20"/>
    <s v="AC"/>
    <s v="J"/>
    <n v="0"/>
    <n v="6"/>
    <n v="5"/>
    <n v="5"/>
    <n v="8"/>
    <n v="7"/>
    <n v="6"/>
    <n v="5"/>
    <n v="8"/>
    <n v="7"/>
    <n v="7"/>
    <m/>
    <m/>
    <m/>
    <n v="50"/>
    <n v="0"/>
    <s v="25N"/>
    <n v="3"/>
    <x v="0"/>
    <n v="6880.681818181818"/>
    <m/>
    <n v="0"/>
    <x v="5"/>
  </r>
  <r>
    <s v="BR08"/>
    <x v="181"/>
    <s v="500S/500E_A"/>
    <m/>
    <x v="76"/>
    <x v="14"/>
    <n v="1890"/>
    <n v="20"/>
    <s v="CS"/>
    <s v="BR"/>
    <n v="0"/>
    <n v="8"/>
    <n v="8"/>
    <n v="7"/>
    <n v="8"/>
    <n v="8"/>
    <n v="8"/>
    <n v="7"/>
    <n v="7"/>
    <n v="7"/>
    <n v="7"/>
    <n v="2023"/>
    <n v="2023"/>
    <s v="Y"/>
    <n v="652"/>
    <n v="0.5"/>
    <s v="500S"/>
    <n v="2.5"/>
    <x v="0"/>
    <n v="7517.045454545455"/>
    <m/>
    <n v="0"/>
    <x v="6"/>
  </r>
  <r>
    <s v="BW15"/>
    <x v="182"/>
    <s v="400S/MERIDIAN RD"/>
    <m/>
    <x v="49"/>
    <x v="20"/>
    <n v="2675"/>
    <n v="20"/>
    <s v="CS"/>
    <s v="BW"/>
    <n v="0"/>
    <n v="8"/>
    <n v="8"/>
    <n v="7"/>
    <n v="7"/>
    <n v="7"/>
    <n v="7"/>
    <n v="7"/>
    <n v="7"/>
    <n v="7"/>
    <n v="7"/>
    <m/>
    <m/>
    <m/>
    <n v="643"/>
    <n v="0.5"/>
    <s v="400S"/>
    <n v="3.5"/>
    <x v="0"/>
    <n v="10639.204545454546"/>
    <m/>
    <n v="0"/>
    <x v="6"/>
  </r>
  <r>
    <s v="BW51"/>
    <x v="183"/>
    <s v="275E/300S"/>
    <m/>
    <x v="63"/>
    <x v="89"/>
    <n v="2620"/>
    <n v="20"/>
    <s v="P"/>
    <s v="BW"/>
    <n v="0"/>
    <n v="4"/>
    <n v="7"/>
    <n v="10"/>
    <n v="9"/>
    <n v="9"/>
    <n v="8"/>
    <n v="8"/>
    <n v="8"/>
    <n v="7"/>
    <n v="7"/>
    <m/>
    <m/>
    <m/>
    <n v="50"/>
    <n v="0"/>
    <s v="275E"/>
    <n v="1"/>
    <x v="0"/>
    <n v="10420.454545454546"/>
    <m/>
    <n v="0"/>
    <x v="5"/>
  </r>
  <r>
    <s v="BW52"/>
    <x v="184"/>
    <s v="275E/STEELE FORD"/>
    <m/>
    <x v="63"/>
    <x v="90"/>
    <n v="5630"/>
    <n v="20"/>
    <s v="CS"/>
    <s v="BW"/>
    <n v="0"/>
    <n v="3"/>
    <n v="7"/>
    <n v="8"/>
    <n v="8"/>
    <n v="7"/>
    <n v="7"/>
    <n v="7"/>
    <n v="7"/>
    <n v="7"/>
    <n v="8"/>
    <m/>
    <m/>
    <m/>
    <n v="50"/>
    <n v="0"/>
    <s v="275E"/>
    <n v="3"/>
    <x v="0"/>
    <n v="22392.045454545456"/>
    <m/>
    <n v="0"/>
    <x v="2"/>
  </r>
  <r>
    <s v="C69"/>
    <x v="185"/>
    <s v="300E/300N"/>
    <m/>
    <x v="50"/>
    <x v="53"/>
    <n v="2610"/>
    <n v="20"/>
    <s v="AC"/>
    <s v="C"/>
    <n v="0"/>
    <n v="6"/>
    <n v="6"/>
    <n v="6"/>
    <n v="6"/>
    <n v="6"/>
    <n v="5"/>
    <n v="5"/>
    <n v="5"/>
    <n v="7"/>
    <n v="7"/>
    <m/>
    <m/>
    <m/>
    <n v="50"/>
    <n v="0"/>
    <s v="300E"/>
    <n v="4"/>
    <x v="3"/>
    <n v="22738.636363636364"/>
    <m/>
    <n v="0"/>
    <x v="5"/>
  </r>
  <r>
    <s v="BW55"/>
    <x v="186"/>
    <s v="300E/350S"/>
    <m/>
    <x v="82"/>
    <x v="26"/>
    <n v="2620"/>
    <n v="20"/>
    <s v="P"/>
    <s v="BW"/>
    <n v="0"/>
    <n v="4"/>
    <n v="4"/>
    <n v="4"/>
    <n v="9"/>
    <n v="8"/>
    <n v="7"/>
    <n v="6"/>
    <n v="6"/>
    <n v="6"/>
    <n v="6"/>
    <m/>
    <m/>
    <m/>
    <n v="50"/>
    <n v="0"/>
    <s v="300E"/>
    <n v="2"/>
    <x v="2"/>
    <n v="15878.787878787878"/>
    <m/>
    <n v="0"/>
    <x v="5"/>
  </r>
  <r>
    <s v="BC27"/>
    <x v="187"/>
    <s v="350N/700W"/>
    <m/>
    <x v="33"/>
    <x v="74"/>
    <n v="5280"/>
    <n v="20"/>
    <s v="AC"/>
    <s v="BC"/>
    <n v="0"/>
    <n v="7"/>
    <n v="8"/>
    <n v="8"/>
    <n v="8"/>
    <n v="7"/>
    <n v="7"/>
    <n v="7"/>
    <n v="7"/>
    <n v="6"/>
    <n v="8"/>
    <n v="2024"/>
    <n v="2020"/>
    <s v="Y"/>
    <n v="614"/>
    <n v="0.5"/>
    <s v="350N"/>
    <n v="3.5"/>
    <x v="0"/>
    <n v="21000"/>
    <m/>
    <n v="0"/>
    <x v="6"/>
  </r>
  <r>
    <s v="BW54"/>
    <x v="188"/>
    <s v="300E/400S"/>
    <m/>
    <x v="10"/>
    <x v="91"/>
    <n v="5386"/>
    <n v="20"/>
    <s v="CS"/>
    <s v="BW"/>
    <n v="0"/>
    <n v="7"/>
    <n v="7"/>
    <n v="6"/>
    <n v="6"/>
    <n v="6"/>
    <n v="6"/>
    <n v="6"/>
    <n v="6"/>
    <n v="7"/>
    <n v="7"/>
    <m/>
    <m/>
    <m/>
    <n v="50"/>
    <n v="0"/>
    <s v="300E"/>
    <n v="4"/>
    <x v="3"/>
    <n v="46923.484848484848"/>
    <m/>
    <n v="0"/>
    <x v="5"/>
  </r>
  <r>
    <s v="C71"/>
    <x v="189"/>
    <s v="300E/500N"/>
    <m/>
    <x v="3"/>
    <x v="3"/>
    <n v="5620"/>
    <n v="20"/>
    <s v="CS"/>
    <s v="C"/>
    <n v="0"/>
    <n v="5"/>
    <n v="5"/>
    <n v="5"/>
    <n v="5"/>
    <n v="5"/>
    <n v="9"/>
    <n v="8"/>
    <n v="8"/>
    <n v="8"/>
    <n v="8"/>
    <m/>
    <m/>
    <m/>
    <n v="162"/>
    <n v="0"/>
    <s v="300E"/>
    <n v="5"/>
    <x v="0"/>
    <n v="22352.272727272728"/>
    <m/>
    <n v="0"/>
    <x v="3"/>
  </r>
  <r>
    <s v="BW53"/>
    <x v="190"/>
    <s v="300E/500S"/>
    <m/>
    <x v="24"/>
    <x v="54"/>
    <n v="5300"/>
    <n v="20"/>
    <s v="CS"/>
    <s v="BW"/>
    <n v="0"/>
    <n v="7"/>
    <n v="7"/>
    <n v="7"/>
    <n v="6"/>
    <n v="6"/>
    <n v="6"/>
    <n v="6"/>
    <n v="6"/>
    <n v="6"/>
    <n v="6"/>
    <m/>
    <m/>
    <m/>
    <n v="50"/>
    <n v="0"/>
    <s v="300E"/>
    <n v="4"/>
    <x v="2"/>
    <n v="32121.21212121212"/>
    <m/>
    <n v="0"/>
    <x v="2"/>
  </r>
  <r>
    <s v="SC12"/>
    <x v="191"/>
    <s v="STINEMYER RD/650W"/>
    <m/>
    <x v="83"/>
    <x v="92"/>
    <n v="1350"/>
    <n v="20"/>
    <s v="AC"/>
    <s v="SC"/>
    <n v="0"/>
    <n v="7"/>
    <n v="8"/>
    <n v="7"/>
    <n v="7"/>
    <n v="7"/>
    <n v="7"/>
    <n v="8"/>
    <n v="7"/>
    <n v="7"/>
    <n v="7"/>
    <n v="2024"/>
    <n v="2021"/>
    <s v="Y"/>
    <n v="587"/>
    <n v="0.5"/>
    <s v="STINEMEYER RD"/>
    <n v="3.5"/>
    <x v="0"/>
    <n v="5369.318181818182"/>
    <m/>
    <n v="0"/>
    <x v="6"/>
  </r>
  <r>
    <s v="G52"/>
    <x v="192"/>
    <s v="300E/625N"/>
    <m/>
    <x v="79"/>
    <x v="1"/>
    <n v="1320"/>
    <n v="20"/>
    <s v="CS"/>
    <s v="G"/>
    <n v="0"/>
    <n v="7"/>
    <n v="7"/>
    <n v="7"/>
    <n v="6"/>
    <n v="6"/>
    <n v="6"/>
    <n v="6"/>
    <n v="6"/>
    <n v="6"/>
    <n v="8"/>
    <m/>
    <m/>
    <m/>
    <n v="90"/>
    <n v="0"/>
    <s v="300E"/>
    <n v="4"/>
    <x v="3"/>
    <n v="11500"/>
    <m/>
    <n v="0"/>
    <x v="5"/>
  </r>
  <r>
    <s v="G53"/>
    <x v="193"/>
    <s v="300E/700N"/>
    <m/>
    <x v="65"/>
    <x v="84"/>
    <n v="3987"/>
    <n v="20"/>
    <s v="CS"/>
    <s v="G"/>
    <n v="0"/>
    <n v="7"/>
    <n v="7"/>
    <n v="7"/>
    <n v="7"/>
    <n v="6"/>
    <n v="6"/>
    <n v="6"/>
    <n v="6"/>
    <n v="6"/>
    <n v="8"/>
    <m/>
    <m/>
    <m/>
    <n v="90"/>
    <n v="0"/>
    <s v="300E"/>
    <n v="4"/>
    <x v="3"/>
    <n v="34735.227272727272"/>
    <m/>
    <n v="0"/>
    <x v="5"/>
  </r>
  <r>
    <s v="C68"/>
    <x v="194"/>
    <s v="300E/I70"/>
    <m/>
    <x v="35"/>
    <x v="53"/>
    <n v="2400"/>
    <n v="20"/>
    <s v="AC"/>
    <s v="C"/>
    <n v="0"/>
    <n v="2"/>
    <n v="5"/>
    <n v="8"/>
    <n v="8"/>
    <n v="8"/>
    <n v="7"/>
    <n v="7"/>
    <n v="6"/>
    <n v="6"/>
    <n v="7"/>
    <m/>
    <m/>
    <m/>
    <n v="50"/>
    <n v="0"/>
    <s v="300E"/>
    <n v="2"/>
    <x v="0"/>
    <n v="9545.454545454546"/>
    <m/>
    <n v="0"/>
    <x v="4"/>
  </r>
  <r>
    <s v="C20"/>
    <x v="195"/>
    <s v="300N/100W"/>
    <m/>
    <x v="25"/>
    <x v="13"/>
    <n v="1332"/>
    <n v="20"/>
    <s v="AC"/>
    <s v="C"/>
    <n v="0"/>
    <n v="8"/>
    <n v="8"/>
    <n v="8"/>
    <n v="8"/>
    <n v="8"/>
    <n v="8"/>
    <n v="8"/>
    <n v="7"/>
    <n v="7"/>
    <n v="7"/>
    <n v="2024"/>
    <m/>
    <s v="Y"/>
    <n v="1691"/>
    <n v="1"/>
    <s v="300N"/>
    <n v="3"/>
    <x v="0"/>
    <n v="5297.727272727273"/>
    <m/>
    <n v="0"/>
    <x v="4"/>
  </r>
  <r>
    <s v="C19"/>
    <x v="196"/>
    <s v="300N/125W"/>
    <m/>
    <x v="9"/>
    <x v="28"/>
    <n v="3978"/>
    <n v="20"/>
    <s v="AC"/>
    <s v="C"/>
    <n v="0"/>
    <n v="6"/>
    <n v="6"/>
    <n v="6"/>
    <n v="6"/>
    <n v="6"/>
    <n v="8"/>
    <n v="8"/>
    <n v="8"/>
    <n v="8"/>
    <n v="8"/>
    <n v="2024"/>
    <n v="2019"/>
    <s v="Y"/>
    <n v="2125"/>
    <n v="1"/>
    <s v="300N"/>
    <n v="5"/>
    <x v="4"/>
    <n v="82875"/>
    <n v="1"/>
    <n v="82875"/>
    <x v="0"/>
  </r>
  <r>
    <s v="BC25"/>
    <x v="197"/>
    <s v="300N/200W"/>
    <m/>
    <x v="27"/>
    <x v="29"/>
    <n v="5315"/>
    <n v="20"/>
    <s v="AC"/>
    <s v="BC"/>
    <n v="0"/>
    <n v="7"/>
    <n v="8"/>
    <n v="8"/>
    <n v="8"/>
    <n v="8"/>
    <n v="8"/>
    <n v="7"/>
    <n v="7"/>
    <n v="7"/>
    <n v="7"/>
    <n v="2024"/>
    <n v="2019"/>
    <s v="Y"/>
    <n v="2193"/>
    <n v="1"/>
    <s v="300N"/>
    <n v="3"/>
    <x v="4"/>
    <n v="110729.16666666667"/>
    <m/>
    <n v="0"/>
    <x v="3"/>
  </r>
  <r>
    <s v="C24"/>
    <x v="198"/>
    <s v="300N/300E"/>
    <m/>
    <x v="84"/>
    <x v="93"/>
    <n v="6335"/>
    <n v="20"/>
    <s v="AC"/>
    <s v="C"/>
    <n v="0"/>
    <n v="7"/>
    <n v="7"/>
    <n v="7"/>
    <n v="7"/>
    <n v="7"/>
    <n v="7"/>
    <n v="7"/>
    <n v="7"/>
    <n v="7"/>
    <n v="7"/>
    <n v="2022"/>
    <m/>
    <s v="Y"/>
    <n v="1884"/>
    <n v="1"/>
    <s v="300N"/>
    <n v="4"/>
    <x v="4"/>
    <n v="131979.16666666666"/>
    <m/>
    <n v="0"/>
    <x v="5"/>
  </r>
  <r>
    <s v="BC24"/>
    <x v="199"/>
    <s v="300N/300W"/>
    <m/>
    <x v="28"/>
    <x v="31"/>
    <n v="5361"/>
    <n v="20"/>
    <s v="AC"/>
    <s v="BC"/>
    <n v="0"/>
    <n v="7"/>
    <n v="8"/>
    <n v="8"/>
    <n v="8"/>
    <n v="8"/>
    <n v="8"/>
    <n v="7"/>
    <n v="7"/>
    <n v="7"/>
    <n v="7"/>
    <n v="2024"/>
    <m/>
    <s v="Y"/>
    <n v="2718"/>
    <n v="1.5"/>
    <s v="300N"/>
    <n v="3.5"/>
    <x v="4"/>
    <n v="111687.5"/>
    <m/>
    <n v="0"/>
    <x v="3"/>
  </r>
  <r>
    <s v="C25"/>
    <x v="200"/>
    <s v="300N/375E"/>
    <m/>
    <x v="85"/>
    <x v="94"/>
    <n v="4060"/>
    <n v="20"/>
    <s v="AC"/>
    <s v="C"/>
    <n v="0"/>
    <n v="6"/>
    <n v="6"/>
    <n v="6"/>
    <n v="6"/>
    <n v="6"/>
    <n v="7"/>
    <n v="7"/>
    <n v="7"/>
    <n v="7"/>
    <n v="7"/>
    <m/>
    <m/>
    <s v="Y"/>
    <n v="1601"/>
    <n v="1"/>
    <s v="300N"/>
    <n v="5"/>
    <x v="1"/>
    <n v="4152.272727272727"/>
    <m/>
    <n v="0"/>
    <x v="2"/>
  </r>
  <r>
    <s v="C26"/>
    <x v="201"/>
    <s v="300N/400E"/>
    <m/>
    <x v="86"/>
    <x v="73"/>
    <n v="1353"/>
    <n v="20"/>
    <s v="AC"/>
    <s v="C"/>
    <n v="0"/>
    <n v="6"/>
    <n v="6"/>
    <n v="6"/>
    <n v="6"/>
    <n v="6"/>
    <n v="7"/>
    <n v="7"/>
    <n v="7"/>
    <n v="7"/>
    <n v="7"/>
    <m/>
    <m/>
    <s v="Y"/>
    <n v="1601"/>
    <n v="1"/>
    <s v="300N"/>
    <n v="5"/>
    <x v="1"/>
    <n v="1383.75"/>
    <m/>
    <n v="0"/>
    <x v="2"/>
  </r>
  <r>
    <s v="BC23"/>
    <x v="202"/>
    <s v="300N/400W"/>
    <m/>
    <x v="11"/>
    <x v="46"/>
    <n v="5387"/>
    <n v="20"/>
    <s v="AC"/>
    <s v="BC"/>
    <n v="0"/>
    <n v="6"/>
    <n v="6"/>
    <n v="6"/>
    <n v="6"/>
    <n v="6"/>
    <n v="6"/>
    <n v="6"/>
    <n v="6"/>
    <n v="7"/>
    <n v="7"/>
    <m/>
    <m/>
    <s v="Y"/>
    <n v="3660"/>
    <n v="1.5"/>
    <s v="300N"/>
    <n v="5.5"/>
    <x v="3"/>
    <n v="46932.196969696968"/>
    <m/>
    <n v="0"/>
    <x v="4"/>
  </r>
  <r>
    <s v="SC11"/>
    <x v="203"/>
    <s v="STINEMYER RD/675W"/>
    <m/>
    <x v="87"/>
    <x v="48"/>
    <n v="1345"/>
    <n v="20"/>
    <s v="AC"/>
    <s v="SC"/>
    <n v="0"/>
    <n v="7"/>
    <n v="8"/>
    <n v="7"/>
    <n v="7"/>
    <n v="7"/>
    <n v="7"/>
    <n v="8"/>
    <n v="7"/>
    <n v="7"/>
    <n v="7"/>
    <n v="2024"/>
    <n v="2021"/>
    <s v="Y"/>
    <n v="587"/>
    <n v="0.5"/>
    <s v="STINEMEYER RD"/>
    <n v="3.5"/>
    <x v="0"/>
    <n v="5349.431818181818"/>
    <m/>
    <n v="0"/>
    <x v="6"/>
  </r>
  <r>
    <s v="V99"/>
    <x v="204"/>
    <s v="50W/1100N"/>
    <m/>
    <x v="88"/>
    <x v="62"/>
    <n v="2693"/>
    <n v="20"/>
    <s v="AC"/>
    <s v="V"/>
    <n v="0"/>
    <n v="5"/>
    <n v="6"/>
    <n v="7"/>
    <n v="7"/>
    <n v="7"/>
    <n v="7"/>
    <n v="7"/>
    <n v="7"/>
    <n v="7"/>
    <n v="7"/>
    <m/>
    <m/>
    <m/>
    <n v="535"/>
    <n v="0.5"/>
    <s v="50W"/>
    <n v="3.5"/>
    <x v="0"/>
    <n v="10710.795454545454"/>
    <m/>
    <n v="0"/>
    <x v="6"/>
  </r>
  <r>
    <s v="C22"/>
    <x v="205"/>
    <s v="300N/50E"/>
    <m/>
    <x v="89"/>
    <x v="95"/>
    <n v="500"/>
    <n v="20"/>
    <s v="AC"/>
    <s v="C"/>
    <n v="0"/>
    <n v="9"/>
    <n v="7"/>
    <n v="7"/>
    <n v="7"/>
    <n v="7"/>
    <n v="6"/>
    <n v="6"/>
    <n v="6"/>
    <n v="6"/>
    <n v="6"/>
    <m/>
    <n v="2021"/>
    <s v="Y"/>
    <n v="1375"/>
    <n v="0.5"/>
    <s v="300N"/>
    <n v="3.5"/>
    <x v="0"/>
    <n v="1988.6363636363637"/>
    <m/>
    <n v="0"/>
    <x v="4"/>
  </r>
  <r>
    <s v="BW46"/>
    <x v="206"/>
    <s v="100E/S.CO. LINE"/>
    <m/>
    <x v="47"/>
    <x v="91"/>
    <n v="5645"/>
    <n v="20"/>
    <s v="AC"/>
    <s v="BW"/>
    <n v="0"/>
    <n v="7"/>
    <n v="7"/>
    <n v="7"/>
    <n v="6"/>
    <n v="5"/>
    <n v="5"/>
    <n v="8"/>
    <n v="8"/>
    <n v="7"/>
    <n v="7"/>
    <m/>
    <m/>
    <m/>
    <n v="515"/>
    <n v="0.5"/>
    <s v="100E"/>
    <n v="5.5"/>
    <x v="0"/>
    <n v="22451.704545454544"/>
    <m/>
    <n v="0"/>
    <x v="6"/>
  </r>
  <r>
    <s v="J20"/>
    <x v="207"/>
    <s v="300N/600E"/>
    <m/>
    <x v="90"/>
    <x v="24"/>
    <n v="3938"/>
    <n v="20"/>
    <s v="AC"/>
    <s v="J"/>
    <n v="0"/>
    <n v="7"/>
    <n v="7"/>
    <n v="7"/>
    <n v="7"/>
    <n v="7"/>
    <n v="7"/>
    <n v="7"/>
    <n v="7"/>
    <n v="7"/>
    <n v="8"/>
    <n v="2022"/>
    <m/>
    <s v="Y"/>
    <n v="1367"/>
    <n v="0.5"/>
    <s v="300N"/>
    <n v="3.5"/>
    <x v="4"/>
    <n v="82041.666666666672"/>
    <m/>
    <n v="0"/>
    <x v="5"/>
  </r>
  <r>
    <s v="BC21"/>
    <x v="208"/>
    <s v="300N/600W"/>
    <m/>
    <x v="43"/>
    <x v="48"/>
    <n v="5360"/>
    <n v="20"/>
    <s v="CS"/>
    <s v="BC"/>
    <n v="0"/>
    <n v="7"/>
    <n v="7"/>
    <n v="7"/>
    <n v="7"/>
    <n v="7"/>
    <n v="7"/>
    <n v="7"/>
    <n v="6"/>
    <n v="6"/>
    <n v="6"/>
    <n v="2023"/>
    <n v="2023"/>
    <s v="Y"/>
    <n v="4504"/>
    <n v="1.5"/>
    <s v="300N"/>
    <n v="4.5"/>
    <x v="4"/>
    <n v="111666.66666666667"/>
    <n v="1"/>
    <n v="111666.66666666667"/>
    <x v="0"/>
  </r>
  <r>
    <s v="J21"/>
    <x v="209"/>
    <s v="300N/700E"/>
    <m/>
    <x v="14"/>
    <x v="68"/>
    <n v="4432"/>
    <n v="20"/>
    <s v="CS"/>
    <s v="J"/>
    <n v="0"/>
    <n v="8"/>
    <n v="9"/>
    <n v="7"/>
    <n v="7"/>
    <n v="7"/>
    <n v="7"/>
    <n v="7"/>
    <n v="7"/>
    <n v="7"/>
    <n v="7"/>
    <m/>
    <m/>
    <m/>
    <n v="114"/>
    <n v="0"/>
    <s v="300N"/>
    <n v="3"/>
    <x v="0"/>
    <n v="17627.272727272728"/>
    <n v="1"/>
    <n v="17627.272727272728"/>
    <x v="3"/>
  </r>
  <r>
    <s v="BC20"/>
    <x v="210"/>
    <s v="300N/700W"/>
    <m/>
    <x v="33"/>
    <x v="74"/>
    <n v="5320"/>
    <n v="20"/>
    <s v="AC"/>
    <s v="BC"/>
    <n v="0"/>
    <n v="8"/>
    <n v="8"/>
    <n v="8"/>
    <n v="8"/>
    <n v="8"/>
    <n v="7"/>
    <n v="7"/>
    <n v="7"/>
    <n v="7"/>
    <n v="7"/>
    <n v="2024"/>
    <m/>
    <s v="Y"/>
    <n v="2113"/>
    <n v="1"/>
    <s v="300N"/>
    <n v="3"/>
    <x v="0"/>
    <n v="21159.090909090908"/>
    <m/>
    <n v="0"/>
    <x v="4"/>
  </r>
  <r>
    <s v="J22"/>
    <x v="211"/>
    <s v="300N/800E"/>
    <m/>
    <x v="37"/>
    <x v="38"/>
    <n v="5420"/>
    <n v="20"/>
    <s v="CS"/>
    <s v="J"/>
    <n v="0"/>
    <n v="8"/>
    <n v="9"/>
    <n v="8"/>
    <n v="8"/>
    <n v="7"/>
    <n v="7"/>
    <n v="7"/>
    <n v="7"/>
    <n v="6"/>
    <n v="6"/>
    <m/>
    <m/>
    <m/>
    <n v="50"/>
    <n v="0"/>
    <s v="300N"/>
    <n v="3"/>
    <x v="0"/>
    <n v="21556.81818181818"/>
    <n v="1"/>
    <n v="21556.81818181818"/>
    <x v="3"/>
  </r>
  <r>
    <s v="J23"/>
    <x v="212"/>
    <s v="300N/850E"/>
    <m/>
    <x v="38"/>
    <x v="39"/>
    <n v="2640"/>
    <n v="20"/>
    <s v="CS"/>
    <s v="J"/>
    <n v="0"/>
    <n v="8"/>
    <n v="9"/>
    <n v="8"/>
    <n v="8"/>
    <n v="7"/>
    <n v="7"/>
    <n v="7"/>
    <n v="7"/>
    <n v="6"/>
    <n v="6"/>
    <m/>
    <m/>
    <m/>
    <n v="64"/>
    <n v="0"/>
    <s v="300N"/>
    <n v="3"/>
    <x v="2"/>
    <n v="16000"/>
    <n v="1"/>
    <n v="16000"/>
    <x v="0"/>
  </r>
  <r>
    <s v="C21"/>
    <x v="213"/>
    <s v="300N/FORTVILLE PK"/>
    <m/>
    <x v="91"/>
    <x v="37"/>
    <n v="4663"/>
    <n v="20"/>
    <s v="AC"/>
    <s v="C"/>
    <n v="0"/>
    <n v="8"/>
    <n v="7"/>
    <n v="7"/>
    <n v="7"/>
    <n v="7"/>
    <n v="6"/>
    <n v="6"/>
    <n v="6"/>
    <n v="6"/>
    <n v="6"/>
    <n v="2024"/>
    <n v="2016"/>
    <s v="Y"/>
    <n v="1793"/>
    <n v="1"/>
    <s v="300N"/>
    <n v="4"/>
    <x v="4"/>
    <n v="97145.833333333328"/>
    <n v="1"/>
    <n v="97145.833333333328"/>
    <x v="0"/>
  </r>
  <r>
    <s v="J24"/>
    <x v="214"/>
    <s v="300N/GRANDISON RD"/>
    <m/>
    <x v="80"/>
    <x v="39"/>
    <n v="5410"/>
    <n v="20"/>
    <s v="CS"/>
    <s v="J"/>
    <n v="0"/>
    <n v="7"/>
    <n v="9"/>
    <n v="7"/>
    <n v="7"/>
    <n v="7"/>
    <n v="6"/>
    <n v="6"/>
    <n v="6"/>
    <n v="6"/>
    <n v="6"/>
    <m/>
    <m/>
    <m/>
    <n v="50"/>
    <n v="0"/>
    <s v="300N"/>
    <n v="3"/>
    <x v="2"/>
    <n v="32787.878787878784"/>
    <n v="1"/>
    <n v="32787.878787878784"/>
    <x v="0"/>
  </r>
  <r>
    <s v="BR38"/>
    <x v="215"/>
    <s v="100S/675E"/>
    <m/>
    <x v="22"/>
    <x v="24"/>
    <n v="3410"/>
    <n v="20"/>
    <s v="AC"/>
    <s v="BR"/>
    <n v="0"/>
    <n v="7"/>
    <n v="7"/>
    <n v="7"/>
    <n v="6"/>
    <n v="5"/>
    <n v="5"/>
    <n v="9"/>
    <n v="8"/>
    <n v="7"/>
    <n v="7"/>
    <m/>
    <m/>
    <m/>
    <n v="487"/>
    <n v="0"/>
    <s v="100S"/>
    <n v="5"/>
    <x v="0"/>
    <n v="13562.5"/>
    <m/>
    <n v="0"/>
    <x v="6"/>
  </r>
  <r>
    <s v="BW26"/>
    <x v="216"/>
    <s v="300S/100E"/>
    <m/>
    <x v="49"/>
    <x v="75"/>
    <n v="5130"/>
    <n v="20"/>
    <s v="AC"/>
    <s v="BW"/>
    <n v="0"/>
    <n v="7"/>
    <n v="7"/>
    <n v="7"/>
    <n v="7"/>
    <n v="7"/>
    <n v="7"/>
    <n v="6"/>
    <n v="6"/>
    <n v="6"/>
    <n v="6"/>
    <n v="2024"/>
    <m/>
    <s v="N"/>
    <n v="1070"/>
    <n v="0.5"/>
    <s v="300S"/>
    <n v="3.5"/>
    <x v="4"/>
    <n v="106875"/>
    <n v="1"/>
    <n v="106875"/>
    <x v="3"/>
  </r>
  <r>
    <s v="BW23"/>
    <x v="217"/>
    <s v="300S/125W"/>
    <m/>
    <x v="26"/>
    <x v="13"/>
    <n v="1325"/>
    <n v="20"/>
    <s v="AC"/>
    <s v="BW"/>
    <n v="0"/>
    <n v="7"/>
    <n v="7"/>
    <n v="7"/>
    <n v="7"/>
    <n v="7"/>
    <n v="6"/>
    <n v="6"/>
    <n v="6"/>
    <n v="6"/>
    <n v="7"/>
    <n v="2024"/>
    <m/>
    <s v="N"/>
    <n v="877"/>
    <n v="0.5"/>
    <s v="300S"/>
    <n v="3.5"/>
    <x v="4"/>
    <n v="27604.166666666668"/>
    <n v="1"/>
    <n v="27604.166666666668"/>
    <x v="3"/>
  </r>
  <r>
    <s v="BW22"/>
    <x v="218"/>
    <s v="300S/150W"/>
    <m/>
    <x v="27"/>
    <x v="27"/>
    <n v="2685"/>
    <n v="20"/>
    <s v="AC"/>
    <s v="BW"/>
    <n v="0"/>
    <n v="7"/>
    <n v="7"/>
    <n v="7"/>
    <n v="7"/>
    <n v="7"/>
    <n v="7"/>
    <n v="6"/>
    <n v="6"/>
    <n v="7"/>
    <n v="7"/>
    <n v="2024"/>
    <m/>
    <s v="N"/>
    <n v="1205"/>
    <n v="0.5"/>
    <s v="300S"/>
    <n v="3.5"/>
    <x v="3"/>
    <n v="23392.045454545456"/>
    <m/>
    <n v="0"/>
    <x v="5"/>
  </r>
  <r>
    <s v="SC37"/>
    <x v="219"/>
    <s v="300S/200W"/>
    <m/>
    <x v="42"/>
    <x v="28"/>
    <n v="2645"/>
    <n v="20"/>
    <s v="AC"/>
    <s v="SC"/>
    <n v="0"/>
    <n v="8"/>
    <n v="7"/>
    <n v="7"/>
    <n v="7"/>
    <n v="7"/>
    <n v="7"/>
    <n v="7"/>
    <n v="7"/>
    <n v="6"/>
    <n v="7"/>
    <n v="2024"/>
    <m/>
    <s v="N"/>
    <n v="1320"/>
    <n v="0.5"/>
    <s v="300S"/>
    <n v="3.5"/>
    <x v="2"/>
    <n v="16030.30303030303"/>
    <m/>
    <n v="0"/>
    <x v="5"/>
  </r>
  <r>
    <s v="SC36"/>
    <x v="220"/>
    <s v="300S/250W"/>
    <m/>
    <x v="28"/>
    <x v="43"/>
    <n v="2645"/>
    <n v="20"/>
    <s v="AC"/>
    <s v="SC"/>
    <n v="0"/>
    <n v="8"/>
    <n v="7"/>
    <n v="7"/>
    <n v="7"/>
    <n v="7"/>
    <n v="7"/>
    <n v="7"/>
    <n v="7"/>
    <n v="7"/>
    <n v="7"/>
    <n v="2024"/>
    <m/>
    <s v="N"/>
    <n v="1389"/>
    <n v="0.5"/>
    <s v="300S"/>
    <n v="3.5"/>
    <x v="2"/>
    <n v="16030.30303030303"/>
    <m/>
    <n v="0"/>
    <x v="5"/>
  </r>
  <r>
    <s v="G36"/>
    <x v="221"/>
    <s v="1000N/400E"/>
    <m/>
    <x v="30"/>
    <x v="96"/>
    <n v="6697"/>
    <n v="20"/>
    <s v="AC"/>
    <s v="G"/>
    <n v="0"/>
    <n v="7"/>
    <n v="7"/>
    <n v="7"/>
    <n v="7"/>
    <n v="7"/>
    <n v="7"/>
    <n v="7"/>
    <n v="7"/>
    <n v="7"/>
    <n v="6"/>
    <n v="2023"/>
    <n v="2023"/>
    <s v="Y"/>
    <n v="464"/>
    <n v="0"/>
    <s v="1000N"/>
    <n v="3"/>
    <x v="0"/>
    <n v="26635.795454545456"/>
    <m/>
    <n v="0"/>
    <x v="6"/>
  </r>
  <r>
    <s v="SC35"/>
    <x v="222"/>
    <s v="300S/300W"/>
    <m/>
    <x v="75"/>
    <x v="29"/>
    <n v="2680"/>
    <n v="20"/>
    <s v="AC"/>
    <s v="SC"/>
    <n v="0"/>
    <n v="8"/>
    <n v="7"/>
    <n v="7"/>
    <n v="7"/>
    <n v="7"/>
    <n v="7"/>
    <n v="7"/>
    <n v="7"/>
    <n v="7"/>
    <n v="7"/>
    <n v="2024"/>
    <m/>
    <s v="N"/>
    <n v="1427"/>
    <n v="0.5"/>
    <s v="300S"/>
    <n v="3.5"/>
    <x v="2"/>
    <n v="16242.424242424242"/>
    <m/>
    <n v="0"/>
    <x v="5"/>
  </r>
  <r>
    <s v="BW30"/>
    <x v="223"/>
    <s v="300S/400E"/>
    <m/>
    <x v="76"/>
    <x v="73"/>
    <n v="1750"/>
    <n v="20"/>
    <s v="CS"/>
    <s v="BW"/>
    <n v="0"/>
    <n v="9"/>
    <n v="8"/>
    <n v="8"/>
    <n v="7"/>
    <n v="7"/>
    <n v="7"/>
    <n v="7"/>
    <n v="7"/>
    <n v="7"/>
    <n v="7"/>
    <m/>
    <m/>
    <m/>
    <n v="856"/>
    <n v="0.5"/>
    <s v="300S"/>
    <n v="3.5"/>
    <x v="0"/>
    <n v="6960.227272727273"/>
    <m/>
    <n v="0"/>
    <x v="4"/>
  </r>
  <r>
    <s v="BC76"/>
    <x v="224"/>
    <s v="400W/400N"/>
    <m/>
    <x v="3"/>
    <x v="36"/>
    <n v="5320"/>
    <n v="20"/>
    <s v="CS"/>
    <s v="BC"/>
    <n v="0"/>
    <n v="8"/>
    <n v="7"/>
    <n v="6"/>
    <n v="5"/>
    <n v="4"/>
    <n v="4"/>
    <n v="9"/>
    <n v="8"/>
    <n v="8"/>
    <n v="8"/>
    <m/>
    <m/>
    <m/>
    <n v="445"/>
    <n v="0"/>
    <s v="400W"/>
    <n v="6"/>
    <x v="0"/>
    <n v="21159.090909090908"/>
    <m/>
    <n v="0"/>
    <x v="6"/>
  </r>
  <r>
    <s v="BW06"/>
    <x v="225"/>
    <s v="500S/MERIDIAN RD"/>
    <m/>
    <x v="12"/>
    <x v="42"/>
    <n v="2675"/>
    <n v="20"/>
    <s v="AC"/>
    <s v="BW"/>
    <n v="0"/>
    <n v="7"/>
    <n v="6"/>
    <n v="5"/>
    <n v="5"/>
    <n v="5"/>
    <n v="5"/>
    <n v="8"/>
    <n v="8"/>
    <n v="7"/>
    <n v="7"/>
    <m/>
    <m/>
    <m/>
    <n v="407"/>
    <n v="0"/>
    <s v="500S"/>
    <n v="5"/>
    <x v="0"/>
    <n v="10639.204545454546"/>
    <m/>
    <n v="0"/>
    <x v="6"/>
  </r>
  <r>
    <s v="SC31"/>
    <x v="226"/>
    <s v="300S/450W"/>
    <m/>
    <x v="92"/>
    <x v="46"/>
    <n v="875"/>
    <n v="20"/>
    <s v="AC"/>
    <s v="SC"/>
    <n v="0"/>
    <n v="8"/>
    <n v="7"/>
    <n v="7"/>
    <n v="7"/>
    <n v="7"/>
    <n v="7"/>
    <n v="6"/>
    <n v="6"/>
    <n v="6"/>
    <n v="8"/>
    <n v="2024"/>
    <m/>
    <s v="N"/>
    <n v="2473"/>
    <n v="1"/>
    <s v="300S"/>
    <n v="4"/>
    <x v="5"/>
    <n v="13257.575757575758"/>
    <n v="1"/>
    <n v="13257.575757575758"/>
    <x v="3"/>
  </r>
  <r>
    <s v="BR21"/>
    <x v="227"/>
    <s v="300S/500E"/>
    <m/>
    <x v="30"/>
    <x v="14"/>
    <n v="5350"/>
    <n v="20"/>
    <s v="CS"/>
    <s v="BR"/>
    <n v="0"/>
    <n v="8"/>
    <n v="7"/>
    <n v="7"/>
    <n v="7"/>
    <n v="7"/>
    <n v="7"/>
    <n v="6"/>
    <n v="7"/>
    <n v="7"/>
    <n v="7"/>
    <m/>
    <m/>
    <m/>
    <n v="856"/>
    <n v="0.5"/>
    <s v="300S"/>
    <n v="3.5"/>
    <x v="0"/>
    <n v="21278.409090909092"/>
    <m/>
    <n v="0"/>
    <x v="4"/>
  </r>
  <r>
    <s v="SC30"/>
    <x v="228"/>
    <s v="300S/500W"/>
    <m/>
    <x v="43"/>
    <x v="46"/>
    <n v="5215"/>
    <n v="20"/>
    <s v="AC"/>
    <s v="SC"/>
    <n v="0"/>
    <n v="7"/>
    <n v="7"/>
    <n v="7"/>
    <n v="7"/>
    <n v="7"/>
    <n v="7"/>
    <n v="7"/>
    <n v="7"/>
    <n v="7"/>
    <n v="7"/>
    <n v="2024"/>
    <m/>
    <s v="N"/>
    <n v="2315"/>
    <n v="1"/>
    <s v="300S"/>
    <n v="4"/>
    <x v="5"/>
    <n v="79015.15151515152"/>
    <m/>
    <n v="0"/>
    <x v="5"/>
  </r>
  <r>
    <s v="BW24"/>
    <x v="229"/>
    <s v="300S/50W"/>
    <m/>
    <x v="9"/>
    <x v="20"/>
    <n v="4038"/>
    <n v="20"/>
    <s v="AC"/>
    <s v="BW"/>
    <n v="0"/>
    <n v="7"/>
    <n v="7"/>
    <n v="6"/>
    <n v="6"/>
    <n v="6"/>
    <n v="6"/>
    <n v="6"/>
    <n v="6"/>
    <n v="6"/>
    <n v="6"/>
    <n v="2024"/>
    <m/>
    <s v="N"/>
    <n v="1217"/>
    <n v="0.5"/>
    <s v="300S"/>
    <n v="4.5"/>
    <x v="4"/>
    <n v="84125"/>
    <m/>
    <n v="0"/>
    <x v="3"/>
  </r>
  <r>
    <s v="BR22"/>
    <x v="230"/>
    <s v="300S/600E"/>
    <m/>
    <x v="32"/>
    <x v="24"/>
    <n v="5320"/>
    <n v="20"/>
    <s v="CS"/>
    <s v="BR"/>
    <n v="0"/>
    <n v="6"/>
    <n v="8"/>
    <n v="8"/>
    <n v="8"/>
    <n v="8"/>
    <n v="8"/>
    <n v="8"/>
    <n v="7"/>
    <n v="7"/>
    <n v="7"/>
    <m/>
    <m/>
    <m/>
    <n v="833"/>
    <n v="0.5"/>
    <s v="300S"/>
    <n v="2.5"/>
    <x v="0"/>
    <n v="21159.090909090908"/>
    <m/>
    <n v="0"/>
    <x v="4"/>
  </r>
  <r>
    <s v="SC29"/>
    <x v="231"/>
    <s v="300S/600W"/>
    <m/>
    <x v="33"/>
    <x v="34"/>
    <n v="5300"/>
    <n v="20"/>
    <s v="AC"/>
    <s v="SC"/>
    <n v="0"/>
    <n v="6"/>
    <n v="8"/>
    <n v="8"/>
    <n v="8"/>
    <n v="8"/>
    <n v="7"/>
    <n v="7"/>
    <n v="7"/>
    <n v="7"/>
    <n v="7"/>
    <n v="2024"/>
    <n v="2018"/>
    <s v="Y"/>
    <n v="1958"/>
    <n v="1"/>
    <s v="300S"/>
    <n v="3"/>
    <x v="5"/>
    <n v="80303.030303030304"/>
    <m/>
    <n v="0"/>
    <x v="5"/>
  </r>
  <r>
    <s v="BR23"/>
    <x v="232"/>
    <s v="300S/700E"/>
    <m/>
    <x v="14"/>
    <x v="68"/>
    <n v="4768"/>
    <n v="20"/>
    <s v="CS"/>
    <s v="BR"/>
    <n v="0"/>
    <n v="6"/>
    <n v="6"/>
    <n v="6"/>
    <n v="6"/>
    <n v="7"/>
    <n v="7"/>
    <n v="7"/>
    <n v="7"/>
    <n v="7"/>
    <n v="7"/>
    <m/>
    <m/>
    <m/>
    <n v="698"/>
    <n v="0.5"/>
    <s v="300S"/>
    <n v="3.5"/>
    <x v="0"/>
    <n v="18963.636363636364"/>
    <n v="1"/>
    <n v="18963.636363636364"/>
    <x v="0"/>
  </r>
  <r>
    <s v="V77"/>
    <x v="233"/>
    <s v="300W/900N"/>
    <m/>
    <x v="7"/>
    <x v="88"/>
    <n v="5289"/>
    <n v="20"/>
    <s v="AC"/>
    <s v="V"/>
    <n v="0"/>
    <n v="6"/>
    <n v="6"/>
    <n v="6"/>
    <n v="6"/>
    <n v="6"/>
    <n v="6"/>
    <n v="8"/>
    <n v="7"/>
    <n v="7"/>
    <n v="7"/>
    <m/>
    <m/>
    <m/>
    <n v="370"/>
    <n v="0"/>
    <s v="300W"/>
    <n v="4"/>
    <x v="0"/>
    <n v="21035.795454545456"/>
    <m/>
    <n v="0"/>
    <x v="6"/>
  </r>
  <r>
    <s v="BR25"/>
    <x v="234"/>
    <s v="300S/800E"/>
    <m/>
    <x v="93"/>
    <x v="38"/>
    <n v="4440"/>
    <n v="20"/>
    <s v="AC"/>
    <s v="BR"/>
    <n v="0"/>
    <n v="7"/>
    <n v="6"/>
    <n v="9"/>
    <n v="9"/>
    <n v="8"/>
    <n v="7"/>
    <n v="7"/>
    <n v="7"/>
    <n v="7"/>
    <n v="7"/>
    <m/>
    <m/>
    <m/>
    <n v="383"/>
    <n v="0"/>
    <s v="300S"/>
    <n v="2"/>
    <x v="0"/>
    <n v="17659.090909090908"/>
    <m/>
    <n v="0"/>
    <x v="4"/>
  </r>
  <r>
    <s v="BR26"/>
    <x v="235"/>
    <s v="300S/900E"/>
    <m/>
    <x v="38"/>
    <x v="77"/>
    <n v="5435"/>
    <n v="20"/>
    <s v="AC"/>
    <s v="BR"/>
    <n v="0"/>
    <n v="5"/>
    <n v="5"/>
    <n v="9"/>
    <n v="9"/>
    <n v="8"/>
    <n v="8"/>
    <n v="7"/>
    <n v="7"/>
    <n v="7"/>
    <n v="7"/>
    <m/>
    <m/>
    <m/>
    <n v="398"/>
    <n v="0"/>
    <s v="300S"/>
    <n v="2"/>
    <x v="0"/>
    <n v="21616.477272727272"/>
    <m/>
    <n v="0"/>
    <x v="2"/>
  </r>
  <r>
    <s v="BR24"/>
    <x v="236"/>
    <s v="300S/BINFORD RD"/>
    <m/>
    <x v="37"/>
    <x v="97"/>
    <n v="1015"/>
    <n v="20"/>
    <s v="AC"/>
    <s v="BR"/>
    <n v="0"/>
    <n v="5"/>
    <n v="5"/>
    <n v="7"/>
    <n v="9"/>
    <n v="8"/>
    <n v="7"/>
    <n v="6"/>
    <n v="7"/>
    <n v="7"/>
    <n v="7"/>
    <m/>
    <m/>
    <m/>
    <n v="383"/>
    <n v="0"/>
    <s v="300S"/>
    <n v="2"/>
    <x v="0"/>
    <n v="4036.931818181818"/>
    <m/>
    <n v="0"/>
    <x v="2"/>
  </r>
  <r>
    <s v="SC34"/>
    <x v="237"/>
    <s v="300S/JACOBI RD"/>
    <m/>
    <x v="11"/>
    <x v="44"/>
    <n v="2675"/>
    <n v="20"/>
    <s v="AC"/>
    <s v="SC"/>
    <n v="0"/>
    <n v="8"/>
    <n v="7"/>
    <n v="7"/>
    <n v="6"/>
    <n v="6"/>
    <n v="6"/>
    <n v="6"/>
    <n v="6"/>
    <n v="6"/>
    <n v="6"/>
    <n v="2024"/>
    <m/>
    <s v="N"/>
    <n v="1427"/>
    <n v="0.5"/>
    <s v="300S"/>
    <n v="4.5"/>
    <x v="3"/>
    <n v="23304.924242424244"/>
    <m/>
    <n v="0"/>
    <x v="4"/>
  </r>
  <r>
    <s v="BW25"/>
    <x v="238"/>
    <s v="300S/MERIDIAN RD"/>
    <m/>
    <x v="12"/>
    <x v="42"/>
    <n v="2580"/>
    <n v="20"/>
    <s v="AC"/>
    <s v="BW"/>
    <n v="0"/>
    <n v="7"/>
    <n v="7"/>
    <n v="6"/>
    <n v="6"/>
    <n v="6"/>
    <n v="6"/>
    <n v="6"/>
    <n v="6"/>
    <n v="6"/>
    <n v="6"/>
    <n v="2024"/>
    <m/>
    <s v="N"/>
    <n v="1250"/>
    <n v="0.5"/>
    <s v="300S"/>
    <n v="4.5"/>
    <x v="4"/>
    <n v="53750"/>
    <n v="1"/>
    <n v="53750"/>
    <x v="3"/>
  </r>
  <r>
    <s v="BW29"/>
    <x v="239"/>
    <s v="300S/MORRISTOWN PK"/>
    <m/>
    <x v="94"/>
    <x v="66"/>
    <n v="4890"/>
    <n v="20"/>
    <s v="AC"/>
    <s v="BW"/>
    <n v="0"/>
    <n v="9"/>
    <n v="8"/>
    <n v="8"/>
    <n v="8"/>
    <n v="8"/>
    <n v="8"/>
    <n v="8"/>
    <n v="7"/>
    <n v="7"/>
    <n v="7"/>
    <m/>
    <m/>
    <m/>
    <n v="992"/>
    <n v="0.5"/>
    <s v="300S"/>
    <n v="2.5"/>
    <x v="0"/>
    <n v="19448.863636363636"/>
    <m/>
    <n v="0"/>
    <x v="4"/>
  </r>
  <r>
    <s v="BW05"/>
    <x v="240"/>
    <s v="500S/50W"/>
    <m/>
    <x v="25"/>
    <x v="20"/>
    <n v="2670"/>
    <n v="20"/>
    <s v="AC"/>
    <s v="BW"/>
    <n v="0"/>
    <n v="7"/>
    <n v="6"/>
    <n v="5"/>
    <n v="5"/>
    <n v="5"/>
    <n v="5"/>
    <n v="8"/>
    <n v="7"/>
    <n v="7"/>
    <n v="7"/>
    <m/>
    <m/>
    <m/>
    <n v="368"/>
    <n v="0"/>
    <s v="500S"/>
    <n v="5"/>
    <x v="0"/>
    <n v="10619.318181818182"/>
    <m/>
    <n v="0"/>
    <x v="6"/>
  </r>
  <r>
    <s v="BC89"/>
    <x v="241"/>
    <s v="300W/100N"/>
    <m/>
    <x v="59"/>
    <x v="70"/>
    <n v="6342"/>
    <n v="20"/>
    <s v="CS"/>
    <s v="BC"/>
    <n v="0"/>
    <n v="6"/>
    <n v="6"/>
    <n v="6"/>
    <n v="6"/>
    <n v="6"/>
    <n v="5"/>
    <n v="6"/>
    <n v="6"/>
    <n v="7"/>
    <n v="7"/>
    <n v="2023"/>
    <n v="2023"/>
    <s v="Y"/>
    <n v="560"/>
    <n v="0.5"/>
    <s v="300W"/>
    <n v="4.5"/>
    <x v="2"/>
    <n v="38436.36363636364"/>
    <n v="1"/>
    <n v="38436.36363636364"/>
    <x v="0"/>
  </r>
  <r>
    <s v="BC88"/>
    <x v="242"/>
    <s v="300W/200N"/>
    <m/>
    <x v="44"/>
    <x v="51"/>
    <n v="5300"/>
    <n v="20"/>
    <s v="AC"/>
    <s v="BC"/>
    <n v="0"/>
    <n v="6"/>
    <n v="6"/>
    <n v="10"/>
    <n v="9"/>
    <n v="8"/>
    <n v="7"/>
    <n v="7"/>
    <n v="7"/>
    <n v="7"/>
    <n v="7"/>
    <m/>
    <m/>
    <m/>
    <n v="535"/>
    <n v="0.5"/>
    <s v="300W"/>
    <n v="2.5"/>
    <x v="2"/>
    <n v="32121.21212121212"/>
    <m/>
    <n v="0"/>
    <x v="5"/>
  </r>
  <r>
    <s v="V73"/>
    <x v="243"/>
    <s v="400W/1000N"/>
    <m/>
    <x v="81"/>
    <x v="61"/>
    <n v="4340"/>
    <n v="20"/>
    <s v="CS"/>
    <s v="V"/>
    <n v="0"/>
    <n v="7"/>
    <n v="7"/>
    <n v="7"/>
    <n v="7"/>
    <n v="6"/>
    <n v="6"/>
    <n v="5"/>
    <n v="8"/>
    <n v="7"/>
    <n v="7"/>
    <n v="2023"/>
    <n v="2023"/>
    <s v="Y"/>
    <n v="366"/>
    <n v="0"/>
    <s v="400W"/>
    <n v="4"/>
    <x v="0"/>
    <n v="17261.363636363636"/>
    <m/>
    <n v="0"/>
    <x v="6"/>
  </r>
  <r>
    <s v="BC86"/>
    <x v="244"/>
    <s v="300W/300N"/>
    <m/>
    <x v="50"/>
    <x v="53"/>
    <n v="2624"/>
    <n v="20"/>
    <s v="CS"/>
    <s v="BC"/>
    <n v="0"/>
    <n v="8"/>
    <n v="5"/>
    <n v="5"/>
    <n v="5"/>
    <n v="5"/>
    <n v="4"/>
    <n v="3"/>
    <n v="8"/>
    <n v="7"/>
    <n v="7"/>
    <m/>
    <m/>
    <m/>
    <n v="50"/>
    <n v="0"/>
    <s v="300W"/>
    <n v="5"/>
    <x v="0"/>
    <n v="10436.363636363636"/>
    <m/>
    <n v="0"/>
    <x v="4"/>
  </r>
  <r>
    <s v="SC100"/>
    <x v="245"/>
    <s v="300W/300S"/>
    <m/>
    <x v="63"/>
    <x v="26"/>
    <n v="5335"/>
    <n v="20"/>
    <s v="CS"/>
    <s v="SC"/>
    <n v="0"/>
    <n v="6"/>
    <n v="8"/>
    <n v="8"/>
    <n v="7"/>
    <n v="8"/>
    <n v="8"/>
    <n v="7"/>
    <n v="7"/>
    <n v="7"/>
    <n v="7"/>
    <m/>
    <m/>
    <m/>
    <n v="521"/>
    <n v="0.5"/>
    <s v="300W"/>
    <n v="2.5"/>
    <x v="0"/>
    <n v="21218.75"/>
    <m/>
    <n v="0"/>
    <x v="3"/>
  </r>
  <r>
    <s v="BC85"/>
    <x v="246"/>
    <s v="300W/400N"/>
    <m/>
    <x v="3"/>
    <x v="36"/>
    <n v="5288"/>
    <n v="20"/>
    <s v="P"/>
    <s v="BC"/>
    <n v="0"/>
    <n v="4"/>
    <n v="4"/>
    <n v="7"/>
    <n v="9"/>
    <n v="8"/>
    <n v="8"/>
    <n v="8"/>
    <n v="8"/>
    <n v="7"/>
    <n v="7"/>
    <m/>
    <m/>
    <m/>
    <n v="218"/>
    <n v="0"/>
    <s v="300W"/>
    <n v="2"/>
    <x v="0"/>
    <n v="21031.81818181818"/>
    <m/>
    <n v="0"/>
    <x v="5"/>
  </r>
  <r>
    <m/>
    <x v="247"/>
    <s v="300W/400S"/>
    <m/>
    <x v="10"/>
    <x v="71"/>
    <n v="4000"/>
    <n v="20"/>
    <s v="AC"/>
    <s v="SC"/>
    <n v="0"/>
    <n v="6"/>
    <n v="6"/>
    <n v="6"/>
    <n v="6"/>
    <n v="6"/>
    <n v="6"/>
    <n v="6"/>
    <n v="6"/>
    <n v="6"/>
    <n v="7"/>
    <m/>
    <m/>
    <m/>
    <n v="500"/>
    <n v="0"/>
    <s v="300W"/>
    <n v="4"/>
    <x v="3"/>
    <n v="34848.484848484848"/>
    <m/>
    <m/>
    <x v="5"/>
  </r>
  <r>
    <s v="BC84"/>
    <x v="248"/>
    <s v="300W/500N"/>
    <m/>
    <x v="1"/>
    <x v="2"/>
    <n v="5326"/>
    <n v="20"/>
    <s v="CS"/>
    <s v="BC"/>
    <n v="0"/>
    <n v="8"/>
    <n v="7"/>
    <n v="7"/>
    <n v="7"/>
    <n v="7"/>
    <n v="6"/>
    <n v="6"/>
    <n v="6"/>
    <n v="6"/>
    <n v="8"/>
    <m/>
    <m/>
    <m/>
    <n v="187"/>
    <n v="0"/>
    <s v="300W"/>
    <n v="3"/>
    <x v="0"/>
    <n v="21182.954545454544"/>
    <m/>
    <n v="0"/>
    <x v="2"/>
  </r>
  <r>
    <s v="V95"/>
    <x v="249"/>
    <s v="50W/900N"/>
    <m/>
    <x v="95"/>
    <x v="88"/>
    <n v="2640"/>
    <n v="20"/>
    <s v="CS"/>
    <s v="V"/>
    <n v="0"/>
    <n v="7"/>
    <n v="7"/>
    <n v="6"/>
    <n v="6"/>
    <n v="5"/>
    <n v="5"/>
    <n v="7"/>
    <n v="8"/>
    <n v="7"/>
    <n v="7"/>
    <m/>
    <m/>
    <m/>
    <n v="366"/>
    <n v="0"/>
    <s v="50W"/>
    <n v="5"/>
    <x v="0"/>
    <n v="10500"/>
    <m/>
    <n v="0"/>
    <x v="6"/>
  </r>
  <r>
    <s v="V94"/>
    <x v="250"/>
    <s v="50W/850N"/>
    <m/>
    <x v="7"/>
    <x v="98"/>
    <n v="2642"/>
    <n v="20"/>
    <s v="CS"/>
    <s v="V"/>
    <n v="0"/>
    <n v="8"/>
    <n v="7"/>
    <n v="6"/>
    <n v="6"/>
    <n v="5"/>
    <n v="5"/>
    <n v="7"/>
    <n v="8"/>
    <n v="7"/>
    <n v="7"/>
    <m/>
    <m/>
    <m/>
    <n v="360"/>
    <n v="0"/>
    <s v="50W"/>
    <n v="5"/>
    <x v="0"/>
    <n v="10507.954545454546"/>
    <m/>
    <n v="0"/>
    <x v="6"/>
  </r>
  <r>
    <s v="J71"/>
    <x v="251"/>
    <s v="850E/250N"/>
    <m/>
    <x v="44"/>
    <x v="56"/>
    <n v="7950"/>
    <n v="20"/>
    <s v="CS"/>
    <s v="J"/>
    <n v="0"/>
    <n v="6"/>
    <n v="7"/>
    <n v="7"/>
    <n v="7"/>
    <n v="7"/>
    <n v="7"/>
    <n v="7"/>
    <n v="8"/>
    <n v="7"/>
    <n v="7"/>
    <m/>
    <m/>
    <m/>
    <n v="335"/>
    <n v="0"/>
    <s v="850E"/>
    <n v="3"/>
    <x v="0"/>
    <n v="31619.31818181818"/>
    <m/>
    <n v="0"/>
    <x v="6"/>
  </r>
  <r>
    <s v="V78"/>
    <x v="252"/>
    <s v="300W/925N"/>
    <m/>
    <x v="5"/>
    <x v="99"/>
    <n v="1373"/>
    <n v="20"/>
    <s v="AC"/>
    <s v="V"/>
    <n v="0"/>
    <n v="7"/>
    <n v="7"/>
    <n v="7"/>
    <n v="7"/>
    <n v="6"/>
    <n v="8"/>
    <n v="8"/>
    <n v="7"/>
    <n v="7"/>
    <n v="7"/>
    <m/>
    <m/>
    <m/>
    <n v="309"/>
    <n v="0"/>
    <s v="300W"/>
    <n v="4"/>
    <x v="0"/>
    <n v="5460.795454545455"/>
    <m/>
    <n v="0"/>
    <x v="3"/>
  </r>
  <r>
    <s v="SC103"/>
    <x v="253"/>
    <s v="300W/FAUT RD"/>
    <m/>
    <x v="96"/>
    <x v="54"/>
    <n v="3960"/>
    <n v="20"/>
    <s v="AC"/>
    <s v="SC"/>
    <n v="0"/>
    <n v="6"/>
    <n v="6"/>
    <n v="6"/>
    <n v="6"/>
    <n v="9"/>
    <n v="8"/>
    <n v="8"/>
    <n v="7"/>
    <n v="7"/>
    <n v="7"/>
    <m/>
    <m/>
    <m/>
    <n v="495"/>
    <n v="0"/>
    <s v="300W"/>
    <n v="1"/>
    <x v="1"/>
    <n v="4050"/>
    <m/>
    <n v="0"/>
    <x v="2"/>
  </r>
  <r>
    <s v="BC87"/>
    <x v="254"/>
    <s v="300W/I70"/>
    <m/>
    <x v="35"/>
    <x v="25"/>
    <n v="1740"/>
    <n v="20"/>
    <s v="CS"/>
    <s v="BC"/>
    <n v="0"/>
    <n v="4"/>
    <n v="4"/>
    <n v="10"/>
    <n v="9"/>
    <n v="8"/>
    <n v="9"/>
    <n v="8"/>
    <n v="8"/>
    <n v="8"/>
    <n v="8"/>
    <m/>
    <m/>
    <m/>
    <n v="50"/>
    <n v="0"/>
    <s v="300W"/>
    <n v="2"/>
    <x v="0"/>
    <n v="6920.454545454545"/>
    <m/>
    <n v="0"/>
    <x v="4"/>
  </r>
  <r>
    <s v="V76"/>
    <x v="255"/>
    <s v="300W/SR234"/>
    <m/>
    <x v="65"/>
    <x v="6"/>
    <n v="5438"/>
    <n v="20"/>
    <s v="P"/>
    <s v="V"/>
    <n v="0"/>
    <n v="6"/>
    <n v="6"/>
    <n v="6"/>
    <n v="6"/>
    <n v="6"/>
    <n v="8"/>
    <n v="7"/>
    <n v="7"/>
    <n v="7"/>
    <n v="7"/>
    <m/>
    <m/>
    <m/>
    <n v="184"/>
    <n v="0"/>
    <s v="300W"/>
    <n v="4"/>
    <x v="1"/>
    <n v="5561.590909090909"/>
    <m/>
    <n v="0"/>
    <x v="2"/>
  </r>
  <r>
    <s v="V79"/>
    <x v="256"/>
    <s v="300W/SR67"/>
    <m/>
    <x v="97"/>
    <x v="100"/>
    <n v="2706"/>
    <n v="20"/>
    <s v="AC"/>
    <s v="V"/>
    <n v="0"/>
    <n v="7"/>
    <n v="6"/>
    <n v="6"/>
    <n v="5"/>
    <n v="5"/>
    <n v="8"/>
    <n v="8"/>
    <n v="7"/>
    <n v="7"/>
    <n v="7"/>
    <m/>
    <m/>
    <m/>
    <n v="309"/>
    <n v="0"/>
    <s v="300W"/>
    <n v="5"/>
    <x v="0"/>
    <n v="10762.5"/>
    <m/>
    <n v="0"/>
    <x v="3"/>
  </r>
  <r>
    <s v="V97"/>
    <x v="257"/>
    <s v="50W/1000N"/>
    <m/>
    <x v="66"/>
    <x v="61"/>
    <n v="2798"/>
    <n v="20"/>
    <s v="CS"/>
    <s v="V"/>
    <n v="0"/>
    <n v="6"/>
    <n v="6"/>
    <n v="6"/>
    <n v="6"/>
    <n v="6"/>
    <n v="7"/>
    <n v="7"/>
    <n v="7"/>
    <n v="7"/>
    <n v="7"/>
    <m/>
    <m/>
    <m/>
    <n v="292"/>
    <n v="0"/>
    <s v="50W"/>
    <n v="4"/>
    <x v="0"/>
    <n v="11128.40909090909"/>
    <m/>
    <n v="0"/>
    <x v="6"/>
  </r>
  <r>
    <s v="SC102"/>
    <x v="258"/>
    <s v="300W/US52"/>
    <m/>
    <x v="52"/>
    <x v="101"/>
    <n v="1478"/>
    <n v="20"/>
    <s v="CS"/>
    <s v="SC"/>
    <n v="0"/>
    <n v="6"/>
    <n v="6"/>
    <n v="6"/>
    <n v="6"/>
    <n v="9"/>
    <n v="8"/>
    <n v="8"/>
    <n v="8"/>
    <n v="8"/>
    <n v="7"/>
    <m/>
    <m/>
    <m/>
    <n v="495"/>
    <n v="0"/>
    <s v="300W"/>
    <n v="1"/>
    <x v="0"/>
    <n v="5878.409090909091"/>
    <m/>
    <n v="0"/>
    <x v="3"/>
  </r>
  <r>
    <s v="J25"/>
    <x v="259"/>
    <s v="325N/E. CO. LINE"/>
    <m/>
    <x v="67"/>
    <x v="69"/>
    <n v="2720"/>
    <n v="20"/>
    <s v="AC"/>
    <s v="J"/>
    <n v="0"/>
    <n v="4"/>
    <n v="7"/>
    <n v="6"/>
    <n v="6"/>
    <n v="6"/>
    <n v="4"/>
    <n v="10"/>
    <n v="9"/>
    <n v="8"/>
    <n v="8"/>
    <m/>
    <m/>
    <m/>
    <n v="50"/>
    <n v="0"/>
    <s v="325N"/>
    <n v="4"/>
    <x v="0"/>
    <n v="10818.181818181818"/>
    <m/>
    <n v="0"/>
    <x v="4"/>
  </r>
  <r>
    <s v="J27"/>
    <x v="260"/>
    <s v="350N/1000E"/>
    <m/>
    <x v="80"/>
    <x v="102"/>
    <n v="2904"/>
    <n v="20"/>
    <s v="AC"/>
    <s v="J"/>
    <n v="0"/>
    <n v="5"/>
    <n v="5"/>
    <n v="5"/>
    <n v="5"/>
    <n v="5"/>
    <n v="9"/>
    <n v="8"/>
    <n v="8"/>
    <n v="7"/>
    <n v="7"/>
    <m/>
    <m/>
    <m/>
    <n v="124"/>
    <n v="0"/>
    <s v="350N"/>
    <n v="5"/>
    <x v="0"/>
    <n v="11550"/>
    <n v="1"/>
    <n v="11550"/>
    <x v="3"/>
  </r>
  <r>
    <s v="J28"/>
    <x v="261"/>
    <s v="350N/1050E"/>
    <m/>
    <x v="67"/>
    <x v="102"/>
    <n v="2690"/>
    <n v="20"/>
    <s v="CS"/>
    <s v="J"/>
    <n v="0"/>
    <n v="6"/>
    <n v="6"/>
    <n v="6"/>
    <n v="6"/>
    <n v="6"/>
    <n v="9"/>
    <n v="8"/>
    <n v="8"/>
    <n v="7"/>
    <n v="7"/>
    <m/>
    <m/>
    <m/>
    <n v="124"/>
    <n v="0"/>
    <s v="350N"/>
    <n v="4"/>
    <x v="0"/>
    <n v="10698.863636363636"/>
    <n v="1"/>
    <n v="10698.863636363636"/>
    <x v="3"/>
  </r>
  <r>
    <s v="BC28"/>
    <x v="262"/>
    <s v="350N/600W"/>
    <m/>
    <x v="33"/>
    <x v="34"/>
    <n v="5410"/>
    <n v="20"/>
    <s v="AC"/>
    <s v="BC"/>
    <n v="0"/>
    <n v="7"/>
    <n v="7"/>
    <n v="7"/>
    <n v="7"/>
    <n v="6"/>
    <n v="6"/>
    <n v="7"/>
    <n v="7"/>
    <n v="6"/>
    <n v="7"/>
    <n v="2024"/>
    <n v="2019"/>
    <s v="Y"/>
    <n v="785"/>
    <n v="0.5"/>
    <s v="350N"/>
    <n v="4.5"/>
    <x v="0"/>
    <n v="21517.045454545456"/>
    <m/>
    <n v="0"/>
    <x v="3"/>
  </r>
  <r>
    <s v="V96"/>
    <x v="263"/>
    <s v="50W/950N"/>
    <m/>
    <x v="5"/>
    <x v="103"/>
    <n v="2648"/>
    <n v="20"/>
    <s v="CS"/>
    <s v="V"/>
    <n v="0"/>
    <n v="7"/>
    <n v="7"/>
    <n v="6"/>
    <n v="6"/>
    <n v="5"/>
    <n v="5"/>
    <n v="7"/>
    <n v="8"/>
    <n v="7"/>
    <n v="7"/>
    <m/>
    <m/>
    <m/>
    <n v="292"/>
    <n v="0"/>
    <s v="50W"/>
    <n v="5"/>
    <x v="0"/>
    <n v="10531.818181818182"/>
    <m/>
    <n v="0"/>
    <x v="6"/>
  </r>
  <r>
    <s v="J26"/>
    <x v="264"/>
    <s v="350N/GRANDISON RD"/>
    <m/>
    <x v="40"/>
    <x v="41"/>
    <n v="5491"/>
    <n v="20"/>
    <s v="CS"/>
    <s v="J"/>
    <n v="0"/>
    <n v="5"/>
    <n v="5"/>
    <n v="5"/>
    <n v="5"/>
    <n v="5"/>
    <n v="9"/>
    <n v="8"/>
    <n v="7"/>
    <n v="7"/>
    <n v="7"/>
    <m/>
    <m/>
    <m/>
    <n v="124"/>
    <n v="0"/>
    <s v="350N"/>
    <n v="5"/>
    <x v="0"/>
    <n v="21839.204545454544"/>
    <n v="1"/>
    <n v="21839.204545454544"/>
    <x v="3"/>
  </r>
  <r>
    <s v="BW21"/>
    <x v="265"/>
    <s v="350S/300E"/>
    <m/>
    <x v="94"/>
    <x v="104"/>
    <n v="1380"/>
    <n v="20"/>
    <s v="P"/>
    <s v="BW"/>
    <n v="0"/>
    <n v="5"/>
    <n v="5"/>
    <n v="10"/>
    <n v="9"/>
    <n v="8"/>
    <n v="8"/>
    <n v="7"/>
    <n v="7"/>
    <n v="7"/>
    <n v="7"/>
    <m/>
    <m/>
    <m/>
    <n v="50"/>
    <n v="0"/>
    <s v="350S"/>
    <n v="2"/>
    <x v="2"/>
    <n v="8363.636363636364"/>
    <m/>
    <n v="0"/>
    <x v="5"/>
  </r>
  <r>
    <s v="BC82"/>
    <x v="266"/>
    <s v="350W/100N"/>
    <m/>
    <x v="44"/>
    <x v="105"/>
    <n v="7010"/>
    <n v="20"/>
    <s v="AC"/>
    <s v="BC"/>
    <n v="0"/>
    <n v="7"/>
    <n v="7"/>
    <n v="7"/>
    <n v="5"/>
    <n v="4"/>
    <n v="9"/>
    <n v="8"/>
    <n v="8"/>
    <n v="8"/>
    <n v="8"/>
    <m/>
    <m/>
    <m/>
    <n v="559"/>
    <n v="0.5"/>
    <s v="350W"/>
    <n v="6.5"/>
    <x v="0"/>
    <n v="27880.68181818182"/>
    <m/>
    <n v="0"/>
    <x v="3"/>
  </r>
  <r>
    <s v="BC83"/>
    <x v="267"/>
    <s v="300W/600N"/>
    <m/>
    <x v="77"/>
    <x v="3"/>
    <n v="5070"/>
    <n v="20"/>
    <s v="AC"/>
    <s v="BC"/>
    <n v="0"/>
    <n v="6"/>
    <n v="6"/>
    <n v="6"/>
    <n v="6"/>
    <n v="5"/>
    <n v="5"/>
    <n v="8"/>
    <n v="7"/>
    <n v="7"/>
    <n v="8"/>
    <m/>
    <m/>
    <m/>
    <n v="289"/>
    <n v="0"/>
    <s v="300W"/>
    <n v="5"/>
    <x v="0"/>
    <n v="20164.772727272728"/>
    <m/>
    <n v="0"/>
    <x v="6"/>
  </r>
  <r>
    <s v="V74"/>
    <x v="268"/>
    <s v="350W/700N"/>
    <m/>
    <x v="77"/>
    <x v="82"/>
    <n v="5315"/>
    <n v="20"/>
    <s v="DS"/>
    <s v="V"/>
    <n v="0"/>
    <n v="8"/>
    <n v="7"/>
    <n v="7"/>
    <n v="6"/>
    <n v="6"/>
    <n v="5"/>
    <n v="5"/>
    <n v="5"/>
    <n v="5"/>
    <n v="8"/>
    <m/>
    <m/>
    <m/>
    <n v="17"/>
    <n v="0"/>
    <s v="350W"/>
    <n v="4"/>
    <x v="2"/>
    <n v="32212.121212121212"/>
    <m/>
    <n v="0"/>
    <x v="2"/>
  </r>
  <r>
    <s v="C83"/>
    <x v="269"/>
    <s v="500E/100N"/>
    <m/>
    <x v="23"/>
    <x v="70"/>
    <n v="4400"/>
    <n v="20"/>
    <s v="AC"/>
    <s v="C"/>
    <n v="0"/>
    <n v="7"/>
    <n v="6"/>
    <n v="6"/>
    <n v="5"/>
    <n v="7"/>
    <n v="6"/>
    <n v="8"/>
    <n v="7"/>
    <n v="7"/>
    <n v="7"/>
    <m/>
    <m/>
    <m/>
    <n v="275"/>
    <n v="0"/>
    <s v="500E"/>
    <n v="3"/>
    <x v="0"/>
    <n v="17500"/>
    <m/>
    <n v="0"/>
    <x v="6"/>
  </r>
  <r>
    <s v="C73"/>
    <x v="270"/>
    <s v="375E/400N"/>
    <m/>
    <x v="50"/>
    <x v="2"/>
    <n v="5300"/>
    <n v="20"/>
    <s v="CS"/>
    <s v="C"/>
    <n v="0"/>
    <n v="6"/>
    <n v="6"/>
    <n v="6"/>
    <n v="6"/>
    <n v="6"/>
    <n v="5"/>
    <n v="5"/>
    <n v="7"/>
    <n v="7"/>
    <n v="7"/>
    <m/>
    <m/>
    <m/>
    <n v="50"/>
    <n v="0"/>
    <s v="375E"/>
    <n v="4"/>
    <x v="2"/>
    <n v="32121.21212121212"/>
    <m/>
    <n v="0"/>
    <x v="4"/>
  </r>
  <r>
    <s v="C29"/>
    <x v="271"/>
    <s v="375N/100W"/>
    <m/>
    <x v="98"/>
    <x v="37"/>
    <n v="5190"/>
    <n v="20"/>
    <s v="AC"/>
    <s v="C"/>
    <n v="0"/>
    <n v="7"/>
    <n v="8"/>
    <n v="7"/>
    <n v="7"/>
    <n v="7"/>
    <n v="7"/>
    <n v="7"/>
    <n v="7"/>
    <n v="7"/>
    <n v="7"/>
    <m/>
    <m/>
    <m/>
    <n v="397"/>
    <n v="0"/>
    <s v="375N"/>
    <n v="3"/>
    <x v="0"/>
    <n v="20642.045454545456"/>
    <n v="1"/>
    <n v="20642.045454545456"/>
    <x v="0"/>
  </r>
  <r>
    <m/>
    <x v="272"/>
    <s v="400E/1000N"/>
    <m/>
    <x v="5"/>
    <x v="61"/>
    <n v="5340"/>
    <n v="20"/>
    <s v="AC"/>
    <s v="G"/>
    <n v="0"/>
    <n v="6"/>
    <n v="6"/>
    <n v="6"/>
    <n v="6"/>
    <n v="6"/>
    <n v="9"/>
    <n v="8"/>
    <n v="7"/>
    <n v="7"/>
    <n v="7"/>
    <m/>
    <m/>
    <m/>
    <n v="297"/>
    <n v="0"/>
    <s v="400E"/>
    <n v="4"/>
    <x v="2"/>
    <n v="32363.636363636364"/>
    <n v="1"/>
    <n v="32363.636363636364"/>
    <x v="3"/>
  </r>
  <r>
    <s v="C74"/>
    <x v="273"/>
    <s v="400E/100S"/>
    <m/>
    <x v="71"/>
    <x v="64"/>
    <n v="5320"/>
    <n v="20"/>
    <s v="CS"/>
    <s v="C"/>
    <n v="0"/>
    <n v="7"/>
    <n v="7"/>
    <n v="6"/>
    <n v="6"/>
    <n v="6"/>
    <n v="6"/>
    <n v="6"/>
    <n v="6"/>
    <n v="7"/>
    <n v="7"/>
    <m/>
    <m/>
    <m/>
    <n v="116"/>
    <n v="0"/>
    <s v="400E"/>
    <n v="4"/>
    <x v="0"/>
    <n v="21159.090909090908"/>
    <m/>
    <n v="0"/>
    <x v="4"/>
  </r>
  <r>
    <s v="G63"/>
    <x v="274"/>
    <s v="400E/1100N"/>
    <m/>
    <x v="60"/>
    <x v="62"/>
    <n v="5333"/>
    <n v="20"/>
    <s v="AC"/>
    <s v="G"/>
    <n v="0"/>
    <n v="6"/>
    <n v="5"/>
    <n v="5"/>
    <n v="5"/>
    <n v="5"/>
    <n v="9"/>
    <n v="8"/>
    <n v="7"/>
    <n v="7"/>
    <n v="7"/>
    <m/>
    <m/>
    <m/>
    <n v="317"/>
    <n v="0"/>
    <s v="400E"/>
    <n v="5"/>
    <x v="2"/>
    <n v="32321.21212121212"/>
    <n v="1"/>
    <n v="32321.21212121212"/>
    <x v="3"/>
  </r>
  <r>
    <s v="C84"/>
    <x v="275"/>
    <s v="500E/200N"/>
    <m/>
    <x v="44"/>
    <x v="51"/>
    <n v="5304"/>
    <n v="20"/>
    <s v="CS"/>
    <s v="C"/>
    <n v="0"/>
    <n v="6"/>
    <n v="6"/>
    <n v="6"/>
    <n v="6"/>
    <n v="8"/>
    <n v="8"/>
    <n v="7"/>
    <n v="7"/>
    <n v="7"/>
    <n v="7"/>
    <m/>
    <m/>
    <m/>
    <n v="273"/>
    <n v="0"/>
    <s v="500E"/>
    <n v="2"/>
    <x v="0"/>
    <n v="21095.454545454544"/>
    <m/>
    <n v="0"/>
    <x v="6"/>
  </r>
  <r>
    <s v="BW58"/>
    <x v="276"/>
    <s v="400E/200S"/>
    <m/>
    <x v="62"/>
    <x v="11"/>
    <n v="5319"/>
    <n v="20"/>
    <s v="G"/>
    <s v="BW"/>
    <n v="0"/>
    <n v="6"/>
    <n v="6"/>
    <n v="6"/>
    <n v="6"/>
    <n v="6"/>
    <n v="7"/>
    <n v="7"/>
    <n v="6"/>
    <n v="6"/>
    <n v="7"/>
    <m/>
    <m/>
    <m/>
    <n v="100"/>
    <n v="0"/>
    <s v="400E"/>
    <n v="4"/>
    <x v="2"/>
    <n v="32236.363636363636"/>
    <m/>
    <n v="0"/>
    <x v="4"/>
  </r>
  <r>
    <s v="C77"/>
    <x v="277"/>
    <s v="400E/300N"/>
    <m/>
    <x v="35"/>
    <x v="36"/>
    <n v="5290"/>
    <n v="20"/>
    <s v="AC"/>
    <s v="C"/>
    <n v="0"/>
    <n v="7"/>
    <n v="7"/>
    <n v="7"/>
    <n v="7"/>
    <n v="7"/>
    <n v="7"/>
    <n v="8"/>
    <n v="7"/>
    <n v="7"/>
    <n v="7"/>
    <m/>
    <m/>
    <m/>
    <n v="1039"/>
    <n v="0.5"/>
    <s v="400E"/>
    <n v="3.5"/>
    <x v="0"/>
    <n v="21039.772727272728"/>
    <n v="1"/>
    <n v="21039.772727272728"/>
    <x v="0"/>
  </r>
  <r>
    <s v="C78"/>
    <x v="278"/>
    <s v="400E/400N"/>
    <m/>
    <x v="50"/>
    <x v="2"/>
    <n v="5300"/>
    <n v="20"/>
    <s v="AC"/>
    <s v="C"/>
    <n v="0"/>
    <n v="7"/>
    <n v="5"/>
    <n v="4"/>
    <n v="9"/>
    <n v="9"/>
    <n v="9"/>
    <n v="8"/>
    <n v="7"/>
    <n v="7"/>
    <n v="7"/>
    <m/>
    <m/>
    <m/>
    <n v="997"/>
    <n v="0.5"/>
    <s v="400E"/>
    <n v="1.5"/>
    <x v="2"/>
    <n v="32121.21212121212"/>
    <m/>
    <n v="0"/>
    <x v="5"/>
  </r>
  <r>
    <s v="C79"/>
    <x v="279"/>
    <s v="400E/500N"/>
    <m/>
    <x v="3"/>
    <x v="3"/>
    <n v="5300"/>
    <n v="20"/>
    <s v="AC"/>
    <s v="C"/>
    <n v="0"/>
    <n v="5"/>
    <n v="5"/>
    <n v="5"/>
    <n v="5"/>
    <n v="5"/>
    <n v="9"/>
    <n v="8"/>
    <n v="7"/>
    <n v="7"/>
    <n v="7"/>
    <m/>
    <m/>
    <m/>
    <n v="786"/>
    <n v="0.5"/>
    <s v="400E"/>
    <n v="5.5"/>
    <x v="0"/>
    <n v="21079.545454545456"/>
    <m/>
    <n v="0"/>
    <x v="3"/>
  </r>
  <r>
    <s v="BW57"/>
    <x v="280"/>
    <s v="400E/500S"/>
    <m/>
    <x v="72"/>
    <x v="91"/>
    <n v="5315"/>
    <n v="20"/>
    <s v="AC"/>
    <s v="BW"/>
    <n v="0"/>
    <n v="4"/>
    <n v="4"/>
    <n v="4"/>
    <n v="4"/>
    <n v="3"/>
    <n v="8"/>
    <n v="7"/>
    <n v="7"/>
    <n v="7"/>
    <n v="7"/>
    <m/>
    <m/>
    <m/>
    <n v="50"/>
    <n v="0"/>
    <s v="400E"/>
    <n v="7"/>
    <x v="0"/>
    <n v="21139.204545454544"/>
    <m/>
    <n v="0"/>
    <x v="3"/>
  </r>
  <r>
    <s v="C80"/>
    <x v="281"/>
    <s v="400E/600N"/>
    <m/>
    <x v="1"/>
    <x v="1"/>
    <n v="5050"/>
    <n v="20"/>
    <s v="AC"/>
    <s v="C"/>
    <n v="0"/>
    <n v="7"/>
    <n v="7"/>
    <n v="7"/>
    <n v="7"/>
    <n v="7"/>
    <n v="7"/>
    <n v="7"/>
    <n v="7"/>
    <n v="7"/>
    <n v="7"/>
    <m/>
    <m/>
    <m/>
    <n v="706"/>
    <n v="0.5"/>
    <s v="400E"/>
    <n v="3.5"/>
    <x v="0"/>
    <n v="20085.227272727272"/>
    <m/>
    <n v="0"/>
    <x v="4"/>
  </r>
  <r>
    <s v="A285"/>
    <x v="282"/>
    <s v="400E/650N"/>
    <m/>
    <x v="99"/>
    <x v="1"/>
    <n v="2645"/>
    <n v="20"/>
    <s v="AC"/>
    <s v="G"/>
    <n v="0"/>
    <n v="6"/>
    <n v="6"/>
    <n v="6"/>
    <n v="6"/>
    <n v="6"/>
    <n v="8"/>
    <n v="8"/>
    <n v="7"/>
    <n v="7"/>
    <n v="7"/>
    <m/>
    <m/>
    <m/>
    <n v="201"/>
    <n v="0"/>
    <s v="400E"/>
    <n v="4"/>
    <x v="2"/>
    <n v="16030.30303030303"/>
    <m/>
    <n v="0"/>
    <x v="3"/>
  </r>
  <r>
    <s v="J72"/>
    <x v="283"/>
    <s v="850E/300N"/>
    <m/>
    <x v="56"/>
    <x v="36"/>
    <n v="2388"/>
    <n v="20"/>
    <s v="AC"/>
    <s v="J"/>
    <n v="0"/>
    <n v="8"/>
    <n v="8"/>
    <n v="7"/>
    <n v="7"/>
    <n v="7"/>
    <n v="7"/>
    <n v="7"/>
    <n v="7"/>
    <n v="7"/>
    <n v="7"/>
    <m/>
    <m/>
    <m/>
    <n v="271"/>
    <n v="0"/>
    <s v="850E"/>
    <n v="3"/>
    <x v="0"/>
    <n v="9497.7272727272721"/>
    <m/>
    <n v="0"/>
    <x v="6"/>
  </r>
  <r>
    <s v="G61"/>
    <x v="284"/>
    <s v="400E/900N"/>
    <m/>
    <x v="7"/>
    <x v="88"/>
    <n v="5460"/>
    <n v="20"/>
    <s v="CS"/>
    <s v="G"/>
    <n v="0"/>
    <n v="6"/>
    <n v="6"/>
    <n v="6"/>
    <n v="7"/>
    <n v="6"/>
    <n v="9"/>
    <n v="8"/>
    <n v="7"/>
    <n v="7"/>
    <n v="7"/>
    <m/>
    <m/>
    <m/>
    <n v="286"/>
    <n v="0"/>
    <s v="400E"/>
    <n v="4"/>
    <x v="2"/>
    <n v="33090.909090909088"/>
    <n v="1"/>
    <n v="33090.909090909088"/>
    <x v="3"/>
  </r>
  <r>
    <s v="BC81"/>
    <x v="285"/>
    <s v="350W/200N"/>
    <m/>
    <x v="35"/>
    <x v="70"/>
    <n v="5330"/>
    <n v="20"/>
    <s v="AC"/>
    <s v="BC"/>
    <n v="0"/>
    <n v="7"/>
    <n v="7"/>
    <n v="7"/>
    <n v="5"/>
    <n v="4"/>
    <n v="5"/>
    <n v="7"/>
    <n v="7"/>
    <n v="7"/>
    <n v="7"/>
    <m/>
    <m/>
    <m/>
    <n v="269"/>
    <n v="0"/>
    <s v="350W"/>
    <n v="6"/>
    <x v="0"/>
    <n v="21198.863636363636"/>
    <m/>
    <n v="0"/>
    <x v="6"/>
  </r>
  <r>
    <s v="G59"/>
    <x v="286"/>
    <s v="400E/700N"/>
    <m/>
    <x v="99"/>
    <x v="82"/>
    <n v="2659"/>
    <n v="20"/>
    <s v="AC"/>
    <s v="G"/>
    <n v="0"/>
    <n v="6"/>
    <n v="6"/>
    <n v="6"/>
    <n v="6"/>
    <n v="6"/>
    <n v="6"/>
    <n v="8"/>
    <n v="7"/>
    <n v="7"/>
    <n v="7"/>
    <m/>
    <m/>
    <m/>
    <n v="231"/>
    <n v="0"/>
    <s v="400E"/>
    <n v="4"/>
    <x v="0"/>
    <n v="10575.568181818182"/>
    <m/>
    <n v="0"/>
    <x v="6"/>
  </r>
  <r>
    <s v="J35"/>
    <x v="287"/>
    <s v="400N/1000E"/>
    <m/>
    <x v="8"/>
    <x v="77"/>
    <n v="5411"/>
    <n v="20"/>
    <s v="CS"/>
    <s v="J"/>
    <n v="0"/>
    <n v="7"/>
    <n v="7"/>
    <n v="7"/>
    <n v="7"/>
    <n v="7"/>
    <n v="7"/>
    <n v="7"/>
    <n v="6"/>
    <n v="6"/>
    <n v="7"/>
    <m/>
    <m/>
    <m/>
    <n v="50"/>
    <n v="0"/>
    <s v="400N"/>
    <n v="3"/>
    <x v="3"/>
    <n v="47141.28787878788"/>
    <m/>
    <n v="0"/>
    <x v="5"/>
  </r>
  <r>
    <s v="C31"/>
    <x v="288"/>
    <s v="400N/100W"/>
    <m/>
    <x v="25"/>
    <x v="28"/>
    <n v="5302"/>
    <n v="20"/>
    <s v="CS"/>
    <s v="C"/>
    <n v="0"/>
    <n v="5"/>
    <n v="5"/>
    <n v="8"/>
    <n v="8"/>
    <n v="8"/>
    <n v="7"/>
    <n v="7"/>
    <n v="7"/>
    <n v="7"/>
    <n v="7"/>
    <m/>
    <m/>
    <m/>
    <n v="342"/>
    <n v="0"/>
    <s v="400N"/>
    <n v="2"/>
    <x v="0"/>
    <n v="21087.5"/>
    <m/>
    <n v="0"/>
    <x v="2"/>
  </r>
  <r>
    <s v="BC32"/>
    <x v="289"/>
    <s v="400N/200W"/>
    <m/>
    <x v="27"/>
    <x v="29"/>
    <n v="5320"/>
    <n v="20"/>
    <s v="AC"/>
    <s v="BC"/>
    <n v="0"/>
    <n v="5"/>
    <n v="5"/>
    <n v="5"/>
    <n v="5"/>
    <n v="4"/>
    <n v="8"/>
    <n v="8"/>
    <n v="7"/>
    <n v="7"/>
    <n v="7"/>
    <m/>
    <m/>
    <m/>
    <n v="163"/>
    <n v="0"/>
    <s v="400N"/>
    <n v="6"/>
    <x v="4"/>
    <n v="110833.33333333333"/>
    <n v="1"/>
    <n v="110833.33333333333"/>
    <x v="3"/>
  </r>
  <r>
    <s v="C35"/>
    <x v="290"/>
    <s v="400N/300E"/>
    <m/>
    <x v="85"/>
    <x v="19"/>
    <n v="6370"/>
    <n v="20"/>
    <s v="AC"/>
    <s v="C"/>
    <n v="0"/>
    <n v="8"/>
    <n v="7"/>
    <n v="7"/>
    <n v="7"/>
    <n v="7"/>
    <n v="6"/>
    <n v="6"/>
    <n v="6"/>
    <m/>
    <n v="7"/>
    <n v="2024"/>
    <n v="2021"/>
    <s v="Y"/>
    <n v="469"/>
    <n v="0"/>
    <s v="400N"/>
    <n v="3"/>
    <x v="3"/>
    <n v="55496.21212121212"/>
    <n v="1"/>
    <n v="55496.21212121212"/>
    <x v="0"/>
  </r>
  <r>
    <s v="BC31"/>
    <x v="291"/>
    <s v="400N/300W"/>
    <m/>
    <x v="11"/>
    <x v="29"/>
    <n v="5292"/>
    <n v="20"/>
    <s v="CS"/>
    <s v="BC"/>
    <n v="0"/>
    <n v="4"/>
    <n v="9"/>
    <n v="8"/>
    <n v="8"/>
    <n v="8"/>
    <n v="8"/>
    <n v="8"/>
    <n v="8"/>
    <n v="8"/>
    <n v="8"/>
    <m/>
    <m/>
    <m/>
    <n v="152"/>
    <n v="0"/>
    <s v="400N"/>
    <n v="2"/>
    <x v="0"/>
    <n v="21047.727272727272"/>
    <m/>
    <n v="0"/>
    <x v="4"/>
  </r>
  <r>
    <s v="C36"/>
    <x v="292"/>
    <s v="400N/375E"/>
    <m/>
    <x v="85"/>
    <x v="94"/>
    <n v="4540"/>
    <n v="20"/>
    <s v="AC"/>
    <s v="C"/>
    <n v="0"/>
    <n v="8"/>
    <n v="7"/>
    <n v="7"/>
    <n v="7"/>
    <n v="7"/>
    <n v="7"/>
    <n v="7"/>
    <n v="7"/>
    <n v="7"/>
    <n v="7"/>
    <n v="2024"/>
    <n v="2021"/>
    <s v="Y"/>
    <n v="228"/>
    <n v="0"/>
    <s v="400N"/>
    <n v="3"/>
    <x v="0"/>
    <n v="18056.81818181818"/>
    <m/>
    <n v="0"/>
    <x v="4"/>
  </r>
  <r>
    <s v="C37"/>
    <x v="293"/>
    <s v="400N/400E"/>
    <m/>
    <x v="86"/>
    <x v="73"/>
    <n v="1373"/>
    <n v="20"/>
    <s v="AC"/>
    <s v="C"/>
    <n v="0"/>
    <n v="8"/>
    <n v="7"/>
    <n v="7"/>
    <n v="7"/>
    <n v="7"/>
    <n v="7"/>
    <n v="7"/>
    <n v="7"/>
    <n v="7"/>
    <n v="7"/>
    <n v="2024"/>
    <n v="2021"/>
    <s v="Y"/>
    <n v="228"/>
    <n v="0"/>
    <s v="400N"/>
    <n v="3"/>
    <x v="0"/>
    <n v="5460.795454545455"/>
    <m/>
    <n v="0"/>
    <x v="4"/>
  </r>
  <r>
    <s v="BC30.5"/>
    <x v="294"/>
    <s v="400N/400W"/>
    <m/>
    <x v="11"/>
    <x v="25"/>
    <n v="2198"/>
    <n v="20"/>
    <s v="G"/>
    <s v="BC"/>
    <n v="0"/>
    <n v="6"/>
    <n v="8"/>
    <n v="8"/>
    <n v="8"/>
    <n v="7"/>
    <n v="7"/>
    <n v="7"/>
    <n v="7"/>
    <n v="6"/>
    <n v="6"/>
    <m/>
    <m/>
    <m/>
    <n v="50"/>
    <n v="0"/>
    <s v="400N"/>
    <n v="3"/>
    <x v="8"/>
    <n v="5828.030303030303"/>
    <m/>
    <n v="0"/>
    <x v="0"/>
  </r>
  <r>
    <s v="C38"/>
    <x v="295"/>
    <s v="400N/450E"/>
    <m/>
    <x v="30"/>
    <x v="65"/>
    <n v="2746"/>
    <n v="20"/>
    <s v="CS"/>
    <s v="C"/>
    <n v="0"/>
    <n v="8"/>
    <n v="7"/>
    <n v="7"/>
    <n v="7"/>
    <n v="7"/>
    <n v="7"/>
    <n v="7"/>
    <n v="7"/>
    <n v="7"/>
    <n v="7"/>
    <m/>
    <m/>
    <m/>
    <n v="195"/>
    <n v="0"/>
    <s v="400N"/>
    <n v="3"/>
    <x v="0"/>
    <n v="10921.59090909091"/>
    <m/>
    <n v="0"/>
    <x v="3"/>
  </r>
  <r>
    <s v="C32"/>
    <x v="296"/>
    <s v="400N/50E"/>
    <m/>
    <x v="89"/>
    <x v="95"/>
    <n v="4360"/>
    <n v="20"/>
    <s v="AC"/>
    <s v="C"/>
    <n v="0"/>
    <n v="8"/>
    <n v="6"/>
    <n v="6"/>
    <n v="5"/>
    <n v="8"/>
    <n v="8"/>
    <n v="8"/>
    <n v="7"/>
    <n v="7"/>
    <n v="7"/>
    <m/>
    <m/>
    <m/>
    <n v="200"/>
    <n v="0"/>
    <s v="400N"/>
    <n v="2"/>
    <x v="1"/>
    <n v="4459.090909090909"/>
    <m/>
    <n v="0"/>
    <x v="2"/>
  </r>
  <r>
    <s v="C39"/>
    <x v="297"/>
    <s v="400N/525E"/>
    <m/>
    <x v="100"/>
    <x v="106"/>
    <n v="4066"/>
    <n v="20"/>
    <s v="AC"/>
    <s v="C"/>
    <n v="0"/>
    <n v="5"/>
    <n v="5"/>
    <n v="5"/>
    <n v="5"/>
    <n v="8"/>
    <n v="8"/>
    <n v="8"/>
    <n v="7"/>
    <n v="7"/>
    <n v="7"/>
    <m/>
    <m/>
    <m/>
    <n v="195"/>
    <n v="0"/>
    <s v="400N"/>
    <n v="2"/>
    <x v="1"/>
    <n v="4158.409090909091"/>
    <m/>
    <n v="0"/>
    <x v="2"/>
  </r>
  <r>
    <s v="J30"/>
    <x v="298"/>
    <s v="400N/600E"/>
    <m/>
    <x v="90"/>
    <x v="24"/>
    <n v="4066"/>
    <n v="20"/>
    <s v="CS"/>
    <s v="J"/>
    <n v="0"/>
    <n v="6"/>
    <n v="6"/>
    <n v="5"/>
    <n v="5"/>
    <n v="8"/>
    <n v="8"/>
    <n v="8"/>
    <n v="7"/>
    <n v="7"/>
    <n v="7"/>
    <m/>
    <m/>
    <m/>
    <n v="205"/>
    <n v="0"/>
    <s v="400N"/>
    <n v="2"/>
    <x v="0"/>
    <n v="16171.59090909091"/>
    <n v="1"/>
    <n v="16171.59090909091"/>
    <x v="0"/>
  </r>
  <r>
    <s v="BC48"/>
    <x v="299"/>
    <s v="BUCK CREEK RD./I70"/>
    <m/>
    <x v="44"/>
    <x v="53"/>
    <n v="4380"/>
    <n v="20"/>
    <s v="AC"/>
    <s v="BC"/>
    <n v="0"/>
    <n v="7"/>
    <n v="6"/>
    <n v="6"/>
    <n v="5"/>
    <n v="4"/>
    <n v="4"/>
    <n v="8"/>
    <n v="8"/>
    <n v="8"/>
    <n v="8"/>
    <m/>
    <m/>
    <s v="Y"/>
    <n v="226"/>
    <n v="0"/>
    <s v="BUCK CREEK RD./I70"/>
    <n v="6"/>
    <x v="0"/>
    <n v="17420.454545454544"/>
    <m/>
    <n v="0"/>
    <x v="6"/>
  </r>
  <r>
    <s v="J31"/>
    <x v="300"/>
    <s v="400N/700E"/>
    <m/>
    <x v="14"/>
    <x v="68"/>
    <n v="4488"/>
    <n v="20"/>
    <s v="CS"/>
    <s v="J"/>
    <n v="0"/>
    <n v="8"/>
    <n v="5"/>
    <n v="5"/>
    <n v="5"/>
    <n v="9"/>
    <n v="8"/>
    <n v="8"/>
    <n v="7"/>
    <n v="7"/>
    <n v="7"/>
    <m/>
    <m/>
    <m/>
    <n v="50"/>
    <n v="0"/>
    <s v="400N"/>
    <n v="1"/>
    <x v="2"/>
    <n v="27200"/>
    <n v="1"/>
    <n v="27200"/>
    <x v="0"/>
  </r>
  <r>
    <s v="J32"/>
    <x v="301"/>
    <s v="400N/800E"/>
    <m/>
    <x v="37"/>
    <x v="38"/>
    <n v="5491"/>
    <n v="20"/>
    <s v="AC"/>
    <s v="J"/>
    <n v="0"/>
    <n v="7"/>
    <n v="5"/>
    <n v="5"/>
    <n v="5"/>
    <n v="9"/>
    <n v="8"/>
    <n v="8"/>
    <n v="7"/>
    <n v="7"/>
    <n v="7"/>
    <m/>
    <m/>
    <m/>
    <n v="50"/>
    <n v="0"/>
    <s v="400N"/>
    <n v="1"/>
    <x v="1"/>
    <n v="5615.795454545455"/>
    <m/>
    <n v="0"/>
    <x v="2"/>
  </r>
  <r>
    <s v="J33"/>
    <x v="302"/>
    <s v="400N/850E"/>
    <m/>
    <x v="38"/>
    <x v="39"/>
    <n v="2746"/>
    <n v="20"/>
    <s v="AC"/>
    <s v="J"/>
    <n v="0"/>
    <n v="7"/>
    <n v="8"/>
    <n v="4"/>
    <n v="7"/>
    <n v="7"/>
    <n v="7"/>
    <n v="7"/>
    <n v="6"/>
    <n v="7"/>
    <n v="7"/>
    <m/>
    <m/>
    <m/>
    <n v="50"/>
    <n v="0"/>
    <s v="400N"/>
    <n v="3"/>
    <x v="3"/>
    <n v="23923.484848484848"/>
    <m/>
    <n v="0"/>
    <x v="5"/>
  </r>
  <r>
    <s v="J34"/>
    <x v="303"/>
    <s v="400N/900E"/>
    <m/>
    <x v="101"/>
    <x v="107"/>
    <n v="2779"/>
    <n v="20"/>
    <s v="CS"/>
    <s v="J"/>
    <n v="0"/>
    <n v="8"/>
    <n v="7"/>
    <n v="8"/>
    <n v="8"/>
    <n v="8"/>
    <n v="8"/>
    <n v="8"/>
    <n v="7"/>
    <n v="7"/>
    <n v="7"/>
    <m/>
    <m/>
    <m/>
    <n v="50"/>
    <n v="0"/>
    <s v="400N"/>
    <n v="2"/>
    <x v="0"/>
    <n v="11052.84090909091"/>
    <n v="1"/>
    <n v="11052.84090909091"/>
    <x v="3"/>
  </r>
  <r>
    <s v="V18"/>
    <x v="304"/>
    <s v="700N/FORTVILLE PK"/>
    <m/>
    <x v="91"/>
    <x v="28"/>
    <n v="5791"/>
    <n v="20"/>
    <s v="CS"/>
    <s v="V"/>
    <n v="0"/>
    <n v="5"/>
    <n v="5"/>
    <n v="6"/>
    <n v="5"/>
    <n v="8"/>
    <n v="7"/>
    <n v="7"/>
    <n v="7"/>
    <n v="7"/>
    <n v="7"/>
    <m/>
    <m/>
    <m/>
    <n v="215"/>
    <n v="0"/>
    <s v="700N"/>
    <n v="2"/>
    <x v="0"/>
    <n v="23032.386363636364"/>
    <m/>
    <n v="0"/>
    <x v="6"/>
  </r>
  <r>
    <s v="V19"/>
    <x v="305"/>
    <s v="700N/50W"/>
    <m/>
    <x v="12"/>
    <x v="95"/>
    <n v="2217"/>
    <n v="20"/>
    <s v="CS"/>
    <s v="V"/>
    <n v="0"/>
    <n v="7"/>
    <n v="6"/>
    <n v="6"/>
    <n v="6"/>
    <n v="8"/>
    <n v="8"/>
    <n v="7"/>
    <n v="7"/>
    <n v="7"/>
    <n v="7"/>
    <m/>
    <m/>
    <m/>
    <n v="209"/>
    <n v="0"/>
    <s v="700N"/>
    <n v="2"/>
    <x v="0"/>
    <n v="8817.613636363636"/>
    <m/>
    <n v="0"/>
    <x v="6"/>
  </r>
  <r>
    <s v="V20"/>
    <x v="306"/>
    <s v="700N/MERIDIAN RD"/>
    <m/>
    <x v="18"/>
    <x v="20"/>
    <n v="2667"/>
    <n v="20"/>
    <s v="CS"/>
    <s v="V"/>
    <n v="0"/>
    <n v="5"/>
    <n v="5"/>
    <n v="5"/>
    <n v="8"/>
    <n v="8"/>
    <n v="7"/>
    <n v="7"/>
    <n v="7"/>
    <n v="7"/>
    <n v="7"/>
    <m/>
    <m/>
    <m/>
    <n v="205"/>
    <n v="0"/>
    <s v="700N"/>
    <n v="2"/>
    <x v="0"/>
    <n v="10607.386363636364"/>
    <m/>
    <n v="0"/>
    <x v="6"/>
  </r>
  <r>
    <s v="SC27"/>
    <x v="307"/>
    <s v="400S/200W"/>
    <m/>
    <x v="27"/>
    <x v="29"/>
    <n v="5290"/>
    <n v="20"/>
    <s v="AC"/>
    <s v="SC"/>
    <n v="0"/>
    <n v="7"/>
    <n v="6"/>
    <n v="6"/>
    <n v="6"/>
    <n v="6"/>
    <n v="6"/>
    <n v="6"/>
    <n v="8"/>
    <n v="7"/>
    <n v="7"/>
    <m/>
    <m/>
    <m/>
    <n v="580"/>
    <n v="0.5"/>
    <s v="400S"/>
    <n v="4.5"/>
    <x v="0"/>
    <n v="21039.772727272728"/>
    <m/>
    <n v="0"/>
    <x v="4"/>
  </r>
  <r>
    <s v="BW18"/>
    <x v="308"/>
    <s v="400S/300E"/>
    <m/>
    <x v="85"/>
    <x v="79"/>
    <n v="5935"/>
    <n v="20"/>
    <s v="CS"/>
    <s v="BW"/>
    <n v="0"/>
    <n v="5"/>
    <n v="7"/>
    <n v="7"/>
    <n v="7"/>
    <n v="7"/>
    <n v="8"/>
    <n v="7"/>
    <n v="7"/>
    <n v="7"/>
    <n v="7"/>
    <m/>
    <m/>
    <m/>
    <n v="221"/>
    <n v="0"/>
    <s v="400S"/>
    <n v="3"/>
    <x v="1"/>
    <n v="6069.886363636364"/>
    <m/>
    <n v="0"/>
    <x v="2"/>
  </r>
  <r>
    <s v="SC26"/>
    <x v="309"/>
    <s v="400S/300W"/>
    <m/>
    <x v="28"/>
    <x v="31"/>
    <n v="5350"/>
    <n v="20"/>
    <s v="AC"/>
    <s v="SC"/>
    <n v="0"/>
    <n v="7"/>
    <n v="7"/>
    <n v="6"/>
    <n v="6"/>
    <n v="6"/>
    <n v="5"/>
    <n v="5"/>
    <n v="8"/>
    <n v="7"/>
    <n v="7"/>
    <m/>
    <m/>
    <m/>
    <n v="532"/>
    <n v="0.5"/>
    <s v="400S"/>
    <n v="4.5"/>
    <x v="0"/>
    <n v="21278.409090909092"/>
    <m/>
    <n v="0"/>
    <x v="4"/>
  </r>
  <r>
    <s v="G60"/>
    <x v="310"/>
    <s v="400E/SR234"/>
    <m/>
    <x v="65"/>
    <x v="6"/>
    <n v="5544"/>
    <n v="20"/>
    <s v="AC"/>
    <s v="G"/>
    <n v="0"/>
    <n v="6"/>
    <n v="6"/>
    <n v="6"/>
    <n v="6"/>
    <n v="6"/>
    <n v="6"/>
    <n v="8"/>
    <n v="7"/>
    <n v="7"/>
    <n v="7"/>
    <m/>
    <m/>
    <m/>
    <n v="202"/>
    <n v="0"/>
    <s v="400E"/>
    <n v="4"/>
    <x v="0"/>
    <n v="22050"/>
    <m/>
    <n v="0"/>
    <x v="6"/>
  </r>
  <r>
    <s v="BR15"/>
    <x v="311"/>
    <s v="400S/500E"/>
    <m/>
    <x v="32"/>
    <x v="66"/>
    <n v="4470"/>
    <n v="20"/>
    <s v="CS"/>
    <s v="BR"/>
    <n v="0"/>
    <n v="8"/>
    <n v="8"/>
    <n v="8"/>
    <n v="7"/>
    <n v="7"/>
    <n v="7"/>
    <n v="7"/>
    <n v="7"/>
    <n v="7"/>
    <n v="7"/>
    <m/>
    <m/>
    <m/>
    <n v="106"/>
    <n v="0"/>
    <s v="400S"/>
    <n v="3"/>
    <x v="0"/>
    <n v="17778.409090909092"/>
    <m/>
    <n v="0"/>
    <x v="3"/>
  </r>
  <r>
    <s v=""/>
    <x v="312"/>
    <s v="ROCKWOOD LN (W)"/>
    <s v="Rockwood"/>
    <x v="102"/>
    <x v="108"/>
    <n v="1162"/>
    <n v="26"/>
    <s v="NC"/>
    <s v="SC"/>
    <n v="0"/>
    <n v="7"/>
    <n v="7"/>
    <n v="7"/>
    <n v="7"/>
    <n v="7"/>
    <n v="6"/>
    <n v="8"/>
    <n v="8"/>
    <n v="7"/>
    <n v="7"/>
    <m/>
    <m/>
    <m/>
    <n v="188"/>
    <n v="0"/>
    <s v="ROCKWOOD LN (W)"/>
    <n v="3"/>
    <x v="0"/>
    <n v="4621.590909090909"/>
    <m/>
    <n v="0"/>
    <x v="6"/>
  </r>
  <r>
    <s v="BR16"/>
    <x v="313"/>
    <s v="400S/600E"/>
    <m/>
    <x v="14"/>
    <x v="14"/>
    <n v="5310"/>
    <n v="20"/>
    <s v="CS"/>
    <s v="BR"/>
    <n v="0"/>
    <n v="8"/>
    <n v="7"/>
    <n v="7"/>
    <n v="7"/>
    <n v="6"/>
    <n v="8"/>
    <n v="7"/>
    <n v="7"/>
    <n v="7"/>
    <n v="7"/>
    <m/>
    <m/>
    <m/>
    <n v="175"/>
    <n v="0"/>
    <s v="400S"/>
    <n v="4"/>
    <x v="0"/>
    <n v="21119.31818181818"/>
    <m/>
    <n v="0"/>
    <x v="3"/>
  </r>
  <r>
    <s v="BR17"/>
    <x v="314"/>
    <s v="400S/600E"/>
    <m/>
    <x v="37"/>
    <x v="24"/>
    <n v="4800"/>
    <n v="20"/>
    <s v="AC"/>
    <s v="BR"/>
    <n v="0"/>
    <n v="7"/>
    <n v="7"/>
    <n v="7"/>
    <n v="7"/>
    <n v="6"/>
    <n v="8"/>
    <n v="8"/>
    <n v="8"/>
    <n v="7"/>
    <n v="7"/>
    <m/>
    <m/>
    <m/>
    <n v="287"/>
    <n v="0"/>
    <s v="400S"/>
    <n v="4"/>
    <x v="2"/>
    <n v="29090.909090909092"/>
    <m/>
    <n v="0"/>
    <x v="3"/>
  </r>
  <r>
    <s v="BR18"/>
    <x v="315"/>
    <s v="400S/800E"/>
    <m/>
    <x v="38"/>
    <x v="68"/>
    <n v="5400"/>
    <n v="20"/>
    <s v="AC"/>
    <s v="BR"/>
    <n v="0"/>
    <n v="5"/>
    <n v="7"/>
    <n v="7"/>
    <n v="7"/>
    <n v="6"/>
    <n v="8"/>
    <n v="8"/>
    <n v="8"/>
    <n v="7"/>
    <n v="7"/>
    <m/>
    <m/>
    <m/>
    <n v="219"/>
    <n v="0"/>
    <s v="400S"/>
    <n v="4"/>
    <x v="0"/>
    <n v="21477.272727272728"/>
    <m/>
    <n v="0"/>
    <x v="3"/>
  </r>
  <r>
    <s v="BR20"/>
    <x v="316"/>
    <s v="400S/900E"/>
    <m/>
    <x v="70"/>
    <x v="97"/>
    <n v="2975"/>
    <n v="20"/>
    <s v="AC"/>
    <s v="BR"/>
    <n v="0"/>
    <n v="7"/>
    <n v="7"/>
    <n v="7"/>
    <n v="7"/>
    <n v="6"/>
    <n v="8"/>
    <n v="7"/>
    <n v="7"/>
    <n v="7"/>
    <n v="7"/>
    <m/>
    <m/>
    <m/>
    <n v="227"/>
    <n v="0"/>
    <s v="400S"/>
    <n v="4"/>
    <x v="0"/>
    <n v="11832.386363636364"/>
    <m/>
    <n v="0"/>
    <x v="3"/>
  </r>
  <r>
    <s v="BR19"/>
    <x v="317"/>
    <s v="400S/BINFORD RD"/>
    <m/>
    <x v="93"/>
    <x v="38"/>
    <n v="2425"/>
    <n v="20"/>
    <s v="AC"/>
    <s v="BR"/>
    <n v="0"/>
    <n v="6"/>
    <n v="6"/>
    <n v="6"/>
    <n v="9"/>
    <n v="8"/>
    <n v="8"/>
    <n v="6"/>
    <n v="6"/>
    <n v="7"/>
    <n v="7"/>
    <m/>
    <m/>
    <m/>
    <n v="155"/>
    <n v="0"/>
    <s v="400S"/>
    <n v="2"/>
    <x v="2"/>
    <n v="14696.969696969696"/>
    <m/>
    <n v="0"/>
    <x v="2"/>
  </r>
  <r>
    <s v="SC106"/>
    <x v="318"/>
    <s v="250W/200S"/>
    <m/>
    <x v="63"/>
    <x v="64"/>
    <n v="5350"/>
    <n v="20"/>
    <s v="AC"/>
    <s v="SC"/>
    <n v="0"/>
    <n v="6"/>
    <n v="6"/>
    <n v="6"/>
    <n v="6"/>
    <n v="6"/>
    <n v="6"/>
    <n v="7"/>
    <n v="7"/>
    <n v="7"/>
    <n v="7"/>
    <m/>
    <m/>
    <m/>
    <n v="180"/>
    <n v="0"/>
    <s v="250W"/>
    <n v="4"/>
    <x v="0"/>
    <n v="21278.409090909092"/>
    <m/>
    <n v="0"/>
    <x v="6"/>
  </r>
  <r>
    <s v="BW19"/>
    <x v="319"/>
    <s v="400S/MORRISTOWN PK"/>
    <m/>
    <x v="76"/>
    <x v="104"/>
    <n v="6175"/>
    <n v="20"/>
    <s v="CS"/>
    <s v="BW"/>
    <n v="0"/>
    <n v="6"/>
    <n v="6"/>
    <n v="6"/>
    <n v="6"/>
    <n v="8"/>
    <n v="8"/>
    <n v="7"/>
    <n v="7"/>
    <n v="7"/>
    <n v="7"/>
    <m/>
    <m/>
    <m/>
    <n v="241"/>
    <n v="0"/>
    <s v="400S"/>
    <n v="2"/>
    <x v="0"/>
    <n v="24559.659090909092"/>
    <n v="1"/>
    <n v="24559.659090909092"/>
    <x v="0"/>
  </r>
  <r>
    <s v="BW17"/>
    <x v="320"/>
    <s v="400S/SR9"/>
    <m/>
    <x v="73"/>
    <x v="75"/>
    <n v="4630"/>
    <n v="20"/>
    <s v="AC"/>
    <s v="BW"/>
    <n v="0"/>
    <n v="8"/>
    <n v="7"/>
    <n v="8"/>
    <n v="7"/>
    <n v="7"/>
    <n v="7"/>
    <n v="6"/>
    <n v="7"/>
    <n v="7"/>
    <n v="7"/>
    <m/>
    <m/>
    <m/>
    <n v="431"/>
    <n v="0"/>
    <s v="400S"/>
    <n v="3"/>
    <x v="0"/>
    <n v="18414.772727272728"/>
    <m/>
    <n v="0"/>
    <x v="4"/>
  </r>
  <r>
    <s v="V92"/>
    <x v="321"/>
    <s v="50W/700N"/>
    <m/>
    <x v="65"/>
    <x v="1"/>
    <n v="5320"/>
    <n v="20"/>
    <s v="CS"/>
    <s v="V"/>
    <n v="0"/>
    <n v="7"/>
    <n v="7"/>
    <n v="6"/>
    <n v="6"/>
    <n v="6"/>
    <n v="5"/>
    <n v="7"/>
    <n v="8"/>
    <n v="7"/>
    <n v="7"/>
    <m/>
    <m/>
    <m/>
    <n v="168"/>
    <n v="0"/>
    <s v="50W"/>
    <n v="4"/>
    <x v="0"/>
    <n v="21159.090909090908"/>
    <m/>
    <n v="0"/>
    <x v="6"/>
  </r>
  <r>
    <s v="B70"/>
    <x v="322"/>
    <s v="1000E/1100N"/>
    <m/>
    <x v="60"/>
    <x v="62"/>
    <n v="5345"/>
    <n v="20"/>
    <s v="AC"/>
    <s v="B"/>
    <n v="0"/>
    <n v="6"/>
    <n v="6"/>
    <n v="6"/>
    <n v="6"/>
    <n v="5"/>
    <n v="5"/>
    <n v="9"/>
    <n v="8"/>
    <n v="8"/>
    <n v="8"/>
    <m/>
    <m/>
    <m/>
    <n v="167"/>
    <n v="0"/>
    <s v="1000E"/>
    <n v="5"/>
    <x v="0"/>
    <n v="21258.522727272728"/>
    <m/>
    <n v="0"/>
    <x v="6"/>
  </r>
  <r>
    <s v="B19"/>
    <x v="323"/>
    <s v="650N/1200E"/>
    <m/>
    <x v="103"/>
    <x v="109"/>
    <n v="4071"/>
    <n v="20"/>
    <s v="CS"/>
    <s v="B"/>
    <n v="0"/>
    <n v="7"/>
    <n v="7"/>
    <n v="7"/>
    <n v="6"/>
    <n v="6"/>
    <n v="6"/>
    <n v="6"/>
    <n v="7"/>
    <n v="7"/>
    <n v="7"/>
    <m/>
    <m/>
    <m/>
    <n v="167"/>
    <n v="0"/>
    <s v="650N"/>
    <n v="4"/>
    <x v="0"/>
    <n v="16191.477272727272"/>
    <m/>
    <n v="0"/>
    <x v="6"/>
  </r>
  <r>
    <s v="BC79"/>
    <x v="324"/>
    <s v="400W/150N"/>
    <m/>
    <x v="44"/>
    <x v="55"/>
    <n v="2693"/>
    <n v="20"/>
    <s v="AC"/>
    <s v="BC"/>
    <n v="0"/>
    <n v="7"/>
    <n v="8"/>
    <n v="8"/>
    <n v="7"/>
    <n v="7"/>
    <n v="7"/>
    <n v="7"/>
    <n v="7"/>
    <n v="7"/>
    <n v="7"/>
    <n v="2024"/>
    <n v="2023"/>
    <s v="Y"/>
    <n v="927"/>
    <n v="0.5"/>
    <s v="400W"/>
    <n v="3.5"/>
    <x v="4"/>
    <n v="56104.166666666664"/>
    <m/>
    <n v="0"/>
    <x v="3"/>
  </r>
  <r>
    <s v="BC78"/>
    <x v="325"/>
    <s v="400W/200N"/>
    <m/>
    <x v="55"/>
    <x v="51"/>
    <n v="2693"/>
    <n v="20"/>
    <s v="AC"/>
    <s v="BC"/>
    <n v="0"/>
    <n v="7"/>
    <n v="7"/>
    <n v="7"/>
    <n v="6"/>
    <n v="6"/>
    <n v="7"/>
    <n v="7"/>
    <n v="7"/>
    <n v="6"/>
    <n v="6"/>
    <n v="2024"/>
    <n v="2023"/>
    <s v="Y"/>
    <n v="922"/>
    <n v="0.5"/>
    <s v="400W"/>
    <n v="4.5"/>
    <x v="4"/>
    <n v="56104.166666666664"/>
    <m/>
    <n v="0"/>
    <x v="3"/>
  </r>
  <r>
    <s v="BC77"/>
    <x v="326"/>
    <s v="400W/300N"/>
    <m/>
    <x v="35"/>
    <x v="36"/>
    <n v="5386"/>
    <n v="20"/>
    <s v="CS"/>
    <s v="BC"/>
    <n v="0"/>
    <n v="7"/>
    <n v="7"/>
    <n v="7"/>
    <n v="7"/>
    <n v="7"/>
    <n v="6"/>
    <n v="6"/>
    <n v="6"/>
    <n v="6"/>
    <n v="6"/>
    <n v="2023"/>
    <n v="2023"/>
    <s v="Y"/>
    <n v="665"/>
    <n v="0.5"/>
    <s v="400W"/>
    <n v="3.5"/>
    <x v="0"/>
    <n v="21421.590909090908"/>
    <m/>
    <n v="0"/>
    <x v="4"/>
  </r>
  <r>
    <s v="SC93"/>
    <x v="327"/>
    <s v="400W/300S"/>
    <m/>
    <x v="63"/>
    <x v="26"/>
    <n v="5345"/>
    <n v="20"/>
    <s v="CS"/>
    <s v="SC"/>
    <n v="0"/>
    <n v="7"/>
    <n v="7"/>
    <n v="6"/>
    <n v="6"/>
    <n v="6"/>
    <n v="7"/>
    <n v="7"/>
    <n v="7"/>
    <n v="7"/>
    <n v="7"/>
    <m/>
    <m/>
    <m/>
    <n v="240"/>
    <n v="0"/>
    <s v="400W"/>
    <n v="4"/>
    <x v="0"/>
    <n v="21258.522727272728"/>
    <m/>
    <n v="0"/>
    <x v="3"/>
  </r>
  <r>
    <s v="B39"/>
    <x v="328"/>
    <s v="1000N/1200E"/>
    <m/>
    <x v="104"/>
    <x v="109"/>
    <n v="5485"/>
    <n v="20"/>
    <s v="AC"/>
    <s v="B"/>
    <n v="0"/>
    <n v="8"/>
    <n v="7"/>
    <n v="7"/>
    <n v="7"/>
    <n v="7"/>
    <n v="6"/>
    <n v="7"/>
    <n v="7"/>
    <n v="7"/>
    <n v="7"/>
    <m/>
    <m/>
    <m/>
    <n v="159"/>
    <n v="0"/>
    <s v="1000N"/>
    <n v="3"/>
    <x v="0"/>
    <n v="21815.340909090908"/>
    <m/>
    <n v="0"/>
    <x v="6"/>
  </r>
  <r>
    <s v="SC94"/>
    <x v="329"/>
    <s v="400W/400S"/>
    <m/>
    <x v="10"/>
    <x v="52"/>
    <n v="3500"/>
    <n v="20"/>
    <s v="CS"/>
    <s v="SC"/>
    <n v="0"/>
    <n v="8"/>
    <n v="6"/>
    <n v="7"/>
    <n v="6"/>
    <n v="6"/>
    <n v="6"/>
    <n v="6"/>
    <n v="6"/>
    <n v="6"/>
    <n v="7"/>
    <m/>
    <m/>
    <m/>
    <n v="356"/>
    <n v="0"/>
    <s v="400W"/>
    <n v="4"/>
    <x v="0"/>
    <n v="13920.454545454546"/>
    <m/>
    <n v="0"/>
    <x v="2"/>
  </r>
  <r>
    <s v="B28"/>
    <x v="330"/>
    <s v="900N/1000E"/>
    <m/>
    <x v="20"/>
    <x v="102"/>
    <n v="5240"/>
    <n v="20"/>
    <s v="AC"/>
    <s v="B"/>
    <n v="0"/>
    <n v="5"/>
    <n v="5"/>
    <n v="5"/>
    <n v="5"/>
    <n v="5"/>
    <n v="5"/>
    <n v="8"/>
    <n v="8"/>
    <n v="8"/>
    <n v="8"/>
    <m/>
    <m/>
    <m/>
    <n v="149"/>
    <n v="0"/>
    <s v="900N"/>
    <n v="5"/>
    <x v="0"/>
    <n v="20840.909090909092"/>
    <m/>
    <n v="0"/>
    <x v="6"/>
  </r>
  <r>
    <s v="BC74"/>
    <x v="331"/>
    <s v="400W/600N"/>
    <m/>
    <x v="77"/>
    <x v="3"/>
    <n v="5110"/>
    <n v="20"/>
    <s v="AC"/>
    <s v="BC"/>
    <n v="0"/>
    <n v="6"/>
    <n v="6"/>
    <n v="6"/>
    <n v="5"/>
    <n v="4"/>
    <n v="7"/>
    <n v="6"/>
    <n v="6"/>
    <n v="6"/>
    <n v="8"/>
    <m/>
    <m/>
    <m/>
    <n v="214"/>
    <n v="0"/>
    <s v="400W"/>
    <n v="6"/>
    <x v="4"/>
    <n v="106458.33333333333"/>
    <m/>
    <n v="0"/>
    <x v="2"/>
  </r>
  <r>
    <s v="V69"/>
    <x v="332"/>
    <s v="400W/700N"/>
    <m/>
    <x v="77"/>
    <x v="82"/>
    <n v="5330"/>
    <n v="20"/>
    <s v="G"/>
    <s v="V"/>
    <n v="0"/>
    <n v="6"/>
    <n v="6"/>
    <n v="6"/>
    <n v="6"/>
    <n v="6"/>
    <n v="6"/>
    <n v="6"/>
    <n v="6"/>
    <n v="6"/>
    <n v="6"/>
    <m/>
    <m/>
    <m/>
    <n v="124"/>
    <n v="0"/>
    <s v="400W"/>
    <n v="4"/>
    <x v="4"/>
    <n v="111041.66666666667"/>
    <n v="1"/>
    <n v="111041.66666666667"/>
    <x v="0"/>
  </r>
  <r>
    <s v="V71"/>
    <x v="333"/>
    <s v="400W/900N"/>
    <m/>
    <x v="7"/>
    <x v="88"/>
    <n v="5285"/>
    <n v="20"/>
    <s v="CS"/>
    <s v="V"/>
    <n v="0"/>
    <n v="6"/>
    <n v="6"/>
    <n v="6"/>
    <n v="5"/>
    <n v="5"/>
    <n v="8"/>
    <n v="8"/>
    <n v="8"/>
    <n v="7"/>
    <n v="7"/>
    <m/>
    <m/>
    <m/>
    <n v="178"/>
    <n v="0"/>
    <s v="400W"/>
    <n v="5"/>
    <x v="0"/>
    <n v="21019.886363636364"/>
    <m/>
    <n v="0"/>
    <x v="3"/>
  </r>
  <r>
    <s v="SC96"/>
    <x v="334"/>
    <s v="400W/FAUT RD"/>
    <m/>
    <x v="96"/>
    <x v="54"/>
    <n v="2644"/>
    <n v="20"/>
    <s v="AC"/>
    <s v="SC"/>
    <n v="0"/>
    <n v="7"/>
    <n v="7"/>
    <n v="7"/>
    <n v="6"/>
    <n v="6"/>
    <n v="5"/>
    <n v="5"/>
    <n v="8"/>
    <n v="8"/>
    <n v="8"/>
    <m/>
    <m/>
    <m/>
    <n v="173"/>
    <n v="0"/>
    <s v="400W"/>
    <n v="4"/>
    <x v="0"/>
    <n v="10515.90909090909"/>
    <m/>
    <n v="0"/>
    <x v="4"/>
  </r>
  <r>
    <s v="V70"/>
    <x v="335"/>
    <s v="400W/SR234"/>
    <m/>
    <x v="65"/>
    <x v="6"/>
    <n v="5386"/>
    <n v="20"/>
    <s v="AC"/>
    <s v="V"/>
    <n v="0"/>
    <n v="6"/>
    <n v="6"/>
    <n v="6"/>
    <n v="6"/>
    <n v="6"/>
    <n v="6"/>
    <n v="6"/>
    <n v="8"/>
    <n v="7"/>
    <n v="7"/>
    <m/>
    <m/>
    <m/>
    <n v="147"/>
    <n v="0"/>
    <s v="400W"/>
    <n v="4"/>
    <x v="4"/>
    <n v="112208.33333333333"/>
    <m/>
    <n v="0"/>
    <x v="2"/>
  </r>
  <r>
    <s v="V72"/>
    <x v="336"/>
    <s v="400W/SR67"/>
    <m/>
    <x v="5"/>
    <x v="100"/>
    <n v="785"/>
    <n v="20"/>
    <s v="AC"/>
    <s v="V"/>
    <n v="0"/>
    <n v="7"/>
    <n v="7"/>
    <n v="7"/>
    <n v="7"/>
    <n v="7"/>
    <n v="6"/>
    <n v="7"/>
    <n v="7"/>
    <n v="7"/>
    <n v="7"/>
    <m/>
    <m/>
    <m/>
    <n v="209"/>
    <n v="0"/>
    <s v="400W"/>
    <n v="3"/>
    <x v="4"/>
    <n v="16354.166666666666"/>
    <n v="1"/>
    <n v="16354.166666666666"/>
    <x v="3"/>
  </r>
  <r>
    <s v="SC91"/>
    <x v="337"/>
    <s v="400W/US40"/>
    <m/>
    <x v="71"/>
    <x v="83"/>
    <n v="3110"/>
    <n v="20"/>
    <s v="AC"/>
    <s v="SC"/>
    <n v="0"/>
    <n v="8"/>
    <n v="7"/>
    <n v="8"/>
    <n v="8"/>
    <n v="8"/>
    <n v="8"/>
    <n v="8"/>
    <n v="8"/>
    <n v="8"/>
    <n v="8"/>
    <n v="2023"/>
    <n v="2023"/>
    <s v="Y"/>
    <n v="1221"/>
    <n v="0.5"/>
    <s v="400W"/>
    <n v="2.5"/>
    <x v="0"/>
    <n v="12369.318181818182"/>
    <m/>
    <n v="0"/>
    <x v="4"/>
  </r>
  <r>
    <s v="SC95"/>
    <x v="338"/>
    <s v="400W/US52"/>
    <m/>
    <x v="52"/>
    <x v="101"/>
    <n v="4468"/>
    <n v="20"/>
    <s v="AC"/>
    <s v="SC"/>
    <n v="0"/>
    <n v="7"/>
    <n v="6"/>
    <n v="7"/>
    <n v="6"/>
    <n v="6"/>
    <n v="5"/>
    <n v="5"/>
    <n v="8"/>
    <n v="8"/>
    <n v="8"/>
    <m/>
    <m/>
    <m/>
    <n v="173"/>
    <n v="0"/>
    <s v="400W"/>
    <n v="4"/>
    <x v="0"/>
    <n v="17770.454545454544"/>
    <m/>
    <n v="0"/>
    <x v="4"/>
  </r>
  <r>
    <s v="SC90"/>
    <x v="339"/>
    <s v="425W/200S"/>
    <m/>
    <x v="63"/>
    <x v="64"/>
    <n v="5340"/>
    <n v="20"/>
    <s v="AC"/>
    <s v="SC"/>
    <n v="0"/>
    <n v="6"/>
    <n v="6"/>
    <n v="4"/>
    <n v="8"/>
    <n v="8"/>
    <n v="8"/>
    <n v="7"/>
    <n v="7"/>
    <n v="7"/>
    <n v="7"/>
    <m/>
    <m/>
    <m/>
    <n v="240"/>
    <n v="0"/>
    <s v="425W"/>
    <n v="2"/>
    <x v="0"/>
    <n v="21238.636363636364"/>
    <m/>
    <n v="0"/>
    <x v="3"/>
  </r>
  <r>
    <s v="C81"/>
    <x v="340"/>
    <s v="450E/400N"/>
    <m/>
    <x v="3"/>
    <x v="36"/>
    <n v="5320"/>
    <n v="20"/>
    <s v="P"/>
    <s v="C"/>
    <n v="0"/>
    <n v="4"/>
    <n v="4"/>
    <n v="10"/>
    <n v="9"/>
    <n v="9"/>
    <n v="8"/>
    <n v="8"/>
    <n v="7"/>
    <n v="7"/>
    <n v="7"/>
    <m/>
    <m/>
    <m/>
    <n v="447"/>
    <n v="0"/>
    <s v="450E"/>
    <n v="1"/>
    <x v="2"/>
    <n v="32242.424242424244"/>
    <m/>
    <n v="0"/>
    <x v="5"/>
  </r>
  <r>
    <s v="J36"/>
    <x v="341"/>
    <s v="450N/E. CO. LINE"/>
    <m/>
    <x v="67"/>
    <x v="69"/>
    <n v="2950"/>
    <n v="20"/>
    <s v="AC"/>
    <s v="J"/>
    <n v="0"/>
    <n v="5"/>
    <n v="5"/>
    <n v="5"/>
    <n v="5"/>
    <n v="5"/>
    <n v="9"/>
    <n v="8"/>
    <n v="7"/>
    <n v="7"/>
    <n v="7"/>
    <m/>
    <m/>
    <m/>
    <n v="50"/>
    <n v="0"/>
    <s v="450N"/>
    <n v="5"/>
    <x v="0"/>
    <n v="11732.954545454546"/>
    <n v="1"/>
    <n v="11732.954545454546"/>
    <x v="3"/>
  </r>
  <r>
    <s v="BR12"/>
    <x v="342"/>
    <s v="450S/800E"/>
    <m/>
    <x v="38"/>
    <x v="68"/>
    <n v="5370"/>
    <n v="20"/>
    <s v="CS"/>
    <s v="BR"/>
    <n v="0"/>
    <n v="5"/>
    <n v="4"/>
    <n v="4"/>
    <n v="9"/>
    <n v="9"/>
    <n v="9"/>
    <n v="7"/>
    <n v="7"/>
    <n v="7"/>
    <n v="7"/>
    <m/>
    <m/>
    <m/>
    <n v="50"/>
    <n v="0"/>
    <s v="450S"/>
    <n v="1"/>
    <x v="0"/>
    <n v="21357.954545454544"/>
    <n v="1"/>
    <n v="21357.954545454544"/>
    <x v="0"/>
  </r>
  <r>
    <s v="BR13"/>
    <x v="343"/>
    <s v="450S/900E"/>
    <m/>
    <x v="38"/>
    <x v="77"/>
    <n v="5430"/>
    <n v="20"/>
    <s v="CS"/>
    <s v="BR"/>
    <n v="0"/>
    <n v="4"/>
    <n v="4"/>
    <n v="4"/>
    <n v="10"/>
    <n v="9"/>
    <n v="9"/>
    <n v="8"/>
    <n v="7"/>
    <n v="7"/>
    <n v="7"/>
    <m/>
    <m/>
    <m/>
    <n v="50"/>
    <n v="0"/>
    <s v="450S"/>
    <n v="1"/>
    <x v="1"/>
    <n v="5553.409090909091"/>
    <m/>
    <n v="0"/>
    <x v="2"/>
  </r>
  <r>
    <s v="J82"/>
    <x v="344"/>
    <s v="GRANDISON RD/250N"/>
    <m/>
    <x v="55"/>
    <x v="56"/>
    <n v="5304"/>
    <n v="20"/>
    <s v="AC"/>
    <s v="J"/>
    <n v="0"/>
    <n v="6"/>
    <n v="6"/>
    <n v="6"/>
    <n v="5"/>
    <n v="5"/>
    <n v="5"/>
    <n v="7"/>
    <n v="7"/>
    <n v="7"/>
    <n v="7"/>
    <m/>
    <m/>
    <m/>
    <n v="148"/>
    <n v="0"/>
    <s v="GRANDISON RD."/>
    <n v="5"/>
    <x v="0"/>
    <n v="21095.454545454544"/>
    <m/>
    <n v="0"/>
    <x v="6"/>
  </r>
  <r>
    <s v="SC89"/>
    <x v="345"/>
    <s v="450W/S. NEW PAL"/>
    <m/>
    <x v="72"/>
    <x v="110"/>
    <n v="6470"/>
    <n v="20"/>
    <s v="CS"/>
    <s v="SC"/>
    <n v="0"/>
    <n v="6"/>
    <n v="6"/>
    <n v="6"/>
    <n v="6"/>
    <n v="9"/>
    <n v="8"/>
    <n v="8"/>
    <n v="8"/>
    <n v="7"/>
    <n v="7"/>
    <m/>
    <m/>
    <m/>
    <n v="716"/>
    <n v="0.5"/>
    <s v="450W"/>
    <n v="1.5"/>
    <x v="3"/>
    <n v="56367.42424242424"/>
    <n v="1"/>
    <n v="56367.42424242424"/>
    <x v="0"/>
  </r>
  <r>
    <s v="V68"/>
    <x v="346"/>
    <s v="475W/SR234"/>
    <m/>
    <x v="7"/>
    <x v="82"/>
    <n v="5287"/>
    <n v="20"/>
    <s v="CS"/>
    <s v="V"/>
    <n v="0"/>
    <n v="4"/>
    <n v="3"/>
    <n v="10"/>
    <n v="9"/>
    <n v="8"/>
    <n v="7"/>
    <n v="7"/>
    <n v="6"/>
    <n v="6"/>
    <n v="6"/>
    <m/>
    <m/>
    <m/>
    <n v="27"/>
    <n v="0"/>
    <s v="475W"/>
    <n v="2"/>
    <x v="0"/>
    <n v="21027.840909090908"/>
    <m/>
    <n v="0"/>
    <x v="2"/>
  </r>
  <r>
    <s v="G68"/>
    <x v="347"/>
    <s v="500E/1000N"/>
    <m/>
    <x v="5"/>
    <x v="61"/>
    <n v="5280"/>
    <n v="20"/>
    <s v="CS"/>
    <s v="G"/>
    <n v="0"/>
    <n v="7"/>
    <n v="7"/>
    <n v="7"/>
    <n v="7"/>
    <n v="7"/>
    <n v="8"/>
    <n v="8"/>
    <n v="6"/>
    <n v="6"/>
    <n v="8"/>
    <m/>
    <m/>
    <m/>
    <n v="49"/>
    <n v="0"/>
    <s v="500E"/>
    <n v="3"/>
    <x v="0"/>
    <n v="21000"/>
    <m/>
    <n v="0"/>
    <x v="2"/>
  </r>
  <r>
    <s v="V75"/>
    <x v="348"/>
    <s v="300W/700N"/>
    <m/>
    <x v="77"/>
    <x v="82"/>
    <n v="5326"/>
    <n v="20"/>
    <s v="CS"/>
    <s v="V"/>
    <n v="0"/>
    <n v="7"/>
    <n v="7"/>
    <n v="7"/>
    <n v="5"/>
    <n v="5"/>
    <n v="5"/>
    <n v="7"/>
    <n v="7"/>
    <n v="6"/>
    <n v="6"/>
    <m/>
    <m/>
    <m/>
    <n v="147"/>
    <n v="0"/>
    <s v="300W"/>
    <n v="5"/>
    <x v="0"/>
    <n v="21182.954545454544"/>
    <m/>
    <n v="0"/>
    <x v="6"/>
  </r>
  <r>
    <s v="BR52"/>
    <x v="349"/>
    <s v="500E/100S"/>
    <m/>
    <x v="62"/>
    <x v="63"/>
    <n v="5374"/>
    <n v="20"/>
    <s v="AC"/>
    <s v="BR"/>
    <n v="0"/>
    <n v="5"/>
    <n v="5"/>
    <n v="5"/>
    <n v="8"/>
    <n v="8"/>
    <n v="7"/>
    <n v="7"/>
    <n v="7"/>
    <n v="7"/>
    <n v="7"/>
    <m/>
    <m/>
    <m/>
    <n v="300"/>
    <n v="0"/>
    <s v="500E"/>
    <n v="2"/>
    <x v="0"/>
    <n v="21373.863636363636"/>
    <m/>
    <n v="0"/>
    <x v="2"/>
  </r>
  <r>
    <s v="G69"/>
    <x v="350"/>
    <s v="500E/1100N"/>
    <m/>
    <x v="105"/>
    <x v="61"/>
    <n v="5280"/>
    <n v="20"/>
    <s v="CS"/>
    <s v="G"/>
    <n v="0"/>
    <n v="7"/>
    <n v="7"/>
    <n v="7"/>
    <n v="6"/>
    <n v="6"/>
    <n v="9"/>
    <n v="8"/>
    <n v="6"/>
    <n v="5"/>
    <n v="8"/>
    <m/>
    <m/>
    <m/>
    <n v="64"/>
    <n v="0"/>
    <s v="500E"/>
    <n v="4"/>
    <x v="0"/>
    <n v="21000"/>
    <m/>
    <n v="0"/>
    <x v="2"/>
  </r>
  <r>
    <s v="BR28"/>
    <x v="351"/>
    <s v="200S/500E"/>
    <m/>
    <x v="30"/>
    <x v="14"/>
    <n v="5360"/>
    <n v="20"/>
    <s v="AC"/>
    <s v="BR"/>
    <n v="0"/>
    <n v="6"/>
    <n v="5"/>
    <n v="5"/>
    <n v="5"/>
    <n v="5"/>
    <n v="5"/>
    <n v="9"/>
    <n v="8"/>
    <n v="7"/>
    <n v="7"/>
    <m/>
    <m/>
    <m/>
    <n v="141"/>
    <n v="0"/>
    <s v="200S"/>
    <n v="5"/>
    <x v="0"/>
    <n v="21318.18181818182"/>
    <m/>
    <n v="0"/>
    <x v="6"/>
  </r>
  <r>
    <s v="BR51"/>
    <x v="352"/>
    <s v="500E/200S"/>
    <m/>
    <x v="63"/>
    <x v="64"/>
    <n v="5300"/>
    <n v="20"/>
    <s v="AC"/>
    <s v="BR"/>
    <n v="0"/>
    <n v="6"/>
    <n v="6"/>
    <n v="6"/>
    <n v="6"/>
    <n v="6"/>
    <n v="8"/>
    <n v="7"/>
    <n v="7"/>
    <n v="7"/>
    <n v="7"/>
    <m/>
    <m/>
    <m/>
    <n v="226"/>
    <n v="0"/>
    <s v="500E"/>
    <n v="4"/>
    <x v="0"/>
    <n v="21079.545454545456"/>
    <m/>
    <n v="0"/>
    <x v="4"/>
  </r>
  <r>
    <s v="C72"/>
    <x v="353"/>
    <s v="300E/600N"/>
    <m/>
    <x v="77"/>
    <x v="3"/>
    <n v="5110"/>
    <n v="20"/>
    <s v="CS"/>
    <s v="C"/>
    <n v="0"/>
    <n v="7"/>
    <n v="6"/>
    <n v="6"/>
    <n v="6"/>
    <n v="6"/>
    <n v="6"/>
    <n v="8"/>
    <n v="7"/>
    <n v="7"/>
    <n v="7"/>
    <m/>
    <m/>
    <m/>
    <n v="141"/>
    <n v="0"/>
    <s v="300E"/>
    <n v="4"/>
    <x v="0"/>
    <n v="20323.863636363636"/>
    <m/>
    <n v="0"/>
    <x v="6"/>
  </r>
  <r>
    <s v="C87"/>
    <x v="354"/>
    <s v="500E/300N"/>
    <m/>
    <x v="50"/>
    <x v="53"/>
    <n v="1307"/>
    <n v="20"/>
    <s v="CS"/>
    <s v="C"/>
    <n v="0"/>
    <n v="5"/>
    <n v="4"/>
    <n v="4"/>
    <n v="8"/>
    <n v="8"/>
    <n v="8"/>
    <n v="7"/>
    <n v="7"/>
    <n v="7"/>
    <n v="7"/>
    <m/>
    <m/>
    <m/>
    <n v="50"/>
    <n v="0"/>
    <s v="500E"/>
    <n v="2"/>
    <x v="0"/>
    <n v="5198.295454545455"/>
    <m/>
    <n v="0"/>
    <x v="2"/>
  </r>
  <r>
    <s v="BR50"/>
    <x v="355"/>
    <s v="500E/300S"/>
    <m/>
    <x v="10"/>
    <x v="11"/>
    <n v="5338"/>
    <n v="20"/>
    <s v="AC"/>
    <s v="BR"/>
    <n v="0"/>
    <n v="6"/>
    <n v="6"/>
    <n v="6"/>
    <n v="6"/>
    <n v="6"/>
    <n v="8"/>
    <n v="7"/>
    <n v="7"/>
    <n v="7"/>
    <n v="7"/>
    <m/>
    <m/>
    <m/>
    <n v="194"/>
    <n v="0"/>
    <s v="500E"/>
    <n v="4"/>
    <x v="0"/>
    <n v="21230.68181818182"/>
    <m/>
    <n v="0"/>
    <x v="4"/>
  </r>
  <r>
    <s v="BR49"/>
    <x v="356"/>
    <s v="500E/400S"/>
    <m/>
    <x v="24"/>
    <x v="26"/>
    <n v="5323"/>
    <n v="20"/>
    <s v="AC"/>
    <s v="BR"/>
    <n v="0"/>
    <n v="5"/>
    <n v="7"/>
    <n v="7"/>
    <n v="6"/>
    <n v="5"/>
    <n v="8"/>
    <n v="7"/>
    <n v="7"/>
    <n v="7"/>
    <n v="7"/>
    <m/>
    <m/>
    <m/>
    <n v="148"/>
    <n v="0"/>
    <s v="500E"/>
    <n v="5"/>
    <x v="0"/>
    <n v="21171.022727272728"/>
    <m/>
    <n v="0"/>
    <x v="4"/>
  </r>
  <r>
    <s v="BR48"/>
    <x v="357"/>
    <s v="500E/500S"/>
    <m/>
    <x v="24"/>
    <x v="111"/>
    <n v="2650"/>
    <n v="20"/>
    <s v="CS"/>
    <s v="BR"/>
    <n v="0"/>
    <n v="8"/>
    <n v="7"/>
    <n v="7"/>
    <n v="7"/>
    <n v="7"/>
    <n v="7"/>
    <n v="7"/>
    <n v="7"/>
    <n v="7"/>
    <n v="7"/>
    <m/>
    <m/>
    <m/>
    <n v="50"/>
    <n v="0"/>
    <s v="500E"/>
    <n v="3"/>
    <x v="0"/>
    <n v="10539.772727272728"/>
    <m/>
    <n v="0"/>
    <x v="5"/>
  </r>
  <r>
    <s v="BR47"/>
    <x v="358"/>
    <s v="500E/550S"/>
    <m/>
    <x v="106"/>
    <x v="54"/>
    <n v="2880"/>
    <n v="20"/>
    <s v="CS"/>
    <s v="BR"/>
    <n v="0"/>
    <n v="7"/>
    <n v="7"/>
    <n v="7"/>
    <n v="6"/>
    <n v="6"/>
    <n v="6"/>
    <n v="6"/>
    <n v="6"/>
    <n v="8"/>
    <n v="8"/>
    <m/>
    <m/>
    <m/>
    <n v="50"/>
    <n v="0"/>
    <s v="500E"/>
    <n v="4"/>
    <x v="0"/>
    <n v="11454.545454545454"/>
    <m/>
    <n v="0"/>
    <x v="5"/>
  </r>
  <r>
    <s v="G64"/>
    <x v="359"/>
    <s v="500E/650N"/>
    <m/>
    <x v="99"/>
    <x v="1"/>
    <n v="2693"/>
    <n v="20"/>
    <s v="P"/>
    <s v="G"/>
    <n v="0"/>
    <n v="4"/>
    <n v="3"/>
    <n v="10"/>
    <n v="9"/>
    <n v="8"/>
    <n v="7"/>
    <n v="7"/>
    <n v="7"/>
    <n v="7"/>
    <n v="7"/>
    <m/>
    <m/>
    <m/>
    <n v="105"/>
    <n v="0"/>
    <s v="500E"/>
    <n v="2"/>
    <x v="2"/>
    <n v="16321.212121212122"/>
    <m/>
    <n v="0"/>
    <x v="5"/>
  </r>
  <r>
    <s v="G65"/>
    <x v="360"/>
    <s v="500E/700N"/>
    <m/>
    <x v="65"/>
    <x v="5"/>
    <n v="2851"/>
    <n v="20"/>
    <s v="CS"/>
    <s v="G"/>
    <n v="0"/>
    <n v="7"/>
    <n v="7"/>
    <n v="7"/>
    <n v="7"/>
    <n v="7"/>
    <n v="6"/>
    <n v="6"/>
    <n v="6"/>
    <n v="7"/>
    <n v="7"/>
    <m/>
    <m/>
    <m/>
    <n v="36"/>
    <n v="0"/>
    <s v="500E"/>
    <n v="3"/>
    <x v="0"/>
    <n v="11339.204545454546"/>
    <m/>
    <n v="0"/>
    <x v="5"/>
  </r>
  <r>
    <s v="G67"/>
    <x v="361"/>
    <s v="500E/900N"/>
    <m/>
    <x v="7"/>
    <x v="88"/>
    <n v="5370"/>
    <n v="20"/>
    <s v="G"/>
    <s v="G"/>
    <n v="0"/>
    <n v="6"/>
    <n v="6"/>
    <n v="6"/>
    <n v="7"/>
    <n v="7"/>
    <n v="7"/>
    <n v="7"/>
    <n v="7"/>
    <n v="7"/>
    <n v="7"/>
    <m/>
    <m/>
    <m/>
    <n v="113"/>
    <n v="0"/>
    <s v="500E"/>
    <n v="3"/>
    <x v="2"/>
    <n v="32545.454545454544"/>
    <m/>
    <n v="0"/>
    <x v="3"/>
  </r>
  <r>
    <s v="C86"/>
    <x v="362"/>
    <s v="500E/I70"/>
    <m/>
    <x v="56"/>
    <x v="53"/>
    <n v="654"/>
    <n v="20"/>
    <s v="CS"/>
    <s v="C"/>
    <n v="0"/>
    <n v="4"/>
    <n v="3"/>
    <n v="8"/>
    <n v="8"/>
    <n v="8"/>
    <n v="7"/>
    <n v="7"/>
    <n v="7"/>
    <n v="7"/>
    <n v="7"/>
    <m/>
    <m/>
    <m/>
    <n v="50"/>
    <n v="0"/>
    <s v="500E"/>
    <n v="2"/>
    <x v="0"/>
    <n v="2601.1363636363635"/>
    <m/>
    <n v="0"/>
    <x v="2"/>
  </r>
  <r>
    <s v="BR53"/>
    <x v="363"/>
    <s v="500E/N. TWP LINE"/>
    <m/>
    <x v="71"/>
    <x v="112"/>
    <n v="5011"/>
    <n v="20"/>
    <s v="CS"/>
    <s v="BR"/>
    <n v="0"/>
    <n v="6"/>
    <n v="6"/>
    <n v="6"/>
    <n v="5"/>
    <n v="8"/>
    <n v="8"/>
    <n v="7"/>
    <n v="7"/>
    <n v="7"/>
    <n v="7"/>
    <m/>
    <m/>
    <m/>
    <n v="326"/>
    <n v="0"/>
    <s v="500E"/>
    <n v="2"/>
    <x v="0"/>
    <n v="19930.113636363636"/>
    <n v="1"/>
    <n v="19930.113636363636"/>
    <x v="0"/>
  </r>
  <r>
    <s v="G66"/>
    <x v="364"/>
    <s v="500E/SR234"/>
    <m/>
    <x v="7"/>
    <x v="82"/>
    <n v="7974"/>
    <n v="20"/>
    <s v="CS"/>
    <s v="G"/>
    <n v="0"/>
    <n v="7"/>
    <n v="7"/>
    <n v="7"/>
    <n v="7"/>
    <n v="7"/>
    <n v="6"/>
    <n v="6"/>
    <n v="6"/>
    <n v="7"/>
    <n v="7"/>
    <m/>
    <m/>
    <m/>
    <n v="26"/>
    <n v="0"/>
    <s v="500E"/>
    <n v="3"/>
    <x v="3"/>
    <n v="69470.454545454544"/>
    <m/>
    <n v="0"/>
    <x v="5"/>
  </r>
  <r>
    <s v="C82"/>
    <x v="365"/>
    <s v="500E/US40"/>
    <m/>
    <x v="107"/>
    <x v="83"/>
    <n v="760"/>
    <n v="20"/>
    <s v="AC"/>
    <s v="C"/>
    <n v="0"/>
    <n v="8"/>
    <n v="6"/>
    <n v="6"/>
    <n v="8"/>
    <n v="8"/>
    <n v="8"/>
    <n v="8"/>
    <n v="8"/>
    <n v="7"/>
    <n v="7"/>
    <m/>
    <m/>
    <m/>
    <n v="326"/>
    <n v="0"/>
    <s v="500E"/>
    <n v="2"/>
    <x v="0"/>
    <n v="3022.7272727272725"/>
    <n v="1"/>
    <n v="3022.7272727272725"/>
    <x v="0"/>
  </r>
  <r>
    <s v="J42"/>
    <x v="366"/>
    <s v="500N/1000E"/>
    <m/>
    <x v="70"/>
    <x v="102"/>
    <n v="5445"/>
    <n v="20"/>
    <s v="AC"/>
    <s v="J"/>
    <n v="0"/>
    <n v="9"/>
    <n v="7"/>
    <n v="7"/>
    <n v="7"/>
    <n v="7"/>
    <n v="7"/>
    <n v="7"/>
    <n v="7"/>
    <n v="7"/>
    <n v="7"/>
    <m/>
    <m/>
    <m/>
    <n v="50"/>
    <n v="0"/>
    <s v="500N"/>
    <n v="3"/>
    <x v="0"/>
    <n v="21656.25"/>
    <m/>
    <n v="0"/>
    <x v="4"/>
  </r>
  <r>
    <s v="J43"/>
    <x v="367"/>
    <s v="500N/1050E"/>
    <m/>
    <x v="8"/>
    <x v="86"/>
    <n v="2746"/>
    <n v="20"/>
    <s v="AC"/>
    <s v="J"/>
    <n v="0"/>
    <n v="7"/>
    <n v="7"/>
    <n v="7"/>
    <n v="7"/>
    <n v="6"/>
    <n v="6"/>
    <n v="6"/>
    <n v="6"/>
    <n v="7"/>
    <n v="7"/>
    <m/>
    <m/>
    <m/>
    <n v="50"/>
    <n v="0"/>
    <s v="500N"/>
    <n v="4"/>
    <x v="3"/>
    <n v="23923.484848484848"/>
    <m/>
    <n v="0"/>
    <x v="5"/>
  </r>
  <r>
    <s v="V17"/>
    <x v="368"/>
    <s v="500N/200W"/>
    <m/>
    <x v="28"/>
    <x v="28"/>
    <n v="5290"/>
    <n v="20"/>
    <s v="CS"/>
    <s v="V"/>
    <n v="0"/>
    <n v="6"/>
    <n v="6"/>
    <n v="6"/>
    <n v="6"/>
    <n v="8"/>
    <n v="7"/>
    <n v="7"/>
    <n v="7"/>
    <n v="6"/>
    <n v="6"/>
    <n v="2023"/>
    <n v="2023"/>
    <s v="Y"/>
    <n v="288"/>
    <n v="0"/>
    <s v="500N"/>
    <n v="2"/>
    <x v="4"/>
    <n v="110208.33333333333"/>
    <n v="1"/>
    <n v="110208.33333333333"/>
    <x v="0"/>
  </r>
  <r>
    <s v="C41"/>
    <x v="369"/>
    <s v="500N/25W"/>
    <m/>
    <x v="91"/>
    <x v="113"/>
    <n v="3515"/>
    <n v="20"/>
    <s v="CS"/>
    <s v="C"/>
    <n v="0"/>
    <n v="8"/>
    <n v="7"/>
    <n v="8"/>
    <n v="7"/>
    <n v="7"/>
    <n v="7"/>
    <n v="7"/>
    <n v="6"/>
    <n v="6"/>
    <n v="7"/>
    <m/>
    <m/>
    <m/>
    <n v="100"/>
    <n v="0"/>
    <s v="500N"/>
    <n v="3"/>
    <x v="0"/>
    <n v="13980.113636363636"/>
    <m/>
    <n v="0"/>
    <x v="2"/>
  </r>
  <r>
    <s v="C44"/>
    <x v="370"/>
    <s v="500N/300E"/>
    <m/>
    <x v="21"/>
    <x v="104"/>
    <n v="8817"/>
    <n v="20"/>
    <s v="P"/>
    <s v="C"/>
    <n v="0"/>
    <n v="5"/>
    <n v="5"/>
    <n v="10"/>
    <n v="9"/>
    <n v="9"/>
    <n v="8"/>
    <n v="8"/>
    <n v="7"/>
    <n v="7"/>
    <n v="7"/>
    <m/>
    <m/>
    <m/>
    <n v="250"/>
    <n v="0"/>
    <s v="500N"/>
    <n v="1"/>
    <x v="2"/>
    <n v="53436.36363636364"/>
    <m/>
    <n v="0"/>
    <x v="5"/>
  </r>
  <r>
    <s v="BC38"/>
    <x v="371"/>
    <s v="500N/300W"/>
    <m/>
    <x v="28"/>
    <x v="31"/>
    <n v="5385"/>
    <n v="20"/>
    <s v="CS"/>
    <s v="BC"/>
    <n v="0"/>
    <n v="6"/>
    <n v="7"/>
    <n v="8"/>
    <n v="8"/>
    <n v="7"/>
    <n v="7"/>
    <n v="7"/>
    <n v="6"/>
    <n v="6"/>
    <n v="7"/>
    <n v="2023"/>
    <n v="2023"/>
    <s v="Y"/>
    <n v="685"/>
    <n v="0.5"/>
    <s v="500N"/>
    <n v="3.5"/>
    <x v="0"/>
    <n v="21417.613636363636"/>
    <m/>
    <n v="0"/>
    <x v="4"/>
  </r>
  <r>
    <s v="C45"/>
    <x v="372"/>
    <s v="500N/400E"/>
    <m/>
    <x v="85"/>
    <x v="73"/>
    <n v="5385"/>
    <n v="20"/>
    <s v="AC"/>
    <s v="C"/>
    <n v="0"/>
    <n v="6"/>
    <n v="6"/>
    <n v="6"/>
    <n v="6"/>
    <n v="6"/>
    <n v="6"/>
    <n v="8"/>
    <n v="8"/>
    <n v="7"/>
    <n v="7"/>
    <m/>
    <m/>
    <m/>
    <n v="175"/>
    <n v="0"/>
    <s v="500N"/>
    <n v="4"/>
    <x v="0"/>
    <n v="21417.613636363636"/>
    <m/>
    <n v="0"/>
    <x v="5"/>
  </r>
  <r>
    <s v="BC37"/>
    <x v="373"/>
    <s v="500N/400W"/>
    <m/>
    <x v="11"/>
    <x v="46"/>
    <n v="2710"/>
    <n v="20"/>
    <s v="AC"/>
    <s v="BC"/>
    <n v="0"/>
    <n v="5"/>
    <n v="5"/>
    <n v="7"/>
    <n v="7"/>
    <n v="7"/>
    <n v="7"/>
    <n v="7"/>
    <n v="6"/>
    <n v="6"/>
    <n v="7"/>
    <n v="2023"/>
    <n v="2023"/>
    <s v="Y"/>
    <n v="655"/>
    <n v="0.5"/>
    <s v="500N"/>
    <n v="3.5"/>
    <x v="0"/>
    <n v="10778.40909090909"/>
    <m/>
    <n v="0"/>
    <x v="4"/>
  </r>
  <r>
    <s v="BC36"/>
    <x v="374"/>
    <s v="500N/500W"/>
    <m/>
    <x v="43"/>
    <x v="46"/>
    <n v="4960"/>
    <n v="20"/>
    <s v="AC"/>
    <s v="BC"/>
    <n v="0"/>
    <n v="6"/>
    <n v="6"/>
    <n v="6"/>
    <n v="8"/>
    <n v="7"/>
    <n v="7"/>
    <n v="7"/>
    <n v="4"/>
    <n v="4"/>
    <n v="5"/>
    <n v="2023"/>
    <n v="2023"/>
    <s v="Y"/>
    <n v="954"/>
    <n v="0.5"/>
    <s v="500N"/>
    <n v="3.5"/>
    <x v="0"/>
    <n v="19727.272727272728"/>
    <m/>
    <n v="0"/>
    <x v="4"/>
  </r>
  <r>
    <s v="C42"/>
    <x v="375"/>
    <s v="500N/50E"/>
    <m/>
    <x v="108"/>
    <x v="45"/>
    <n v="5068"/>
    <n v="20"/>
    <s v="AC"/>
    <s v="C"/>
    <n v="0"/>
    <n v="8"/>
    <n v="6"/>
    <n v="6"/>
    <n v="6"/>
    <n v="6"/>
    <n v="6"/>
    <n v="6"/>
    <n v="6"/>
    <n v="6"/>
    <n v="6"/>
    <m/>
    <m/>
    <m/>
    <n v="280"/>
    <n v="0"/>
    <s v="500N"/>
    <n v="4"/>
    <x v="3"/>
    <n v="44153.030303030304"/>
    <n v="1"/>
    <n v="44153.030303030304"/>
    <x v="0"/>
  </r>
  <r>
    <s v="C46"/>
    <x v="376"/>
    <s v="500N/600E"/>
    <m/>
    <x v="30"/>
    <x v="24"/>
    <n v="10650"/>
    <n v="20"/>
    <s v="P"/>
    <s v="C"/>
    <n v="0"/>
    <n v="5"/>
    <n v="4"/>
    <n v="10"/>
    <n v="9"/>
    <n v="8"/>
    <n v="8"/>
    <n v="8"/>
    <n v="7"/>
    <n v="7"/>
    <n v="8"/>
    <m/>
    <m/>
    <m/>
    <n v="49"/>
    <n v="0"/>
    <s v="500N"/>
    <n v="2"/>
    <x v="2"/>
    <n v="64545.454545454544"/>
    <m/>
    <n v="0"/>
    <x v="5"/>
  </r>
  <r>
    <s v="BC35"/>
    <x v="377"/>
    <s v="500N/600W"/>
    <m/>
    <x v="33"/>
    <x v="34"/>
    <n v="5380"/>
    <n v="20"/>
    <s v="AC"/>
    <s v="BC"/>
    <n v="0"/>
    <n v="7"/>
    <n v="7"/>
    <n v="7"/>
    <n v="7"/>
    <n v="6"/>
    <n v="6"/>
    <n v="6"/>
    <n v="6"/>
    <n v="6"/>
    <n v="7"/>
    <n v="2023"/>
    <n v="2023"/>
    <s v="Y"/>
    <n v="1765"/>
    <n v="1"/>
    <s v="500N"/>
    <n v="5"/>
    <x v="0"/>
    <n v="21397.727272727272"/>
    <m/>
    <n v="0"/>
    <x v="2"/>
  </r>
  <r>
    <s v="J38"/>
    <x v="378"/>
    <s v="500N/700E"/>
    <m/>
    <x v="37"/>
    <x v="24"/>
    <n v="4475"/>
    <n v="20"/>
    <s v="CS"/>
    <s v="J"/>
    <n v="0"/>
    <n v="8"/>
    <n v="6"/>
    <n v="6"/>
    <n v="6"/>
    <m/>
    <n v="7"/>
    <n v="7"/>
    <n v="7"/>
    <n v="7"/>
    <n v="7"/>
    <m/>
    <m/>
    <m/>
    <n v="161"/>
    <n v="0"/>
    <s v="500N"/>
    <n v="10"/>
    <x v="0"/>
    <n v="17798.295454545456"/>
    <n v="1"/>
    <n v="17798.295454545456"/>
    <x v="0"/>
  </r>
  <r>
    <s v="BC34"/>
    <x v="379"/>
    <s v="500N/700W"/>
    <m/>
    <x v="51"/>
    <x v="48"/>
    <n v="5290"/>
    <n v="20"/>
    <s v="AC"/>
    <s v="BC"/>
    <n v="0"/>
    <n v="8"/>
    <n v="7"/>
    <n v="7"/>
    <n v="7"/>
    <n v="6"/>
    <n v="6"/>
    <n v="6"/>
    <n v="6"/>
    <n v="6"/>
    <n v="6"/>
    <n v="2023"/>
    <n v="2023"/>
    <s v="Y"/>
    <n v="2965"/>
    <n v="1.5"/>
    <s v="500N"/>
    <n v="5.5"/>
    <x v="4"/>
    <n v="110208.33333333333"/>
    <n v="1"/>
    <n v="110208.33333333333"/>
    <x v="0"/>
  </r>
  <r>
    <s v="J39"/>
    <x v="380"/>
    <s v="500N/800E"/>
    <m/>
    <x v="37"/>
    <x v="38"/>
    <n v="5420"/>
    <n v="20"/>
    <s v="AC"/>
    <s v="J"/>
    <n v="0"/>
    <n v="7"/>
    <n v="7"/>
    <n v="7"/>
    <n v="7"/>
    <n v="7"/>
    <n v="7"/>
    <n v="7"/>
    <n v="7"/>
    <n v="7"/>
    <n v="7"/>
    <m/>
    <m/>
    <m/>
    <n v="50"/>
    <n v="0"/>
    <s v="500N"/>
    <n v="3"/>
    <x v="0"/>
    <n v="21556.81818181818"/>
    <m/>
    <n v="0"/>
    <x v="5"/>
  </r>
  <r>
    <s v="J40"/>
    <x v="381"/>
    <s v="500N/850E"/>
    <m/>
    <x v="38"/>
    <x v="39"/>
    <n v="2710"/>
    <n v="20"/>
    <s v="AC"/>
    <s v="J"/>
    <n v="0"/>
    <n v="9"/>
    <n v="7"/>
    <n v="7"/>
    <n v="7"/>
    <n v="7"/>
    <n v="7"/>
    <n v="7"/>
    <n v="7"/>
    <n v="7"/>
    <n v="7"/>
    <m/>
    <m/>
    <m/>
    <n v="50"/>
    <n v="0"/>
    <s v="500N"/>
    <n v="3"/>
    <x v="0"/>
    <n v="10778.40909090909"/>
    <m/>
    <n v="0"/>
    <x v="4"/>
  </r>
  <r>
    <s v="J41"/>
    <x v="382"/>
    <s v="500N/900E"/>
    <m/>
    <x v="40"/>
    <x v="77"/>
    <n v="2745"/>
    <n v="20"/>
    <s v="AC"/>
    <s v="J"/>
    <n v="0"/>
    <n v="9"/>
    <n v="7"/>
    <n v="7"/>
    <n v="7"/>
    <n v="7"/>
    <n v="7"/>
    <n v="7"/>
    <n v="7"/>
    <n v="7"/>
    <n v="7"/>
    <m/>
    <m/>
    <m/>
    <n v="50"/>
    <n v="0"/>
    <s v="500N"/>
    <n v="3"/>
    <x v="0"/>
    <n v="10917.613636363636"/>
    <m/>
    <n v="0"/>
    <x v="4"/>
  </r>
  <r>
    <s v="C40"/>
    <x v="383"/>
    <s v="500N/FORTVILLE PK"/>
    <m/>
    <x v="27"/>
    <x v="95"/>
    <n v="4530"/>
    <n v="20"/>
    <s v="AC"/>
    <s v="C"/>
    <n v="0"/>
    <n v="5"/>
    <n v="5"/>
    <n v="8"/>
    <n v="7"/>
    <n v="7"/>
    <n v="7"/>
    <n v="7"/>
    <n v="7"/>
    <n v="7"/>
    <n v="7"/>
    <m/>
    <m/>
    <m/>
    <n v="560"/>
    <n v="0.5"/>
    <s v="500N"/>
    <n v="3.5"/>
    <x v="0"/>
    <n v="18017.045454545456"/>
    <m/>
    <n v="0"/>
    <x v="4"/>
  </r>
  <r>
    <s v="C43"/>
    <x v="384"/>
    <s v="500N/SR9"/>
    <m/>
    <x v="89"/>
    <x v="19"/>
    <n v="5914"/>
    <n v="20"/>
    <s v="CS"/>
    <s v="C"/>
    <n v="0"/>
    <n v="5"/>
    <n v="7"/>
    <n v="7"/>
    <n v="7"/>
    <n v="7"/>
    <n v="7"/>
    <n v="7"/>
    <n v="7"/>
    <n v="7"/>
    <n v="7"/>
    <m/>
    <m/>
    <m/>
    <n v="280"/>
    <n v="0"/>
    <s v="500N"/>
    <n v="3"/>
    <x v="0"/>
    <n v="23521.590909090908"/>
    <n v="1"/>
    <n v="23521.590909090908"/>
    <x v="0"/>
  </r>
  <r>
    <s v="BW07"/>
    <x v="385"/>
    <s v="500S/100E"/>
    <m/>
    <x v="49"/>
    <x v="75"/>
    <n v="5100"/>
    <n v="20"/>
    <s v="CS"/>
    <s v="BW"/>
    <n v="0"/>
    <n v="7"/>
    <n v="7"/>
    <n v="7"/>
    <n v="7"/>
    <n v="7"/>
    <n v="7"/>
    <n v="7"/>
    <n v="7"/>
    <n v="7"/>
    <n v="7"/>
    <m/>
    <m/>
    <m/>
    <n v="470"/>
    <n v="0"/>
    <s v="500S"/>
    <n v="3"/>
    <x v="0"/>
    <n v="20284.090909090908"/>
    <m/>
    <n v="0"/>
    <x v="3"/>
  </r>
  <r>
    <s v="BW09"/>
    <x v="386"/>
    <s v="500S/200E"/>
    <m/>
    <x v="73"/>
    <x v="114"/>
    <n v="2470"/>
    <n v="20"/>
    <s v="AC"/>
    <s v="BW"/>
    <n v="0"/>
    <n v="9"/>
    <n v="8"/>
    <n v="6"/>
    <n v="8"/>
    <n v="8"/>
    <n v="8"/>
    <n v="8"/>
    <n v="8"/>
    <n v="8"/>
    <n v="8"/>
    <m/>
    <m/>
    <m/>
    <n v="565"/>
    <n v="0.5"/>
    <s v="500S"/>
    <n v="2.5"/>
    <x v="0"/>
    <n v="9823.863636363636"/>
    <m/>
    <n v="0"/>
    <x v="4"/>
  </r>
  <r>
    <s v="BW10"/>
    <x v="387"/>
    <s v="500S/300E"/>
    <m/>
    <x v="109"/>
    <x v="104"/>
    <n v="5325"/>
    <n v="20"/>
    <s v="AC"/>
    <s v="BW"/>
    <n v="0"/>
    <n v="7"/>
    <n v="7"/>
    <n v="7"/>
    <n v="7"/>
    <n v="6"/>
    <n v="6"/>
    <n v="6"/>
    <n v="7"/>
    <n v="7"/>
    <n v="7"/>
    <m/>
    <m/>
    <m/>
    <n v="402"/>
    <n v="0"/>
    <s v="500S"/>
    <n v="4"/>
    <x v="0"/>
    <n v="21178.977272727272"/>
    <m/>
    <n v="0"/>
    <x v="4"/>
  </r>
  <r>
    <s v="BW11"/>
    <x v="388"/>
    <s v="500S/400E"/>
    <m/>
    <x v="85"/>
    <x v="73"/>
    <n v="5350"/>
    <n v="20"/>
    <s v="CS"/>
    <s v="BW"/>
    <n v="0"/>
    <n v="8"/>
    <n v="8"/>
    <n v="8"/>
    <n v="7"/>
    <n v="6"/>
    <n v="6"/>
    <n v="6"/>
    <n v="7"/>
    <n v="7"/>
    <n v="7"/>
    <m/>
    <m/>
    <m/>
    <n v="355"/>
    <n v="0"/>
    <s v="500S"/>
    <n v="4"/>
    <x v="0"/>
    <n v="21278.409090909092"/>
    <m/>
    <n v="0"/>
    <x v="4"/>
  </r>
  <r>
    <s v="BR07"/>
    <x v="389"/>
    <s v="500S/500E"/>
    <m/>
    <x v="30"/>
    <x v="14"/>
    <n v="4689"/>
    <n v="20"/>
    <s v="CS"/>
    <s v="BR"/>
    <n v="0"/>
    <n v="7"/>
    <n v="7"/>
    <n v="7"/>
    <n v="7"/>
    <n v="7"/>
    <n v="7"/>
    <n v="7"/>
    <n v="7"/>
    <n v="7"/>
    <n v="7"/>
    <m/>
    <m/>
    <m/>
    <n v="652"/>
    <n v="0.5"/>
    <s v="500S"/>
    <n v="3.5"/>
    <x v="1"/>
    <n v="4795.568181818182"/>
    <m/>
    <n v="0"/>
    <x v="2"/>
  </r>
  <r>
    <s v="G31"/>
    <x v="390"/>
    <s v="900N/550E"/>
    <m/>
    <x v="13"/>
    <x v="14"/>
    <n v="2692"/>
    <n v="20"/>
    <s v="AC"/>
    <s v="G"/>
    <n v="0"/>
    <n v="6"/>
    <n v="5"/>
    <n v="5"/>
    <n v="5"/>
    <n v="5"/>
    <n v="5"/>
    <n v="9"/>
    <n v="8"/>
    <n v="8"/>
    <n v="8"/>
    <m/>
    <m/>
    <m/>
    <n v="137"/>
    <n v="0"/>
    <s v="900N"/>
    <n v="5"/>
    <x v="0"/>
    <n v="10706.818181818182"/>
    <m/>
    <n v="0"/>
    <x v="6"/>
  </r>
  <r>
    <s v="G32"/>
    <x v="391"/>
    <s v="900N/600E"/>
    <m/>
    <x v="14"/>
    <x v="15"/>
    <n v="2663"/>
    <n v="20"/>
    <s v="AC"/>
    <s v="G"/>
    <n v="0"/>
    <n v="6"/>
    <n v="6"/>
    <n v="5"/>
    <n v="5"/>
    <n v="5"/>
    <n v="5"/>
    <n v="9"/>
    <n v="8"/>
    <n v="8"/>
    <n v="8"/>
    <m/>
    <m/>
    <m/>
    <n v="137"/>
    <n v="0"/>
    <s v="900N"/>
    <n v="5"/>
    <x v="0"/>
    <n v="10591.477272727272"/>
    <m/>
    <n v="0"/>
    <x v="6"/>
  </r>
  <r>
    <s v="BR09"/>
    <x v="392"/>
    <s v="500S/575E"/>
    <m/>
    <x v="32"/>
    <x v="115"/>
    <n v="4005"/>
    <n v="20"/>
    <s v="CS"/>
    <s v="BR"/>
    <n v="0"/>
    <n v="7"/>
    <n v="7"/>
    <n v="7"/>
    <n v="8"/>
    <n v="8"/>
    <n v="8"/>
    <n v="7"/>
    <n v="7"/>
    <n v="7"/>
    <n v="7"/>
    <n v="2023"/>
    <n v="2023"/>
    <s v="Y"/>
    <n v="710"/>
    <n v="0.5"/>
    <s v="500S"/>
    <n v="2.5"/>
    <x v="0"/>
    <n v="15928.977272727272"/>
    <m/>
    <n v="0"/>
    <x v="2"/>
  </r>
  <r>
    <s v="BR10"/>
    <x v="393"/>
    <s v="500S/600E"/>
    <m/>
    <x v="110"/>
    <x v="24"/>
    <n v="1342"/>
    <n v="20"/>
    <s v="CS"/>
    <s v="BR"/>
    <n v="0"/>
    <n v="8"/>
    <n v="8"/>
    <n v="8"/>
    <n v="8"/>
    <n v="8"/>
    <n v="8"/>
    <n v="8"/>
    <n v="8"/>
    <n v="7"/>
    <n v="7"/>
    <m/>
    <n v="2021"/>
    <s v="Y"/>
    <n v="710"/>
    <n v="0.5"/>
    <s v="500S"/>
    <n v="2.5"/>
    <x v="0"/>
    <n v="5337.5"/>
    <m/>
    <n v="0"/>
    <x v="4"/>
  </r>
  <r>
    <s v="BR11"/>
    <x v="394"/>
    <s v="500S/900E"/>
    <m/>
    <x v="70"/>
    <x v="38"/>
    <n v="5375"/>
    <n v="20"/>
    <s v="P"/>
    <s v="BR"/>
    <n v="0"/>
    <n v="2"/>
    <n v="4"/>
    <n v="10"/>
    <n v="9"/>
    <n v="9"/>
    <n v="8"/>
    <n v="8"/>
    <n v="7"/>
    <n v="7"/>
    <n v="7"/>
    <m/>
    <m/>
    <m/>
    <n v="50"/>
    <n v="0"/>
    <s v="500S"/>
    <n v="1"/>
    <x v="2"/>
    <n v="32575.757575757576"/>
    <m/>
    <n v="0"/>
    <x v="5"/>
  </r>
  <r>
    <s v="B83"/>
    <x v="395"/>
    <s v="1200E/1100N"/>
    <m/>
    <x v="60"/>
    <x v="62"/>
    <n v="5250"/>
    <n v="20"/>
    <s v="AC"/>
    <s v="B"/>
    <n v="0"/>
    <n v="6"/>
    <n v="6"/>
    <n v="6"/>
    <n v="6"/>
    <n v="5"/>
    <n v="5"/>
    <n v="9"/>
    <n v="8"/>
    <n v="8"/>
    <n v="8"/>
    <m/>
    <m/>
    <m/>
    <n v="126"/>
    <n v="0"/>
    <s v="1200E"/>
    <n v="5"/>
    <x v="0"/>
    <n v="20880.68181818182"/>
    <m/>
    <n v="0"/>
    <x v="6"/>
  </r>
  <r>
    <s v="BW08"/>
    <x v="396"/>
    <s v="500S/SR9"/>
    <m/>
    <x v="41"/>
    <x v="79"/>
    <n v="2790"/>
    <n v="20"/>
    <s v="AC"/>
    <s v="BW"/>
    <n v="0"/>
    <n v="7"/>
    <n v="6"/>
    <n v="6"/>
    <n v="6"/>
    <n v="6"/>
    <n v="5"/>
    <n v="5"/>
    <n v="5"/>
    <n v="5"/>
    <n v="7"/>
    <m/>
    <m/>
    <m/>
    <n v="502"/>
    <n v="0.5"/>
    <s v="500S"/>
    <n v="4.5"/>
    <x v="0"/>
    <n v="11096.59090909091"/>
    <m/>
    <n v="0"/>
    <x v="2"/>
  </r>
  <r>
    <m/>
    <x v="397"/>
    <s v="500W"/>
    <m/>
    <x v="1"/>
    <x v="116"/>
    <n v="4166"/>
    <n v="20"/>
    <m/>
    <s v="BC"/>
    <n v="0"/>
    <m/>
    <m/>
    <m/>
    <m/>
    <m/>
    <m/>
    <m/>
    <m/>
    <m/>
    <m/>
    <m/>
    <m/>
    <m/>
    <m/>
    <m/>
    <s v="500W"/>
    <m/>
    <x v="4"/>
    <n v="86791.666666666672"/>
    <n v="1"/>
    <m/>
    <x v="0"/>
  </r>
  <r>
    <s v="V67"/>
    <x v="398"/>
    <s v="500W/1000N"/>
    <m/>
    <x v="111"/>
    <x v="61"/>
    <n v="1308"/>
    <n v="20"/>
    <s v="AC"/>
    <s v="V"/>
    <n v="0"/>
    <n v="7"/>
    <n v="7"/>
    <n v="7"/>
    <n v="7"/>
    <n v="7"/>
    <n v="7"/>
    <n v="7"/>
    <n v="7"/>
    <n v="7"/>
    <n v="7"/>
    <m/>
    <m/>
    <m/>
    <n v="1172"/>
    <n v="0.5"/>
    <s v="500W"/>
    <n v="3.5"/>
    <x v="0"/>
    <n v="5202.272727272727"/>
    <m/>
    <n v="0"/>
    <x v="3"/>
  </r>
  <r>
    <s v="SC82"/>
    <x v="399"/>
    <s v="500W/100S"/>
    <m/>
    <x v="71"/>
    <x v="64"/>
    <n v="5275"/>
    <n v="20"/>
    <s v="CS"/>
    <s v="SC"/>
    <n v="0"/>
    <n v="7"/>
    <n v="7"/>
    <n v="7"/>
    <n v="7"/>
    <n v="7"/>
    <n v="7"/>
    <n v="7"/>
    <n v="7"/>
    <n v="7"/>
    <n v="7"/>
    <n v="2022"/>
    <n v="2022"/>
    <s v="Y"/>
    <n v="5368"/>
    <n v="1.5"/>
    <s v="500W"/>
    <n v="4.5"/>
    <x v="5"/>
    <n v="79924.242424242431"/>
    <n v="1"/>
    <n v="79924.242424242431"/>
    <x v="3"/>
  </r>
  <r>
    <s v="SC83"/>
    <x v="400"/>
    <s v="500W/200S"/>
    <m/>
    <x v="62"/>
    <x v="11"/>
    <n v="5310"/>
    <n v="20"/>
    <s v="AC"/>
    <s v="SC"/>
    <n v="0"/>
    <n v="7"/>
    <n v="7"/>
    <n v="7"/>
    <n v="7"/>
    <n v="7"/>
    <n v="6"/>
    <n v="6"/>
    <n v="6"/>
    <n v="7"/>
    <n v="7"/>
    <n v="2022"/>
    <n v="2022"/>
    <s v="Y"/>
    <n v="5316"/>
    <n v="1.5"/>
    <s v="500W"/>
    <n v="4.5"/>
    <x v="5"/>
    <n v="80454.545454545456"/>
    <n v="1"/>
    <n v="80454.545454545456"/>
    <x v="3"/>
  </r>
  <r>
    <s v="B81"/>
    <x v="401"/>
    <s v="1200E/900N"/>
    <m/>
    <x v="7"/>
    <x v="88"/>
    <n v="5490"/>
    <n v="20"/>
    <s v="AC"/>
    <s v="B"/>
    <n v="0"/>
    <n v="6"/>
    <n v="6"/>
    <n v="6"/>
    <n v="5"/>
    <n v="5"/>
    <n v="5"/>
    <n v="9"/>
    <n v="8"/>
    <n v="8"/>
    <n v="8"/>
    <m/>
    <m/>
    <m/>
    <n v="126"/>
    <n v="0"/>
    <s v="1200E"/>
    <n v="5"/>
    <x v="0"/>
    <n v="21835.227272727272"/>
    <m/>
    <n v="0"/>
    <x v="6"/>
  </r>
  <r>
    <s v="SC84"/>
    <x v="402"/>
    <s v="500W/300S"/>
    <m/>
    <x v="63"/>
    <x v="110"/>
    <n v="3683"/>
    <n v="20"/>
    <s v="CS"/>
    <s v="SC"/>
    <n v="0"/>
    <n v="7"/>
    <n v="7"/>
    <n v="7"/>
    <n v="7"/>
    <n v="7"/>
    <n v="6"/>
    <n v="6"/>
    <n v="6"/>
    <n v="7"/>
    <n v="7"/>
    <n v="2022"/>
    <n v="2022"/>
    <s v="Y"/>
    <n v="4705"/>
    <n v="1.5"/>
    <s v="500W"/>
    <n v="4.5"/>
    <x v="5"/>
    <n v="55803.030303030304"/>
    <n v="1"/>
    <n v="55803.030303030304"/>
    <x v="3"/>
  </r>
  <r>
    <s v="BC70"/>
    <x v="403"/>
    <s v="500W/600N"/>
    <m/>
    <x v="1"/>
    <x v="1"/>
    <n v="5020"/>
    <n v="20"/>
    <s v="AC"/>
    <s v="BC"/>
    <n v="0"/>
    <n v="5"/>
    <n v="5"/>
    <n v="5"/>
    <n v="5"/>
    <n v="9"/>
    <n v="8"/>
    <n v="7"/>
    <n v="5"/>
    <n v="7"/>
    <n v="7"/>
    <m/>
    <m/>
    <m/>
    <n v="141"/>
    <n v="0"/>
    <s v="500W"/>
    <n v="1"/>
    <x v="0"/>
    <n v="19965.909090909092"/>
    <m/>
    <n v="0"/>
    <x v="5"/>
  </r>
  <r>
    <s v="V61"/>
    <x v="404"/>
    <s v="500W/700N"/>
    <m/>
    <x v="77"/>
    <x v="82"/>
    <n v="5371"/>
    <n v="20"/>
    <s v="CS"/>
    <s v="V"/>
    <n v="0"/>
    <n v="6"/>
    <n v="7"/>
    <n v="8"/>
    <n v="8"/>
    <n v="8"/>
    <n v="8"/>
    <n v="8"/>
    <n v="7"/>
    <n v="7"/>
    <n v="8"/>
    <m/>
    <m/>
    <m/>
    <n v="868"/>
    <n v="0.5"/>
    <s v="500W"/>
    <n v="2.5"/>
    <x v="0"/>
    <n v="21361.93181818182"/>
    <m/>
    <n v="0"/>
    <x v="2"/>
  </r>
  <r>
    <s v="V62"/>
    <x v="405"/>
    <s v="500W/750N"/>
    <m/>
    <x v="65"/>
    <x v="117"/>
    <n v="2692"/>
    <n v="20"/>
    <s v="AC"/>
    <s v="V"/>
    <n v="0"/>
    <n v="7"/>
    <n v="7"/>
    <n v="6"/>
    <n v="6"/>
    <n v="6"/>
    <n v="6"/>
    <n v="6"/>
    <n v="6"/>
    <n v="6"/>
    <n v="6"/>
    <m/>
    <m/>
    <m/>
    <n v="828"/>
    <n v="0.5"/>
    <s v="500W"/>
    <n v="4.5"/>
    <x v="4"/>
    <n v="56083.333333333336"/>
    <n v="1"/>
    <m/>
    <x v="0"/>
  </r>
  <r>
    <s v="BC46"/>
    <x v="406"/>
    <s v="BUCK CREEK RD/300N"/>
    <m/>
    <x v="50"/>
    <x v="51"/>
    <n v="6650"/>
    <n v="20"/>
    <s v="AC"/>
    <s v="BC"/>
    <n v="0"/>
    <n v="7"/>
    <n v="7"/>
    <n v="6"/>
    <n v="5"/>
    <n v="4"/>
    <n v="4"/>
    <n v="8"/>
    <n v="7"/>
    <n v="6"/>
    <n v="7"/>
    <m/>
    <m/>
    <m/>
    <n v="123"/>
    <n v="0"/>
    <s v="BUCK CREEK RD/300N"/>
    <n v="6"/>
    <x v="0"/>
    <n v="26448.863636363636"/>
    <m/>
    <n v="0"/>
    <x v="6"/>
  </r>
  <r>
    <m/>
    <x v="407"/>
    <s v="500W/DEAD END"/>
    <m/>
    <x v="50"/>
    <x v="118"/>
    <n v="1500"/>
    <n v="20"/>
    <s v="G"/>
    <s v="BC"/>
    <n v="0"/>
    <n v="6"/>
    <n v="5"/>
    <n v="5"/>
    <n v="5"/>
    <n v="4"/>
    <n v="7"/>
    <n v="7"/>
    <n v="6"/>
    <n v="6"/>
    <n v="7"/>
    <m/>
    <m/>
    <m/>
    <n v="50"/>
    <n v="0"/>
    <s v="500W"/>
    <n v="5"/>
    <x v="8"/>
    <n v="3977.2727272727275"/>
    <m/>
    <n v="0"/>
    <x v="4"/>
  </r>
  <r>
    <s v="BC73"/>
    <x v="408"/>
    <s v="500W/I70"/>
    <m/>
    <x v="35"/>
    <x v="53"/>
    <n v="2400"/>
    <n v="20"/>
    <s v="P"/>
    <s v="BC"/>
    <n v="0"/>
    <n v="3"/>
    <n v="7"/>
    <n v="6"/>
    <n v="4"/>
    <n v="8"/>
    <n v="8"/>
    <n v="7"/>
    <n v="7"/>
    <n v="7"/>
    <n v="7"/>
    <m/>
    <m/>
    <m/>
    <n v="50"/>
    <n v="0"/>
    <s v="500W"/>
    <n v="2"/>
    <x v="1"/>
    <n v="2454.5454545454545"/>
    <m/>
    <n v="0"/>
    <x v="2"/>
  </r>
  <r>
    <s v="C75"/>
    <x v="409"/>
    <s v="400E/US40"/>
    <m/>
    <x v="71"/>
    <x v="83"/>
    <n v="4558"/>
    <n v="20"/>
    <s v="CS"/>
    <s v="C"/>
    <n v="0"/>
    <n v="6"/>
    <n v="6"/>
    <n v="6"/>
    <n v="6"/>
    <n v="6"/>
    <n v="5"/>
    <n v="9"/>
    <n v="8"/>
    <n v="7"/>
    <n v="7"/>
    <m/>
    <m/>
    <m/>
    <n v="116"/>
    <n v="0"/>
    <s v="400E"/>
    <n v="4"/>
    <x v="0"/>
    <n v="18128.409090909092"/>
    <m/>
    <n v="0"/>
    <x v="6"/>
  </r>
  <r>
    <s v="SC85"/>
    <x v="410"/>
    <s v="500W/S. NEW PAL"/>
    <m/>
    <x v="112"/>
    <x v="54"/>
    <n v="5725"/>
    <n v="20"/>
    <s v="AC"/>
    <s v="SC"/>
    <n v="0"/>
    <n v="7"/>
    <n v="8"/>
    <n v="8"/>
    <n v="7"/>
    <n v="7"/>
    <n v="7"/>
    <n v="7"/>
    <n v="7"/>
    <n v="7"/>
    <n v="7"/>
    <n v="2024"/>
    <n v="2022"/>
    <s v="Y"/>
    <n v="1461"/>
    <n v="0.5"/>
    <s v="500W"/>
    <n v="3.5"/>
    <x v="0"/>
    <n v="22769.886363636364"/>
    <m/>
    <n v="0"/>
    <x v="4"/>
  </r>
  <r>
    <s v="V63"/>
    <x v="411"/>
    <s v="500W/SR234"/>
    <m/>
    <x v="113"/>
    <x v="6"/>
    <n v="2692"/>
    <n v="20"/>
    <s v="AC"/>
    <s v="V"/>
    <n v="0"/>
    <n v="8"/>
    <n v="7"/>
    <n v="6"/>
    <n v="6"/>
    <n v="6"/>
    <n v="6"/>
    <n v="6"/>
    <n v="6"/>
    <n v="6"/>
    <n v="6"/>
    <m/>
    <m/>
    <m/>
    <n v="811"/>
    <n v="0.5"/>
    <s v="500W"/>
    <n v="4.5"/>
    <x v="4"/>
    <n v="56083.333333333336"/>
    <n v="1"/>
    <n v="56083.333333333336"/>
    <x v="0"/>
  </r>
  <r>
    <s v="V64"/>
    <x v="412"/>
    <s v="500W/SR67"/>
    <m/>
    <x v="7"/>
    <x v="100"/>
    <n v="3484"/>
    <n v="20"/>
    <s v="AC"/>
    <s v="V"/>
    <n v="0"/>
    <n v="7"/>
    <n v="7"/>
    <n v="7"/>
    <n v="7"/>
    <n v="7"/>
    <n v="7"/>
    <n v="7"/>
    <n v="7"/>
    <n v="7"/>
    <n v="7"/>
    <m/>
    <m/>
    <m/>
    <n v="984"/>
    <n v="0.5"/>
    <s v="500W"/>
    <n v="3.5"/>
    <x v="0"/>
    <n v="13856.818181818182"/>
    <m/>
    <n v="0"/>
    <x v="3"/>
  </r>
  <r>
    <s v="SC81"/>
    <x v="413"/>
    <s v="500W/US40"/>
    <m/>
    <x v="23"/>
    <x v="63"/>
    <n v="2790"/>
    <n v="20"/>
    <s v="CS"/>
    <s v="SC"/>
    <n v="0"/>
    <n v="7"/>
    <n v="7"/>
    <n v="7"/>
    <n v="8"/>
    <n v="7"/>
    <n v="7"/>
    <n v="7"/>
    <n v="7"/>
    <n v="7"/>
    <m/>
    <n v="2022"/>
    <n v="2020"/>
    <s v="Y"/>
    <n v="5944"/>
    <n v="1.5"/>
    <s v="500W"/>
    <n v="4.5"/>
    <x v="5"/>
    <n v="42272.727272727272"/>
    <n v="1"/>
    <n v="42272.727272727272"/>
    <x v="3"/>
  </r>
  <r>
    <s v="SC72"/>
    <x v="414"/>
    <s v="650W/US52"/>
    <m/>
    <x v="114"/>
    <x v="71"/>
    <n v="1800"/>
    <n v="20"/>
    <s v="CS"/>
    <s v="SC"/>
    <n v="0"/>
    <n v="5"/>
    <n v="5"/>
    <n v="5"/>
    <n v="5"/>
    <n v="5"/>
    <n v="5"/>
    <n v="7"/>
    <n v="7"/>
    <n v="7"/>
    <n v="7"/>
    <m/>
    <m/>
    <m/>
    <n v="110"/>
    <n v="0"/>
    <s v="650W"/>
    <n v="5"/>
    <x v="0"/>
    <n v="7159.090909090909"/>
    <m/>
    <n v="0"/>
    <x v="6"/>
  </r>
  <r>
    <s v="C65"/>
    <x v="415"/>
    <s v="50E/500N"/>
    <m/>
    <x v="3"/>
    <x v="3"/>
    <n v="5330"/>
    <n v="20"/>
    <s v="CS"/>
    <s v="C"/>
    <n v="0"/>
    <n v="7"/>
    <n v="7"/>
    <n v="7"/>
    <n v="7"/>
    <n v="7"/>
    <n v="7"/>
    <n v="7"/>
    <n v="7"/>
    <n v="7"/>
    <n v="7"/>
    <m/>
    <m/>
    <m/>
    <n v="50"/>
    <n v="0"/>
    <s v="50E"/>
    <n v="3"/>
    <x v="0"/>
    <n v="21198.863636363636"/>
    <m/>
    <n v="0"/>
    <x v="2"/>
  </r>
  <r>
    <s v="C66"/>
    <x v="416"/>
    <s v="50E/600N"/>
    <m/>
    <x v="1"/>
    <x v="1"/>
    <n v="5230"/>
    <n v="20"/>
    <s v="CS"/>
    <s v="C"/>
    <n v="0"/>
    <n v="7"/>
    <n v="6"/>
    <n v="6"/>
    <n v="6"/>
    <n v="6"/>
    <n v="6"/>
    <n v="6"/>
    <n v="6"/>
    <n v="6"/>
    <n v="8"/>
    <m/>
    <m/>
    <m/>
    <n v="50"/>
    <n v="0"/>
    <s v="50E"/>
    <n v="4"/>
    <x v="3"/>
    <n v="45564.393939393936"/>
    <m/>
    <n v="0"/>
    <x v="5"/>
  </r>
  <r>
    <s v="G41"/>
    <x v="417"/>
    <s v="50E/700N"/>
    <m/>
    <x v="77"/>
    <x v="82"/>
    <n v="5290"/>
    <n v="20"/>
    <s v="AC"/>
    <s v="G"/>
    <n v="0"/>
    <n v="6"/>
    <n v="6"/>
    <n v="6"/>
    <n v="6"/>
    <n v="6"/>
    <n v="6"/>
    <n v="6"/>
    <n v="6"/>
    <n v="8"/>
    <n v="8"/>
    <m/>
    <m/>
    <m/>
    <n v="50"/>
    <n v="0"/>
    <s v="50E"/>
    <n v="4"/>
    <x v="3"/>
    <n v="46087.121212121216"/>
    <m/>
    <n v="0"/>
    <x v="5"/>
  </r>
  <r>
    <s v="G42"/>
    <x v="418"/>
    <s v="50E/750N"/>
    <m/>
    <x v="65"/>
    <x v="117"/>
    <n v="2640"/>
    <n v="20"/>
    <s v="G"/>
    <s v="G"/>
    <n v="0"/>
    <n v="7"/>
    <n v="7"/>
    <n v="7"/>
    <n v="6"/>
    <n v="6"/>
    <n v="6"/>
    <n v="6"/>
    <n v="6"/>
    <n v="8"/>
    <n v="8"/>
    <m/>
    <m/>
    <m/>
    <n v="50"/>
    <n v="0"/>
    <s v="50E"/>
    <n v="4"/>
    <x v="3"/>
    <n v="23000"/>
    <m/>
    <n v="0"/>
    <x v="5"/>
  </r>
  <r>
    <s v="B33"/>
    <x v="419"/>
    <s v="1000N/625E"/>
    <m/>
    <x v="14"/>
    <x v="119"/>
    <n v="1336"/>
    <n v="20"/>
    <s v="AC"/>
    <s v="B"/>
    <n v="0"/>
    <n v="6"/>
    <n v="6"/>
    <n v="6"/>
    <n v="6"/>
    <n v="5"/>
    <n v="5"/>
    <n v="5"/>
    <n v="7"/>
    <n v="7"/>
    <n v="7"/>
    <n v="2023"/>
    <n v="2023"/>
    <s v="Y"/>
    <n v="100"/>
    <n v="0"/>
    <s v="1000N"/>
    <n v="5"/>
    <x v="0"/>
    <n v="5313.636363636364"/>
    <m/>
    <n v="0"/>
    <x v="6"/>
  </r>
  <r>
    <s v="BR43"/>
    <x v="420"/>
    <s v="50S/850E"/>
    <m/>
    <x v="46"/>
    <x v="39"/>
    <n v="2700"/>
    <n v="20"/>
    <s v="CS"/>
    <s v="BR"/>
    <n v="0"/>
    <n v="5"/>
    <n v="7"/>
    <n v="8"/>
    <n v="7"/>
    <n v="7"/>
    <n v="7"/>
    <n v="6"/>
    <n v="6"/>
    <n v="6"/>
    <n v="8"/>
    <m/>
    <m/>
    <m/>
    <n v="50"/>
    <n v="0"/>
    <s v="50S"/>
    <n v="3"/>
    <x v="0"/>
    <n v="10738.636363636364"/>
    <m/>
    <n v="0"/>
    <x v="2"/>
  </r>
  <r>
    <s v="BR44"/>
    <x v="421"/>
    <s v="50S/E. CO. LINE"/>
    <m/>
    <x v="47"/>
    <x v="39"/>
    <n v="2740"/>
    <n v="20"/>
    <s v="CS"/>
    <s v="BR"/>
    <n v="0"/>
    <n v="5"/>
    <n v="5"/>
    <n v="8"/>
    <n v="7"/>
    <n v="7"/>
    <n v="7"/>
    <n v="6"/>
    <n v="6"/>
    <n v="6"/>
    <n v="8"/>
    <m/>
    <m/>
    <m/>
    <n v="50"/>
    <n v="0"/>
    <s v="50S"/>
    <n v="3"/>
    <x v="0"/>
    <n v="10897.727272727272"/>
    <m/>
    <n v="0"/>
    <x v="2"/>
  </r>
  <r>
    <s v="J03"/>
    <x v="422"/>
    <s v="100N/700E"/>
    <m/>
    <x v="37"/>
    <x v="24"/>
    <n v="4360"/>
    <n v="20"/>
    <s v="AC"/>
    <s v="J"/>
    <n v="0"/>
    <n v="7"/>
    <n v="6"/>
    <n v="6"/>
    <n v="4"/>
    <n v="10"/>
    <n v="9"/>
    <n v="8"/>
    <n v="7"/>
    <n v="7"/>
    <n v="7"/>
    <m/>
    <m/>
    <m/>
    <n v="96"/>
    <n v="0"/>
    <s v="100N"/>
    <n v="0"/>
    <x v="0"/>
    <n v="17340.909090909092"/>
    <m/>
    <n v="0"/>
    <x v="6"/>
  </r>
  <r>
    <s v="V98"/>
    <x v="423"/>
    <s v="50W/1050N"/>
    <m/>
    <x v="60"/>
    <x v="120"/>
    <n v="2649"/>
    <n v="20"/>
    <s v="AC"/>
    <s v="V"/>
    <n v="0"/>
    <n v="7"/>
    <n v="8"/>
    <n v="7"/>
    <n v="7"/>
    <n v="7"/>
    <n v="7"/>
    <n v="6"/>
    <n v="6"/>
    <n v="7"/>
    <n v="7"/>
    <m/>
    <m/>
    <m/>
    <n v="648"/>
    <n v="0.5"/>
    <s v="50W"/>
    <n v="3.5"/>
    <x v="4"/>
    <n v="55187.5"/>
    <n v="1"/>
    <n v="55187.5"/>
    <x v="0"/>
  </r>
  <r>
    <s v="B75"/>
    <x v="424"/>
    <s v="1125E/700N"/>
    <m/>
    <x v="99"/>
    <x v="82"/>
    <n v="2655"/>
    <n v="20"/>
    <s v="AC"/>
    <s v="B"/>
    <n v="0"/>
    <n v="7"/>
    <n v="7"/>
    <n v="7"/>
    <n v="6"/>
    <n v="5"/>
    <n v="4"/>
    <n v="9"/>
    <n v="8"/>
    <n v="7"/>
    <n v="7"/>
    <m/>
    <m/>
    <m/>
    <n v="94"/>
    <n v="0"/>
    <s v="1125E"/>
    <n v="5"/>
    <x v="0"/>
    <n v="10559.65909090909"/>
    <m/>
    <n v="0"/>
    <x v="6"/>
  </r>
  <r>
    <s v="BW41"/>
    <x v="425"/>
    <s v="50W/300S"/>
    <m/>
    <x v="10"/>
    <x v="11"/>
    <n v="5340"/>
    <n v="20"/>
    <s v="CS"/>
    <s v="BW"/>
    <n v="0"/>
    <n v="7"/>
    <n v="6"/>
    <n v="6"/>
    <n v="6"/>
    <n v="6"/>
    <n v="6"/>
    <n v="6"/>
    <n v="6"/>
    <n v="6"/>
    <n v="8"/>
    <m/>
    <m/>
    <m/>
    <n v="140"/>
    <n v="0"/>
    <s v="50W"/>
    <n v="4"/>
    <x v="2"/>
    <n v="32363.636363636364"/>
    <m/>
    <n v="0"/>
    <x v="2"/>
  </r>
  <r>
    <s v="BW40"/>
    <x v="426"/>
    <s v="50W/400S"/>
    <m/>
    <x v="24"/>
    <x v="26"/>
    <n v="5310"/>
    <n v="20"/>
    <s v="CS"/>
    <s v="BW"/>
    <n v="0"/>
    <n v="6"/>
    <n v="6"/>
    <n v="6"/>
    <n v="6"/>
    <n v="6"/>
    <n v="6"/>
    <n v="6"/>
    <n v="6"/>
    <n v="6"/>
    <n v="8"/>
    <m/>
    <m/>
    <m/>
    <n v="80"/>
    <n v="0"/>
    <s v="50W"/>
    <n v="4"/>
    <x v="0"/>
    <n v="21119.31818181818"/>
    <m/>
    <n v="0"/>
    <x v="2"/>
  </r>
  <r>
    <s v="BW39"/>
    <x v="427"/>
    <s v="50W/500S"/>
    <m/>
    <x v="24"/>
    <x v="71"/>
    <n v="3622"/>
    <n v="20"/>
    <s v="CS"/>
    <s v="BW"/>
    <n v="0"/>
    <n v="6"/>
    <n v="6"/>
    <n v="6"/>
    <n v="6"/>
    <n v="8"/>
    <n v="8"/>
    <n v="7"/>
    <n v="7"/>
    <n v="7"/>
    <n v="8"/>
    <m/>
    <m/>
    <m/>
    <n v="90"/>
    <n v="0"/>
    <s v="50W"/>
    <n v="2"/>
    <x v="0"/>
    <n v="14405.681818181818"/>
    <n v="1"/>
    <n v="14405.681818181818"/>
    <x v="0"/>
  </r>
  <r>
    <s v="B76"/>
    <x v="428"/>
    <s v="1125E/SR234"/>
    <m/>
    <x v="65"/>
    <x v="6"/>
    <n v="5275"/>
    <n v="20"/>
    <s v="AC"/>
    <s v="B"/>
    <n v="0"/>
    <n v="6"/>
    <n v="6"/>
    <n v="6"/>
    <n v="5"/>
    <n v="4"/>
    <n v="4"/>
    <n v="9"/>
    <n v="8"/>
    <n v="8"/>
    <n v="8"/>
    <m/>
    <m/>
    <m/>
    <n v="94"/>
    <n v="0"/>
    <s v="1125E"/>
    <n v="6"/>
    <x v="0"/>
    <n v="20980.113636363636"/>
    <m/>
    <n v="0"/>
    <x v="6"/>
  </r>
  <r>
    <s v="B58"/>
    <x v="429"/>
    <s v="900E/700N"/>
    <m/>
    <x v="99"/>
    <x v="82"/>
    <n v="2217"/>
    <n v="20"/>
    <s v="CS"/>
    <s v="B"/>
    <n v="0"/>
    <n v="4"/>
    <n v="3"/>
    <n v="10"/>
    <n v="9"/>
    <n v="8"/>
    <n v="8"/>
    <n v="7"/>
    <n v="7"/>
    <n v="7"/>
    <n v="7"/>
    <m/>
    <m/>
    <m/>
    <n v="68"/>
    <n v="0"/>
    <s v="900E"/>
    <n v="2"/>
    <x v="0"/>
    <n v="8817.613636363636"/>
    <m/>
    <n v="0"/>
    <x v="6"/>
  </r>
  <r>
    <s v="SC99"/>
    <x v="430"/>
    <s v="300W/200S"/>
    <m/>
    <x v="62"/>
    <x v="11"/>
    <n v="5337"/>
    <n v="20"/>
    <s v="G"/>
    <s v="SC"/>
    <n v="0"/>
    <n v="6"/>
    <n v="6"/>
    <n v="6"/>
    <n v="6"/>
    <n v="7"/>
    <n v="7"/>
    <n v="7"/>
    <n v="7"/>
    <n v="7"/>
    <n v="7"/>
    <m/>
    <m/>
    <m/>
    <n v="56"/>
    <n v="0"/>
    <s v="300W"/>
    <n v="3"/>
    <x v="0"/>
    <n v="21226.704545454544"/>
    <m/>
    <n v="0"/>
    <x v="6"/>
  </r>
  <r>
    <s v="C54"/>
    <x v="431"/>
    <s v="100W/300N"/>
    <m/>
    <x v="115"/>
    <x v="36"/>
    <n v="2560"/>
    <n v="20"/>
    <s v="CS"/>
    <s v="C"/>
    <n v="0"/>
    <n v="5"/>
    <n v="3"/>
    <n v="5"/>
    <n v="5"/>
    <n v="7"/>
    <n v="7"/>
    <n v="7"/>
    <n v="7"/>
    <n v="7"/>
    <n v="7"/>
    <m/>
    <m/>
    <m/>
    <n v="50"/>
    <n v="0"/>
    <s v="100W"/>
    <n v="3"/>
    <x v="0"/>
    <n v="10181.818181818182"/>
    <m/>
    <n v="0"/>
    <x v="6"/>
  </r>
  <r>
    <s v="V93"/>
    <x v="432"/>
    <s v="50W/SR234"/>
    <m/>
    <x v="7"/>
    <x v="82"/>
    <n v="5330"/>
    <n v="20"/>
    <s v="CS"/>
    <s v="V"/>
    <n v="0"/>
    <n v="7"/>
    <n v="7"/>
    <n v="6"/>
    <n v="6"/>
    <n v="6"/>
    <n v="6"/>
    <n v="6"/>
    <n v="8"/>
    <n v="7"/>
    <n v="7"/>
    <m/>
    <m/>
    <m/>
    <n v="87"/>
    <n v="0"/>
    <s v="50W"/>
    <n v="4"/>
    <x v="2"/>
    <n v="32303.030303030304"/>
    <m/>
    <n v="0"/>
    <x v="4"/>
  </r>
  <r>
    <s v=""/>
    <x v="433"/>
    <s v="1025E/700N"/>
    <m/>
    <x v="20"/>
    <x v="5"/>
    <n v="2600"/>
    <n v="20"/>
    <s v="AC"/>
    <s v="B"/>
    <n v="0"/>
    <n v="6"/>
    <n v="6"/>
    <n v="6"/>
    <n v="5"/>
    <n v="5"/>
    <n v="5"/>
    <n v="9"/>
    <n v="8"/>
    <n v="7"/>
    <n v="7"/>
    <m/>
    <m/>
    <s v="Y"/>
    <n v="50"/>
    <n v="0"/>
    <s v="1025E"/>
    <n v="5"/>
    <x v="0"/>
    <n v="10340.90909090909"/>
    <m/>
    <n v="0"/>
    <x v="6"/>
  </r>
  <r>
    <s v="BC69"/>
    <x v="434"/>
    <s v="525W/100N"/>
    <m/>
    <x v="59"/>
    <x v="70"/>
    <n v="6784"/>
    <n v="20"/>
    <s v="AC"/>
    <s v="BC"/>
    <n v="0"/>
    <n v="7"/>
    <n v="7"/>
    <n v="7"/>
    <n v="7"/>
    <n v="7"/>
    <n v="6"/>
    <n v="5"/>
    <n v="5"/>
    <n v="7"/>
    <n v="7"/>
    <m/>
    <m/>
    <m/>
    <n v="252"/>
    <n v="0"/>
    <s v="525W"/>
    <n v="3"/>
    <x v="0"/>
    <n v="26981.81818181818"/>
    <m/>
    <n v="0"/>
    <x v="2"/>
  </r>
  <r>
    <s v="BC68"/>
    <x v="435"/>
    <s v="525W/200N"/>
    <m/>
    <x v="44"/>
    <x v="51"/>
    <n v="5310"/>
    <n v="20"/>
    <s v="AC"/>
    <s v="BC"/>
    <n v="0"/>
    <n v="5"/>
    <n v="9"/>
    <n v="9"/>
    <n v="9"/>
    <n v="9"/>
    <n v="8"/>
    <n v="7"/>
    <n v="7"/>
    <n v="7"/>
    <n v="7"/>
    <m/>
    <m/>
    <m/>
    <n v="252"/>
    <n v="0"/>
    <s v="525W"/>
    <n v="1"/>
    <x v="0"/>
    <n v="21119.31818181818"/>
    <m/>
    <n v="0"/>
    <x v="4"/>
  </r>
  <r>
    <s v="G70"/>
    <x v="436"/>
    <s v="550E/1000N"/>
    <m/>
    <x v="60"/>
    <x v="88"/>
    <n v="5280"/>
    <n v="20"/>
    <s v="DS"/>
    <s v="G"/>
    <n v="0"/>
    <n v="6"/>
    <n v="6"/>
    <n v="6"/>
    <n v="6"/>
    <n v="6"/>
    <n v="6"/>
    <n v="6"/>
    <n v="6"/>
    <n v="7"/>
    <n v="7"/>
    <m/>
    <m/>
    <m/>
    <n v="12"/>
    <n v="0"/>
    <s v="550E"/>
    <n v="4"/>
    <x v="2"/>
    <n v="32000"/>
    <m/>
    <n v="0"/>
    <x v="2"/>
  </r>
  <r>
    <s v="J44"/>
    <x v="437"/>
    <s v="550N/1050E"/>
    <m/>
    <x v="67"/>
    <x v="102"/>
    <n v="2700"/>
    <n v="20"/>
    <s v="CS"/>
    <s v="J"/>
    <n v="0"/>
    <n v="6"/>
    <n v="3"/>
    <n v="10"/>
    <n v="9"/>
    <n v="8"/>
    <n v="8"/>
    <n v="8"/>
    <n v="8"/>
    <n v="7"/>
    <n v="7"/>
    <m/>
    <m/>
    <m/>
    <n v="50"/>
    <n v="0"/>
    <s v="550N"/>
    <n v="2"/>
    <x v="0"/>
    <n v="10738.636363636364"/>
    <n v="1"/>
    <n v="10738.636363636364"/>
    <x v="3"/>
  </r>
  <r>
    <s v="J45"/>
    <x v="438"/>
    <s v="550N/E. CO. LINE"/>
    <m/>
    <x v="67"/>
    <x v="69"/>
    <n v="2755"/>
    <n v="20"/>
    <s v="CS"/>
    <s v="J"/>
    <n v="0"/>
    <n v="4"/>
    <n v="4"/>
    <n v="10"/>
    <n v="9"/>
    <n v="8"/>
    <n v="8"/>
    <n v="8"/>
    <n v="8"/>
    <n v="7"/>
    <n v="7"/>
    <m/>
    <m/>
    <m/>
    <n v="50"/>
    <n v="0"/>
    <s v="550N"/>
    <n v="2"/>
    <x v="0"/>
    <n v="10957.386363636364"/>
    <n v="1"/>
    <n v="10957.386363636364"/>
    <x v="3"/>
  </r>
  <r>
    <s v="C47"/>
    <x v="439"/>
    <s v="550N/END"/>
    <m/>
    <x v="21"/>
    <x v="25"/>
    <n v="2792"/>
    <n v="20"/>
    <s v="CS"/>
    <s v="C"/>
    <n v="0"/>
    <n v="7"/>
    <n v="7"/>
    <n v="7"/>
    <n v="7"/>
    <n v="8"/>
    <n v="7"/>
    <n v="7"/>
    <n v="7"/>
    <n v="7"/>
    <n v="7"/>
    <m/>
    <m/>
    <m/>
    <n v="50"/>
    <n v="0"/>
    <s v="550N"/>
    <n v="2"/>
    <x v="0"/>
    <n v="11104.545454545454"/>
    <m/>
    <n v="0"/>
    <x v="3"/>
  </r>
  <r>
    <s v="BR04"/>
    <x v="440"/>
    <s v="550S/500E"/>
    <m/>
    <x v="32"/>
    <x v="73"/>
    <n v="4665"/>
    <n v="20"/>
    <s v="G"/>
    <s v="BR"/>
    <n v="0"/>
    <n v="6"/>
    <n v="8"/>
    <n v="8"/>
    <n v="8"/>
    <n v="8"/>
    <n v="8"/>
    <n v="7"/>
    <n v="7"/>
    <n v="7"/>
    <n v="7"/>
    <m/>
    <m/>
    <m/>
    <n v="50"/>
    <n v="0"/>
    <s v="550S"/>
    <n v="2"/>
    <x v="0"/>
    <n v="18553.977272727272"/>
    <m/>
    <n v="0"/>
    <x v="2"/>
  </r>
  <r>
    <s v="BR05"/>
    <x v="441"/>
    <s v="550S/800E"/>
    <m/>
    <x v="110"/>
    <x v="38"/>
    <n v="11555"/>
    <n v="20"/>
    <s v="CS"/>
    <s v="BR"/>
    <n v="0"/>
    <n v="4"/>
    <n v="4"/>
    <n v="9"/>
    <n v="9"/>
    <n v="8"/>
    <n v="8"/>
    <n v="8"/>
    <n v="8"/>
    <n v="8"/>
    <n v="8"/>
    <m/>
    <m/>
    <m/>
    <n v="339"/>
    <n v="0"/>
    <s v="550S"/>
    <n v="2"/>
    <x v="0"/>
    <n v="45957.38636363636"/>
    <m/>
    <n v="0"/>
    <x v="3"/>
  </r>
  <r>
    <s v="BR06"/>
    <x v="442"/>
    <s v="550S/900E"/>
    <m/>
    <x v="38"/>
    <x v="77"/>
    <n v="5362"/>
    <n v="20"/>
    <s v="CS"/>
    <s v="BR"/>
    <n v="0"/>
    <n v="8"/>
    <n v="5"/>
    <n v="8"/>
    <n v="9"/>
    <n v="8"/>
    <n v="7"/>
    <n v="6"/>
    <n v="7"/>
    <n v="7"/>
    <n v="8"/>
    <m/>
    <m/>
    <m/>
    <n v="50"/>
    <n v="0"/>
    <s v="550S"/>
    <n v="2"/>
    <x v="2"/>
    <n v="32496.969696969696"/>
    <m/>
    <n v="0"/>
    <x v="2"/>
  </r>
  <r>
    <s v="SC80"/>
    <x v="443"/>
    <s v="550W/STINEMYER RD"/>
    <m/>
    <x v="72"/>
    <x v="67"/>
    <n v="6100"/>
    <n v="20"/>
    <s v="CS"/>
    <s v="SC"/>
    <n v="0"/>
    <n v="6"/>
    <n v="6"/>
    <n v="6"/>
    <n v="7"/>
    <n v="8"/>
    <n v="8"/>
    <n v="7"/>
    <n v="7"/>
    <n v="7"/>
    <n v="7"/>
    <m/>
    <m/>
    <m/>
    <n v="357"/>
    <n v="0"/>
    <s v="550W"/>
    <n v="2"/>
    <x v="0"/>
    <n v="24261.363636363636"/>
    <n v="1"/>
    <n v="24261.363636363636"/>
    <x v="0"/>
  </r>
  <r>
    <s v="SC79"/>
    <x v="444"/>
    <s v="550W/US52"/>
    <m/>
    <x v="114"/>
    <x v="71"/>
    <n v="2008"/>
    <n v="20"/>
    <s v="AC"/>
    <s v="SC"/>
    <n v="0"/>
    <n v="6"/>
    <n v="6"/>
    <n v="8"/>
    <n v="6"/>
    <n v="6"/>
    <n v="7"/>
    <n v="7"/>
    <n v="7"/>
    <n v="7"/>
    <n v="7"/>
    <m/>
    <m/>
    <m/>
    <n v="892"/>
    <n v="0.5"/>
    <s v="550W"/>
    <n v="4.5"/>
    <x v="0"/>
    <n v="7986.363636363636"/>
    <m/>
    <n v="0"/>
    <x v="2"/>
  </r>
  <r>
    <s v="BR55"/>
    <x v="445"/>
    <s v="575E/500S"/>
    <m/>
    <x v="24"/>
    <x v="111"/>
    <n v="3907"/>
    <n v="20"/>
    <s v="AC"/>
    <s v="BR"/>
    <n v="0"/>
    <n v="9"/>
    <n v="8"/>
    <n v="8"/>
    <n v="8"/>
    <n v="8"/>
    <n v="8"/>
    <n v="7"/>
    <n v="7"/>
    <n v="7"/>
    <n v="7"/>
    <m/>
    <n v="2021"/>
    <s v="Y"/>
    <n v="1062"/>
    <n v="0.5"/>
    <s v="575E"/>
    <n v="2.5"/>
    <x v="0"/>
    <n v="15539.204545454546"/>
    <m/>
    <n v="0"/>
    <x v="4"/>
  </r>
  <r>
    <s v="BR54"/>
    <x v="446"/>
    <s v="575E/550S"/>
    <m/>
    <x v="106"/>
    <x v="54"/>
    <n v="2798"/>
    <n v="20"/>
    <s v="AC"/>
    <s v="BR"/>
    <n v="0"/>
    <n v="9"/>
    <n v="8"/>
    <n v="8"/>
    <n v="8"/>
    <n v="8"/>
    <n v="8"/>
    <n v="7"/>
    <n v="7"/>
    <n v="7"/>
    <n v="7"/>
    <m/>
    <n v="2021"/>
    <s v="Y"/>
    <n v="1062"/>
    <n v="0.5"/>
    <s v="575E"/>
    <n v="2.5"/>
    <x v="0"/>
    <n v="11128.40909090909"/>
    <m/>
    <n v="0"/>
    <x v="4"/>
  </r>
  <r>
    <s v="G75"/>
    <x v="447"/>
    <s v="600E/1000N"/>
    <m/>
    <x v="5"/>
    <x v="61"/>
    <n v="5438"/>
    <n v="20"/>
    <s v="AC"/>
    <s v="G"/>
    <n v="0"/>
    <n v="7"/>
    <n v="8"/>
    <n v="8"/>
    <n v="8"/>
    <n v="6"/>
    <n v="6"/>
    <n v="7"/>
    <n v="7"/>
    <n v="7"/>
    <n v="7"/>
    <n v="2024"/>
    <n v="2022"/>
    <s v="Y"/>
    <n v="179"/>
    <n v="0"/>
    <s v="600E"/>
    <n v="4"/>
    <x v="2"/>
    <n v="32957.57575757576"/>
    <n v="1"/>
    <n v="32957.57575757576"/>
    <x v="0"/>
  </r>
  <r>
    <s v="J48"/>
    <x v="448"/>
    <s v="600E/100N"/>
    <m/>
    <x v="23"/>
    <x v="70"/>
    <n v="4240"/>
    <n v="20"/>
    <s v="AC"/>
    <s v="J"/>
    <n v="0"/>
    <n v="7"/>
    <n v="8"/>
    <n v="8"/>
    <n v="8"/>
    <n v="7"/>
    <n v="7"/>
    <n v="7"/>
    <n v="7"/>
    <n v="7"/>
    <n v="7"/>
    <m/>
    <n v="2021"/>
    <s v="Y"/>
    <n v="2076"/>
    <n v="1"/>
    <s v="600E"/>
    <n v="4"/>
    <x v="5"/>
    <n v="64242.42424242424"/>
    <m/>
    <n v="0"/>
    <x v="0"/>
  </r>
  <r>
    <s v="BR60"/>
    <x v="449"/>
    <s v="600E/100S"/>
    <m/>
    <x v="62"/>
    <x v="63"/>
    <n v="5840"/>
    <n v="20"/>
    <s v="AC"/>
    <s v="BR"/>
    <n v="0"/>
    <n v="7"/>
    <n v="7"/>
    <n v="7"/>
    <n v="7"/>
    <n v="7"/>
    <n v="7"/>
    <n v="6"/>
    <n v="7"/>
    <n v="7"/>
    <n v="7"/>
    <m/>
    <n v="2021"/>
    <s v="Y"/>
    <n v="1727"/>
    <n v="1"/>
    <s v="600E"/>
    <n v="4"/>
    <x v="0"/>
    <n v="23227.272727272728"/>
    <m/>
    <n v="0"/>
    <x v="4"/>
  </r>
  <r>
    <s v="J49"/>
    <x v="450"/>
    <s v="600E/200N"/>
    <m/>
    <x v="44"/>
    <x v="51"/>
    <n v="5385"/>
    <n v="20"/>
    <s v="AC"/>
    <s v="J"/>
    <n v="0"/>
    <n v="8"/>
    <n v="8"/>
    <n v="8"/>
    <n v="8"/>
    <n v="7"/>
    <n v="7"/>
    <n v="7"/>
    <n v="7"/>
    <n v="7"/>
    <n v="7"/>
    <m/>
    <n v="2021"/>
    <s v="Y"/>
    <n v="2199"/>
    <n v="1"/>
    <s v="600E"/>
    <n v="4"/>
    <x v="5"/>
    <n v="81590.909090909088"/>
    <m/>
    <n v="0"/>
    <x v="0"/>
  </r>
  <r>
    <m/>
    <x v="451"/>
    <s v="125W/200N"/>
    <m/>
    <x v="35"/>
    <x v="53"/>
    <n v="1310"/>
    <n v="20"/>
    <s v="CS"/>
    <s v="C"/>
    <n v="0"/>
    <n v="5"/>
    <n v="5"/>
    <n v="5"/>
    <n v="5"/>
    <n v="5"/>
    <n v="5"/>
    <n v="8"/>
    <n v="8"/>
    <n v="7"/>
    <n v="7"/>
    <m/>
    <m/>
    <m/>
    <n v="50"/>
    <n v="0"/>
    <s v="125W"/>
    <n v="5"/>
    <x v="0"/>
    <n v="5210.227272727273"/>
    <m/>
    <n v="0"/>
    <x v="6"/>
  </r>
  <r>
    <s v="J50"/>
    <x v="452"/>
    <s v="600E/250N"/>
    <m/>
    <x v="35"/>
    <x v="56"/>
    <n v="2693"/>
    <n v="20"/>
    <s v="AC"/>
    <s v="J"/>
    <n v="0"/>
    <n v="8"/>
    <n v="8"/>
    <n v="8"/>
    <n v="8"/>
    <n v="7"/>
    <n v="7"/>
    <n v="7"/>
    <n v="7"/>
    <n v="7"/>
    <n v="7"/>
    <m/>
    <n v="2021"/>
    <s v="Y"/>
    <n v="2252"/>
    <n v="1"/>
    <s v="600E"/>
    <n v="4"/>
    <x v="5"/>
    <n v="40803.030303030304"/>
    <m/>
    <n v="0"/>
    <x v="0"/>
  </r>
  <r>
    <s v="C51"/>
    <x v="453"/>
    <s v="125W/300N"/>
    <m/>
    <x v="50"/>
    <x v="53"/>
    <n v="2240"/>
    <n v="20"/>
    <s v="CS"/>
    <s v="C"/>
    <n v="0"/>
    <n v="6"/>
    <n v="6"/>
    <n v="6"/>
    <n v="6"/>
    <n v="5"/>
    <n v="4"/>
    <n v="9"/>
    <n v="8"/>
    <n v="8"/>
    <n v="8"/>
    <m/>
    <m/>
    <m/>
    <n v="50"/>
    <n v="0"/>
    <s v="125W"/>
    <n v="5"/>
    <x v="0"/>
    <n v="8909.0909090909099"/>
    <m/>
    <n v="0"/>
    <x v="6"/>
  </r>
  <r>
    <s v="J51"/>
    <x v="454"/>
    <s v="600E/300N"/>
    <m/>
    <x v="56"/>
    <x v="36"/>
    <n v="2640"/>
    <n v="20"/>
    <s v="AC"/>
    <s v="J"/>
    <n v="0"/>
    <n v="8"/>
    <n v="8"/>
    <n v="8"/>
    <n v="8"/>
    <n v="7"/>
    <n v="7"/>
    <n v="7"/>
    <n v="7"/>
    <n v="7"/>
    <n v="7"/>
    <m/>
    <n v="2021"/>
    <s v="Y"/>
    <n v="1714"/>
    <n v="1"/>
    <s v="600E"/>
    <n v="4"/>
    <x v="5"/>
    <n v="40000"/>
    <n v="1"/>
    <n v="40000"/>
    <x v="0"/>
  </r>
  <r>
    <s v="BW50"/>
    <x v="455"/>
    <s v="200E/500S"/>
    <m/>
    <x v="24"/>
    <x v="54"/>
    <n v="5340"/>
    <n v="20"/>
    <s v="AC"/>
    <s v="BW"/>
    <n v="0"/>
    <n v="4"/>
    <n v="5"/>
    <n v="5"/>
    <n v="5"/>
    <n v="5"/>
    <n v="5"/>
    <n v="9"/>
    <n v="8"/>
    <n v="7"/>
    <n v="7"/>
    <m/>
    <m/>
    <m/>
    <n v="50"/>
    <n v="0"/>
    <s v="200E"/>
    <n v="5"/>
    <x v="0"/>
    <n v="21238.636363636364"/>
    <m/>
    <n v="0"/>
    <x v="6"/>
  </r>
  <r>
    <s v="J52"/>
    <x v="456"/>
    <s v="600E/400N"/>
    <m/>
    <x v="50"/>
    <x v="2"/>
    <n v="5370"/>
    <n v="20"/>
    <s v="AC"/>
    <s v="J"/>
    <n v="0"/>
    <n v="7"/>
    <n v="8"/>
    <n v="8"/>
    <n v="8"/>
    <n v="7"/>
    <n v="7"/>
    <n v="7"/>
    <n v="7"/>
    <n v="7"/>
    <n v="7"/>
    <m/>
    <n v="2021"/>
    <s v="Y"/>
    <n v="1868"/>
    <n v="1"/>
    <s v="600E"/>
    <n v="4"/>
    <x v="5"/>
    <n v="81363.636363636368"/>
    <n v="1"/>
    <n v="81363.636363636368"/>
    <x v="0"/>
  </r>
  <r>
    <s v="C58"/>
    <x v="457"/>
    <s v="25W/600N"/>
    <m/>
    <x v="77"/>
    <x v="3"/>
    <n v="5370"/>
    <n v="20"/>
    <s v="AC"/>
    <s v="C"/>
    <n v="0"/>
    <n v="7"/>
    <n v="7"/>
    <n v="7"/>
    <n v="7"/>
    <n v="7"/>
    <n v="6"/>
    <m/>
    <n v="7"/>
    <n v="7"/>
    <n v="7"/>
    <m/>
    <m/>
    <m/>
    <n v="50"/>
    <n v="0"/>
    <s v="25W"/>
    <n v="3"/>
    <x v="0"/>
    <n v="21357.954545454544"/>
    <m/>
    <n v="0"/>
    <x v="6"/>
  </r>
  <r>
    <s v="J53"/>
    <x v="458"/>
    <s v="600E/500N"/>
    <m/>
    <x v="3"/>
    <x v="3"/>
    <n v="5385"/>
    <n v="20"/>
    <s v="AC"/>
    <s v="J"/>
    <n v="0"/>
    <n v="6"/>
    <n v="8"/>
    <n v="8"/>
    <n v="7"/>
    <n v="6"/>
    <n v="6"/>
    <n v="7"/>
    <n v="7"/>
    <n v="7"/>
    <n v="7"/>
    <m/>
    <n v="2021"/>
    <s v="Y"/>
    <n v="1776"/>
    <n v="1"/>
    <s v="600E"/>
    <n v="5"/>
    <x v="5"/>
    <n v="81590.909090909088"/>
    <n v="1"/>
    <n v="81590.909090909088"/>
    <x v="0"/>
  </r>
  <r>
    <s v="J54"/>
    <x v="459"/>
    <s v="600E/600N"/>
    <m/>
    <x v="77"/>
    <x v="3"/>
    <n v="5030"/>
    <n v="20"/>
    <s v="AC"/>
    <s v="J"/>
    <n v="0"/>
    <n v="7"/>
    <n v="8"/>
    <n v="8"/>
    <n v="8"/>
    <n v="7"/>
    <n v="7"/>
    <n v="7"/>
    <n v="7"/>
    <n v="7"/>
    <n v="7"/>
    <m/>
    <n v="2021"/>
    <s v="Y"/>
    <n v="2670"/>
    <n v="1.5"/>
    <s v="600E"/>
    <n v="4.5"/>
    <x v="5"/>
    <n v="76212.121212121216"/>
    <n v="1"/>
    <n v="76212.121212121216"/>
    <x v="0"/>
  </r>
  <r>
    <s v="G71"/>
    <x v="460"/>
    <s v="600E/650N"/>
    <m/>
    <x v="77"/>
    <x v="5"/>
    <n v="2628"/>
    <n v="20"/>
    <s v="AC"/>
    <s v="G"/>
    <n v="0"/>
    <n v="7"/>
    <n v="8"/>
    <n v="7"/>
    <n v="7"/>
    <n v="6"/>
    <n v="6"/>
    <n v="7"/>
    <n v="7"/>
    <n v="7"/>
    <n v="7"/>
    <m/>
    <n v="2021"/>
    <s v="Y"/>
    <n v="2566"/>
    <n v="1.5"/>
    <s v="600E"/>
    <n v="5.5"/>
    <x v="5"/>
    <n v="39818.181818181816"/>
    <n v="1"/>
    <n v="39818.181818181816"/>
    <x v="3"/>
  </r>
  <r>
    <s v="G72"/>
    <x v="461"/>
    <s v="600E/700N"/>
    <m/>
    <x v="99"/>
    <x v="82"/>
    <n v="2692"/>
    <n v="20"/>
    <s v="AC"/>
    <s v="G"/>
    <n v="0"/>
    <n v="7"/>
    <n v="8"/>
    <n v="8"/>
    <n v="8"/>
    <n v="7"/>
    <n v="7"/>
    <n v="7"/>
    <n v="7"/>
    <n v="7"/>
    <n v="7"/>
    <m/>
    <n v="2021"/>
    <s v="Y"/>
    <n v="2566"/>
    <n v="1.5"/>
    <s v="600E"/>
    <n v="4.5"/>
    <x v="5"/>
    <n v="40787.878787878784"/>
    <n v="1"/>
    <n v="40787.878787878784"/>
    <x v="3"/>
  </r>
  <r>
    <s v="G74"/>
    <x v="462"/>
    <s v="600E/900N"/>
    <m/>
    <x v="7"/>
    <x v="88"/>
    <n v="4332"/>
    <n v="20"/>
    <s v="CS"/>
    <s v="G"/>
    <n v="0"/>
    <n v="5"/>
    <n v="8"/>
    <n v="8"/>
    <n v="8"/>
    <n v="8"/>
    <n v="8"/>
    <n v="8"/>
    <n v="8"/>
    <n v="7"/>
    <n v="7"/>
    <n v="2024"/>
    <n v="2018"/>
    <s v="Y"/>
    <n v="271"/>
    <n v="0"/>
    <s v="600E"/>
    <n v="2"/>
    <x v="4"/>
    <n v="90250"/>
    <n v="1"/>
    <n v="90250"/>
    <x v="3"/>
  </r>
  <r>
    <s v="BR61"/>
    <x v="463"/>
    <s v="600E/N. TWP LINE"/>
    <m/>
    <x v="59"/>
    <x v="63"/>
    <n v="5017"/>
    <n v="20"/>
    <s v="AC"/>
    <s v="BR"/>
    <n v="0"/>
    <n v="7"/>
    <n v="7"/>
    <n v="7"/>
    <n v="7"/>
    <n v="7"/>
    <n v="7"/>
    <n v="7"/>
    <n v="7"/>
    <n v="7"/>
    <n v="7"/>
    <n v="2024"/>
    <m/>
    <s v="Y"/>
    <n v="2222"/>
    <n v="1"/>
    <s v="600E"/>
    <n v="4"/>
    <x v="4"/>
    <n v="104520.83333333333"/>
    <n v="1"/>
    <n v="104520.83333333333"/>
    <x v="0"/>
  </r>
  <r>
    <s v="G73"/>
    <x v="464"/>
    <s v="600E/SR234"/>
    <m/>
    <x v="65"/>
    <x v="6"/>
    <n v="5332"/>
    <n v="20"/>
    <s v="AC"/>
    <s v="G"/>
    <n v="0"/>
    <n v="8"/>
    <n v="8"/>
    <n v="8"/>
    <n v="8"/>
    <n v="7"/>
    <n v="7"/>
    <n v="7"/>
    <n v="7"/>
    <n v="7"/>
    <n v="7"/>
    <m/>
    <n v="2021"/>
    <s v="Y"/>
    <n v="2242"/>
    <n v="1"/>
    <s v="600E"/>
    <n v="4"/>
    <x v="5"/>
    <n v="80787.878787878784"/>
    <n v="1"/>
    <n v="80787.878787878784"/>
    <x v="3"/>
  </r>
  <r>
    <s v="J47"/>
    <x v="465"/>
    <s v="600E/US40"/>
    <m/>
    <x v="23"/>
    <x v="80"/>
    <n v="988"/>
    <n v="20"/>
    <s v="AC"/>
    <s v="J"/>
    <n v="0"/>
    <n v="6"/>
    <n v="6"/>
    <n v="6"/>
    <n v="9"/>
    <n v="9"/>
    <n v="8"/>
    <n v="7"/>
    <n v="7"/>
    <n v="7"/>
    <n v="7"/>
    <n v="2024"/>
    <m/>
    <s v="Y"/>
    <n v="2222"/>
    <n v="1"/>
    <s v="600E"/>
    <n v="2"/>
    <x v="4"/>
    <n v="20583.333333333332"/>
    <n v="1"/>
    <n v="20583.333333333332"/>
    <x v="0"/>
  </r>
  <r>
    <s v="V07"/>
    <x v="466"/>
    <s v="600N/200W"/>
    <s v="600N/200W"/>
    <x v="27"/>
    <x v="29"/>
    <n v="5280"/>
    <n v="20"/>
    <s v="CS"/>
    <s v="V"/>
    <n v="0"/>
    <n v="6"/>
    <n v="6"/>
    <n v="6"/>
    <n v="6"/>
    <n v="8"/>
    <n v="8"/>
    <n v="8"/>
    <n v="8"/>
    <n v="7"/>
    <n v="7"/>
    <n v="2024"/>
    <n v="2021"/>
    <s v="Y"/>
    <n v="2102"/>
    <n v="1"/>
    <s v="600N"/>
    <n v="3"/>
    <x v="5"/>
    <n v="80000"/>
    <n v="1"/>
    <n v="80000"/>
    <x v="3"/>
  </r>
  <r>
    <s v="G03"/>
    <x v="467"/>
    <s v="600N/250E"/>
    <m/>
    <x v="116"/>
    <x v="19"/>
    <n v="3534"/>
    <n v="20"/>
    <s v="AC"/>
    <s v="G"/>
    <n v="0"/>
    <n v="8"/>
    <n v="7"/>
    <n v="7"/>
    <n v="7"/>
    <n v="7"/>
    <n v="7"/>
    <n v="7"/>
    <n v="7"/>
    <n v="7"/>
    <n v="8"/>
    <m/>
    <n v="2021"/>
    <s v="Y"/>
    <n v="1434"/>
    <n v="0.5"/>
    <s v="600N"/>
    <n v="3.5"/>
    <x v="7"/>
    <n v="16732.954545454544"/>
    <m/>
    <n v="0"/>
    <x v="5"/>
  </r>
  <r>
    <s v="V10"/>
    <x v="468"/>
    <s v="600N/25W"/>
    <m/>
    <x v="108"/>
    <x v="20"/>
    <n v="2227"/>
    <n v="20"/>
    <s v="AC"/>
    <s v="V"/>
    <n v="0"/>
    <n v="10"/>
    <n v="8"/>
    <n v="8"/>
    <n v="8"/>
    <n v="8"/>
    <n v="8"/>
    <n v="8"/>
    <n v="8"/>
    <n v="7"/>
    <n v="8"/>
    <m/>
    <n v="2021"/>
    <s v="Y"/>
    <n v="1328"/>
    <n v="0.5"/>
    <s v="600N"/>
    <n v="2.5"/>
    <x v="7"/>
    <n v="10544.507575757576"/>
    <m/>
    <n v="0"/>
    <x v="5"/>
  </r>
  <r>
    <s v="G04"/>
    <x v="469"/>
    <s v="600N/300E"/>
    <m/>
    <x v="85"/>
    <x v="121"/>
    <n v="2755"/>
    <n v="20"/>
    <s v="AC"/>
    <s v="G"/>
    <n v="0"/>
    <n v="7"/>
    <n v="7"/>
    <n v="7"/>
    <n v="7"/>
    <n v="7"/>
    <n v="7"/>
    <n v="7"/>
    <n v="7"/>
    <n v="7"/>
    <n v="8"/>
    <m/>
    <n v="2021"/>
    <s v="Y"/>
    <n v="1170"/>
    <n v="0.5"/>
    <s v="600N"/>
    <n v="3.5"/>
    <x v="7"/>
    <n v="13044.507575757576"/>
    <m/>
    <n v="0"/>
    <x v="5"/>
  </r>
  <r>
    <s v="V06"/>
    <x v="470"/>
    <s v="600N/300W"/>
    <m/>
    <x v="28"/>
    <x v="30"/>
    <n v="2668"/>
    <n v="20"/>
    <s v="CS"/>
    <s v="V"/>
    <n v="0"/>
    <n v="6"/>
    <n v="6"/>
    <n v="6"/>
    <n v="6"/>
    <n v="8"/>
    <n v="8"/>
    <n v="8"/>
    <n v="8"/>
    <n v="7"/>
    <n v="7"/>
    <n v="2024"/>
    <n v="2021"/>
    <s v="Y"/>
    <n v="2134"/>
    <n v="1"/>
    <s v="600N"/>
    <n v="3"/>
    <x v="5"/>
    <n v="40424.242424242424"/>
    <n v="1"/>
    <n v="40424.242424242424"/>
    <x v="3"/>
  </r>
  <r>
    <s v="V05"/>
    <x v="471"/>
    <s v="600N/350W"/>
    <m/>
    <x v="29"/>
    <x v="31"/>
    <n v="2671"/>
    <n v="20"/>
    <s v="CS"/>
    <s v="V"/>
    <n v="0"/>
    <n v="6"/>
    <n v="6"/>
    <n v="6"/>
    <n v="6"/>
    <n v="8"/>
    <n v="8"/>
    <n v="8"/>
    <n v="8"/>
    <n v="7"/>
    <n v="7"/>
    <n v="2024"/>
    <n v="2021"/>
    <s v="Y"/>
    <n v="2134"/>
    <n v="1"/>
    <s v="600N"/>
    <n v="3"/>
    <x v="5"/>
    <n v="40469.696969696968"/>
    <n v="1"/>
    <n v="40469.696969696968"/>
    <x v="3"/>
  </r>
  <r>
    <s v="G05"/>
    <x v="472"/>
    <s v="600N/400E"/>
    <m/>
    <x v="30"/>
    <x v="104"/>
    <n v="5262"/>
    <n v="20"/>
    <s v="AC"/>
    <s v="G"/>
    <n v="0"/>
    <n v="7"/>
    <n v="7"/>
    <n v="7"/>
    <n v="7"/>
    <n v="7"/>
    <n v="7"/>
    <n v="7"/>
    <n v="7"/>
    <n v="7"/>
    <n v="8"/>
    <m/>
    <n v="2021"/>
    <s v="Y"/>
    <n v="1067"/>
    <n v="0.5"/>
    <s v="600N"/>
    <n v="3.5"/>
    <x v="7"/>
    <n v="24914.772727272728"/>
    <m/>
    <n v="0"/>
    <x v="5"/>
  </r>
  <r>
    <s v="V04"/>
    <x v="473"/>
    <s v="600N/400W"/>
    <m/>
    <x v="11"/>
    <x v="46"/>
    <n v="3994"/>
    <n v="20"/>
    <s v="CS"/>
    <s v="V"/>
    <n v="0"/>
    <n v="6"/>
    <n v="6"/>
    <n v="8"/>
    <n v="8"/>
    <n v="8"/>
    <n v="8"/>
    <n v="8"/>
    <n v="8"/>
    <n v="7"/>
    <n v="7"/>
    <n v="2024"/>
    <n v="2021"/>
    <s v="Y"/>
    <n v="2165"/>
    <n v="1"/>
    <s v="600N"/>
    <n v="3"/>
    <x v="5"/>
    <n v="60515.151515151512"/>
    <n v="1"/>
    <n v="60515.151515151512"/>
    <x v="3"/>
  </r>
  <r>
    <s v="G06"/>
    <x v="474"/>
    <s v="600N/500E"/>
    <m/>
    <x v="32"/>
    <x v="73"/>
    <n v="5329"/>
    <n v="20"/>
    <s v="AC"/>
    <s v="G"/>
    <n v="0"/>
    <n v="7"/>
    <n v="8"/>
    <n v="8"/>
    <n v="8"/>
    <n v="8"/>
    <n v="8"/>
    <n v="8"/>
    <n v="7"/>
    <n v="7"/>
    <n v="8"/>
    <m/>
    <n v="2021"/>
    <s v="Y"/>
    <n v="594"/>
    <n v="0.5"/>
    <s v="600N"/>
    <n v="2.5"/>
    <x v="7"/>
    <n v="25232.007575757576"/>
    <m/>
    <n v="0"/>
    <x v="5"/>
  </r>
  <r>
    <s v="V03"/>
    <x v="475"/>
    <s v="600N/500W"/>
    <m/>
    <x v="117"/>
    <x v="34"/>
    <n v="2669"/>
    <n v="20"/>
    <s v="AC"/>
    <s v="V"/>
    <n v="0"/>
    <n v="7"/>
    <n v="6"/>
    <n v="6"/>
    <n v="9"/>
    <n v="8"/>
    <n v="8"/>
    <n v="8"/>
    <n v="8"/>
    <n v="7"/>
    <n v="7"/>
    <n v="2024"/>
    <m/>
    <s v="Y"/>
    <n v="3089"/>
    <n v="1.5"/>
    <s v="600N"/>
    <n v="3.5"/>
    <x v="5"/>
    <n v="40439.393939393936"/>
    <n v="1"/>
    <n v="40439.393939393936"/>
    <x v="3"/>
  </r>
  <r>
    <s v="G01"/>
    <x v="476"/>
    <s v="600N/50E"/>
    <m/>
    <x v="89"/>
    <x v="20"/>
    <n v="4407"/>
    <n v="20"/>
    <s v="AC"/>
    <s v="G"/>
    <n v="0"/>
    <n v="10"/>
    <n v="8"/>
    <n v="8"/>
    <n v="8"/>
    <n v="8"/>
    <n v="8"/>
    <n v="8"/>
    <n v="7"/>
    <n v="7"/>
    <n v="8"/>
    <m/>
    <n v="2021"/>
    <s v="Y"/>
    <n v="1334"/>
    <n v="0.5"/>
    <s v="600N"/>
    <n v="2.5"/>
    <x v="7"/>
    <n v="20866.477272727272"/>
    <m/>
    <n v="0"/>
    <x v="5"/>
  </r>
  <r>
    <s v="V09"/>
    <x v="477"/>
    <s v="600N/50W"/>
    <m/>
    <x v="12"/>
    <x v="95"/>
    <n v="2405"/>
    <n v="20"/>
    <s v="AC"/>
    <s v="V"/>
    <n v="0"/>
    <n v="9"/>
    <n v="8"/>
    <n v="7"/>
    <n v="9"/>
    <n v="8"/>
    <n v="8"/>
    <n v="8"/>
    <n v="8"/>
    <n v="7"/>
    <n v="8"/>
    <m/>
    <n v="2021"/>
    <s v="Y"/>
    <n v="1328"/>
    <n v="0.5"/>
    <s v="600N"/>
    <n v="2.5"/>
    <x v="7"/>
    <n v="11387.310606060606"/>
    <m/>
    <n v="0"/>
    <x v="5"/>
  </r>
  <r>
    <s v="G07"/>
    <x v="478"/>
    <s v="600N/600E"/>
    <m/>
    <x v="14"/>
    <x v="14"/>
    <n v="5452"/>
    <n v="20"/>
    <s v="AC"/>
    <s v="G"/>
    <n v="0"/>
    <n v="7"/>
    <n v="7"/>
    <n v="7"/>
    <n v="7"/>
    <n v="7"/>
    <n v="7"/>
    <n v="7"/>
    <n v="7"/>
    <n v="7"/>
    <n v="8"/>
    <m/>
    <n v="2021"/>
    <s v="Y"/>
    <n v="529"/>
    <n v="0.5"/>
    <s v="600N"/>
    <n v="3.5"/>
    <x v="7"/>
    <n v="25814.39393939394"/>
    <m/>
    <n v="0"/>
    <x v="5"/>
  </r>
  <r>
    <s v="V02"/>
    <x v="479"/>
    <s v="600N/600W"/>
    <m/>
    <x v="43"/>
    <x v="48"/>
    <n v="1350"/>
    <n v="20"/>
    <s v="AC"/>
    <s v="V"/>
    <n v="0"/>
    <n v="7"/>
    <n v="7"/>
    <n v="7"/>
    <n v="6"/>
    <n v="6"/>
    <n v="7"/>
    <n v="8"/>
    <n v="8"/>
    <n v="7"/>
    <n v="7"/>
    <n v="2024"/>
    <m/>
    <s v="Y"/>
    <n v="3552"/>
    <n v="1.5"/>
    <s v="600N"/>
    <n v="5.5"/>
    <x v="0"/>
    <n v="5369.318181818182"/>
    <m/>
    <n v="0"/>
    <x v="3"/>
  </r>
  <r>
    <s v="B02"/>
    <x v="480"/>
    <s v="600N/700E"/>
    <m/>
    <x v="118"/>
    <x v="68"/>
    <n v="3713"/>
    <n v="20"/>
    <s v="AC"/>
    <s v="B"/>
    <n v="0"/>
    <n v="8"/>
    <n v="7"/>
    <n v="7"/>
    <n v="7"/>
    <n v="7"/>
    <n v="7"/>
    <n v="7"/>
    <n v="7"/>
    <n v="7"/>
    <n v="7"/>
    <m/>
    <m/>
    <m/>
    <n v="142"/>
    <n v="0"/>
    <s v="600N"/>
    <n v="3"/>
    <x v="0"/>
    <n v="14767.613636363636"/>
    <m/>
    <n v="0"/>
    <x v="4"/>
  </r>
  <r>
    <s v="B03"/>
    <x v="481"/>
    <s v="600N/800E"/>
    <m/>
    <x v="37"/>
    <x v="38"/>
    <n v="4724"/>
    <n v="20"/>
    <s v="AC"/>
    <s v="B"/>
    <n v="0"/>
    <n v="7"/>
    <n v="7"/>
    <n v="7"/>
    <n v="6"/>
    <n v="6"/>
    <n v="5"/>
    <n v="5"/>
    <n v="5"/>
    <n v="7"/>
    <n v="7"/>
    <m/>
    <n v="2021"/>
    <s v="Y"/>
    <n v="154"/>
    <n v="0"/>
    <s v="600N"/>
    <n v="4"/>
    <x v="7"/>
    <n v="22367.424242424244"/>
    <m/>
    <n v="0"/>
    <x v="5"/>
  </r>
  <r>
    <s v="B04"/>
    <x v="482"/>
    <s v="600N/850E"/>
    <m/>
    <x v="38"/>
    <x v="39"/>
    <n v="2725"/>
    <n v="20"/>
    <s v="AC"/>
    <s v="B"/>
    <n v="0"/>
    <n v="9"/>
    <n v="8"/>
    <n v="8"/>
    <n v="8"/>
    <n v="8"/>
    <n v="8"/>
    <n v="7"/>
    <n v="7"/>
    <n v="7"/>
    <n v="7"/>
    <m/>
    <m/>
    <m/>
    <n v="154"/>
    <n v="0"/>
    <s v="600N"/>
    <n v="2"/>
    <x v="0"/>
    <n v="10838.068181818182"/>
    <m/>
    <n v="0"/>
    <x v="4"/>
  </r>
  <r>
    <s v="B05"/>
    <x v="483"/>
    <s v="600N/875E"/>
    <m/>
    <x v="40"/>
    <x v="122"/>
    <n v="1235"/>
    <n v="20"/>
    <s v="CS"/>
    <s v="B"/>
    <n v="0"/>
    <n v="4"/>
    <n v="4"/>
    <n v="10"/>
    <n v="9"/>
    <n v="8"/>
    <n v="7"/>
    <n v="7"/>
    <n v="7"/>
    <n v="7"/>
    <n v="7"/>
    <m/>
    <m/>
    <m/>
    <n v="50"/>
    <n v="0"/>
    <s v="600N"/>
    <n v="2"/>
    <x v="0"/>
    <n v="4911.931818181818"/>
    <m/>
    <n v="0"/>
    <x v="2"/>
  </r>
  <r>
    <s v="V08"/>
    <x v="484"/>
    <s v="600N/FORTVILLE PK"/>
    <m/>
    <x v="91"/>
    <x v="28"/>
    <n v="5516"/>
    <n v="20"/>
    <s v="CS"/>
    <s v="V"/>
    <n v="0"/>
    <n v="6"/>
    <n v="6"/>
    <n v="8"/>
    <n v="7"/>
    <n v="8"/>
    <n v="7"/>
    <n v="7"/>
    <n v="7"/>
    <n v="7"/>
    <n v="7"/>
    <n v="2024"/>
    <n v="2021"/>
    <s v="Y"/>
    <n v="1313"/>
    <n v="0.5"/>
    <s v="600N"/>
    <n v="2.5"/>
    <x v="5"/>
    <n v="83575.757575757569"/>
    <n v="1"/>
    <n v="83575.757575757569"/>
    <x v="3"/>
  </r>
  <r>
    <s v="C70"/>
    <x v="485"/>
    <s v="300E/400N"/>
    <m/>
    <x v="3"/>
    <x v="36"/>
    <n v="5300"/>
    <n v="20"/>
    <s v="AC"/>
    <s v="C"/>
    <n v="0"/>
    <n v="6"/>
    <n v="6"/>
    <n v="6"/>
    <n v="6"/>
    <n v="5"/>
    <n v="5"/>
    <n v="8"/>
    <n v="8"/>
    <n v="8"/>
    <n v="7"/>
    <m/>
    <m/>
    <m/>
    <n v="50"/>
    <n v="0"/>
    <s v="300E"/>
    <n v="5"/>
    <x v="0"/>
    <n v="21079.545454545456"/>
    <m/>
    <n v="0"/>
    <x v="6"/>
  </r>
  <r>
    <s v="G02"/>
    <x v="486"/>
    <s v="600N/SR9"/>
    <m/>
    <x v="21"/>
    <x v="45"/>
    <n v="5782"/>
    <n v="20"/>
    <s v="AC"/>
    <s v="G"/>
    <n v="0"/>
    <n v="10"/>
    <n v="8"/>
    <n v="8"/>
    <n v="8"/>
    <n v="8"/>
    <n v="8"/>
    <n v="8"/>
    <n v="7"/>
    <n v="7"/>
    <n v="8"/>
    <m/>
    <n v="2021"/>
    <s v="Y"/>
    <n v="1352"/>
    <n v="0.5"/>
    <s v="600N"/>
    <n v="2.5"/>
    <x v="7"/>
    <n v="27376.89393939394"/>
    <m/>
    <n v="0"/>
    <x v="5"/>
  </r>
  <r>
    <s v="C85"/>
    <x v="487"/>
    <s v="500E/250N"/>
    <m/>
    <x v="35"/>
    <x v="56"/>
    <n v="1412"/>
    <n v="20"/>
    <s v="CS"/>
    <s v="C"/>
    <n v="0"/>
    <n v="6"/>
    <n v="6"/>
    <n v="6"/>
    <n v="6"/>
    <n v="8"/>
    <n v="8"/>
    <n v="8"/>
    <n v="7"/>
    <n v="7"/>
    <n v="7"/>
    <m/>
    <m/>
    <m/>
    <n v="50"/>
    <n v="0"/>
    <s v="500E"/>
    <n v="2"/>
    <x v="0"/>
    <n v="5615.909090909091"/>
    <m/>
    <n v="0"/>
    <x v="6"/>
  </r>
  <r>
    <s v="SC09"/>
    <x v="488"/>
    <s v="600S/150W"/>
    <m/>
    <x v="28"/>
    <x v="27"/>
    <n v="7796"/>
    <n v="20"/>
    <s v="AC"/>
    <s v="SC"/>
    <n v="0"/>
    <n v="7"/>
    <n v="7"/>
    <n v="7"/>
    <n v="7"/>
    <n v="6"/>
    <n v="8"/>
    <n v="8"/>
    <n v="7"/>
    <n v="7"/>
    <n v="7"/>
    <n v="2023"/>
    <n v="2021"/>
    <s v="Y"/>
    <n v="963"/>
    <n v="0.5"/>
    <s v="600S"/>
    <n v="4.5"/>
    <x v="4"/>
    <n v="162416.66666666666"/>
    <n v="1"/>
    <n v="162416.66666666666"/>
    <x v="0"/>
  </r>
  <r>
    <s v="BW03"/>
    <x v="489"/>
    <s v="600S/300E"/>
    <m/>
    <x v="109"/>
    <x v="104"/>
    <n v="5365"/>
    <n v="20"/>
    <s v="AC"/>
    <s v="BW"/>
    <n v="0"/>
    <n v="8"/>
    <n v="7"/>
    <n v="7"/>
    <n v="7"/>
    <n v="6"/>
    <n v="6"/>
    <n v="6"/>
    <n v="6"/>
    <n v="6"/>
    <n v="6"/>
    <m/>
    <m/>
    <m/>
    <n v="50"/>
    <n v="0"/>
    <s v="600S"/>
    <n v="4"/>
    <x v="3"/>
    <n v="46740.530303030304"/>
    <m/>
    <n v="0"/>
    <x v="4"/>
  </r>
  <r>
    <s v="SC08"/>
    <x v="490"/>
    <s v="600S/300W"/>
    <m/>
    <x v="11"/>
    <x v="29"/>
    <n v="5297"/>
    <n v="20"/>
    <s v="AC"/>
    <s v="SC"/>
    <n v="0"/>
    <n v="7"/>
    <n v="7"/>
    <n v="7"/>
    <n v="7"/>
    <n v="6"/>
    <n v="8"/>
    <n v="8"/>
    <n v="7"/>
    <n v="7"/>
    <n v="7"/>
    <n v="2023"/>
    <n v="2023"/>
    <s v="Y"/>
    <n v="836"/>
    <n v="0.5"/>
    <s v="600S"/>
    <n v="4.5"/>
    <x v="4"/>
    <n v="110354.16666666667"/>
    <n v="1"/>
    <n v="110354.16666666667"/>
    <x v="0"/>
  </r>
  <r>
    <s v="BW04"/>
    <x v="491"/>
    <s v="600S/400E"/>
    <m/>
    <x v="85"/>
    <x v="73"/>
    <n v="5315"/>
    <n v="20"/>
    <s v="AC"/>
    <s v="BW"/>
    <n v="0"/>
    <n v="7"/>
    <n v="7"/>
    <n v="7"/>
    <n v="7"/>
    <n v="7"/>
    <n v="7"/>
    <n v="7"/>
    <n v="6"/>
    <n v="6"/>
    <n v="5"/>
    <m/>
    <m/>
    <m/>
    <n v="50"/>
    <n v="0"/>
    <s v="600S"/>
    <n v="3"/>
    <x v="4"/>
    <n v="110729.16666666667"/>
    <n v="1"/>
    <n v="110729.16666666667"/>
    <x v="0"/>
  </r>
  <r>
    <s v="SC07"/>
    <x v="492"/>
    <s v="600S/400W"/>
    <m/>
    <x v="92"/>
    <x v="31"/>
    <n v="2655"/>
    <n v="20"/>
    <s v="AC"/>
    <s v="SC"/>
    <n v="0"/>
    <n v="7"/>
    <n v="7"/>
    <n v="7"/>
    <n v="7"/>
    <n v="6"/>
    <n v="8"/>
    <n v="8"/>
    <n v="8"/>
    <n v="7"/>
    <n v="7"/>
    <n v="2024"/>
    <n v="2023"/>
    <s v="Y"/>
    <n v="1623"/>
    <n v="1"/>
    <s v="600S"/>
    <n v="5"/>
    <x v="5"/>
    <n v="40227.272727272728"/>
    <m/>
    <n v="0"/>
    <x v="0"/>
  </r>
  <r>
    <s v="SC06"/>
    <x v="493"/>
    <s v="600S/450W"/>
    <m/>
    <x v="117"/>
    <x v="12"/>
    <n v="3058"/>
    <n v="20"/>
    <s v="AC"/>
    <s v="SC"/>
    <n v="0"/>
    <n v="7"/>
    <n v="7"/>
    <n v="7"/>
    <n v="7"/>
    <n v="6"/>
    <n v="8"/>
    <n v="8"/>
    <n v="8"/>
    <n v="7"/>
    <n v="7"/>
    <n v="2024"/>
    <n v="2023"/>
    <s v="Y"/>
    <n v="1623"/>
    <n v="1"/>
    <s v="600S"/>
    <n v="5"/>
    <x v="0"/>
    <n v="12162.5"/>
    <m/>
    <n v="0"/>
    <x v="3"/>
  </r>
  <r>
    <s v="BR01"/>
    <x v="494"/>
    <s v="600S/500E"/>
    <m/>
    <x v="30"/>
    <x v="14"/>
    <n v="5320"/>
    <n v="20"/>
    <s v="CS"/>
    <s v="BR"/>
    <n v="0"/>
    <n v="6"/>
    <n v="6"/>
    <n v="6"/>
    <n v="6"/>
    <n v="6"/>
    <n v="6"/>
    <n v="6"/>
    <n v="7"/>
    <n v="7"/>
    <n v="7"/>
    <m/>
    <m/>
    <m/>
    <n v="50"/>
    <n v="0"/>
    <s v="600S"/>
    <n v="4"/>
    <x v="2"/>
    <n v="32242.424242424244"/>
    <m/>
    <n v="0"/>
    <x v="4"/>
  </r>
  <r>
    <s v="SC05"/>
    <x v="495"/>
    <s v="600S/500W"/>
    <m/>
    <x v="119"/>
    <x v="46"/>
    <n v="2308"/>
    <n v="20"/>
    <s v="AC"/>
    <s v="SC"/>
    <n v="0"/>
    <n v="7"/>
    <n v="7"/>
    <n v="7"/>
    <n v="7"/>
    <n v="6"/>
    <n v="8"/>
    <n v="8"/>
    <n v="8"/>
    <n v="7"/>
    <n v="7"/>
    <n v="2023"/>
    <n v="2023"/>
    <s v="Y"/>
    <n v="2370"/>
    <n v="1"/>
    <s v="600S"/>
    <n v="5"/>
    <x v="4"/>
    <n v="48083.333333333336"/>
    <n v="1"/>
    <n v="48083.333333333336"/>
    <x v="0"/>
  </r>
  <r>
    <s v="SC04"/>
    <x v="496"/>
    <s v="600S/550W"/>
    <m/>
    <x v="43"/>
    <x v="123"/>
    <n v="2648"/>
    <n v="20"/>
    <s v="AC"/>
    <s v="SC"/>
    <n v="0"/>
    <n v="7"/>
    <n v="8"/>
    <n v="7"/>
    <n v="7"/>
    <n v="6"/>
    <n v="8"/>
    <n v="8"/>
    <n v="8"/>
    <n v="7"/>
    <n v="7"/>
    <n v="2024"/>
    <n v="2023"/>
    <s v="Y"/>
    <n v="2380"/>
    <n v="1"/>
    <s v="600S"/>
    <n v="5"/>
    <x v="0"/>
    <n v="10531.818181818182"/>
    <m/>
    <n v="0"/>
    <x v="3"/>
  </r>
  <r>
    <s v="SC03"/>
    <x v="497"/>
    <s v="600S/600W"/>
    <m/>
    <x v="87"/>
    <x v="34"/>
    <n v="4004"/>
    <n v="20"/>
    <s v="AC"/>
    <s v="SC"/>
    <n v="0"/>
    <n v="8"/>
    <n v="8"/>
    <n v="7"/>
    <n v="7"/>
    <n v="7"/>
    <n v="7"/>
    <n v="7"/>
    <n v="7"/>
    <n v="7"/>
    <n v="7"/>
    <n v="2023"/>
    <n v="2023"/>
    <s v="Y"/>
    <n v="2633"/>
    <n v="1.5"/>
    <s v="600S"/>
    <n v="4.5"/>
    <x v="4"/>
    <n v="83416.666666666672"/>
    <n v="1"/>
    <n v="83416.666666666672"/>
    <x v="0"/>
  </r>
  <r>
    <s v="SC01"/>
    <x v="498"/>
    <s v="600S/675W"/>
    <m/>
    <x v="51"/>
    <x v="92"/>
    <n v="6617"/>
    <n v="20"/>
    <s v="AC"/>
    <s v="SC"/>
    <n v="0"/>
    <n v="8"/>
    <n v="7"/>
    <n v="7"/>
    <n v="7"/>
    <n v="7"/>
    <n v="7"/>
    <n v="7"/>
    <n v="7"/>
    <n v="7"/>
    <n v="7"/>
    <n v="2023"/>
    <n v="2023"/>
    <s v="Y"/>
    <n v="2347"/>
    <n v="1"/>
    <s v="600S"/>
    <n v="4"/>
    <x v="4"/>
    <n v="137854.16666666666"/>
    <n v="1"/>
    <n v="137854.16666666666"/>
    <x v="0"/>
  </r>
  <r>
    <s v="BR02"/>
    <x v="499"/>
    <s v="600S/800E"/>
    <m/>
    <x v="38"/>
    <x v="115"/>
    <n v="12187"/>
    <n v="20"/>
    <s v="CS"/>
    <s v="BR"/>
    <n v="0"/>
    <n v="7"/>
    <n v="8"/>
    <n v="7"/>
    <n v="7"/>
    <n v="6"/>
    <n v="6"/>
    <n v="6"/>
    <n v="7"/>
    <n v="7"/>
    <n v="7"/>
    <m/>
    <n v="2021"/>
    <s v="Y"/>
    <n v="315"/>
    <n v="0"/>
    <s v="600S"/>
    <n v="4"/>
    <x v="2"/>
    <n v="73860.606060606064"/>
    <m/>
    <n v="0"/>
    <x v="4"/>
  </r>
  <r>
    <s v="BR03"/>
    <x v="500"/>
    <s v="600S/900E"/>
    <m/>
    <x v="70"/>
    <x v="38"/>
    <n v="5345"/>
    <n v="20"/>
    <s v="CS"/>
    <s v="BR"/>
    <n v="0"/>
    <n v="7"/>
    <n v="7"/>
    <n v="7"/>
    <n v="7"/>
    <n v="7"/>
    <n v="7"/>
    <n v="7"/>
    <n v="7"/>
    <n v="7"/>
    <n v="7"/>
    <m/>
    <m/>
    <m/>
    <n v="265"/>
    <n v="0"/>
    <s v="600S"/>
    <n v="3"/>
    <x v="0"/>
    <n v="21258.522727272728"/>
    <m/>
    <n v="0"/>
    <x v="4"/>
  </r>
  <r>
    <s v="BC66"/>
    <x v="501"/>
    <s v="600W/100N"/>
    <m/>
    <x v="120"/>
    <x v="70"/>
    <n v="5316"/>
    <n v="20"/>
    <s v="AC"/>
    <s v="BC"/>
    <n v="0"/>
    <n v="7"/>
    <n v="8"/>
    <n v="7"/>
    <n v="7"/>
    <n v="7"/>
    <n v="6"/>
    <n v="6"/>
    <n v="8"/>
    <n v="7"/>
    <n v="7"/>
    <n v="2023"/>
    <n v="2023"/>
    <s v="Y"/>
    <n v="11907"/>
    <n v="1.5"/>
    <s v="600W"/>
    <n v="4.5"/>
    <x v="7"/>
    <n v="169900.56818181818"/>
    <m/>
    <n v="0"/>
    <x v="4"/>
  </r>
  <r>
    <s v="SC74"/>
    <x v="502"/>
    <s v="600W/100S"/>
    <m/>
    <x v="62"/>
    <x v="63"/>
    <n v="5100"/>
    <n v="20"/>
    <s v="AC"/>
    <s v="SC"/>
    <n v="0"/>
    <n v="8"/>
    <n v="7"/>
    <n v="8"/>
    <n v="8"/>
    <n v="8"/>
    <n v="7"/>
    <n v="7"/>
    <n v="7"/>
    <n v="7"/>
    <n v="7"/>
    <m/>
    <m/>
    <s v="Y"/>
    <n v="5289"/>
    <n v="1.5"/>
    <s v="600W"/>
    <n v="3.5"/>
    <x v="1"/>
    <n v="5215.909090909091"/>
    <m/>
    <n v="0"/>
    <x v="2"/>
  </r>
  <r>
    <s v="BC65"/>
    <x v="503"/>
    <s v="600W/200N"/>
    <m/>
    <x v="44"/>
    <x v="51"/>
    <n v="5300"/>
    <n v="20"/>
    <s v="AC"/>
    <s v="BC"/>
    <n v="0"/>
    <n v="7"/>
    <n v="8"/>
    <n v="7"/>
    <n v="7"/>
    <n v="7"/>
    <n v="7"/>
    <n v="6"/>
    <n v="8"/>
    <n v="7"/>
    <n v="7"/>
    <n v="2023"/>
    <n v="2023"/>
    <s v="Y"/>
    <n v="13030"/>
    <n v="1.5"/>
    <s v="600W"/>
    <n v="4.5"/>
    <x v="7"/>
    <n v="169389.20454545456"/>
    <m/>
    <n v="0"/>
    <x v="4"/>
  </r>
  <r>
    <s v="SC75"/>
    <x v="504"/>
    <s v="600W/200S"/>
    <m/>
    <x v="63"/>
    <x v="64"/>
    <n v="5325"/>
    <n v="20"/>
    <s v="AC"/>
    <s v="SC"/>
    <n v="0"/>
    <n v="8"/>
    <n v="8"/>
    <n v="9"/>
    <n v="8"/>
    <n v="7"/>
    <n v="7"/>
    <n v="7"/>
    <n v="7"/>
    <n v="7"/>
    <n v="7"/>
    <m/>
    <m/>
    <s v="Y"/>
    <n v="5860"/>
    <n v="1.5"/>
    <s v="600W"/>
    <n v="4.5"/>
    <x v="5"/>
    <n v="80681.818181818177"/>
    <n v="1"/>
    <n v="80681.818181818177"/>
    <x v="3"/>
  </r>
  <r>
    <s v="BC64"/>
    <x v="505"/>
    <s v="600W/225N"/>
    <m/>
    <x v="35"/>
    <x v="124"/>
    <n v="1100"/>
    <n v="20"/>
    <s v="AC"/>
    <s v="BC"/>
    <n v="0"/>
    <n v="8"/>
    <n v="8"/>
    <n v="7"/>
    <n v="7"/>
    <n v="6"/>
    <n v="6"/>
    <n v="6"/>
    <n v="8"/>
    <n v="7"/>
    <n v="7"/>
    <n v="2023"/>
    <n v="2023"/>
    <s v="Y"/>
    <n v="9877"/>
    <n v="1.5"/>
    <s v="600W"/>
    <n v="5.5"/>
    <x v="7"/>
    <n v="35156.25"/>
    <m/>
    <n v="0"/>
    <x v="4"/>
  </r>
  <r>
    <s v="BC63"/>
    <x v="506"/>
    <s v="600W/300N"/>
    <m/>
    <x v="121"/>
    <x v="36"/>
    <n v="800"/>
    <n v="20"/>
    <s v="AC"/>
    <s v="BC"/>
    <n v="0"/>
    <n v="8"/>
    <n v="8"/>
    <n v="7"/>
    <n v="7"/>
    <n v="7"/>
    <n v="7"/>
    <n v="7"/>
    <n v="7"/>
    <n v="7"/>
    <n v="7"/>
    <m/>
    <m/>
    <s v="Y"/>
    <n v="10911"/>
    <n v="1.5"/>
    <s v="600W"/>
    <n v="4.5"/>
    <x v="7"/>
    <n v="25568.18181818182"/>
    <m/>
    <n v="0"/>
    <x v="4"/>
  </r>
  <r>
    <s v="SC76"/>
    <x v="507"/>
    <s v="600W/300S"/>
    <m/>
    <x v="122"/>
    <x v="11"/>
    <n v="5840"/>
    <n v="20"/>
    <s v="AC"/>
    <s v="SC"/>
    <n v="0"/>
    <n v="6"/>
    <n v="8"/>
    <n v="8"/>
    <n v="8"/>
    <n v="7"/>
    <n v="7"/>
    <n v="7"/>
    <n v="7"/>
    <n v="7"/>
    <n v="7"/>
    <m/>
    <m/>
    <s v="Y"/>
    <n v="5100"/>
    <n v="1.5"/>
    <s v="600W"/>
    <n v="4.5"/>
    <x v="5"/>
    <n v="88484.84848484848"/>
    <n v="1"/>
    <n v="88484.84848484848"/>
    <x v="3"/>
  </r>
  <r>
    <s v="BC62"/>
    <x v="508"/>
    <s v="600W/350N"/>
    <m/>
    <x v="123"/>
    <x v="59"/>
    <n v="1163"/>
    <n v="20"/>
    <s v="AC"/>
    <s v="BC"/>
    <n v="0"/>
    <n v="7"/>
    <n v="8"/>
    <n v="7"/>
    <n v="7"/>
    <n v="7"/>
    <n v="7"/>
    <n v="7"/>
    <n v="7"/>
    <n v="7"/>
    <n v="8"/>
    <m/>
    <m/>
    <s v="Y"/>
    <n v="10700"/>
    <n v="1.5"/>
    <s v="600W"/>
    <n v="4.5"/>
    <x v="5"/>
    <n v="17621.21212121212"/>
    <n v="1"/>
    <n v="17621.21212121212"/>
    <x v="3"/>
  </r>
  <r>
    <s v="BC61"/>
    <x v="509"/>
    <s v="600W/400N"/>
    <m/>
    <x v="2"/>
    <x v="2"/>
    <n v="3907"/>
    <n v="20"/>
    <s v="AC"/>
    <s v="BC"/>
    <n v="0"/>
    <n v="7"/>
    <n v="8"/>
    <n v="7"/>
    <n v="7"/>
    <n v="7"/>
    <n v="6"/>
    <n v="6"/>
    <n v="6"/>
    <n v="6"/>
    <n v="8"/>
    <m/>
    <m/>
    <s v="Y"/>
    <n v="10502"/>
    <n v="1.5"/>
    <s v="600W"/>
    <n v="4.5"/>
    <x v="5"/>
    <n v="59196.969696969696"/>
    <n v="1"/>
    <n v="59196.969696969696"/>
    <x v="3"/>
  </r>
  <r>
    <s v="BC60"/>
    <x v="510"/>
    <s v="600W/500N"/>
    <m/>
    <x v="3"/>
    <x v="3"/>
    <n v="5386"/>
    <n v="20"/>
    <s v="AC"/>
    <s v="BC"/>
    <n v="0"/>
    <n v="7"/>
    <n v="8"/>
    <n v="7"/>
    <n v="7"/>
    <n v="6"/>
    <n v="6"/>
    <n v="6"/>
    <n v="6"/>
    <n v="6"/>
    <n v="7"/>
    <m/>
    <m/>
    <s v="Y"/>
    <n v="9713"/>
    <n v="1.5"/>
    <s v="600W"/>
    <n v="5.5"/>
    <x v="9"/>
    <n v="2550.189393939394"/>
    <n v="1"/>
    <n v="2550.189393939394"/>
    <x v="0"/>
  </r>
  <r>
    <s v="BC72"/>
    <x v="511"/>
    <s v="500W/300N"/>
    <m/>
    <x v="50"/>
    <x v="53"/>
    <n v="2630"/>
    <n v="20"/>
    <s v="CS"/>
    <s v="BC"/>
    <n v="0"/>
    <n v="6"/>
    <n v="5"/>
    <n v="5"/>
    <n v="5"/>
    <n v="4"/>
    <n v="4"/>
    <n v="8"/>
    <n v="8"/>
    <n v="8"/>
    <n v="8"/>
    <m/>
    <m/>
    <m/>
    <n v="50"/>
    <n v="0"/>
    <s v="500W"/>
    <n v="6"/>
    <x v="0"/>
    <n v="10460.227272727272"/>
    <m/>
    <n v="0"/>
    <x v="6"/>
  </r>
  <r>
    <s v="SC78"/>
    <x v="512"/>
    <s v="600W/STINEMYER RD"/>
    <m/>
    <x v="114"/>
    <x v="54"/>
    <n v="6270"/>
    <n v="20"/>
    <s v="CS"/>
    <s v="SC"/>
    <n v="0"/>
    <n v="7"/>
    <n v="7"/>
    <n v="7"/>
    <n v="6"/>
    <n v="6"/>
    <n v="7"/>
    <n v="7"/>
    <n v="7"/>
    <n v="7"/>
    <n v="7"/>
    <n v="2023"/>
    <n v="2023"/>
    <s v="Y"/>
    <n v="2089"/>
    <n v="1"/>
    <s v="600W"/>
    <n v="5"/>
    <x v="0"/>
    <n v="24937.5"/>
    <m/>
    <n v="0"/>
    <x v="2"/>
  </r>
  <r>
    <s v="SC73"/>
    <x v="513"/>
    <s v="600W/US40"/>
    <m/>
    <x v="71"/>
    <x v="83"/>
    <n v="2701"/>
    <n v="20"/>
    <s v="AC"/>
    <s v="SC"/>
    <n v="0"/>
    <n v="8"/>
    <n v="7"/>
    <n v="10"/>
    <n v="9"/>
    <n v="9"/>
    <n v="8"/>
    <n v="8"/>
    <n v="8"/>
    <n v="8"/>
    <n v="8"/>
    <m/>
    <m/>
    <s v="Y"/>
    <n v="5481"/>
    <n v="1.5"/>
    <s v="600W"/>
    <n v="2.5"/>
    <x v="1"/>
    <n v="2762.3863636363635"/>
    <m/>
    <n v="0"/>
    <x v="2"/>
  </r>
  <r>
    <s v="SC77"/>
    <x v="514"/>
    <s v="600W/US52"/>
    <m/>
    <x v="124"/>
    <x v="67"/>
    <n v="2100"/>
    <n v="20"/>
    <s v="AC"/>
    <s v="SC"/>
    <n v="0"/>
    <n v="6"/>
    <n v="8"/>
    <n v="7"/>
    <n v="7"/>
    <n v="7"/>
    <n v="6"/>
    <n v="6"/>
    <n v="6"/>
    <n v="6"/>
    <n v="8"/>
    <n v="2023"/>
    <m/>
    <s v="Y"/>
    <n v="2535"/>
    <n v="1.5"/>
    <s v="600W"/>
    <n v="4.5"/>
    <x v="0"/>
    <n v="8352.2727272727279"/>
    <m/>
    <n v="0"/>
    <x v="2"/>
  </r>
  <r>
    <s v="B40"/>
    <x v="515"/>
    <s v="625E/1100N"/>
    <m/>
    <x v="105"/>
    <x v="61"/>
    <n v="5335"/>
    <n v="20"/>
    <s v="CS"/>
    <s v="B"/>
    <n v="0"/>
    <n v="7"/>
    <n v="7"/>
    <n v="7"/>
    <n v="7"/>
    <n v="6"/>
    <n v="6"/>
    <n v="6"/>
    <n v="6"/>
    <n v="8"/>
    <n v="8"/>
    <m/>
    <m/>
    <m/>
    <n v="9"/>
    <n v="0"/>
    <s v="625E"/>
    <n v="4"/>
    <x v="3"/>
    <n v="46479.166666666664"/>
    <m/>
    <n v="0"/>
    <x v="5"/>
  </r>
  <r>
    <s v="C64"/>
    <x v="516"/>
    <s v="50E/400N"/>
    <m/>
    <x v="3"/>
    <x v="36"/>
    <n v="5310"/>
    <n v="20"/>
    <s v="CS"/>
    <s v="C"/>
    <n v="0"/>
    <n v="7"/>
    <n v="7"/>
    <n v="8"/>
    <n v="8"/>
    <n v="7"/>
    <n v="7"/>
    <n v="7"/>
    <n v="7"/>
    <n v="7"/>
    <n v="7"/>
    <m/>
    <m/>
    <m/>
    <n v="50"/>
    <n v="0"/>
    <s v="50E"/>
    <n v="3"/>
    <x v="0"/>
    <n v="21119.31818181818"/>
    <m/>
    <n v="0"/>
    <x v="6"/>
  </r>
  <r>
    <s v="B15"/>
    <x v="517"/>
    <s v="650N/1000E"/>
    <m/>
    <x v="70"/>
    <x v="102"/>
    <n v="5808"/>
    <n v="20"/>
    <s v="AC"/>
    <s v="B"/>
    <n v="0"/>
    <n v="7"/>
    <n v="7"/>
    <n v="7"/>
    <n v="7"/>
    <n v="7"/>
    <n v="6"/>
    <n v="5"/>
    <n v="5"/>
    <n v="7"/>
    <n v="7"/>
    <m/>
    <m/>
    <m/>
    <n v="290"/>
    <n v="0"/>
    <s v="650N"/>
    <n v="3"/>
    <x v="3"/>
    <n v="50600"/>
    <m/>
    <n v="0"/>
    <x v="5"/>
  </r>
  <r>
    <s v="B16"/>
    <x v="518"/>
    <s v="650N/1050E"/>
    <m/>
    <x v="8"/>
    <x v="86"/>
    <n v="3482"/>
    <n v="20"/>
    <s v="AC"/>
    <s v="B"/>
    <n v="0"/>
    <n v="5"/>
    <n v="5"/>
    <n v="5"/>
    <n v="5"/>
    <n v="5"/>
    <n v="9"/>
    <n v="8"/>
    <n v="8"/>
    <n v="7"/>
    <n v="7"/>
    <m/>
    <m/>
    <m/>
    <n v="330"/>
    <n v="0"/>
    <s v="650N"/>
    <n v="5"/>
    <x v="0"/>
    <n v="13848.863636363636"/>
    <n v="1"/>
    <n v="13848.863636363636"/>
    <x v="3"/>
  </r>
  <r>
    <s v="B18"/>
    <x v="519"/>
    <s v="650N/1125E"/>
    <m/>
    <x v="20"/>
    <x v="125"/>
    <n v="2921"/>
    <n v="20"/>
    <s v="CS"/>
    <s v="B"/>
    <n v="0"/>
    <n v="6"/>
    <n v="6"/>
    <n v="6"/>
    <n v="6"/>
    <n v="6"/>
    <n v="9"/>
    <n v="8"/>
    <n v="8"/>
    <n v="7"/>
    <n v="7"/>
    <m/>
    <m/>
    <m/>
    <n v="209"/>
    <n v="0"/>
    <s v="650N"/>
    <n v="4"/>
    <x v="0"/>
    <n v="11617.613636363636"/>
    <n v="1"/>
    <n v="11617.613636363636"/>
    <x v="0"/>
  </r>
  <r>
    <s v="G43"/>
    <x v="520"/>
    <s v="50E/SR234"/>
    <m/>
    <x v="113"/>
    <x v="6"/>
    <n v="2650"/>
    <n v="20"/>
    <s v="AC"/>
    <s v="G"/>
    <n v="0"/>
    <n v="6"/>
    <n v="5"/>
    <n v="4"/>
    <n v="4"/>
    <n v="4"/>
    <n v="4"/>
    <n v="9"/>
    <n v="8"/>
    <n v="8"/>
    <n v="8"/>
    <m/>
    <m/>
    <m/>
    <n v="50"/>
    <n v="0"/>
    <s v="50E"/>
    <n v="6"/>
    <x v="0"/>
    <n v="10539.772727272728"/>
    <m/>
    <n v="0"/>
    <x v="6"/>
  </r>
  <r>
    <s v="G09"/>
    <x v="521"/>
    <s v="650N/400E"/>
    <m/>
    <x v="30"/>
    <x v="104"/>
    <n v="1288"/>
    <n v="20"/>
    <s v="AC"/>
    <s v="G"/>
    <n v="0"/>
    <n v="7"/>
    <n v="7"/>
    <n v="7"/>
    <n v="5"/>
    <n v="5"/>
    <n v="5"/>
    <n v="6"/>
    <n v="7"/>
    <n v="7"/>
    <n v="7"/>
    <m/>
    <m/>
    <m/>
    <n v="177"/>
    <n v="0"/>
    <s v="650N"/>
    <n v="5"/>
    <x v="0"/>
    <n v="5122.727272727273"/>
    <n v="1"/>
    <n v="5122.727272727273"/>
    <x v="0"/>
  </r>
  <r>
    <s v="G10"/>
    <x v="522"/>
    <s v="650N/500E"/>
    <m/>
    <x v="32"/>
    <x v="73"/>
    <n v="5360"/>
    <n v="20"/>
    <s v="P"/>
    <s v="G"/>
    <n v="0"/>
    <n v="6"/>
    <n v="6"/>
    <n v="5"/>
    <n v="4"/>
    <n v="9"/>
    <n v="8"/>
    <n v="8"/>
    <n v="7"/>
    <n v="7"/>
    <n v="7"/>
    <m/>
    <m/>
    <m/>
    <n v="89"/>
    <n v="0"/>
    <s v="650N"/>
    <n v="1"/>
    <x v="1"/>
    <n v="5481.818181818182"/>
    <m/>
    <n v="0"/>
    <x v="2"/>
  </r>
  <r>
    <s v="G11"/>
    <x v="523"/>
    <s v="650N/600E"/>
    <m/>
    <x v="14"/>
    <x v="14"/>
    <n v="5290"/>
    <n v="20"/>
    <s v="CS"/>
    <s v="G"/>
    <n v="0"/>
    <n v="3"/>
    <n v="6"/>
    <n v="8"/>
    <n v="8"/>
    <n v="8"/>
    <n v="8"/>
    <n v="7"/>
    <n v="7"/>
    <n v="6"/>
    <n v="6"/>
    <m/>
    <m/>
    <m/>
    <n v="78"/>
    <n v="0"/>
    <s v="650N"/>
    <n v="2"/>
    <x v="2"/>
    <n v="32060.60606060606"/>
    <n v="1"/>
    <n v="32060.60606060606"/>
    <x v="0"/>
  </r>
  <r>
    <s v="V11"/>
    <x v="524"/>
    <s v="650N/600W"/>
    <m/>
    <x v="83"/>
    <x v="48"/>
    <n v="2700"/>
    <n v="20"/>
    <s v="AC"/>
    <s v="V"/>
    <n v="0"/>
    <n v="8"/>
    <n v="7"/>
    <n v="8"/>
    <n v="8"/>
    <n v="8"/>
    <n v="8"/>
    <n v="7"/>
    <n v="7"/>
    <n v="7"/>
    <n v="8"/>
    <m/>
    <m/>
    <s v="Y"/>
    <n v="615"/>
    <n v="0.5"/>
    <s v="650N"/>
    <n v="2.5"/>
    <x v="0"/>
    <n v="10738.636363636364"/>
    <m/>
    <n v="0"/>
    <x v="4"/>
  </r>
  <r>
    <s v="B09"/>
    <x v="525"/>
    <s v="650N/700E"/>
    <m/>
    <x v="118"/>
    <x v="68"/>
    <n v="3340"/>
    <n v="20"/>
    <s v="AC"/>
    <s v="B"/>
    <n v="0"/>
    <n v="5"/>
    <n v="7"/>
    <n v="7"/>
    <n v="7"/>
    <n v="7"/>
    <n v="7"/>
    <n v="7"/>
    <n v="7"/>
    <n v="7"/>
    <n v="7"/>
    <m/>
    <m/>
    <m/>
    <n v="456"/>
    <n v="0"/>
    <s v="650N"/>
    <n v="3"/>
    <x v="0"/>
    <n v="13284.09090909091"/>
    <n v="1"/>
    <n v="13284.09090909091"/>
    <x v="0"/>
  </r>
  <r>
    <s v="B10"/>
    <x v="526"/>
    <s v="650N/725E"/>
    <m/>
    <x v="37"/>
    <x v="126"/>
    <n v="1372"/>
    <n v="20"/>
    <s v="CS"/>
    <s v="B"/>
    <n v="0"/>
    <n v="6"/>
    <n v="7"/>
    <n v="7"/>
    <n v="7"/>
    <n v="7"/>
    <n v="7"/>
    <n v="7"/>
    <n v="7"/>
    <n v="7"/>
    <n v="7"/>
    <m/>
    <m/>
    <m/>
    <n v="437"/>
    <n v="0"/>
    <s v="650N"/>
    <n v="3"/>
    <x v="0"/>
    <n v="5456.818181818182"/>
    <n v="1"/>
    <n v="5456.818181818182"/>
    <x v="0"/>
  </r>
  <r>
    <s v="B11"/>
    <x v="527"/>
    <s v="650N/800E"/>
    <m/>
    <x v="125"/>
    <x v="38"/>
    <n v="676"/>
    <n v="20"/>
    <s v="CS"/>
    <s v="B"/>
    <n v="0"/>
    <n v="6"/>
    <n v="7"/>
    <n v="7"/>
    <n v="7"/>
    <n v="7"/>
    <n v="7"/>
    <n v="7"/>
    <n v="7"/>
    <n v="7"/>
    <n v="7"/>
    <m/>
    <m/>
    <m/>
    <n v="437"/>
    <n v="0"/>
    <s v="650N"/>
    <n v="3"/>
    <x v="0"/>
    <n v="2688.6363636363635"/>
    <n v="1"/>
    <n v="2688.6363636363635"/>
    <x v="0"/>
  </r>
  <r>
    <m/>
    <x v="528"/>
    <s v="650N/875E"/>
    <m/>
    <x v="38"/>
    <x v="122"/>
    <n v="4118"/>
    <n v="20"/>
    <s v="AC"/>
    <s v="B"/>
    <n v="0"/>
    <n v="7"/>
    <n v="6"/>
    <n v="6"/>
    <n v="6"/>
    <n v="6"/>
    <n v="5"/>
    <n v="5"/>
    <n v="5"/>
    <n v="8"/>
    <n v="8"/>
    <m/>
    <m/>
    <m/>
    <n v="251"/>
    <n v="0"/>
    <s v="650N"/>
    <n v="4"/>
    <x v="3"/>
    <n v="35876.515151515152"/>
    <m/>
    <n v="0"/>
    <x v="5"/>
  </r>
  <r>
    <s v="B14"/>
    <x v="529"/>
    <s v="650N/900E"/>
    <m/>
    <x v="126"/>
    <x v="77"/>
    <n v="2270"/>
    <n v="20"/>
    <s v="AC"/>
    <s v="B"/>
    <n v="0"/>
    <n v="7"/>
    <n v="6"/>
    <n v="6"/>
    <n v="6"/>
    <n v="6"/>
    <n v="6"/>
    <n v="5"/>
    <n v="5"/>
    <n v="8"/>
    <n v="8"/>
    <m/>
    <m/>
    <m/>
    <n v="297"/>
    <n v="0"/>
    <s v="650N"/>
    <n v="4"/>
    <x v="3"/>
    <n v="19776.515151515152"/>
    <m/>
    <n v="0"/>
    <x v="5"/>
  </r>
  <r>
    <s v="B08"/>
    <x v="530"/>
    <s v="650N/MAIN ST"/>
    <m/>
    <x v="127"/>
    <x v="16"/>
    <n v="865"/>
    <n v="20"/>
    <s v="AC"/>
    <s v="B"/>
    <n v="0"/>
    <n v="6"/>
    <n v="6"/>
    <n v="6"/>
    <n v="8"/>
    <n v="8"/>
    <n v="8"/>
    <n v="8"/>
    <n v="7"/>
    <n v="7"/>
    <n v="7"/>
    <m/>
    <m/>
    <m/>
    <n v="478"/>
    <n v="0"/>
    <s v="650N"/>
    <n v="2"/>
    <x v="0"/>
    <n v="3440.340909090909"/>
    <n v="1"/>
    <n v="3440.340909090909"/>
    <x v="0"/>
  </r>
  <r>
    <s v="B17"/>
    <x v="531"/>
    <s v="650N/SR109"/>
    <m/>
    <x v="67"/>
    <x v="8"/>
    <n v="1225"/>
    <n v="20"/>
    <s v="AC"/>
    <s v="B"/>
    <n v="0"/>
    <n v="6"/>
    <n v="6"/>
    <n v="6"/>
    <n v="5"/>
    <n v="5"/>
    <n v="9"/>
    <n v="8"/>
    <n v="7"/>
    <n v="7"/>
    <n v="7"/>
    <m/>
    <m/>
    <m/>
    <n v="290"/>
    <n v="0"/>
    <s v="650N"/>
    <n v="5"/>
    <x v="0"/>
    <n v="4872.159090909091"/>
    <n v="1"/>
    <n v="4872.159090909091"/>
    <x v="3"/>
  </r>
  <r>
    <s v="B07"/>
    <x v="532"/>
    <s v="650N/THOMAS RD."/>
    <m/>
    <x v="14"/>
    <x v="127"/>
    <n v="1076"/>
    <n v="20"/>
    <s v="AC"/>
    <s v="B"/>
    <n v="0"/>
    <n v="5"/>
    <n v="6"/>
    <n v="8"/>
    <n v="8"/>
    <n v="8"/>
    <n v="8"/>
    <n v="8"/>
    <n v="7"/>
    <n v="7"/>
    <n v="7"/>
    <m/>
    <m/>
    <m/>
    <n v="478"/>
    <n v="0"/>
    <s v="650N"/>
    <n v="2"/>
    <x v="0"/>
    <n v="4279.545454545455"/>
    <n v="1"/>
    <n v="4279.545454545455"/>
    <x v="0"/>
  </r>
  <r>
    <s v="G20"/>
    <x v="533"/>
    <s v="750N/50E"/>
    <m/>
    <x v="89"/>
    <x v="45"/>
    <n v="894"/>
    <n v="20"/>
    <s v="CS"/>
    <s v="G"/>
    <n v="0"/>
    <n v="6"/>
    <n v="6"/>
    <n v="6"/>
    <n v="6"/>
    <n v="5"/>
    <n v="5"/>
    <n v="9"/>
    <n v="8"/>
    <n v="7"/>
    <n v="7"/>
    <m/>
    <m/>
    <m/>
    <n v="50"/>
    <n v="0"/>
    <s v="750N"/>
    <n v="5"/>
    <x v="0"/>
    <n v="3555.681818181818"/>
    <m/>
    <n v="0"/>
    <x v="6"/>
  </r>
  <r>
    <s v="B45"/>
    <x v="534"/>
    <s v="675E/1000N"/>
    <m/>
    <x v="60"/>
    <x v="103"/>
    <n v="2677"/>
    <n v="20"/>
    <s v="AC"/>
    <s v="B"/>
    <n v="0"/>
    <n v="5"/>
    <n v="7"/>
    <n v="7"/>
    <n v="7"/>
    <n v="7"/>
    <n v="7"/>
    <n v="7"/>
    <n v="6"/>
    <n v="8"/>
    <n v="8"/>
    <m/>
    <m/>
    <m/>
    <n v="100"/>
    <n v="0"/>
    <s v="675E"/>
    <n v="3"/>
    <x v="3"/>
    <n v="23322.348484848484"/>
    <m/>
    <n v="0"/>
    <x v="5"/>
  </r>
  <r>
    <s v="BR62"/>
    <x v="535"/>
    <s v="675E/100S"/>
    <m/>
    <x v="71"/>
    <x v="64"/>
    <n v="5300"/>
    <n v="20"/>
    <s v="CS"/>
    <s v="BR"/>
    <n v="0"/>
    <n v="4"/>
    <n v="7"/>
    <n v="7"/>
    <n v="7"/>
    <n v="6"/>
    <n v="6"/>
    <n v="6"/>
    <n v="6"/>
    <n v="7"/>
    <n v="7"/>
    <m/>
    <m/>
    <m/>
    <n v="50"/>
    <n v="0"/>
    <s v="675E"/>
    <n v="4"/>
    <x v="0"/>
    <n v="21079.545454545456"/>
    <m/>
    <n v="0"/>
    <x v="4"/>
  </r>
  <r>
    <s v="B43"/>
    <x v="536"/>
    <s v="675E/900N"/>
    <m/>
    <x v="7"/>
    <x v="88"/>
    <n v="5300"/>
    <n v="20"/>
    <s v="AC"/>
    <s v="B"/>
    <n v="0"/>
    <n v="6"/>
    <n v="7"/>
    <n v="7"/>
    <n v="7"/>
    <n v="7"/>
    <n v="7"/>
    <n v="7"/>
    <n v="6"/>
    <n v="8"/>
    <n v="8"/>
    <m/>
    <m/>
    <m/>
    <n v="145"/>
    <n v="0"/>
    <s v="675E"/>
    <n v="3"/>
    <x v="3"/>
    <n v="46174.242424242424"/>
    <m/>
    <n v="0"/>
    <x v="5"/>
  </r>
  <r>
    <s v="B44"/>
    <x v="537"/>
    <s v="675E/950N"/>
    <m/>
    <x v="66"/>
    <x v="88"/>
    <n v="2682"/>
    <n v="20"/>
    <s v="AC"/>
    <s v="B"/>
    <n v="0"/>
    <n v="7"/>
    <n v="7"/>
    <n v="7"/>
    <n v="7"/>
    <n v="6"/>
    <n v="5"/>
    <n v="5"/>
    <n v="5"/>
    <n v="8"/>
    <n v="8"/>
    <m/>
    <m/>
    <m/>
    <n v="100"/>
    <n v="0"/>
    <s v="675E"/>
    <n v="4"/>
    <x v="4"/>
    <n v="55875"/>
    <m/>
    <n v="0"/>
    <x v="5"/>
  </r>
  <r>
    <s v="BR63"/>
    <x v="538"/>
    <s v="675E/N. TWP LINE"/>
    <m/>
    <x v="59"/>
    <x v="63"/>
    <n v="5419"/>
    <n v="20"/>
    <s v="CS"/>
    <s v="BR"/>
    <n v="0"/>
    <n v="8"/>
    <n v="7"/>
    <n v="7"/>
    <n v="7"/>
    <n v="6"/>
    <n v="6"/>
    <n v="6"/>
    <n v="6"/>
    <n v="7"/>
    <n v="7"/>
    <m/>
    <m/>
    <m/>
    <n v="50"/>
    <n v="0"/>
    <s v="675E"/>
    <n v="4"/>
    <x v="3"/>
    <n v="47210.984848484848"/>
    <m/>
    <n v="0"/>
    <x v="5"/>
  </r>
  <r>
    <s v="B46"/>
    <x v="539"/>
    <s v="675E/NASHVILLE RD."/>
    <m/>
    <x v="60"/>
    <x v="128"/>
    <n v="4640"/>
    <n v="20"/>
    <s v="AC"/>
    <s v="B"/>
    <n v="0"/>
    <n v="7"/>
    <n v="8"/>
    <n v="8"/>
    <n v="8"/>
    <n v="7"/>
    <n v="7"/>
    <n v="6"/>
    <n v="6"/>
    <n v="8"/>
    <n v="8"/>
    <m/>
    <m/>
    <m/>
    <n v="93"/>
    <n v="0"/>
    <s v="675E"/>
    <n v="3"/>
    <x v="3"/>
    <n v="40424.242424242424"/>
    <m/>
    <n v="0"/>
    <x v="5"/>
  </r>
  <r>
    <s v="J55"/>
    <x v="540"/>
    <s v="675E/S. TWP LINE"/>
    <m/>
    <x v="23"/>
    <x v="80"/>
    <n v="1382"/>
    <n v="20"/>
    <s v="CS"/>
    <s v="J"/>
    <n v="0"/>
    <n v="8"/>
    <n v="7"/>
    <n v="7"/>
    <n v="7"/>
    <n v="7"/>
    <n v="7"/>
    <n v="7"/>
    <n v="6"/>
    <n v="6"/>
    <n v="7"/>
    <m/>
    <m/>
    <m/>
    <n v="50"/>
    <n v="0"/>
    <s v="675E"/>
    <n v="3"/>
    <x v="3"/>
    <n v="12040.151515151516"/>
    <m/>
    <n v="0"/>
    <x v="5"/>
  </r>
  <r>
    <s v="SC71"/>
    <x v="541"/>
    <s v="675W/STINEMYER RD"/>
    <m/>
    <x v="114"/>
    <x v="54"/>
    <n v="6710"/>
    <n v="20"/>
    <s v="G"/>
    <s v="SC"/>
    <n v="0"/>
    <n v="5"/>
    <n v="5"/>
    <n v="3"/>
    <n v="3"/>
    <n v="6"/>
    <n v="8"/>
    <n v="7"/>
    <n v="7"/>
    <n v="6"/>
    <n v="6"/>
    <m/>
    <m/>
    <m/>
    <n v="36"/>
    <n v="0"/>
    <s v="675W"/>
    <n v="4"/>
    <x v="4"/>
    <n v="139791.66666666666"/>
    <n v="1"/>
    <n v="139791.66666666666"/>
    <x v="0"/>
  </r>
  <r>
    <s v="J56"/>
    <x v="542"/>
    <s v="700E/100N"/>
    <m/>
    <x v="23"/>
    <x v="70"/>
    <n v="4170"/>
    <n v="20"/>
    <s v="AC"/>
    <s v="J"/>
    <n v="0"/>
    <n v="7"/>
    <n v="7"/>
    <n v="7"/>
    <n v="7"/>
    <n v="6"/>
    <n v="6"/>
    <n v="6"/>
    <n v="6"/>
    <n v="7"/>
    <n v="7"/>
    <m/>
    <m/>
    <m/>
    <n v="120"/>
    <n v="0"/>
    <s v="700E"/>
    <n v="4"/>
    <x v="3"/>
    <n v="36329.545454545456"/>
    <m/>
    <n v="0"/>
    <x v="5"/>
  </r>
  <r>
    <m/>
    <x v="543"/>
    <s v="700E/150N"/>
    <m/>
    <x v="44"/>
    <x v="55"/>
    <n v="2962"/>
    <n v="20"/>
    <s v="AC"/>
    <s v="J"/>
    <n v="0"/>
    <n v="7"/>
    <n v="7"/>
    <n v="7"/>
    <n v="7"/>
    <n v="6"/>
    <n v="6"/>
    <n v="6"/>
    <n v="6"/>
    <n v="7"/>
    <n v="7"/>
    <m/>
    <m/>
    <m/>
    <n v="50"/>
    <n v="0"/>
    <s v="700E"/>
    <n v="4"/>
    <x v="3"/>
    <n v="25805.303030303032"/>
    <m/>
    <n v="0"/>
    <x v="5"/>
  </r>
  <r>
    <s v="J58"/>
    <x v="544"/>
    <s v="700E/200N"/>
    <m/>
    <x v="55"/>
    <x v="51"/>
    <n v="2992"/>
    <n v="20"/>
    <s v="AC"/>
    <s v="J"/>
    <n v="0"/>
    <n v="6"/>
    <n v="7"/>
    <n v="7"/>
    <n v="6"/>
    <n v="6"/>
    <n v="6"/>
    <n v="6"/>
    <n v="6"/>
    <n v="7"/>
    <n v="7"/>
    <m/>
    <m/>
    <m/>
    <n v="50"/>
    <n v="0"/>
    <s v="700E"/>
    <n v="4"/>
    <x v="0"/>
    <n v="11900"/>
    <m/>
    <n v="0"/>
    <x v="5"/>
  </r>
  <r>
    <s v="BR67"/>
    <x v="545"/>
    <s v="700E/200S"/>
    <m/>
    <x v="62"/>
    <x v="129"/>
    <n v="2665"/>
    <n v="20"/>
    <s v="CS"/>
    <s v="BR"/>
    <n v="0"/>
    <n v="6"/>
    <n v="7"/>
    <n v="7"/>
    <n v="5"/>
    <n v="5"/>
    <n v="5"/>
    <n v="5"/>
    <n v="5"/>
    <n v="8"/>
    <n v="8"/>
    <m/>
    <m/>
    <m/>
    <n v="50"/>
    <n v="0"/>
    <s v="700E"/>
    <n v="5"/>
    <x v="0"/>
    <n v="10599.431818181818"/>
    <m/>
    <n v="0"/>
    <x v="5"/>
  </r>
  <r>
    <m/>
    <x v="546"/>
    <s v="700E/250N"/>
    <m/>
    <x v="35"/>
    <x v="56"/>
    <n v="2693"/>
    <n v="20"/>
    <s v="AC"/>
    <s v="J"/>
    <n v="0"/>
    <n v="7"/>
    <n v="7"/>
    <n v="6"/>
    <n v="6"/>
    <n v="6"/>
    <n v="6"/>
    <n v="6"/>
    <n v="6"/>
    <n v="7"/>
    <n v="7"/>
    <m/>
    <m/>
    <m/>
    <n v="50"/>
    <n v="0"/>
    <s v="700E"/>
    <n v="4"/>
    <x v="3"/>
    <n v="23461.742424242424"/>
    <m/>
    <n v="0"/>
    <x v="5"/>
  </r>
  <r>
    <s v="BR66"/>
    <x v="547"/>
    <s v="700E/250S"/>
    <m/>
    <x v="128"/>
    <x v="11"/>
    <n v="2640"/>
    <n v="20"/>
    <s v="AC"/>
    <s v="BR"/>
    <n v="0"/>
    <n v="5"/>
    <n v="5"/>
    <n v="5"/>
    <n v="3"/>
    <n v="3"/>
    <n v="8"/>
    <n v="7"/>
    <n v="7"/>
    <n v="7"/>
    <n v="7"/>
    <m/>
    <m/>
    <m/>
    <n v="50"/>
    <n v="0"/>
    <s v="700E"/>
    <n v="7"/>
    <x v="0"/>
    <n v="10500"/>
    <m/>
    <n v="0"/>
    <x v="3"/>
  </r>
  <r>
    <s v="BR65"/>
    <x v="548"/>
    <s v="700E/300S"/>
    <m/>
    <x v="63"/>
    <x v="26"/>
    <n v="5255"/>
    <n v="20"/>
    <s v="CS"/>
    <s v="BR"/>
    <n v="0"/>
    <n v="6"/>
    <n v="7"/>
    <n v="7"/>
    <n v="6"/>
    <n v="6"/>
    <n v="6"/>
    <n v="6"/>
    <n v="6"/>
    <n v="7"/>
    <n v="7"/>
    <m/>
    <m/>
    <m/>
    <n v="50"/>
    <n v="0"/>
    <s v="700E"/>
    <n v="4"/>
    <x v="4"/>
    <n v="109479.16666666667"/>
    <n v="1"/>
    <n v="109479.16666666667"/>
    <x v="0"/>
  </r>
  <r>
    <s v="J60"/>
    <x v="549"/>
    <s v="700E/400N"/>
    <m/>
    <x v="50"/>
    <x v="2"/>
    <n v="5270"/>
    <n v="20"/>
    <s v="DS"/>
    <s v="J"/>
    <n v="0"/>
    <n v="4"/>
    <n v="2"/>
    <n v="10"/>
    <n v="9"/>
    <n v="9"/>
    <n v="8"/>
    <n v="7"/>
    <n v="6"/>
    <n v="7"/>
    <n v="7"/>
    <m/>
    <m/>
    <m/>
    <n v="10"/>
    <n v="0"/>
    <s v="700E"/>
    <n v="1"/>
    <x v="2"/>
    <n v="31939.39393939394"/>
    <m/>
    <n v="0"/>
    <x v="2"/>
  </r>
  <r>
    <s v="BR64"/>
    <x v="550"/>
    <s v="700E/400S"/>
    <m/>
    <x v="10"/>
    <x v="130"/>
    <n v="2635"/>
    <n v="20"/>
    <s v="CS"/>
    <s v="BR"/>
    <n v="0"/>
    <n v="6"/>
    <n v="6"/>
    <n v="6"/>
    <n v="6"/>
    <n v="5"/>
    <n v="6"/>
    <n v="5"/>
    <n v="5"/>
    <n v="8"/>
    <n v="8"/>
    <m/>
    <m/>
    <m/>
    <n v="50"/>
    <n v="0"/>
    <s v="700E"/>
    <n v="5"/>
    <x v="0"/>
    <n v="10480.113636363636"/>
    <m/>
    <n v="0"/>
    <x v="5"/>
  </r>
  <r>
    <s v="J66"/>
    <x v="551"/>
    <s v="800E/400N"/>
    <m/>
    <x v="50"/>
    <x v="2"/>
    <n v="4134"/>
    <n v="20"/>
    <s v="G"/>
    <s v="J"/>
    <n v="0"/>
    <n v="7"/>
    <n v="6"/>
    <n v="6"/>
    <n v="7"/>
    <n v="7"/>
    <n v="7"/>
    <n v="5"/>
    <n v="7"/>
    <n v="7"/>
    <n v="7"/>
    <m/>
    <m/>
    <m/>
    <n v="50"/>
    <n v="0"/>
    <s v="800E"/>
    <n v="3"/>
    <x v="0"/>
    <n v="16442.045454545456"/>
    <m/>
    <n v="0"/>
    <x v="6"/>
  </r>
  <r>
    <s v="J62"/>
    <x v="552"/>
    <s v="700E/600N"/>
    <m/>
    <x v="77"/>
    <x v="3"/>
    <n v="5030"/>
    <n v="20"/>
    <s v="AC"/>
    <s v="J"/>
    <n v="0"/>
    <n v="6"/>
    <n v="6"/>
    <n v="5"/>
    <n v="4"/>
    <n v="4"/>
    <n v="8"/>
    <n v="8"/>
    <n v="7"/>
    <n v="7"/>
    <n v="7"/>
    <m/>
    <m/>
    <m/>
    <n v="45"/>
    <n v="0"/>
    <s v="700E"/>
    <n v="6"/>
    <x v="0"/>
    <n v="20005.68181818182"/>
    <m/>
    <n v="0"/>
    <x v="4"/>
  </r>
  <r>
    <s v="B47"/>
    <x v="553"/>
    <s v="700E/650N"/>
    <m/>
    <x v="77"/>
    <x v="5"/>
    <n v="2655"/>
    <n v="20"/>
    <s v="CS"/>
    <s v="B"/>
    <n v="0"/>
    <n v="7"/>
    <n v="7"/>
    <n v="7"/>
    <n v="6"/>
    <n v="6"/>
    <n v="5"/>
    <n v="5"/>
    <n v="5"/>
    <n v="8"/>
    <n v="8"/>
    <m/>
    <m/>
    <m/>
    <n v="50"/>
    <n v="0"/>
    <s v="700E"/>
    <n v="4"/>
    <x v="3"/>
    <n v="23130.68181818182"/>
    <m/>
    <n v="0"/>
    <x v="5"/>
  </r>
  <r>
    <s v="B22"/>
    <x v="554"/>
    <s v="700N/1125E"/>
    <m/>
    <x v="129"/>
    <x v="125"/>
    <n v="3960"/>
    <n v="20"/>
    <s v="AC"/>
    <s v="B"/>
    <n v="0"/>
    <n v="7"/>
    <n v="7"/>
    <n v="7"/>
    <n v="7"/>
    <n v="6"/>
    <n v="9"/>
    <n v="8"/>
    <n v="8"/>
    <n v="7"/>
    <n v="7"/>
    <n v="2024"/>
    <n v="2019"/>
    <s v="Y"/>
    <n v="1081"/>
    <n v="0.5"/>
    <s v="700N"/>
    <n v="4.5"/>
    <x v="0"/>
    <n v="15750"/>
    <n v="1"/>
    <n v="15750"/>
    <x v="3"/>
  </r>
  <r>
    <s v="B23"/>
    <x v="555"/>
    <s v="700N/1200E"/>
    <m/>
    <x v="103"/>
    <x v="109"/>
    <n v="4080"/>
    <n v="20"/>
    <s v="AC"/>
    <s v="B"/>
    <n v="0"/>
    <n v="7"/>
    <n v="7"/>
    <n v="7"/>
    <n v="7"/>
    <n v="6"/>
    <n v="9"/>
    <n v="8"/>
    <n v="8"/>
    <n v="7"/>
    <n v="7"/>
    <n v="2024"/>
    <n v="2019"/>
    <s v="Y"/>
    <n v="1110"/>
    <n v="0.5"/>
    <s v="700N"/>
    <n v="4.5"/>
    <x v="0"/>
    <n v="16227.272727272728"/>
    <n v="1"/>
    <n v="16227.272727272728"/>
    <x v="3"/>
  </r>
  <r>
    <s v="V15"/>
    <x v="556"/>
    <s v="700N/200W"/>
    <m/>
    <x v="27"/>
    <x v="29"/>
    <n v="2692"/>
    <n v="20"/>
    <s v="AC"/>
    <s v="V"/>
    <n v="0"/>
    <n v="7"/>
    <n v="7"/>
    <n v="7"/>
    <n v="6"/>
    <n v="8"/>
    <n v="7"/>
    <n v="7"/>
    <n v="7"/>
    <n v="6"/>
    <n v="7"/>
    <m/>
    <m/>
    <m/>
    <n v="282"/>
    <n v="0"/>
    <s v="700N"/>
    <n v="2"/>
    <x v="2"/>
    <n v="16315.151515151516"/>
    <n v="1"/>
    <n v="16315.151515151516"/>
    <x v="0"/>
  </r>
  <r>
    <s v="G14"/>
    <x v="557"/>
    <s v="700N/250E"/>
    <m/>
    <x v="116"/>
    <x v="19"/>
    <n v="3590"/>
    <n v="20"/>
    <s v="AC"/>
    <s v="G"/>
    <n v="0"/>
    <n v="7"/>
    <n v="8"/>
    <n v="8"/>
    <n v="8"/>
    <n v="8"/>
    <n v="7"/>
    <n v="7"/>
    <n v="7"/>
    <n v="7"/>
    <n v="7"/>
    <m/>
    <m/>
    <m/>
    <n v="377"/>
    <n v="0"/>
    <s v="700N"/>
    <n v="2"/>
    <x v="0"/>
    <n v="14278.40909090909"/>
    <n v="1"/>
    <n v="14278.40909090909"/>
    <x v="0"/>
  </r>
  <r>
    <s v="G15"/>
    <x v="558"/>
    <s v="700N/300E"/>
    <m/>
    <x v="85"/>
    <x v="121"/>
    <n v="2693"/>
    <n v="20"/>
    <s v="AC"/>
    <s v="G"/>
    <n v="0"/>
    <n v="8"/>
    <n v="8"/>
    <n v="7"/>
    <n v="7"/>
    <n v="7"/>
    <n v="7"/>
    <n v="7"/>
    <n v="7"/>
    <n v="7"/>
    <n v="7"/>
    <m/>
    <m/>
    <m/>
    <n v="324"/>
    <n v="0"/>
    <s v="700N"/>
    <n v="3"/>
    <x v="0"/>
    <n v="10710.795454545454"/>
    <m/>
    <n v="0"/>
    <x v="4"/>
  </r>
  <r>
    <s v="V16"/>
    <x v="559"/>
    <s v="700N/300W"/>
    <m/>
    <x v="28"/>
    <x v="30"/>
    <n v="2692"/>
    <n v="20"/>
    <s v="AC"/>
    <s v="V"/>
    <n v="0"/>
    <n v="8"/>
    <n v="7"/>
    <n v="7"/>
    <n v="6"/>
    <n v="8"/>
    <n v="7"/>
    <n v="7"/>
    <n v="7"/>
    <n v="6"/>
    <n v="7"/>
    <m/>
    <m/>
    <m/>
    <n v="292"/>
    <n v="0"/>
    <s v="700N"/>
    <n v="2"/>
    <x v="0"/>
    <n v="10706.818181818182"/>
    <m/>
    <n v="0"/>
    <x v="3"/>
  </r>
  <r>
    <s v="V15"/>
    <x v="560"/>
    <s v="700N/350W"/>
    <m/>
    <x v="29"/>
    <x v="31"/>
    <n v="2692"/>
    <n v="20"/>
    <s v="AC"/>
    <s v="V"/>
    <n v="0"/>
    <n v="7"/>
    <n v="7"/>
    <n v="7"/>
    <n v="6"/>
    <n v="8"/>
    <n v="7"/>
    <n v="7"/>
    <n v="7"/>
    <n v="6"/>
    <n v="7"/>
    <m/>
    <m/>
    <m/>
    <n v="282"/>
    <n v="0"/>
    <s v="700N"/>
    <n v="2"/>
    <x v="2"/>
    <n v="16315.151515151516"/>
    <n v="1"/>
    <n v="16315.151515151516"/>
    <x v="0"/>
  </r>
  <r>
    <s v="G17"/>
    <x v="561"/>
    <s v="700N/400E"/>
    <m/>
    <x v="30"/>
    <x v="131"/>
    <n v="2700"/>
    <n v="20"/>
    <s v="CS"/>
    <s v="G"/>
    <n v="0"/>
    <n v="5"/>
    <n v="5"/>
    <n v="5"/>
    <n v="9"/>
    <n v="8"/>
    <n v="8"/>
    <n v="8"/>
    <n v="7"/>
    <n v="7"/>
    <n v="7"/>
    <m/>
    <m/>
    <m/>
    <n v="233"/>
    <n v="0"/>
    <s v="700N"/>
    <n v="2"/>
    <x v="0"/>
    <n v="10738.636363636364"/>
    <n v="1"/>
    <n v="10738.636363636364"/>
    <x v="0"/>
  </r>
  <r>
    <s v="V14"/>
    <x v="562"/>
    <s v="700N/400W"/>
    <m/>
    <x v="11"/>
    <x v="132"/>
    <n v="2602"/>
    <n v="20"/>
    <s v="CS"/>
    <s v="V"/>
    <n v="0"/>
    <n v="6"/>
    <n v="6"/>
    <n v="6"/>
    <n v="6"/>
    <n v="8"/>
    <n v="7"/>
    <n v="7"/>
    <n v="7"/>
    <n v="6"/>
    <n v="7"/>
    <m/>
    <m/>
    <m/>
    <n v="294"/>
    <n v="0"/>
    <s v="700N"/>
    <n v="2"/>
    <x v="0"/>
    <n v="10348.863636363636"/>
    <n v="1"/>
    <n v="10348.863636363636"/>
    <x v="0"/>
  </r>
  <r>
    <s v="V13"/>
    <x v="563"/>
    <s v="700N/475W"/>
    <m/>
    <x v="130"/>
    <x v="46"/>
    <n v="1372"/>
    <n v="20"/>
    <s v="AC"/>
    <s v="V"/>
    <n v="0"/>
    <n v="7"/>
    <n v="7"/>
    <n v="7"/>
    <n v="7"/>
    <n v="7"/>
    <n v="6"/>
    <n v="7"/>
    <n v="7"/>
    <n v="6"/>
    <n v="7"/>
    <m/>
    <m/>
    <m/>
    <n v="342"/>
    <n v="0"/>
    <s v="700N"/>
    <n v="3"/>
    <x v="0"/>
    <n v="5456.818181818182"/>
    <m/>
    <n v="0"/>
    <x v="4"/>
  </r>
  <r>
    <s v="G18"/>
    <x v="564"/>
    <s v="700N/500E"/>
    <m/>
    <x v="32"/>
    <x v="73"/>
    <n v="6758"/>
    <n v="20"/>
    <s v="P"/>
    <s v="G"/>
    <n v="0"/>
    <n v="5"/>
    <n v="3"/>
    <n v="10"/>
    <n v="9"/>
    <n v="8"/>
    <n v="7"/>
    <n v="7"/>
    <n v="7"/>
    <n v="7"/>
    <n v="7"/>
    <m/>
    <m/>
    <m/>
    <n v="111"/>
    <n v="0"/>
    <s v="700N"/>
    <n v="2"/>
    <x v="2"/>
    <n v="40957.57575757576"/>
    <m/>
    <n v="0"/>
    <x v="5"/>
  </r>
  <r>
    <s v="V12"/>
    <x v="565"/>
    <s v="700N/500W"/>
    <m/>
    <x v="43"/>
    <x v="46"/>
    <n v="4636"/>
    <n v="20"/>
    <s v="AC"/>
    <s v="V"/>
    <n v="0"/>
    <n v="7"/>
    <n v="7"/>
    <n v="7"/>
    <n v="7"/>
    <n v="7"/>
    <n v="7"/>
    <n v="7"/>
    <n v="7"/>
    <n v="7"/>
    <n v="7"/>
    <m/>
    <m/>
    <m/>
    <n v="343"/>
    <n v="0"/>
    <s v="700N"/>
    <n v="3"/>
    <x v="0"/>
    <n v="18438.636363636364"/>
    <m/>
    <n v="0"/>
    <x v="4"/>
  </r>
  <r>
    <s v="G12"/>
    <x v="566"/>
    <s v="700N/50E"/>
    <m/>
    <x v="89"/>
    <x v="18"/>
    <n v="2660"/>
    <n v="20"/>
    <s v="AC"/>
    <s v="G"/>
    <n v="0"/>
    <n v="6"/>
    <n v="7"/>
    <n v="6"/>
    <n v="6"/>
    <n v="6"/>
    <n v="7"/>
    <n v="7"/>
    <n v="7"/>
    <n v="7"/>
    <n v="7"/>
    <m/>
    <m/>
    <m/>
    <n v="201"/>
    <n v="0"/>
    <s v="700N"/>
    <n v="4"/>
    <x v="0"/>
    <n v="10579.545454545454"/>
    <m/>
    <n v="0"/>
    <x v="3"/>
  </r>
  <r>
    <s v=""/>
    <x v="567"/>
    <s v="860N/END"/>
    <m/>
    <x v="117"/>
    <x v="25"/>
    <n v="293"/>
    <n v="20"/>
    <s v="AC"/>
    <s v="V"/>
    <n v="0"/>
    <n v="5"/>
    <n v="5"/>
    <n v="5"/>
    <n v="5"/>
    <n v="5"/>
    <n v="5"/>
    <n v="5"/>
    <n v="7"/>
    <n v="7"/>
    <n v="7"/>
    <m/>
    <m/>
    <m/>
    <n v="50"/>
    <n v="0"/>
    <s v="850N"/>
    <n v="5"/>
    <x v="0"/>
    <n v="1165.340909090909"/>
    <m/>
    <n v="0"/>
    <x v="6"/>
  </r>
  <r>
    <s v="G19"/>
    <x v="568"/>
    <s v="700N/600E"/>
    <m/>
    <x v="14"/>
    <x v="14"/>
    <n v="5328"/>
    <n v="20"/>
    <s v="P"/>
    <s v="G"/>
    <n v="0"/>
    <n v="4"/>
    <n v="4"/>
    <n v="10"/>
    <n v="9"/>
    <n v="8"/>
    <n v="7"/>
    <n v="7"/>
    <n v="7"/>
    <n v="7"/>
    <n v="7"/>
    <m/>
    <m/>
    <m/>
    <n v="34"/>
    <n v="0"/>
    <s v="700N"/>
    <n v="2"/>
    <x v="2"/>
    <n v="32290.909090909092"/>
    <m/>
    <n v="0"/>
    <x v="5"/>
  </r>
  <r>
    <s v="B20"/>
    <x v="569"/>
    <s v="700N/900E"/>
    <m/>
    <x v="46"/>
    <x v="77"/>
    <n v="6738"/>
    <n v="20"/>
    <s v="CS"/>
    <s v="B"/>
    <n v="0"/>
    <n v="7"/>
    <n v="7"/>
    <n v="7"/>
    <n v="7"/>
    <n v="6"/>
    <n v="6"/>
    <n v="6"/>
    <n v="6"/>
    <n v="6"/>
    <n v="7"/>
    <m/>
    <m/>
    <m/>
    <n v="69"/>
    <n v="0"/>
    <s v="700N"/>
    <n v="4"/>
    <x v="0"/>
    <n v="26798.863636363636"/>
    <m/>
    <n v="0"/>
    <x v="2"/>
  </r>
  <r>
    <s v="BR86"/>
    <x v="570"/>
    <s v="900E/300S"/>
    <m/>
    <x v="10"/>
    <x v="11"/>
    <n v="5275"/>
    <n v="20"/>
    <s v="CS"/>
    <s v="BR"/>
    <n v="0"/>
    <n v="4"/>
    <n v="7"/>
    <n v="7"/>
    <n v="6"/>
    <n v="6"/>
    <n v="7"/>
    <n v="7"/>
    <n v="7"/>
    <n v="7"/>
    <n v="7"/>
    <m/>
    <m/>
    <m/>
    <n v="50"/>
    <n v="0"/>
    <s v="900E"/>
    <n v="4"/>
    <x v="0"/>
    <n v="20980.113636363636"/>
    <m/>
    <n v="0"/>
    <x v="6"/>
  </r>
  <r>
    <s v="BR84"/>
    <x v="571"/>
    <s v="900E/450S"/>
    <m/>
    <x v="24"/>
    <x v="130"/>
    <n v="3035"/>
    <n v="20"/>
    <s v="CS"/>
    <s v="BR"/>
    <n v="0"/>
    <n v="4"/>
    <n v="4"/>
    <n v="10"/>
    <n v="9"/>
    <n v="9"/>
    <n v="8"/>
    <n v="8"/>
    <n v="8"/>
    <n v="8"/>
    <n v="8"/>
    <m/>
    <m/>
    <m/>
    <n v="50"/>
    <n v="0"/>
    <s v="900E"/>
    <n v="1"/>
    <x v="0"/>
    <n v="12071.022727272728"/>
    <m/>
    <n v="0"/>
    <x v="6"/>
  </r>
  <r>
    <s v="B21"/>
    <x v="572"/>
    <s v="700N/SR109"/>
    <m/>
    <x v="70"/>
    <x v="8"/>
    <n v="5650"/>
    <n v="20"/>
    <s v="AC"/>
    <s v="B"/>
    <n v="0"/>
    <n v="7"/>
    <n v="7"/>
    <n v="7"/>
    <n v="7"/>
    <n v="7"/>
    <n v="7"/>
    <n v="7"/>
    <n v="7"/>
    <n v="7"/>
    <n v="7"/>
    <m/>
    <m/>
    <m/>
    <n v="68"/>
    <n v="0"/>
    <s v="700N"/>
    <n v="3"/>
    <x v="0"/>
    <n v="22471.590909090908"/>
    <m/>
    <n v="0"/>
    <x v="4"/>
  </r>
  <r>
    <s v="G13"/>
    <x v="573"/>
    <s v="700N/SR9"/>
    <m/>
    <x v="21"/>
    <x v="45"/>
    <n v="5670"/>
    <n v="20"/>
    <s v="AC"/>
    <s v="G"/>
    <n v="0"/>
    <n v="7"/>
    <n v="7"/>
    <n v="8"/>
    <n v="7"/>
    <n v="7"/>
    <n v="7"/>
    <n v="7"/>
    <n v="7"/>
    <n v="7"/>
    <n v="7"/>
    <m/>
    <m/>
    <m/>
    <n v="50"/>
    <n v="0"/>
    <s v="700N"/>
    <n v="3"/>
    <x v="0"/>
    <n v="22551.136363636364"/>
    <n v="1"/>
    <n v="22551.136363636364"/>
    <x v="0"/>
  </r>
  <r>
    <s v="G16"/>
    <x v="574"/>
    <s v="700N/TROY RD"/>
    <m/>
    <x v="131"/>
    <x v="104"/>
    <n v="1328"/>
    <n v="20"/>
    <s v="CS"/>
    <s v="G"/>
    <n v="0"/>
    <n v="7"/>
    <n v="7"/>
    <n v="7"/>
    <n v="7"/>
    <n v="7"/>
    <n v="7"/>
    <n v="7"/>
    <n v="7"/>
    <n v="7"/>
    <n v="7"/>
    <m/>
    <m/>
    <m/>
    <n v="324"/>
    <n v="0"/>
    <s v="700N"/>
    <n v="3"/>
    <x v="0"/>
    <n v="5281.818181818182"/>
    <n v="1"/>
    <n v="5281.818181818182"/>
    <x v="3"/>
  </r>
  <r>
    <s v="BC58"/>
    <x v="575"/>
    <s v="700W/100N"/>
    <m/>
    <x v="44"/>
    <x v="105"/>
    <n v="4900"/>
    <n v="20"/>
    <s v="CS"/>
    <s v="BC"/>
    <n v="0"/>
    <n v="7"/>
    <n v="6"/>
    <n v="7"/>
    <n v="9"/>
    <n v="8"/>
    <n v="7"/>
    <n v="7"/>
    <n v="7"/>
    <n v="7"/>
    <n v="7"/>
    <n v="2023"/>
    <n v="2023"/>
    <s v="Y"/>
    <n v="3889"/>
    <n v="1.5"/>
    <s v="700W"/>
    <n v="3.5"/>
    <x v="4"/>
    <n v="102083.33333333333"/>
    <n v="1"/>
    <n v="102083.33333333333"/>
    <x v="0"/>
  </r>
  <r>
    <s v="SC67"/>
    <x v="576"/>
    <s v="700W/100S"/>
    <m/>
    <x v="71"/>
    <x v="64"/>
    <n v="5330"/>
    <n v="20"/>
    <s v="AC"/>
    <s v="SC"/>
    <n v="0"/>
    <n v="9"/>
    <n v="7"/>
    <n v="8"/>
    <n v="8"/>
    <n v="8"/>
    <n v="7"/>
    <n v="7"/>
    <n v="7"/>
    <n v="7"/>
    <n v="7"/>
    <n v="2022"/>
    <m/>
    <s v="Y"/>
    <n v="3430"/>
    <n v="1.5"/>
    <s v="700W"/>
    <n v="3.5"/>
    <x v="0"/>
    <n v="21198.863636363636"/>
    <m/>
    <n v="0"/>
    <x v="4"/>
  </r>
  <r>
    <s v="BC57"/>
    <x v="577"/>
    <s v="700W/150N"/>
    <m/>
    <x v="44"/>
    <x v="55"/>
    <n v="2798"/>
    <n v="20"/>
    <s v="AC"/>
    <s v="BC"/>
    <n v="0"/>
    <n v="7"/>
    <n v="7"/>
    <n v="7"/>
    <n v="9"/>
    <n v="8"/>
    <n v="8"/>
    <n v="7"/>
    <n v="6"/>
    <n v="6"/>
    <n v="8"/>
    <n v="2022"/>
    <n v="2020"/>
    <s v="Y"/>
    <n v="3900"/>
    <n v="1.5"/>
    <s v="700W"/>
    <n v="3.5"/>
    <x v="4"/>
    <n v="58291.666666666664"/>
    <n v="1"/>
    <n v="58291.666666666664"/>
    <x v="2"/>
  </r>
  <r>
    <s v="BC56"/>
    <x v="578"/>
    <s v="700W/200N"/>
    <m/>
    <x v="55"/>
    <x v="51"/>
    <n v="2006"/>
    <n v="20"/>
    <s v="AC"/>
    <s v="BC"/>
    <n v="0"/>
    <n v="7"/>
    <n v="7"/>
    <n v="7"/>
    <n v="9"/>
    <n v="8"/>
    <n v="7"/>
    <n v="7"/>
    <n v="6"/>
    <n v="6"/>
    <n v="8"/>
    <n v="2022"/>
    <n v="2020"/>
    <s v="Y"/>
    <n v="3900"/>
    <n v="1.5"/>
    <s v="700W"/>
    <n v="3.5"/>
    <x v="4"/>
    <n v="41791.666666666664"/>
    <m/>
    <n v="0"/>
    <x v="2"/>
  </r>
  <r>
    <s v="SC68"/>
    <x v="579"/>
    <s v="700W/200S"/>
    <m/>
    <x v="62"/>
    <x v="11"/>
    <n v="5330"/>
    <n v="20"/>
    <s v="AC"/>
    <s v="SC"/>
    <n v="0"/>
    <n v="8"/>
    <n v="7"/>
    <n v="7"/>
    <n v="7"/>
    <n v="7"/>
    <n v="6"/>
    <n v="6"/>
    <n v="7"/>
    <n v="6"/>
    <n v="8"/>
    <n v="2022"/>
    <m/>
    <s v="Y"/>
    <n v="3749"/>
    <n v="1.5"/>
    <s v="700W"/>
    <n v="4.5"/>
    <x v="4"/>
    <n v="111041.66666666667"/>
    <n v="1"/>
    <n v="111041.66666666667"/>
    <x v="2"/>
  </r>
  <r>
    <s v=""/>
    <x v="580"/>
    <s v="HOLMES COURT"/>
    <s v="Cranberry Lake Estates"/>
    <x v="31"/>
    <x v="133"/>
    <n v="422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HOLMES COURT"/>
    <n v="3"/>
    <x v="0"/>
    <n v="1678.409090909091"/>
    <m/>
    <n v="0"/>
    <x v="6"/>
  </r>
  <r>
    <s v="SC69"/>
    <x v="581"/>
    <s v="700W/300S"/>
    <m/>
    <x v="63"/>
    <x v="52"/>
    <n v="4180"/>
    <n v="20"/>
    <s v="CS"/>
    <s v="SC"/>
    <n v="0"/>
    <n v="7"/>
    <n v="6"/>
    <n v="6"/>
    <n v="6"/>
    <n v="6"/>
    <n v="8"/>
    <n v="7"/>
    <n v="7"/>
    <n v="7"/>
    <n v="7"/>
    <n v="2024"/>
    <n v="2018"/>
    <s v="Y"/>
    <n v="3051"/>
    <n v="1.5"/>
    <s v="700W"/>
    <n v="5.5"/>
    <x v="4"/>
    <n v="87083.333333333328"/>
    <n v="1"/>
    <n v="87083.333333333328"/>
    <x v="3"/>
  </r>
  <r>
    <s v="BC54"/>
    <x v="582"/>
    <s v="700W/350N"/>
    <m/>
    <x v="50"/>
    <x v="59"/>
    <n v="2587"/>
    <n v="20"/>
    <s v="AC"/>
    <s v="BC"/>
    <n v="0"/>
    <n v="7"/>
    <n v="7"/>
    <n v="10"/>
    <n v="9"/>
    <n v="8"/>
    <n v="7"/>
    <n v="7"/>
    <n v="6"/>
    <n v="6"/>
    <n v="8"/>
    <n v="2022"/>
    <m/>
    <s v="Y"/>
    <n v="2833"/>
    <n v="1.5"/>
    <s v="700W"/>
    <n v="3.5"/>
    <x v="4"/>
    <n v="53895.833333333336"/>
    <m/>
    <n v="0"/>
    <x v="2"/>
  </r>
  <r>
    <s v="BC53"/>
    <x v="583"/>
    <s v="700W/400N"/>
    <m/>
    <x v="2"/>
    <x v="2"/>
    <n v="2745"/>
    <n v="20"/>
    <s v="AC"/>
    <s v="BC"/>
    <n v="0"/>
    <n v="7"/>
    <n v="7"/>
    <n v="7"/>
    <n v="9"/>
    <n v="8"/>
    <n v="7"/>
    <n v="7"/>
    <n v="6"/>
    <n v="6"/>
    <n v="8"/>
    <n v="2022"/>
    <m/>
    <s v="Y"/>
    <n v="2531"/>
    <n v="1.5"/>
    <s v="700W"/>
    <n v="3.5"/>
    <x v="4"/>
    <n v="57187.5"/>
    <m/>
    <n v="0"/>
    <x v="2"/>
  </r>
  <r>
    <s v="BC51"/>
    <x v="584"/>
    <s v="700W/500N"/>
    <m/>
    <x v="132"/>
    <x v="3"/>
    <n v="4537"/>
    <n v="20"/>
    <s v="AC"/>
    <s v="BC"/>
    <n v="0"/>
    <n v="7"/>
    <n v="7"/>
    <n v="7"/>
    <n v="9"/>
    <n v="8"/>
    <n v="7"/>
    <n v="7"/>
    <n v="7"/>
    <n v="6"/>
    <n v="7"/>
    <n v="2022"/>
    <m/>
    <s v="Y"/>
    <n v="2590"/>
    <n v="1.5"/>
    <s v="700W"/>
    <n v="3.5"/>
    <x v="4"/>
    <n v="94520.833333333328"/>
    <m/>
    <n v="0"/>
    <x v="2"/>
  </r>
  <r>
    <s v=""/>
    <x v="585"/>
    <s v="SECOND ST(CHAR)/EA"/>
    <m/>
    <x v="133"/>
    <x v="134"/>
    <n v="360"/>
    <n v="20"/>
    <s v="AC"/>
    <s v="J"/>
    <n v="0"/>
    <n v="6"/>
    <n v="3"/>
    <n v="3"/>
    <n v="9"/>
    <n v="9"/>
    <n v="8"/>
    <n v="7"/>
    <n v="7"/>
    <n v="7"/>
    <n v="7"/>
    <m/>
    <m/>
    <m/>
    <n v="50"/>
    <n v="0"/>
    <s v="SECOND ST."/>
    <n v="1"/>
    <x v="0"/>
    <n v="1431.8181818181818"/>
    <m/>
    <n v="0"/>
    <x v="6"/>
  </r>
  <r>
    <s v="BC52"/>
    <x v="586"/>
    <s v="700W/LANE RD"/>
    <m/>
    <x v="3"/>
    <x v="135"/>
    <n v="800"/>
    <n v="20"/>
    <s v="AC"/>
    <s v="BC"/>
    <n v="0"/>
    <n v="7"/>
    <n v="7"/>
    <n v="7"/>
    <n v="6"/>
    <n v="7"/>
    <n v="6"/>
    <n v="6"/>
    <n v="6"/>
    <n v="8"/>
    <n v="8"/>
    <n v="2022"/>
    <n v="2016"/>
    <s v="Y"/>
    <n v="1924"/>
    <n v="1"/>
    <s v="700W"/>
    <n v="4"/>
    <x v="4"/>
    <n v="16666.666666666668"/>
    <m/>
    <n v="0"/>
    <x v="2"/>
  </r>
  <r>
    <s v="SC66"/>
    <x v="587"/>
    <s v="700W/US40"/>
    <m/>
    <x v="23"/>
    <x v="63"/>
    <n v="2420"/>
    <n v="20"/>
    <s v="AC"/>
    <s v="SC"/>
    <n v="0"/>
    <n v="9"/>
    <n v="7"/>
    <n v="8"/>
    <n v="8"/>
    <n v="8"/>
    <n v="8"/>
    <n v="8"/>
    <n v="7"/>
    <n v="7"/>
    <n v="7"/>
    <n v="2022"/>
    <m/>
    <s v="Y"/>
    <n v="3883"/>
    <n v="1.5"/>
    <s v="700W"/>
    <n v="3.5"/>
    <x v="0"/>
    <n v="9625"/>
    <m/>
    <n v="0"/>
    <x v="4"/>
  </r>
  <r>
    <s v="C97"/>
    <x v="588"/>
    <s v="STEELEFORD RD/MORR"/>
    <m/>
    <x v="134"/>
    <x v="66"/>
    <n v="2506"/>
    <n v="20"/>
    <s v="CS"/>
    <s v="C"/>
    <n v="0"/>
    <n v="6"/>
    <n v="6"/>
    <n v="6"/>
    <n v="6"/>
    <n v="7"/>
    <n v="7"/>
    <n v="7"/>
    <n v="7"/>
    <n v="7"/>
    <n v="7"/>
    <m/>
    <m/>
    <m/>
    <n v="50"/>
    <n v="0"/>
    <s v="STEELFORD"/>
    <n v="3"/>
    <x v="0"/>
    <n v="9967.045454545454"/>
    <m/>
    <n v="0"/>
    <x v="6"/>
  </r>
  <r>
    <s v="B48"/>
    <x v="589"/>
    <s v="725E/SR234"/>
    <m/>
    <x v="7"/>
    <x v="5"/>
    <n v="7925"/>
    <n v="20"/>
    <s v="CS"/>
    <s v="B"/>
    <n v="0"/>
    <n v="5"/>
    <n v="4"/>
    <n v="10"/>
    <n v="9"/>
    <n v="8"/>
    <n v="7"/>
    <n v="7"/>
    <n v="6"/>
    <n v="6"/>
    <n v="7"/>
    <m/>
    <m/>
    <m/>
    <n v="29"/>
    <n v="0"/>
    <s v="725E"/>
    <n v="2"/>
    <x v="0"/>
    <n v="31519.886363636364"/>
    <m/>
    <n v="0"/>
    <x v="2"/>
  </r>
  <r>
    <s v="BR68"/>
    <x v="590"/>
    <s v="750E/100S"/>
    <m/>
    <x v="62"/>
    <x v="63"/>
    <n v="5300"/>
    <n v="20"/>
    <s v="CS"/>
    <s v="BR"/>
    <n v="0"/>
    <n v="6"/>
    <n v="8"/>
    <n v="7"/>
    <n v="7"/>
    <n v="7"/>
    <n v="7"/>
    <n v="6"/>
    <n v="5"/>
    <n v="7"/>
    <n v="7"/>
    <m/>
    <m/>
    <m/>
    <n v="50"/>
    <n v="0"/>
    <s v="750E"/>
    <n v="3"/>
    <x v="0"/>
    <n v="21079.545454545456"/>
    <n v="1"/>
    <n v="21079.545454545456"/>
    <x v="0"/>
  </r>
  <r>
    <s v="B49"/>
    <x v="591"/>
    <s v="750E/900N"/>
    <m/>
    <x v="5"/>
    <x v="6"/>
    <n v="5300"/>
    <n v="20"/>
    <s v="CS"/>
    <s v="B"/>
    <n v="0"/>
    <n v="6"/>
    <n v="6"/>
    <n v="6"/>
    <n v="6"/>
    <n v="5"/>
    <n v="5"/>
    <n v="5"/>
    <n v="5"/>
    <n v="8"/>
    <n v="7"/>
    <m/>
    <m/>
    <m/>
    <n v="40"/>
    <n v="0"/>
    <s v="750E"/>
    <n v="5"/>
    <x v="4"/>
    <n v="110416.66666666667"/>
    <m/>
    <n v="0"/>
    <x v="5"/>
  </r>
  <r>
    <s v="B50"/>
    <x v="592"/>
    <s v="750E/950N"/>
    <m/>
    <x v="66"/>
    <x v="88"/>
    <n v="2644"/>
    <n v="20"/>
    <s v="CS"/>
    <s v="B"/>
    <n v="0"/>
    <n v="6"/>
    <n v="6"/>
    <n v="5"/>
    <n v="5"/>
    <n v="5"/>
    <n v="5"/>
    <n v="5"/>
    <n v="5"/>
    <n v="8"/>
    <n v="7"/>
    <m/>
    <m/>
    <m/>
    <n v="40"/>
    <n v="0"/>
    <s v="750E"/>
    <n v="5"/>
    <x v="3"/>
    <n v="23034.848484848484"/>
    <m/>
    <n v="0"/>
    <x v="5"/>
  </r>
  <r>
    <s v="J46"/>
    <x v="593"/>
    <s v="525E/400N"/>
    <m/>
    <x v="50"/>
    <x v="2"/>
    <n v="5370"/>
    <n v="20"/>
    <s v="CS"/>
    <s v="J"/>
    <n v="0"/>
    <n v="6"/>
    <n v="6"/>
    <n v="6"/>
    <n v="6"/>
    <n v="4"/>
    <n v="8"/>
    <n v="8"/>
    <n v="8"/>
    <n v="7"/>
    <n v="7"/>
    <m/>
    <m/>
    <m/>
    <n v="49"/>
    <n v="0"/>
    <s v="525E"/>
    <n v="6"/>
    <x v="0"/>
    <n v="21357.954545454544"/>
    <m/>
    <n v="0"/>
    <x v="6"/>
  </r>
  <r>
    <s v="G21"/>
    <x v="594"/>
    <s v="750N/SR9"/>
    <m/>
    <x v="21"/>
    <x v="45"/>
    <n v="6620"/>
    <n v="20"/>
    <s v="G"/>
    <s v="G"/>
    <n v="0"/>
    <n v="6"/>
    <n v="7"/>
    <n v="8"/>
    <n v="7"/>
    <n v="7"/>
    <n v="7"/>
    <n v="7"/>
    <n v="7"/>
    <n v="7"/>
    <n v="7"/>
    <m/>
    <m/>
    <m/>
    <n v="50"/>
    <n v="0"/>
    <s v="750N"/>
    <n v="3"/>
    <x v="8"/>
    <n v="17553.030303030304"/>
    <m/>
    <n v="0"/>
    <x v="4"/>
  </r>
  <r>
    <s v="B54"/>
    <x v="595"/>
    <s v="775E/1000N"/>
    <m/>
    <x v="19"/>
    <x v="61"/>
    <n v="930"/>
    <n v="20"/>
    <s v="AC"/>
    <s v="B"/>
    <n v="0"/>
    <n v="7"/>
    <n v="7"/>
    <n v="7"/>
    <n v="7"/>
    <n v="7"/>
    <n v="7"/>
    <n v="7"/>
    <n v="7"/>
    <n v="7"/>
    <n v="7"/>
    <m/>
    <m/>
    <m/>
    <n v="28"/>
    <n v="0"/>
    <s v="775E"/>
    <n v="3"/>
    <x v="0"/>
    <n v="3698.8636363636365"/>
    <m/>
    <n v="0"/>
    <x v="5"/>
  </r>
  <r>
    <s v="B55"/>
    <x v="596"/>
    <s v="775E/1100N"/>
    <m/>
    <x v="60"/>
    <x v="62"/>
    <n v="5360"/>
    <n v="20"/>
    <s v="AC"/>
    <s v="B"/>
    <n v="0"/>
    <n v="7"/>
    <n v="7"/>
    <n v="7"/>
    <n v="7"/>
    <n v="7"/>
    <n v="6"/>
    <n v="6"/>
    <n v="6"/>
    <n v="8"/>
    <n v="8"/>
    <m/>
    <m/>
    <m/>
    <n v="31"/>
    <n v="0"/>
    <s v="775E"/>
    <n v="3"/>
    <x v="3"/>
    <n v="46696.969696969696"/>
    <m/>
    <n v="0"/>
    <x v="5"/>
  </r>
  <r>
    <s v="BR71"/>
    <x v="597"/>
    <s v="775E/50S"/>
    <m/>
    <x v="135"/>
    <x v="63"/>
    <n v="3848"/>
    <n v="20"/>
    <s v="CS"/>
    <s v="BR"/>
    <n v="0"/>
    <n v="5"/>
    <n v="5"/>
    <n v="8"/>
    <n v="7"/>
    <n v="7"/>
    <n v="7"/>
    <n v="7"/>
    <n v="6"/>
    <n v="6"/>
    <n v="8"/>
    <m/>
    <m/>
    <m/>
    <n v="50"/>
    <n v="0"/>
    <s v="775E"/>
    <n v="3"/>
    <x v="0"/>
    <n v="15304.545454545454"/>
    <m/>
    <n v="0"/>
    <x v="2"/>
  </r>
  <r>
    <s v="B51"/>
    <x v="598"/>
    <s v="775E/700N"/>
    <m/>
    <x v="65"/>
    <x v="5"/>
    <n v="2692"/>
    <n v="20"/>
    <s v="AC"/>
    <s v="B"/>
    <n v="0"/>
    <n v="5"/>
    <n v="7"/>
    <n v="7"/>
    <n v="6"/>
    <n v="5"/>
    <n v="5"/>
    <n v="5"/>
    <n v="8"/>
    <n v="7"/>
    <n v="8"/>
    <m/>
    <m/>
    <m/>
    <n v="16"/>
    <n v="0"/>
    <s v="775E"/>
    <n v="5"/>
    <x v="0"/>
    <n v="10706.818181818182"/>
    <m/>
    <n v="0"/>
    <x v="4"/>
  </r>
  <r>
    <s v="B53"/>
    <x v="599"/>
    <s v="775E/NASHVILLE RD."/>
    <m/>
    <x v="66"/>
    <x v="128"/>
    <n v="2010"/>
    <n v="20"/>
    <s v="CS"/>
    <s v="B"/>
    <n v="0"/>
    <n v="7"/>
    <n v="8"/>
    <n v="7"/>
    <n v="7"/>
    <n v="6"/>
    <n v="6"/>
    <n v="6"/>
    <n v="6"/>
    <n v="6"/>
    <n v="6"/>
    <m/>
    <m/>
    <m/>
    <n v="17"/>
    <n v="0"/>
    <s v="775E"/>
    <n v="4"/>
    <x v="2"/>
    <n v="12181.818181818182"/>
    <n v="1"/>
    <n v="12181.818181818182"/>
    <x v="0"/>
  </r>
  <r>
    <s v="B52"/>
    <x v="600"/>
    <s v="775E/SR234"/>
    <m/>
    <x v="7"/>
    <x v="82"/>
    <n v="5312"/>
    <n v="20"/>
    <s v="AC"/>
    <s v="B"/>
    <n v="0"/>
    <n v="6"/>
    <n v="6"/>
    <n v="6"/>
    <n v="5"/>
    <n v="4"/>
    <n v="9"/>
    <n v="9"/>
    <n v="8"/>
    <n v="7"/>
    <n v="8"/>
    <m/>
    <m/>
    <m/>
    <n v="16"/>
    <n v="0"/>
    <s v="775E"/>
    <n v="6"/>
    <x v="0"/>
    <n v="21127.272727272728"/>
    <n v="1"/>
    <n v="21127.272727272728"/>
    <x v="3"/>
  </r>
  <r>
    <s v="J63"/>
    <x v="601"/>
    <s v="800E/100N"/>
    <m/>
    <x v="23"/>
    <x v="70"/>
    <n v="3830"/>
    <n v="20"/>
    <s v="AC"/>
    <s v="J"/>
    <n v="0"/>
    <n v="6"/>
    <n v="7"/>
    <n v="7"/>
    <n v="6"/>
    <n v="6"/>
    <n v="6"/>
    <n v="4"/>
    <n v="4"/>
    <n v="7"/>
    <n v="7"/>
    <m/>
    <m/>
    <m/>
    <n v="50"/>
    <n v="0"/>
    <s v="800E"/>
    <n v="4"/>
    <x v="4"/>
    <n v="79791.666666666672"/>
    <m/>
    <n v="0"/>
    <x v="4"/>
  </r>
  <r>
    <s v="J64"/>
    <x v="602"/>
    <s v="800E/150N"/>
    <m/>
    <x v="44"/>
    <x v="55"/>
    <n v="2692"/>
    <n v="20"/>
    <s v="CS"/>
    <s v="J"/>
    <n v="0"/>
    <n v="6"/>
    <n v="7"/>
    <n v="7"/>
    <n v="7"/>
    <n v="7"/>
    <n v="7"/>
    <n v="7"/>
    <n v="5"/>
    <n v="7"/>
    <n v="7"/>
    <m/>
    <m/>
    <m/>
    <n v="50"/>
    <n v="0"/>
    <s v="800E"/>
    <n v="3"/>
    <x v="3"/>
    <n v="23453.030303030304"/>
    <m/>
    <n v="0"/>
    <x v="5"/>
  </r>
  <r>
    <s v="BR78"/>
    <x v="603"/>
    <s v="800E/200S"/>
    <m/>
    <x v="63"/>
    <x v="64"/>
    <n v="5295"/>
    <n v="20"/>
    <s v="G"/>
    <s v="BR"/>
    <n v="0"/>
    <n v="6"/>
    <n v="7"/>
    <n v="7"/>
    <n v="7"/>
    <n v="7"/>
    <n v="7"/>
    <n v="7"/>
    <n v="6"/>
    <n v="6"/>
    <n v="7"/>
    <m/>
    <m/>
    <m/>
    <n v="50"/>
    <n v="0"/>
    <s v="800E"/>
    <n v="3"/>
    <x v="8"/>
    <n v="14039.772727272728"/>
    <m/>
    <n v="0"/>
    <x v="5"/>
  </r>
  <r>
    <s v="J65"/>
    <x v="604"/>
    <s v="800E/250N"/>
    <m/>
    <x v="55"/>
    <x v="56"/>
    <n v="5284"/>
    <n v="20"/>
    <s v="CS"/>
    <s v="J"/>
    <n v="0"/>
    <n v="7"/>
    <n v="7"/>
    <n v="7"/>
    <n v="7"/>
    <n v="7"/>
    <n v="7"/>
    <n v="7"/>
    <n v="6"/>
    <n v="7"/>
    <n v="7"/>
    <m/>
    <m/>
    <m/>
    <n v="50"/>
    <n v="0"/>
    <s v="800E"/>
    <n v="3"/>
    <x v="3"/>
    <n v="46034.848484848488"/>
    <m/>
    <n v="0"/>
    <x v="5"/>
  </r>
  <r>
    <s v="J65.5"/>
    <x v="605"/>
    <s v="800E/300N"/>
    <m/>
    <x v="115"/>
    <x v="36"/>
    <n v="1133"/>
    <n v="20"/>
    <s v="DS"/>
    <s v="J"/>
    <n v="0"/>
    <n v="7"/>
    <n v="6"/>
    <n v="6"/>
    <n v="6"/>
    <n v="6"/>
    <n v="6"/>
    <n v="6"/>
    <n v="6"/>
    <n v="7"/>
    <n v="7"/>
    <m/>
    <m/>
    <m/>
    <n v="50"/>
    <n v="0"/>
    <s v="800E"/>
    <n v="4"/>
    <x v="2"/>
    <n v="6866.666666666667"/>
    <m/>
    <n v="0"/>
    <x v="2"/>
  </r>
  <r>
    <s v="BR77"/>
    <x v="606"/>
    <s v="800E/300S"/>
    <m/>
    <x v="136"/>
    <x v="11"/>
    <n v="3375"/>
    <n v="20"/>
    <s v="G"/>
    <s v="BR"/>
    <n v="0"/>
    <n v="7"/>
    <n v="6"/>
    <n v="6"/>
    <n v="7"/>
    <n v="7"/>
    <n v="7"/>
    <n v="7"/>
    <n v="6"/>
    <n v="6"/>
    <n v="7"/>
    <m/>
    <m/>
    <m/>
    <n v="18"/>
    <n v="0"/>
    <s v="800E"/>
    <n v="3"/>
    <x v="8"/>
    <n v="8948.863636363636"/>
    <m/>
    <n v="0"/>
    <x v="5"/>
  </r>
  <r>
    <s v="B77"/>
    <x v="607"/>
    <s v="1125E/900N"/>
    <m/>
    <x v="7"/>
    <x v="88"/>
    <n v="5230"/>
    <n v="20"/>
    <s v="AC"/>
    <s v="B"/>
    <n v="0"/>
    <n v="7"/>
    <n v="6"/>
    <n v="6"/>
    <n v="5"/>
    <n v="4"/>
    <n v="4"/>
    <n v="9"/>
    <n v="8"/>
    <n v="8"/>
    <n v="8"/>
    <m/>
    <m/>
    <m/>
    <n v="42"/>
    <n v="0"/>
    <s v="1125E"/>
    <n v="6"/>
    <x v="0"/>
    <n v="20801.136363636364"/>
    <m/>
    <n v="0"/>
    <x v="6"/>
  </r>
  <r>
    <s v="BR75"/>
    <x v="608"/>
    <s v="800E/400S"/>
    <m/>
    <x v="137"/>
    <x v="26"/>
    <n v="2650"/>
    <n v="20"/>
    <s v="AC"/>
    <s v="BR"/>
    <n v="0"/>
    <n v="6"/>
    <n v="6"/>
    <n v="7"/>
    <n v="7"/>
    <n v="6"/>
    <n v="5"/>
    <n v="5"/>
    <n v="5"/>
    <n v="8"/>
    <n v="8"/>
    <m/>
    <m/>
    <m/>
    <n v="50"/>
    <n v="0"/>
    <s v="800E"/>
    <n v="4"/>
    <x v="0"/>
    <n v="10539.772727272728"/>
    <m/>
    <n v="0"/>
    <x v="5"/>
  </r>
  <r>
    <s v="BR74"/>
    <x v="609"/>
    <s v="800E/450S"/>
    <m/>
    <x v="24"/>
    <x v="130"/>
    <n v="2590"/>
    <n v="20"/>
    <s v="CS"/>
    <s v="BR"/>
    <n v="0"/>
    <n v="4"/>
    <n v="4"/>
    <n v="10"/>
    <n v="9"/>
    <n v="8"/>
    <n v="8"/>
    <n v="7"/>
    <n v="7"/>
    <n v="7"/>
    <n v="8"/>
    <m/>
    <m/>
    <m/>
    <n v="50"/>
    <n v="0"/>
    <s v="800E"/>
    <n v="2"/>
    <x v="0"/>
    <n v="10301.136363636364"/>
    <m/>
    <n v="0"/>
    <x v="2"/>
  </r>
  <r>
    <s v="J67"/>
    <x v="610"/>
    <s v="800E/500N"/>
    <m/>
    <x v="3"/>
    <x v="3"/>
    <n v="5300"/>
    <n v="20"/>
    <s v="CS"/>
    <s v="J"/>
    <n v="0"/>
    <n v="5"/>
    <n v="5"/>
    <n v="5"/>
    <n v="4"/>
    <n v="4"/>
    <n v="7"/>
    <n v="7"/>
    <n v="7"/>
    <n v="7"/>
    <n v="7"/>
    <m/>
    <m/>
    <m/>
    <n v="50"/>
    <n v="0"/>
    <s v="800E"/>
    <n v="6"/>
    <x v="0"/>
    <n v="21079.545454545456"/>
    <m/>
    <n v="0"/>
    <x v="3"/>
  </r>
  <r>
    <s v="BR73"/>
    <x v="611"/>
    <s v="800E/500S"/>
    <m/>
    <x v="106"/>
    <x v="91"/>
    <n v="2650"/>
    <n v="20"/>
    <s v="CS"/>
    <s v="BR"/>
    <n v="0"/>
    <n v="5"/>
    <n v="4"/>
    <n v="10"/>
    <n v="9"/>
    <n v="8"/>
    <n v="8"/>
    <n v="8"/>
    <n v="7"/>
    <n v="7"/>
    <n v="7"/>
    <m/>
    <m/>
    <m/>
    <n v="50"/>
    <n v="0"/>
    <s v="800E"/>
    <n v="2"/>
    <x v="0"/>
    <n v="10539.772727272728"/>
    <m/>
    <n v="0"/>
    <x v="2"/>
  </r>
  <r>
    <s v="BR72"/>
    <x v="612"/>
    <s v="800E/550S"/>
    <m/>
    <x v="72"/>
    <x v="111"/>
    <n v="2620"/>
    <n v="20"/>
    <s v="AC"/>
    <s v="BR"/>
    <n v="0"/>
    <n v="9"/>
    <n v="8"/>
    <n v="8"/>
    <n v="8"/>
    <n v="8"/>
    <n v="8"/>
    <n v="8"/>
    <n v="7"/>
    <n v="7"/>
    <n v="7"/>
    <m/>
    <m/>
    <m/>
    <n v="58"/>
    <n v="0"/>
    <s v="800E"/>
    <n v="2"/>
    <x v="0"/>
    <n v="10420.454545454546"/>
    <m/>
    <n v="0"/>
    <x v="4"/>
  </r>
  <r>
    <s v="J68"/>
    <x v="613"/>
    <s v="800E/600N"/>
    <m/>
    <x v="1"/>
    <x v="1"/>
    <n v="4985"/>
    <n v="20"/>
    <s v="CS"/>
    <s v="J"/>
    <n v="0"/>
    <n v="8"/>
    <n v="9"/>
    <n v="9"/>
    <n v="8"/>
    <n v="7"/>
    <n v="7"/>
    <n v="6"/>
    <n v="6"/>
    <n v="7"/>
    <n v="7"/>
    <m/>
    <m/>
    <m/>
    <n v="50"/>
    <n v="0"/>
    <s v="800E"/>
    <n v="3"/>
    <x v="3"/>
    <n v="43429.92424242424"/>
    <m/>
    <n v="0"/>
    <x v="5"/>
  </r>
  <r>
    <s v="B56"/>
    <x v="614"/>
    <s v="800E/650N"/>
    <m/>
    <x v="99"/>
    <x v="1"/>
    <n v="2650"/>
    <n v="20"/>
    <s v="CS"/>
    <s v="B"/>
    <n v="0"/>
    <n v="6"/>
    <n v="9"/>
    <n v="7"/>
    <n v="7"/>
    <n v="7"/>
    <n v="7"/>
    <n v="6"/>
    <n v="7"/>
    <n v="7"/>
    <n v="7"/>
    <m/>
    <m/>
    <m/>
    <n v="50"/>
    <n v="0"/>
    <s v="800E"/>
    <n v="3"/>
    <x v="2"/>
    <n v="16060.60606060606"/>
    <n v="1"/>
    <n v="16060.60606060606"/>
    <x v="0"/>
  </r>
  <r>
    <s v="BR76"/>
    <x v="615"/>
    <s v="800E/BINFORD RD"/>
    <m/>
    <x v="10"/>
    <x v="136"/>
    <n v="1880"/>
    <n v="20"/>
    <s v="AC"/>
    <s v="BR"/>
    <n v="0"/>
    <n v="5"/>
    <n v="5"/>
    <n v="7"/>
    <n v="7"/>
    <n v="7"/>
    <n v="7"/>
    <n v="7"/>
    <n v="7"/>
    <n v="7"/>
    <n v="7"/>
    <m/>
    <m/>
    <m/>
    <n v="50"/>
    <n v="0"/>
    <s v="800E"/>
    <n v="3"/>
    <x v="0"/>
    <n v="7477.272727272727"/>
    <m/>
    <n v="0"/>
    <x v="2"/>
  </r>
  <r>
    <m/>
    <x v="616"/>
    <s v="850E/100N"/>
    <m/>
    <x v="23"/>
    <x v="70"/>
    <n v="3700"/>
    <n v="20"/>
    <s v="CS"/>
    <s v="J"/>
    <n v="0"/>
    <m/>
    <n v="7"/>
    <m/>
    <n v="7"/>
    <n v="7"/>
    <n v="7"/>
    <n v="7"/>
    <n v="6"/>
    <n v="7"/>
    <n v="7"/>
    <m/>
    <m/>
    <m/>
    <n v="200"/>
    <n v="0"/>
    <s v="850E"/>
    <n v="3"/>
    <x v="4"/>
    <n v="77083.333333333328"/>
    <n v="1"/>
    <n v="77083.333333333328"/>
    <x v="0"/>
  </r>
  <r>
    <s v="BR79"/>
    <x v="617"/>
    <s v="850E/100S"/>
    <m/>
    <x v="138"/>
    <x v="63"/>
    <n v="2650"/>
    <n v="20"/>
    <s v="CS"/>
    <s v="BR"/>
    <n v="0"/>
    <n v="5"/>
    <n v="5"/>
    <n v="5"/>
    <n v="2"/>
    <n v="2"/>
    <n v="9"/>
    <n v="8"/>
    <n v="8"/>
    <n v="7"/>
    <n v="7"/>
    <m/>
    <m/>
    <m/>
    <n v="50"/>
    <n v="0"/>
    <s v="850E"/>
    <n v="8"/>
    <x v="2"/>
    <n v="16060.60606060606"/>
    <m/>
    <n v="0"/>
    <x v="3"/>
  </r>
  <r>
    <s v="J71-1"/>
    <x v="251"/>
    <s v="850E/250N"/>
    <m/>
    <x v="44"/>
    <x v="56"/>
    <n v="3695"/>
    <n v="20"/>
    <s v="AC"/>
    <s v="J"/>
    <n v="0"/>
    <n v="7"/>
    <n v="7"/>
    <n v="7"/>
    <n v="7"/>
    <n v="7"/>
    <n v="7"/>
    <n v="7"/>
    <n v="8"/>
    <n v="7"/>
    <n v="7"/>
    <m/>
    <m/>
    <m/>
    <n v="335"/>
    <n v="0"/>
    <s v="850E"/>
    <n v="3"/>
    <x v="0"/>
    <n v="14696.022727272728"/>
    <m/>
    <n v="0"/>
    <x v="4"/>
  </r>
  <r>
    <s v="G08"/>
    <x v="618"/>
    <s v="625N/300E"/>
    <m/>
    <x v="85"/>
    <x v="121"/>
    <n v="2530"/>
    <n v="20"/>
    <s v="AC"/>
    <s v="G"/>
    <n v="0"/>
    <n v="4"/>
    <n v="4"/>
    <n v="4"/>
    <n v="9"/>
    <n v="8"/>
    <n v="8"/>
    <n v="8"/>
    <n v="7"/>
    <n v="7"/>
    <n v="7"/>
    <m/>
    <m/>
    <m/>
    <n v="10"/>
    <n v="0"/>
    <s v="625N"/>
    <n v="2"/>
    <x v="0"/>
    <n v="10062.5"/>
    <m/>
    <n v="0"/>
    <x v="6"/>
  </r>
  <r>
    <s v="BC04"/>
    <x v="619"/>
    <s v="100N/525W"/>
    <m/>
    <x v="68"/>
    <x v="34"/>
    <n v="3639"/>
    <n v="20"/>
    <s v="AC"/>
    <s v="BC"/>
    <n v="0"/>
    <n v="6"/>
    <n v="6"/>
    <n v="6"/>
    <n v="6"/>
    <n v="6"/>
    <n v="8"/>
    <n v="7"/>
    <n v="7"/>
    <n v="7"/>
    <n v="7"/>
    <n v="2022"/>
    <n v="2022"/>
    <s v="Y"/>
    <n v="2437"/>
    <n v="1"/>
    <s v="100N"/>
    <n v="5"/>
    <x v="2"/>
    <n v="22054.545454545456"/>
    <m/>
    <n v="0"/>
    <x v="6"/>
  </r>
  <r>
    <s v="J73"/>
    <x v="620"/>
    <s v="850E/350N"/>
    <m/>
    <x v="50"/>
    <x v="59"/>
    <n v="2619"/>
    <n v="20"/>
    <s v="AC"/>
    <s v="J"/>
    <n v="0"/>
    <n v="7"/>
    <n v="8"/>
    <n v="7"/>
    <n v="7"/>
    <n v="7"/>
    <n v="7"/>
    <n v="7"/>
    <n v="6"/>
    <n v="7"/>
    <n v="7"/>
    <m/>
    <m/>
    <m/>
    <n v="228"/>
    <n v="0"/>
    <s v="850E"/>
    <n v="3"/>
    <x v="3"/>
    <n v="22817.045454545456"/>
    <m/>
    <n v="0"/>
    <x v="5"/>
  </r>
  <r>
    <n v="100"/>
    <x v="621"/>
    <s v="850E/400N"/>
    <m/>
    <x v="2"/>
    <x v="2"/>
    <n v="2652"/>
    <n v="20"/>
    <s v="AC"/>
    <s v="J"/>
    <n v="0"/>
    <n v="7"/>
    <n v="9"/>
    <n v="7"/>
    <n v="7"/>
    <n v="7"/>
    <n v="7"/>
    <n v="7"/>
    <n v="7"/>
    <n v="7"/>
    <n v="7"/>
    <m/>
    <m/>
    <m/>
    <n v="185"/>
    <n v="0"/>
    <s v="850E"/>
    <n v="3"/>
    <x v="0"/>
    <n v="10547.727272727272"/>
    <m/>
    <n v="0"/>
    <x v="5"/>
  </r>
  <r>
    <s v="J75"/>
    <x v="622"/>
    <s v="850E/500N"/>
    <m/>
    <x v="1"/>
    <x v="2"/>
    <n v="5320"/>
    <n v="20"/>
    <s v="CS"/>
    <s v="J"/>
    <n v="0"/>
    <n v="6"/>
    <n v="7"/>
    <n v="7"/>
    <n v="7"/>
    <n v="7"/>
    <n v="7"/>
    <n v="7"/>
    <n v="7"/>
    <n v="7"/>
    <n v="7"/>
    <m/>
    <m/>
    <m/>
    <n v="185"/>
    <n v="0"/>
    <s v="850E"/>
    <n v="3"/>
    <x v="0"/>
    <n v="21159.090909090908"/>
    <n v="1"/>
    <n v="21159.090909090908"/>
    <x v="0"/>
  </r>
  <r>
    <s v="BR80"/>
    <x v="623"/>
    <s v="850E/50S"/>
    <m/>
    <x v="71"/>
    <x v="137"/>
    <n v="2645"/>
    <n v="20"/>
    <s v="CS"/>
    <s v="BR"/>
    <n v="0"/>
    <n v="4"/>
    <n v="6"/>
    <n v="10"/>
    <n v="9"/>
    <n v="8"/>
    <n v="7"/>
    <n v="6"/>
    <n v="6"/>
    <n v="6"/>
    <n v="6"/>
    <m/>
    <m/>
    <m/>
    <n v="50"/>
    <n v="0"/>
    <s v="850E"/>
    <n v="2"/>
    <x v="0"/>
    <n v="10519.886363636364"/>
    <m/>
    <n v="0"/>
    <x v="3"/>
  </r>
  <r>
    <s v="J76"/>
    <x v="624"/>
    <s v="850E/600N"/>
    <m/>
    <x v="77"/>
    <x v="3"/>
    <n v="5010"/>
    <n v="20"/>
    <s v="CS"/>
    <s v="J"/>
    <n v="0"/>
    <n v="5"/>
    <n v="7"/>
    <n v="10"/>
    <n v="4"/>
    <n v="8"/>
    <n v="8"/>
    <n v="7"/>
    <n v="7"/>
    <n v="7"/>
    <n v="7"/>
    <m/>
    <m/>
    <m/>
    <n v="50"/>
    <n v="0"/>
    <s v="850E"/>
    <n v="2"/>
    <x v="0"/>
    <n v="19926.136363636364"/>
    <m/>
    <n v="0"/>
    <x v="2"/>
  </r>
  <r>
    <s v="BR81"/>
    <x v="625"/>
    <s v="850E/N. TWP LINE"/>
    <m/>
    <x v="135"/>
    <x v="80"/>
    <n v="4000"/>
    <n v="20"/>
    <s v="CS"/>
    <s v="BR"/>
    <n v="0"/>
    <n v="7"/>
    <n v="6"/>
    <n v="6"/>
    <n v="9"/>
    <n v="9"/>
    <n v="8"/>
    <n v="8"/>
    <n v="7"/>
    <n v="7"/>
    <n v="7"/>
    <m/>
    <m/>
    <m/>
    <n v="50"/>
    <n v="0"/>
    <s v="850E"/>
    <n v="1"/>
    <x v="2"/>
    <n v="24242.424242424244"/>
    <m/>
    <n v="0"/>
    <x v="4"/>
  </r>
  <r>
    <s v="J69"/>
    <x v="626"/>
    <s v="850E/US40"/>
    <m/>
    <x v="59"/>
    <x v="83"/>
    <n v="1468"/>
    <n v="20"/>
    <s v="AC"/>
    <s v="J"/>
    <n v="0"/>
    <n v="5"/>
    <n v="5"/>
    <n v="5"/>
    <n v="9"/>
    <n v="8"/>
    <n v="7"/>
    <n v="7"/>
    <n v="7"/>
    <n v="7"/>
    <n v="7"/>
    <m/>
    <m/>
    <m/>
    <n v="50"/>
    <n v="0"/>
    <s v="850E"/>
    <n v="2"/>
    <x v="0"/>
    <n v="5838.636363636364"/>
    <m/>
    <n v="0"/>
    <x v="2"/>
  </r>
  <r>
    <s v="V24"/>
    <x v="627"/>
    <s v="850N/50W"/>
    <m/>
    <x v="91"/>
    <x v="20"/>
    <n v="5036"/>
    <n v="20"/>
    <s v="DS"/>
    <s v="V"/>
    <n v="0"/>
    <n v="7"/>
    <n v="7"/>
    <n v="7"/>
    <n v="7"/>
    <n v="6"/>
    <n v="6"/>
    <n v="6"/>
    <n v="6"/>
    <n v="6"/>
    <n v="8"/>
    <m/>
    <m/>
    <m/>
    <n v="47"/>
    <n v="0"/>
    <s v="850N"/>
    <n v="4"/>
    <x v="2"/>
    <n v="30521.21212121212"/>
    <m/>
    <n v="0"/>
    <x v="2"/>
  </r>
  <r>
    <s v="B79"/>
    <x v="628"/>
    <s v="1200E/700N"/>
    <m/>
    <x v="99"/>
    <x v="82"/>
    <n v="2640"/>
    <n v="20"/>
    <s v="AC"/>
    <s v="B"/>
    <n v="0"/>
    <n v="7"/>
    <n v="7"/>
    <n v="7"/>
    <n v="7"/>
    <n v="7"/>
    <n v="9"/>
    <n v="8"/>
    <n v="8"/>
    <n v="7"/>
    <n v="7"/>
    <m/>
    <n v="2019"/>
    <s v="Y"/>
    <n v="1197"/>
    <n v="0.5"/>
    <s v="1200E"/>
    <n v="3.5"/>
    <x v="2"/>
    <n v="16000"/>
    <m/>
    <n v="0"/>
    <x v="6"/>
  </r>
  <r>
    <s v="B57"/>
    <x v="629"/>
    <s v="875E/650N"/>
    <m/>
    <x v="77"/>
    <x v="5"/>
    <n v="2689"/>
    <n v="20"/>
    <s v="CS"/>
    <s v="B"/>
    <n v="0"/>
    <n v="4"/>
    <n v="6"/>
    <n v="10"/>
    <n v="9"/>
    <n v="8"/>
    <n v="7"/>
    <n v="6"/>
    <n v="7"/>
    <n v="7"/>
    <n v="7"/>
    <m/>
    <m/>
    <m/>
    <n v="50"/>
    <n v="0"/>
    <s v="875E"/>
    <n v="2"/>
    <x v="0"/>
    <n v="10694.886363636364"/>
    <m/>
    <n v="0"/>
    <x v="2"/>
  </r>
  <r>
    <s v="BR88"/>
    <x v="630"/>
    <s v="900E/150S"/>
    <m/>
    <x v="62"/>
    <x v="138"/>
    <n v="2550"/>
    <n v="20"/>
    <s v="CS"/>
    <s v="BR"/>
    <n v="0"/>
    <n v="6"/>
    <n v="7"/>
    <n v="7"/>
    <n v="7"/>
    <n v="7"/>
    <n v="7"/>
    <n v="6"/>
    <n v="6"/>
    <n v="6"/>
    <n v="7"/>
    <m/>
    <m/>
    <m/>
    <n v="50"/>
    <n v="0"/>
    <s v="900E"/>
    <n v="3"/>
    <x v="0"/>
    <n v="10142.045454545454"/>
    <m/>
    <n v="0"/>
    <x v="2"/>
  </r>
  <r>
    <s v="BR87"/>
    <x v="631"/>
    <s v="900E/200S"/>
    <m/>
    <x v="62"/>
    <x v="11"/>
    <n v="5330"/>
    <n v="20"/>
    <s v="CS"/>
    <s v="BR"/>
    <n v="0"/>
    <n v="3"/>
    <n v="6"/>
    <n v="8"/>
    <n v="7"/>
    <n v="6"/>
    <n v="7"/>
    <n v="6"/>
    <n v="6"/>
    <n v="6"/>
    <n v="7"/>
    <m/>
    <m/>
    <m/>
    <n v="50"/>
    <n v="0"/>
    <s v="900E"/>
    <n v="4"/>
    <x v="0"/>
    <n v="21198.863636363636"/>
    <m/>
    <n v="0"/>
    <x v="3"/>
  </r>
  <r>
    <s v="B78"/>
    <x v="632"/>
    <s v="1200E/650N"/>
    <m/>
    <x v="139"/>
    <x v="5"/>
    <n v="2775"/>
    <n v="20"/>
    <s v="AC"/>
    <s v="B"/>
    <n v="0"/>
    <n v="7"/>
    <n v="7"/>
    <n v="7"/>
    <n v="7"/>
    <n v="6"/>
    <n v="9"/>
    <n v="8"/>
    <n v="8"/>
    <n v="7"/>
    <n v="7"/>
    <m/>
    <n v="2019"/>
    <s v="Y"/>
    <n v="1143"/>
    <n v="0.5"/>
    <s v="1200E"/>
    <n v="4.5"/>
    <x v="2"/>
    <n v="16818.18181818182"/>
    <m/>
    <n v="0"/>
    <x v="6"/>
  </r>
  <r>
    <s v="BR85"/>
    <x v="633"/>
    <s v="900E/400S"/>
    <m/>
    <x v="137"/>
    <x v="26"/>
    <n v="2555"/>
    <n v="20"/>
    <s v="G"/>
    <s v="BR"/>
    <n v="0"/>
    <n v="4"/>
    <n v="7"/>
    <n v="7"/>
    <n v="7"/>
    <n v="6"/>
    <n v="8"/>
    <n v="8"/>
    <n v="8"/>
    <n v="8"/>
    <n v="8"/>
    <m/>
    <m/>
    <m/>
    <n v="50"/>
    <n v="0"/>
    <s v="900E"/>
    <n v="4"/>
    <x v="0"/>
    <n v="10161.931818181818"/>
    <m/>
    <n v="0"/>
    <x v="3"/>
  </r>
  <r>
    <s v="BW13"/>
    <x v="634"/>
    <s v="400S/100W"/>
    <m/>
    <x v="25"/>
    <x v="28"/>
    <n v="5280"/>
    <n v="20"/>
    <s v="CS"/>
    <s v="BW"/>
    <n v="0"/>
    <n v="8"/>
    <n v="7"/>
    <n v="7"/>
    <n v="7"/>
    <n v="7"/>
    <n v="7"/>
    <n v="7"/>
    <n v="7"/>
    <n v="7"/>
    <n v="7"/>
    <m/>
    <m/>
    <m/>
    <n v="721"/>
    <n v="0.5"/>
    <s v="400S"/>
    <n v="3.5"/>
    <x v="2"/>
    <n v="32000"/>
    <m/>
    <n v="0"/>
    <x v="6"/>
  </r>
  <r>
    <s v="J77"/>
    <x v="635"/>
    <s v="900E/500N"/>
    <m/>
    <x v="3"/>
    <x v="3"/>
    <n v="5325"/>
    <n v="20"/>
    <s v="CS"/>
    <s v="J"/>
    <n v="0"/>
    <n v="4"/>
    <n v="4"/>
    <n v="10"/>
    <n v="9"/>
    <n v="8"/>
    <n v="8"/>
    <n v="8"/>
    <n v="7"/>
    <n v="7"/>
    <n v="8"/>
    <m/>
    <m/>
    <m/>
    <n v="50"/>
    <n v="0"/>
    <s v="900E"/>
    <n v="2"/>
    <x v="2"/>
    <n v="32272.727272727272"/>
    <n v="1"/>
    <n v="32272.727272727272"/>
    <x v="0"/>
  </r>
  <r>
    <s v="BR83"/>
    <x v="636"/>
    <s v="900E/500S"/>
    <m/>
    <x v="106"/>
    <x v="91"/>
    <n v="2650"/>
    <n v="20"/>
    <s v="P"/>
    <s v="BR"/>
    <n v="0"/>
    <n v="3"/>
    <n v="4"/>
    <n v="10"/>
    <n v="9"/>
    <n v="9"/>
    <n v="8"/>
    <n v="8"/>
    <n v="8"/>
    <n v="8"/>
    <n v="8"/>
    <m/>
    <m/>
    <m/>
    <n v="50"/>
    <n v="0"/>
    <s v="900E"/>
    <n v="1"/>
    <x v="0"/>
    <n v="10539.772727272728"/>
    <m/>
    <n v="0"/>
    <x v="4"/>
  </r>
  <r>
    <s v="BR82"/>
    <x v="637"/>
    <s v="900E/550S"/>
    <m/>
    <x v="72"/>
    <x v="111"/>
    <n v="2640"/>
    <n v="20"/>
    <s v="CS"/>
    <s v="BR"/>
    <n v="0"/>
    <n v="4"/>
    <n v="7"/>
    <n v="6"/>
    <n v="6"/>
    <n v="5"/>
    <n v="7"/>
    <n v="7"/>
    <n v="6"/>
    <n v="6"/>
    <n v="8"/>
    <m/>
    <m/>
    <m/>
    <n v="50"/>
    <n v="0"/>
    <s v="900E"/>
    <n v="5"/>
    <x v="0"/>
    <n v="10500"/>
    <m/>
    <n v="0"/>
    <x v="4"/>
  </r>
  <r>
    <s v="BW14"/>
    <x v="638"/>
    <s v="400S/50W"/>
    <m/>
    <x v="12"/>
    <x v="37"/>
    <n v="2685"/>
    <n v="20"/>
    <s v="CS"/>
    <s v="BW"/>
    <n v="0"/>
    <n v="7"/>
    <n v="7"/>
    <n v="6"/>
    <n v="6"/>
    <n v="6"/>
    <n v="6"/>
    <n v="7"/>
    <n v="7"/>
    <n v="7"/>
    <n v="7"/>
    <m/>
    <m/>
    <m/>
    <n v="689"/>
    <n v="0.5"/>
    <s v="400S"/>
    <n v="4.5"/>
    <x v="2"/>
    <n v="16272.727272727272"/>
    <m/>
    <n v="0"/>
    <x v="6"/>
  </r>
  <r>
    <s v="B60"/>
    <x v="639"/>
    <s v="900E/SR109"/>
    <m/>
    <x v="7"/>
    <x v="8"/>
    <n v="1313"/>
    <n v="20"/>
    <s v="CS"/>
    <s v="B"/>
    <n v="0"/>
    <n v="7"/>
    <n v="7"/>
    <n v="7"/>
    <n v="7"/>
    <n v="8"/>
    <n v="8"/>
    <n v="8"/>
    <n v="7"/>
    <n v="7"/>
    <n v="7"/>
    <m/>
    <m/>
    <m/>
    <n v="1172"/>
    <n v="0.5"/>
    <s v="900E"/>
    <n v="2.5"/>
    <x v="2"/>
    <n v="7957.575757575758"/>
    <n v="1"/>
    <n v="7957.575757575758"/>
    <x v="3"/>
  </r>
  <r>
    <s v="B59"/>
    <x v="640"/>
    <s v="900E/SR234"/>
    <m/>
    <x v="65"/>
    <x v="6"/>
    <n v="5332"/>
    <n v="20"/>
    <s v="CS"/>
    <s v="B"/>
    <n v="0"/>
    <n v="6"/>
    <n v="9"/>
    <n v="9"/>
    <n v="9"/>
    <n v="8"/>
    <n v="7"/>
    <n v="6"/>
    <n v="6"/>
    <n v="7"/>
    <n v="7"/>
    <m/>
    <m/>
    <m/>
    <n v="68"/>
    <n v="0"/>
    <s v="900E"/>
    <n v="2"/>
    <x v="0"/>
    <n v="21206.81818181818"/>
    <m/>
    <n v="0"/>
    <x v="4"/>
  </r>
  <r>
    <s v="BR36"/>
    <x v="641"/>
    <s v="100S/500E"/>
    <m/>
    <x v="32"/>
    <x v="73"/>
    <n v="5325"/>
    <n v="20"/>
    <s v="AC"/>
    <s v="BR"/>
    <n v="0"/>
    <n v="7"/>
    <n v="8"/>
    <n v="7"/>
    <n v="6"/>
    <n v="6"/>
    <n v="9"/>
    <n v="9"/>
    <n v="8"/>
    <n v="7"/>
    <n v="6"/>
    <m/>
    <n v="2019"/>
    <s v="Y"/>
    <n v="659"/>
    <n v="0.5"/>
    <s v="100S"/>
    <n v="4.5"/>
    <x v="2"/>
    <n v="32272.727272727272"/>
    <m/>
    <n v="0"/>
    <x v="6"/>
  </r>
  <r>
    <s v="B29"/>
    <x v="642"/>
    <s v="900N/1100E"/>
    <m/>
    <x v="104"/>
    <x v="102"/>
    <n v="5405"/>
    <n v="20"/>
    <s v="CS"/>
    <s v="B"/>
    <n v="0"/>
    <n v="5"/>
    <n v="5"/>
    <n v="5"/>
    <n v="4"/>
    <n v="9"/>
    <n v="9"/>
    <n v="8"/>
    <n v="7"/>
    <n v="7"/>
    <n v="7"/>
    <m/>
    <m/>
    <m/>
    <n v="207"/>
    <n v="0"/>
    <s v="900N"/>
    <n v="1"/>
    <x v="4"/>
    <n v="112604.16666666667"/>
    <n v="1"/>
    <n v="112604.16666666667"/>
    <x v="3"/>
  </r>
  <r>
    <s v="B30"/>
    <x v="643"/>
    <s v="900N/1125E"/>
    <m/>
    <x v="103"/>
    <x v="9"/>
    <n v="1360"/>
    <n v="20"/>
    <s v="AC"/>
    <s v="B"/>
    <n v="0"/>
    <n v="4"/>
    <n v="4"/>
    <n v="4"/>
    <n v="4"/>
    <n v="9"/>
    <n v="9"/>
    <n v="8"/>
    <n v="8"/>
    <n v="8"/>
    <n v="8"/>
    <m/>
    <m/>
    <m/>
    <n v="155"/>
    <n v="0"/>
    <s v="900N"/>
    <n v="1"/>
    <x v="0"/>
    <n v="5409.090909090909"/>
    <m/>
    <n v="0"/>
    <x v="4"/>
  </r>
  <r>
    <s v="B31"/>
    <x v="644"/>
    <s v="900N/1200E"/>
    <m/>
    <x v="140"/>
    <x v="125"/>
    <n v="4179"/>
    <n v="20"/>
    <s v="AC"/>
    <s v="B"/>
    <n v="0"/>
    <n v="7"/>
    <n v="7"/>
    <n v="7"/>
    <n v="6"/>
    <n v="6"/>
    <n v="6"/>
    <n v="6"/>
    <n v="7"/>
    <n v="8"/>
    <n v="8"/>
    <m/>
    <m/>
    <m/>
    <n v="44"/>
    <n v="0"/>
    <s v="900N"/>
    <n v="4"/>
    <x v="0"/>
    <n v="16621.022727272728"/>
    <m/>
    <n v="0"/>
    <x v="4"/>
  </r>
  <r>
    <s v="V30"/>
    <x v="645"/>
    <s v="900N/200W"/>
    <m/>
    <x v="27"/>
    <x v="29"/>
    <n v="4000"/>
    <n v="20"/>
    <s v="CS"/>
    <s v="V"/>
    <n v="0"/>
    <n v="6"/>
    <n v="6"/>
    <n v="6"/>
    <n v="6"/>
    <n v="6"/>
    <n v="8"/>
    <n v="7"/>
    <n v="7"/>
    <n v="7"/>
    <n v="7"/>
    <m/>
    <m/>
    <m/>
    <n v="204"/>
    <n v="0"/>
    <s v="900N"/>
    <n v="4"/>
    <x v="2"/>
    <n v="24242.424242424244"/>
    <n v="1"/>
    <n v="24242.424242424244"/>
    <x v="0"/>
  </r>
  <r>
    <s v="V29"/>
    <x v="646"/>
    <s v="900N/300W"/>
    <m/>
    <x v="28"/>
    <x v="31"/>
    <n v="5231"/>
    <n v="20"/>
    <s v="CS"/>
    <s v="V"/>
    <n v="0"/>
    <n v="7"/>
    <n v="6"/>
    <n v="6"/>
    <n v="6"/>
    <n v="6"/>
    <n v="8"/>
    <n v="8"/>
    <n v="7"/>
    <n v="7"/>
    <n v="7"/>
    <m/>
    <m/>
    <m/>
    <n v="190"/>
    <n v="0"/>
    <s v="900N"/>
    <n v="4"/>
    <x v="0"/>
    <n v="20805.113636363636"/>
    <n v="1"/>
    <n v="20805.113636363636"/>
    <x v="0"/>
  </r>
  <r>
    <s v="G29"/>
    <x v="647"/>
    <s v="900N/400E"/>
    <m/>
    <x v="30"/>
    <x v="131"/>
    <n v="2798"/>
    <n v="20"/>
    <s v="CS"/>
    <s v="G"/>
    <n v="0"/>
    <n v="5"/>
    <n v="5"/>
    <n v="10"/>
    <n v="9"/>
    <n v="8"/>
    <n v="7"/>
    <n v="7"/>
    <n v="7"/>
    <n v="7"/>
    <n v="7"/>
    <m/>
    <m/>
    <m/>
    <n v="146"/>
    <n v="0"/>
    <s v="900N"/>
    <n v="2"/>
    <x v="0"/>
    <n v="11128.40909090909"/>
    <n v="1"/>
    <n v="11128.40909090909"/>
    <x v="0"/>
  </r>
  <r>
    <s v="V28"/>
    <x v="648"/>
    <s v="900N/400W"/>
    <m/>
    <x v="11"/>
    <x v="100"/>
    <n v="1300"/>
    <n v="20"/>
    <s v="AC"/>
    <s v="V"/>
    <n v="0"/>
    <n v="8"/>
    <n v="7"/>
    <n v="7"/>
    <n v="7"/>
    <n v="7"/>
    <n v="7"/>
    <n v="7"/>
    <n v="7"/>
    <n v="7"/>
    <n v="7"/>
    <m/>
    <m/>
    <m/>
    <n v="157"/>
    <n v="0"/>
    <s v="900N"/>
    <n v="3"/>
    <x v="0"/>
    <n v="5170.454545454545"/>
    <n v="1"/>
    <n v="5170.454545454545"/>
    <x v="0"/>
  </r>
  <r>
    <s v="G30"/>
    <x v="649"/>
    <s v="900N/500E"/>
    <m/>
    <x v="32"/>
    <x v="73"/>
    <n v="5280"/>
    <n v="20"/>
    <s v="CS"/>
    <s v="G"/>
    <n v="0"/>
    <n v="5"/>
    <n v="5"/>
    <n v="10"/>
    <n v="9"/>
    <n v="8"/>
    <n v="7"/>
    <n v="7"/>
    <n v="7"/>
    <n v="7"/>
    <n v="7"/>
    <m/>
    <m/>
    <m/>
    <n v="133"/>
    <n v="0"/>
    <s v="900N"/>
    <n v="2"/>
    <x v="0"/>
    <n v="21000"/>
    <m/>
    <n v="0"/>
    <x v="2"/>
  </r>
  <r>
    <s v="G28"/>
    <x v="650"/>
    <s v="900N/TROY RD"/>
    <m/>
    <x v="131"/>
    <x v="96"/>
    <n v="5322"/>
    <n v="20"/>
    <s v="AC"/>
    <s v="G"/>
    <n v="0"/>
    <n v="6"/>
    <n v="6"/>
    <n v="6"/>
    <n v="7"/>
    <n v="7"/>
    <n v="7"/>
    <n v="7"/>
    <n v="7"/>
    <n v="7"/>
    <n v="7"/>
    <m/>
    <m/>
    <m/>
    <n v="150"/>
    <n v="0"/>
    <s v="900N"/>
    <n v="3"/>
    <x v="2"/>
    <n v="32254.545454545456"/>
    <m/>
    <n v="0"/>
    <x v="6"/>
  </r>
  <r>
    <s v="V32"/>
    <x v="651"/>
    <s v="900N/50W"/>
    <m/>
    <x v="12"/>
    <x v="95"/>
    <n v="6310"/>
    <n v="20"/>
    <s v="CS"/>
    <s v="V"/>
    <n v="0"/>
    <n v="9"/>
    <n v="8"/>
    <n v="8"/>
    <n v="8"/>
    <n v="7"/>
    <n v="6"/>
    <n v="6"/>
    <n v="6"/>
    <n v="6"/>
    <n v="7"/>
    <m/>
    <m/>
    <m/>
    <n v="136"/>
    <n v="0"/>
    <s v="900N"/>
    <n v="3"/>
    <x v="2"/>
    <n v="38242.42424242424"/>
    <m/>
    <n v="0"/>
    <x v="2"/>
  </r>
  <r>
    <s v="J61"/>
    <x v="652"/>
    <s v="700E/500N"/>
    <m/>
    <x v="3"/>
    <x v="3"/>
    <n v="5264"/>
    <n v="20"/>
    <s v="G"/>
    <s v="J"/>
    <n v="0"/>
    <n v="6"/>
    <n v="5"/>
    <n v="5"/>
    <n v="3"/>
    <n v="3"/>
    <n v="7"/>
    <n v="7"/>
    <n v="7"/>
    <n v="7"/>
    <n v="7"/>
    <m/>
    <m/>
    <m/>
    <n v="50"/>
    <n v="0"/>
    <s v="700E"/>
    <n v="7"/>
    <x v="2"/>
    <n v="31903.030303030304"/>
    <m/>
    <n v="0"/>
    <x v="6"/>
  </r>
  <r>
    <s v=""/>
    <x v="653"/>
    <s v="EASY STREET(W)"/>
    <s v="Windhaven"/>
    <x v="141"/>
    <x v="139"/>
    <n v="1601"/>
    <n v="26"/>
    <s v="NC"/>
    <s v="SC"/>
    <n v="0"/>
    <n v="7"/>
    <n v="8"/>
    <n v="8"/>
    <n v="7"/>
    <n v="7"/>
    <n v="7"/>
    <n v="8"/>
    <n v="7"/>
    <n v="7"/>
    <n v="7"/>
    <m/>
    <m/>
    <m/>
    <n v="2144"/>
    <n v="1"/>
    <s v="EASY STREET(W)"/>
    <n v="4"/>
    <x v="9"/>
    <n v="758.04924242424238"/>
    <m/>
    <n v="0"/>
    <x v="6"/>
  </r>
  <r>
    <s v=""/>
    <x v="654"/>
    <s v="HAVENS DRIVE(S)"/>
    <s v="Windhaven"/>
    <x v="141"/>
    <x v="139"/>
    <n v="1850"/>
    <n v="26"/>
    <s v="NC"/>
    <s v="SC"/>
    <n v="0"/>
    <n v="7"/>
    <n v="7"/>
    <n v="7"/>
    <m/>
    <n v="7"/>
    <n v="6"/>
    <n v="8"/>
    <n v="7"/>
    <n v="7"/>
    <n v="7"/>
    <m/>
    <m/>
    <m/>
    <n v="2144"/>
    <n v="1"/>
    <s v="HAVENS DRIVE(S)"/>
    <n v="4"/>
    <x v="9"/>
    <n v="875.94696969696975"/>
    <m/>
    <n v="0"/>
    <x v="6"/>
  </r>
  <r>
    <s v="B25"/>
    <x v="655"/>
    <s v="900N/750E"/>
    <m/>
    <x v="22"/>
    <x v="50"/>
    <n v="4152"/>
    <n v="20"/>
    <s v="AC"/>
    <s v="B"/>
    <n v="0"/>
    <n v="7"/>
    <n v="7"/>
    <n v="7"/>
    <n v="7"/>
    <n v="7"/>
    <n v="7"/>
    <n v="7"/>
    <n v="6"/>
    <n v="7"/>
    <n v="7"/>
    <m/>
    <m/>
    <m/>
    <n v="86"/>
    <n v="0"/>
    <s v="900N"/>
    <n v="3"/>
    <x v="3"/>
    <n v="36172.727272727272"/>
    <m/>
    <n v="0"/>
    <x v="5"/>
  </r>
  <r>
    <s v="G25"/>
    <x v="656"/>
    <s v="900N/ALFORD RD"/>
    <m/>
    <x v="16"/>
    <x v="140"/>
    <n v="4020"/>
    <n v="20"/>
    <s v="CS"/>
    <s v="G"/>
    <n v="0"/>
    <n v="7"/>
    <n v="7"/>
    <n v="6"/>
    <n v="6"/>
    <n v="5"/>
    <n v="5"/>
    <n v="5"/>
    <n v="7"/>
    <n v="7"/>
    <n v="7"/>
    <m/>
    <m/>
    <m/>
    <n v="124"/>
    <n v="0"/>
    <s v="900N"/>
    <n v="5"/>
    <x v="2"/>
    <n v="24363.636363636364"/>
    <m/>
    <n v="0"/>
    <x v="4"/>
  </r>
  <r>
    <s v="G27"/>
    <x v="657"/>
    <s v="900N/BARNARD RD"/>
    <m/>
    <x v="17"/>
    <x v="19"/>
    <n v="3643"/>
    <n v="20"/>
    <s v="CS"/>
    <s v="G"/>
    <n v="0"/>
    <n v="5"/>
    <n v="5"/>
    <n v="5"/>
    <n v="9"/>
    <n v="8"/>
    <n v="7"/>
    <n v="7"/>
    <n v="7"/>
    <n v="7"/>
    <n v="7"/>
    <m/>
    <m/>
    <m/>
    <n v="197"/>
    <n v="0"/>
    <s v="900N"/>
    <n v="2"/>
    <x v="0"/>
    <n v="14489.204545454546"/>
    <m/>
    <n v="0"/>
    <x v="2"/>
  </r>
  <r>
    <s v="V31"/>
    <x v="658"/>
    <s v="900N/FORTVILLE PK"/>
    <m/>
    <x v="98"/>
    <x v="28"/>
    <n v="880"/>
    <n v="20"/>
    <s v="AC"/>
    <s v="V"/>
    <n v="0"/>
    <n v="8"/>
    <n v="8"/>
    <n v="8"/>
    <n v="8"/>
    <n v="8"/>
    <n v="8"/>
    <n v="8"/>
    <n v="8"/>
    <n v="8"/>
    <n v="8"/>
    <m/>
    <m/>
    <m/>
    <n v="210"/>
    <n v="0"/>
    <s v="900N"/>
    <n v="2"/>
    <x v="5"/>
    <n v="13333.333333333334"/>
    <m/>
    <n v="0"/>
    <x v="7"/>
  </r>
  <r>
    <s v="V33"/>
    <x v="659"/>
    <s v="900N/MERIDIAN RD"/>
    <m/>
    <x v="18"/>
    <x v="20"/>
    <n v="2644"/>
    <n v="20"/>
    <s v="DS"/>
    <s v="V"/>
    <n v="0"/>
    <n v="9"/>
    <n v="7"/>
    <n v="7"/>
    <n v="7"/>
    <n v="7"/>
    <n v="7"/>
    <n v="6"/>
    <n v="6"/>
    <n v="6"/>
    <n v="7"/>
    <m/>
    <m/>
    <m/>
    <n v="168"/>
    <n v="0"/>
    <s v="900N"/>
    <n v="3"/>
    <x v="2"/>
    <n v="16024.242424242424"/>
    <m/>
    <n v="0"/>
    <x v="2"/>
  </r>
  <r>
    <s v="B26"/>
    <x v="660"/>
    <s v="900N/NASHVILLE RD"/>
    <m/>
    <x v="45"/>
    <x v="128"/>
    <n v="5003"/>
    <n v="20"/>
    <s v="AC"/>
    <s v="B"/>
    <n v="0"/>
    <n v="7"/>
    <n v="7"/>
    <n v="7"/>
    <n v="7"/>
    <n v="6"/>
    <n v="6"/>
    <n v="5"/>
    <n v="5"/>
    <n v="7"/>
    <n v="7"/>
    <m/>
    <m/>
    <m/>
    <n v="142"/>
    <n v="0"/>
    <s v="900N"/>
    <n v="4"/>
    <x v="4"/>
    <n v="104229.16666666667"/>
    <m/>
    <n v="0"/>
    <x v="5"/>
  </r>
  <r>
    <s v="G24"/>
    <x v="661"/>
    <s v="900N/OLVEY RD"/>
    <m/>
    <x v="142"/>
    <x v="18"/>
    <n v="1312"/>
    <n v="20"/>
    <s v="CS"/>
    <s v="G"/>
    <n v="0"/>
    <n v="9"/>
    <n v="8"/>
    <n v="6"/>
    <n v="7"/>
    <n v="7"/>
    <n v="7"/>
    <n v="7"/>
    <n v="7"/>
    <n v="7"/>
    <n v="7"/>
    <m/>
    <m/>
    <m/>
    <n v="124"/>
    <n v="0"/>
    <s v="900N"/>
    <n v="3"/>
    <x v="0"/>
    <n v="5218.181818181818"/>
    <m/>
    <n v="0"/>
    <x v="2"/>
  </r>
  <r>
    <s v="B27"/>
    <x v="662"/>
    <s v="900N/SR109"/>
    <m/>
    <x v="19"/>
    <x v="8"/>
    <n v="2930"/>
    <n v="20"/>
    <s v="CS"/>
    <s v="B"/>
    <n v="0"/>
    <n v="8"/>
    <n v="7"/>
    <n v="7"/>
    <n v="7"/>
    <n v="7"/>
    <n v="7"/>
    <n v="7"/>
    <n v="6"/>
    <n v="7"/>
    <n v="7"/>
    <m/>
    <m/>
    <m/>
    <n v="139"/>
    <n v="0"/>
    <s v="900N"/>
    <n v="3"/>
    <x v="3"/>
    <n v="25526.515151515152"/>
    <m/>
    <n v="0"/>
    <x v="5"/>
  </r>
  <r>
    <s v="G26"/>
    <x v="663"/>
    <s v="900N/SR9"/>
    <m/>
    <x v="21"/>
    <x v="23"/>
    <n v="3647"/>
    <n v="20"/>
    <s v="CS"/>
    <s v="G"/>
    <n v="0"/>
    <n v="6"/>
    <n v="6"/>
    <n v="6"/>
    <n v="6"/>
    <n v="6"/>
    <n v="6"/>
    <n v="6"/>
    <n v="6"/>
    <n v="7"/>
    <n v="7"/>
    <m/>
    <m/>
    <m/>
    <n v="50"/>
    <n v="0"/>
    <s v="900N"/>
    <n v="4"/>
    <x v="3"/>
    <n v="31773.10606060606"/>
    <m/>
    <n v="0"/>
    <x v="5"/>
  </r>
  <r>
    <s v=""/>
    <x v="664"/>
    <s v="PARKWAY AVE(S)"/>
    <s v="Windhaven"/>
    <x v="141"/>
    <x v="139"/>
    <n v="520"/>
    <n v="26"/>
    <s v="NC"/>
    <s v="SC"/>
    <n v="0"/>
    <n v="8"/>
    <n v="10"/>
    <n v="9"/>
    <n v="8"/>
    <n v="8"/>
    <n v="8"/>
    <n v="8"/>
    <n v="7"/>
    <n v="7"/>
    <n v="7"/>
    <m/>
    <m/>
    <m/>
    <n v="2144"/>
    <n v="1"/>
    <s v="PARKWAY AVE(S)"/>
    <n v="3"/>
    <x v="9"/>
    <n v="246.21212121212122"/>
    <m/>
    <n v="0"/>
    <x v="6"/>
  </r>
  <r>
    <s v="J78"/>
    <x v="665"/>
    <s v="925E/US40"/>
    <m/>
    <x v="23"/>
    <x v="141"/>
    <n v="1756"/>
    <n v="20"/>
    <s v="AC"/>
    <s v="J"/>
    <n v="0"/>
    <n v="6"/>
    <n v="6"/>
    <n v="6"/>
    <n v="6"/>
    <n v="6"/>
    <n v="5"/>
    <n v="5"/>
    <n v="5"/>
    <n v="8"/>
    <n v="7"/>
    <m/>
    <m/>
    <m/>
    <n v="50"/>
    <n v="0"/>
    <s v="925E"/>
    <n v="4"/>
    <x v="0"/>
    <n v="6984.090909090909"/>
    <m/>
    <n v="0"/>
    <x v="5"/>
  </r>
  <r>
    <s v="V34"/>
    <x v="666"/>
    <s v="925N/200W"/>
    <m/>
    <x v="27"/>
    <x v="29"/>
    <n v="5245"/>
    <n v="20"/>
    <s v="CS"/>
    <s v="V"/>
    <n v="0"/>
    <n v="3"/>
    <n v="5"/>
    <n v="5"/>
    <n v="5"/>
    <n v="5"/>
    <n v="5"/>
    <n v="5"/>
    <n v="5"/>
    <n v="6"/>
    <n v="7"/>
    <m/>
    <m/>
    <m/>
    <n v="58"/>
    <n v="0"/>
    <s v="925N"/>
    <n v="5"/>
    <x v="0"/>
    <n v="20860.795454545456"/>
    <m/>
    <n v="0"/>
    <x v="2"/>
  </r>
  <r>
    <s v="V35"/>
    <x v="667"/>
    <s v="950N/125W"/>
    <m/>
    <x v="9"/>
    <x v="95"/>
    <n v="3568"/>
    <n v="20"/>
    <s v="CS"/>
    <s v="V"/>
    <n v="0"/>
    <n v="7"/>
    <n v="7"/>
    <n v="6"/>
    <n v="6"/>
    <n v="6"/>
    <n v="5"/>
    <n v="5"/>
    <n v="5"/>
    <n v="5"/>
    <n v="8"/>
    <m/>
    <m/>
    <m/>
    <n v="87"/>
    <n v="0"/>
    <s v="950N"/>
    <n v="4"/>
    <x v="0"/>
    <n v="14190.90909090909"/>
    <m/>
    <n v="0"/>
    <x v="2"/>
  </r>
  <r>
    <s v="V36"/>
    <x v="668"/>
    <s v="950N/50W"/>
    <m/>
    <x v="12"/>
    <x v="13"/>
    <n v="4002"/>
    <n v="20"/>
    <s v="CS"/>
    <s v="V"/>
    <n v="0"/>
    <n v="7"/>
    <n v="7"/>
    <n v="6"/>
    <n v="6"/>
    <n v="6"/>
    <n v="6"/>
    <n v="6"/>
    <n v="6"/>
    <n v="6"/>
    <n v="8"/>
    <m/>
    <m/>
    <m/>
    <n v="113"/>
    <n v="0"/>
    <s v="950N"/>
    <n v="4"/>
    <x v="0"/>
    <n v="15917.045454545454"/>
    <m/>
    <n v="0"/>
    <x v="2"/>
  </r>
  <r>
    <s v="B32"/>
    <x v="669"/>
    <s v="950N/775E"/>
    <m/>
    <x v="22"/>
    <x v="22"/>
    <n v="4830"/>
    <n v="20"/>
    <s v="CS"/>
    <s v="B"/>
    <n v="0"/>
    <n v="6"/>
    <n v="4"/>
    <n v="8"/>
    <n v="8"/>
    <n v="8"/>
    <n v="8"/>
    <n v="7"/>
    <n v="6"/>
    <n v="6"/>
    <n v="8"/>
    <m/>
    <m/>
    <m/>
    <n v="17"/>
    <n v="0"/>
    <s v="950N"/>
    <n v="2"/>
    <x v="0"/>
    <n v="19210.227272727272"/>
    <m/>
    <n v="0"/>
    <x v="2"/>
  </r>
  <r>
    <m/>
    <x v="670"/>
    <s v="AARON Court"/>
    <s v="Buck Creek Meadows"/>
    <x v="33"/>
    <x v="70"/>
    <n v="103"/>
    <n v="40"/>
    <s v="AC"/>
    <s v="B"/>
    <n v="0"/>
    <n v="6"/>
    <n v="5"/>
    <n v="9"/>
    <n v="9"/>
    <n v="8"/>
    <n v="7"/>
    <n v="6"/>
    <n v="7"/>
    <n v="7"/>
    <n v="7"/>
    <m/>
    <m/>
    <m/>
    <n v="50"/>
    <m/>
    <s v="AARON Court"/>
    <n v="2"/>
    <x v="7"/>
    <n v="487.68939393939394"/>
    <m/>
    <n v="0"/>
    <x v="4"/>
  </r>
  <r>
    <m/>
    <x v="671"/>
    <s v="ACCESS DRIVE"/>
    <s v="Apple's Maxwell"/>
    <x v="31"/>
    <x v="33"/>
    <n v="271"/>
    <m/>
    <s v="NC"/>
    <s v="C"/>
    <n v="0"/>
    <m/>
    <n v="6"/>
    <n v="6"/>
    <n v="6"/>
    <n v="6"/>
    <n v="6"/>
    <n v="6"/>
    <n v="6"/>
    <n v="6"/>
    <n v="6"/>
    <m/>
    <m/>
    <m/>
    <n v="50"/>
    <n v="0"/>
    <m/>
    <n v="4"/>
    <x v="7"/>
    <n v="1283.1439393939395"/>
    <m/>
    <n v="0"/>
    <x v="4"/>
  </r>
  <r>
    <s v=""/>
    <x v="672"/>
    <s v="ACCESS RD/N OF 70"/>
    <m/>
    <x v="43"/>
    <x v="25"/>
    <n v="2006"/>
    <n v="20"/>
    <s v="AC"/>
    <s v="BC"/>
    <n v="0"/>
    <n v="9"/>
    <n v="8"/>
    <n v="8"/>
    <n v="8"/>
    <n v="8"/>
    <n v="8"/>
    <n v="7"/>
    <n v="7"/>
    <n v="7"/>
    <n v="7"/>
    <m/>
    <m/>
    <m/>
    <n v="50"/>
    <n v="0"/>
    <s v="ACCESS RD/N OF 70"/>
    <n v="2"/>
    <x v="0"/>
    <n v="7978.409090909091"/>
    <m/>
    <n v="0"/>
    <x v="4"/>
  </r>
  <r>
    <s v=""/>
    <x v="673"/>
    <s v="ACORN COURT (N)"/>
    <s v="Twin Oaks"/>
    <x v="73"/>
    <x v="142"/>
    <n v="1109"/>
    <n v="26"/>
    <s v="NC"/>
    <s v="C"/>
    <n v="0"/>
    <n v="7"/>
    <n v="8"/>
    <n v="8"/>
    <n v="8"/>
    <n v="9"/>
    <n v="8"/>
    <n v="8"/>
    <n v="7"/>
    <n v="7"/>
    <n v="7"/>
    <m/>
    <m/>
    <m/>
    <n v="50"/>
    <n v="0"/>
    <s v="ACORN COURT (N)"/>
    <n v="1"/>
    <x v="5"/>
    <n v="16803.030303030304"/>
    <n v="1"/>
    <n v="16803.030303030304"/>
    <x v="3"/>
  </r>
  <r>
    <s v=""/>
    <x v="674"/>
    <s v="PARKWAY COURT"/>
    <s v="Windhaven"/>
    <x v="141"/>
    <x v="139"/>
    <n v="517.4"/>
    <m/>
    <s v="NC"/>
    <s v="SC"/>
    <n v="0"/>
    <m/>
    <n v="7"/>
    <n v="7"/>
    <n v="7"/>
    <n v="8"/>
    <n v="8"/>
    <n v="8"/>
    <n v="7"/>
    <n v="7"/>
    <n v="7"/>
    <m/>
    <m/>
    <m/>
    <n v="2144"/>
    <n v="1"/>
    <m/>
    <n v="3"/>
    <x v="9"/>
    <n v="244.98106060606059"/>
    <m/>
    <n v="0"/>
    <x v="6"/>
  </r>
  <r>
    <s v="G44"/>
    <x v="675"/>
    <s v="ALFORD RD./1000N"/>
    <m/>
    <x v="60"/>
    <x v="88"/>
    <n v="5720"/>
    <n v="20"/>
    <s v="DS"/>
    <s v="G"/>
    <n v="0"/>
    <n v="7"/>
    <n v="7"/>
    <n v="6"/>
    <n v="6"/>
    <n v="6"/>
    <n v="6"/>
    <n v="6"/>
    <n v="6"/>
    <n v="6"/>
    <n v="7"/>
    <m/>
    <m/>
    <m/>
    <n v="50"/>
    <n v="0"/>
    <s v="ALFORD RD./1000N"/>
    <n v="4"/>
    <x v="2"/>
    <n v="34666.666666666664"/>
    <m/>
    <n v="0"/>
    <x v="2"/>
  </r>
  <r>
    <s v="G45"/>
    <x v="676"/>
    <s v="ALFORD RD./1100N"/>
    <m/>
    <x v="105"/>
    <x v="61"/>
    <n v="5340"/>
    <n v="20"/>
    <s v="DS"/>
    <s v="G"/>
    <n v="0"/>
    <n v="7"/>
    <n v="7"/>
    <n v="6"/>
    <n v="6"/>
    <n v="6"/>
    <n v="6"/>
    <n v="6"/>
    <n v="5"/>
    <n v="5"/>
    <n v="7"/>
    <m/>
    <m/>
    <m/>
    <n v="50"/>
    <n v="0"/>
    <s v="ALFORD RD./1100N"/>
    <n v="4"/>
    <x v="2"/>
    <n v="32363.636363636364"/>
    <m/>
    <n v="0"/>
    <x v="2"/>
  </r>
  <r>
    <s v=""/>
    <x v="677"/>
    <s v="ALFORD RD./900N"/>
    <m/>
    <x v="5"/>
    <x v="25"/>
    <n v="1180"/>
    <n v="20"/>
    <s v="G"/>
    <s v="G"/>
    <n v="0"/>
    <n v="7"/>
    <n v="7"/>
    <n v="7"/>
    <n v="7"/>
    <n v="7"/>
    <n v="7"/>
    <n v="7"/>
    <n v="6"/>
    <n v="6"/>
    <n v="6"/>
    <m/>
    <m/>
    <m/>
    <n v="50"/>
    <n v="0"/>
    <s v="ALFORD RD./900N"/>
    <n v="3"/>
    <x v="0"/>
    <n v="4693.181818181818"/>
    <m/>
    <n v="0"/>
    <x v="0"/>
  </r>
  <r>
    <s v=""/>
    <x v="678"/>
    <s v="ALLEN DRIVE"/>
    <s v="Sugar Creek View"/>
    <x v="143"/>
    <x v="143"/>
    <n v="950"/>
    <n v="26"/>
    <s v="NC"/>
    <s v="SC"/>
    <n v="0"/>
    <n v="7"/>
    <n v="7"/>
    <n v="7"/>
    <n v="7"/>
    <n v="7"/>
    <n v="7"/>
    <n v="7"/>
    <n v="7"/>
    <n v="7"/>
    <n v="7"/>
    <m/>
    <m/>
    <m/>
    <n v="123"/>
    <n v="0"/>
    <s v="ALLEN DRIVE"/>
    <n v="3"/>
    <x v="5"/>
    <n v="14393.939393939394"/>
    <m/>
    <n v="0"/>
    <x v="5"/>
  </r>
  <r>
    <s v=""/>
    <x v="679"/>
    <s v="ALLEY(CHAR)/1050E"/>
    <m/>
    <x v="144"/>
    <x v="86"/>
    <n v="337"/>
    <n v="20"/>
    <s v="G"/>
    <s v="J"/>
    <n v="0"/>
    <n v="6"/>
    <n v="6"/>
    <n v="6"/>
    <n v="6"/>
    <n v="6"/>
    <n v="7"/>
    <n v="7"/>
    <n v="7"/>
    <n v="7"/>
    <n v="6"/>
    <m/>
    <m/>
    <m/>
    <n v="50"/>
    <n v="0"/>
    <s v="ALLEY(CHAR)/1050E"/>
    <n v="4"/>
    <x v="8"/>
    <n v="893.56060606060601"/>
    <m/>
    <n v="0"/>
    <x v="4"/>
  </r>
  <r>
    <s v=""/>
    <x v="680"/>
    <s v="ALLEY(CHAR)/CAR RD"/>
    <m/>
    <x v="145"/>
    <x v="144"/>
    <n v="254"/>
    <n v="20"/>
    <s v="G"/>
    <s v="J"/>
    <n v="0"/>
    <n v="6"/>
    <n v="6"/>
    <n v="6"/>
    <n v="6"/>
    <n v="6"/>
    <n v="7"/>
    <n v="7"/>
    <n v="6"/>
    <n v="6"/>
    <n v="7"/>
    <m/>
    <m/>
    <m/>
    <n v="50"/>
    <n v="0"/>
    <s v="ALLEY(CHAR)/CAR RD"/>
    <n v="4"/>
    <x v="8"/>
    <n v="673.4848484848485"/>
    <m/>
    <n v="0"/>
    <x v="4"/>
  </r>
  <r>
    <s v=""/>
    <x v="681"/>
    <s v="ALLEY(CHAR)/CH PKG"/>
    <m/>
    <x v="133"/>
    <x v="145"/>
    <n v="268"/>
    <n v="20"/>
    <s v="G"/>
    <s v="J"/>
    <n v="0"/>
    <n v="6"/>
    <n v="6"/>
    <n v="6"/>
    <n v="6"/>
    <n v="6"/>
    <n v="7"/>
    <n v="7"/>
    <n v="7"/>
    <n v="7"/>
    <n v="7"/>
    <m/>
    <m/>
    <m/>
    <n v="50"/>
    <n v="0"/>
    <s v="ALLEY(CHAR)/CH PKG"/>
    <n v="4"/>
    <x v="8"/>
    <n v="710.60606060606062"/>
    <m/>
    <n v="0"/>
    <x v="4"/>
  </r>
  <r>
    <s v=""/>
    <x v="682"/>
    <s v="ALLEY(CHAR)/EAST_A"/>
    <m/>
    <x v="133"/>
    <x v="134"/>
    <n v="360"/>
    <n v="20"/>
    <s v="G"/>
    <s v="J"/>
    <n v="0"/>
    <n v="6"/>
    <n v="6"/>
    <n v="6"/>
    <n v="9"/>
    <n v="8"/>
    <n v="7"/>
    <n v="7"/>
    <n v="7"/>
    <n v="7"/>
    <n v="7"/>
    <m/>
    <m/>
    <m/>
    <n v="50"/>
    <n v="0"/>
    <s v="ALLEY(CHAR)/EAST_A"/>
    <n v="2"/>
    <x v="4"/>
    <n v="7500"/>
    <m/>
    <n v="0"/>
    <x v="0"/>
  </r>
  <r>
    <s v=""/>
    <x v="683"/>
    <s v="ALLEY(CHAR)/EAST_B"/>
    <m/>
    <x v="133"/>
    <x v="134"/>
    <n v="360"/>
    <n v="20"/>
    <s v="G"/>
    <s v="J"/>
    <n v="0"/>
    <n v="6"/>
    <n v="6"/>
    <n v="6"/>
    <n v="9"/>
    <n v="8"/>
    <n v="7"/>
    <n v="7"/>
    <n v="7"/>
    <n v="7"/>
    <n v="7"/>
    <m/>
    <m/>
    <m/>
    <n v="50"/>
    <n v="0"/>
    <s v="ALLEY(CHAR)/EAST_B"/>
    <n v="2"/>
    <x v="4"/>
    <n v="7500"/>
    <m/>
    <n v="0"/>
    <x v="0"/>
  </r>
  <r>
    <s v=""/>
    <x v="684"/>
    <s v="ALLEY(CHAR)/EAST_C"/>
    <m/>
    <x v="146"/>
    <x v="134"/>
    <n v="397"/>
    <n v="20"/>
    <s v="G"/>
    <s v="J"/>
    <n v="0"/>
    <n v="6"/>
    <n v="6"/>
    <n v="6"/>
    <n v="9"/>
    <n v="8"/>
    <n v="7"/>
    <n v="7"/>
    <n v="7"/>
    <n v="7"/>
    <n v="7"/>
    <m/>
    <m/>
    <m/>
    <n v="50"/>
    <n v="0"/>
    <s v="ALLEY(CHAR)/EAST_C"/>
    <n v="2"/>
    <x v="4"/>
    <n v="8270.8333333333339"/>
    <m/>
    <n v="0"/>
    <x v="0"/>
  </r>
  <r>
    <s v=""/>
    <x v="685"/>
    <s v="ALLEY(CHAR)/EAST_D"/>
    <m/>
    <x v="133"/>
    <x v="134"/>
    <n v="360"/>
    <n v="20"/>
    <s v="G"/>
    <s v="J"/>
    <n v="0"/>
    <n v="6"/>
    <n v="5"/>
    <n v="5"/>
    <n v="9"/>
    <n v="8"/>
    <n v="7"/>
    <n v="7"/>
    <n v="7"/>
    <n v="7"/>
    <n v="7"/>
    <m/>
    <m/>
    <m/>
    <n v="50"/>
    <n v="0"/>
    <s v="ALLEY(CHAR)/EAST_D"/>
    <n v="2"/>
    <x v="4"/>
    <n v="7500"/>
    <m/>
    <n v="0"/>
    <x v="0"/>
  </r>
  <r>
    <s v=""/>
    <x v="686"/>
    <s v="ALLEY(CHAR)/EASTST"/>
    <m/>
    <x v="133"/>
    <x v="134"/>
    <n v="360"/>
    <n v="20"/>
    <s v="G"/>
    <s v="J"/>
    <n v="0"/>
    <n v="6"/>
    <n v="4"/>
    <n v="4"/>
    <n v="9"/>
    <n v="8"/>
    <n v="7"/>
    <n v="7"/>
    <n v="7"/>
    <n v="7"/>
    <n v="7"/>
    <m/>
    <m/>
    <m/>
    <n v="50"/>
    <n v="0"/>
    <s v="ALLEY(CHAR)/EASTST"/>
    <n v="2"/>
    <x v="4"/>
    <n v="7500"/>
    <m/>
    <n v="0"/>
    <x v="0"/>
  </r>
  <r>
    <s v=""/>
    <x v="687"/>
    <s v="ALLEY(EDEN)/EDENRD"/>
    <m/>
    <x v="147"/>
    <x v="19"/>
    <n v="284"/>
    <n v="20"/>
    <s v="G"/>
    <s v="G"/>
    <n v="0"/>
    <n v="7"/>
    <n v="6"/>
    <n v="8"/>
    <n v="7"/>
    <n v="7"/>
    <n v="6"/>
    <n v="6"/>
    <n v="6"/>
    <n v="6"/>
    <n v="6"/>
    <m/>
    <m/>
    <m/>
    <n v="50"/>
    <n v="0"/>
    <s v="ALLEY(EDEN)/EDENRD"/>
    <n v="3"/>
    <x v="0"/>
    <n v="1129.5454545454545"/>
    <m/>
    <n v="0"/>
    <x v="0"/>
  </r>
  <r>
    <s v=""/>
    <x v="688"/>
    <s v="ALLEY(FIN)/MAIN ST"/>
    <m/>
    <x v="148"/>
    <x v="146"/>
    <n v="227"/>
    <n v="20"/>
    <s v="G"/>
    <s v="BW"/>
    <n v="0"/>
    <n v="7"/>
    <n v="7"/>
    <n v="7"/>
    <n v="7"/>
    <n v="7"/>
    <n v="7"/>
    <n v="6"/>
    <n v="6"/>
    <n v="6"/>
    <n v="6"/>
    <m/>
    <m/>
    <m/>
    <n v="50"/>
    <n v="0"/>
    <s v="ALLEY(FIN)/MAIN ST"/>
    <n v="3"/>
    <x v="0"/>
    <n v="902.84090909090912"/>
    <m/>
    <n v="0"/>
    <x v="0"/>
  </r>
  <r>
    <s v=""/>
    <x v="689"/>
    <s v="ALLEY(MAX)/EAST ST"/>
    <m/>
    <x v="21"/>
    <x v="134"/>
    <n v="604"/>
    <n v="20"/>
    <s v="G"/>
    <s v="C"/>
    <n v="0"/>
    <n v="7"/>
    <n v="7"/>
    <n v="7"/>
    <n v="7"/>
    <n v="7"/>
    <n v="7"/>
    <n v="7"/>
    <n v="6"/>
    <n v="6"/>
    <n v="6"/>
    <m/>
    <m/>
    <m/>
    <n v="50"/>
    <n v="0"/>
    <s v="ALLEY(MAX)/EAST ST"/>
    <n v="3"/>
    <x v="0"/>
    <n v="2402.2727272727275"/>
    <m/>
    <n v="0"/>
    <x v="0"/>
  </r>
  <r>
    <s v=""/>
    <x v="690"/>
    <s v="ALLEY(MAX)/JACKSON"/>
    <m/>
    <x v="21"/>
    <x v="147"/>
    <n v="416"/>
    <n v="20"/>
    <s v="G"/>
    <s v="C"/>
    <n v="0"/>
    <n v="7"/>
    <n v="6"/>
    <n v="6"/>
    <n v="8"/>
    <n v="8"/>
    <n v="7"/>
    <n v="7"/>
    <n v="6"/>
    <n v="6"/>
    <n v="6"/>
    <m/>
    <m/>
    <m/>
    <n v="50"/>
    <n v="0"/>
    <s v="ALLEY(MAX)/JACKSON"/>
    <n v="2"/>
    <x v="4"/>
    <n v="8666.6666666666661"/>
    <m/>
    <n v="0"/>
    <x v="0"/>
  </r>
  <r>
    <s v=""/>
    <x v="691"/>
    <s v="ALLEY(MAX)/JACKtoE"/>
    <m/>
    <x v="149"/>
    <x v="25"/>
    <n v="244"/>
    <n v="20"/>
    <s v="G"/>
    <s v="C"/>
    <n v="0"/>
    <n v="7"/>
    <n v="6"/>
    <n v="6"/>
    <n v="8"/>
    <n v="8"/>
    <n v="7"/>
    <n v="7"/>
    <n v="6"/>
    <n v="6"/>
    <n v="6"/>
    <m/>
    <m/>
    <m/>
    <n v="50"/>
    <n v="0"/>
    <s v="ALLEY(MAX)/JACKtoE"/>
    <n v="2"/>
    <x v="4"/>
    <n v="5083.333333333333"/>
    <m/>
    <n v="0"/>
    <x v="0"/>
  </r>
  <r>
    <m/>
    <x v="692"/>
    <s v="ALLEY(MAX)/JEFF ST"/>
    <s v=" "/>
    <x v="150"/>
    <x v="148"/>
    <n v="384"/>
    <n v="20"/>
    <s v="G"/>
    <s v="C"/>
    <n v="0"/>
    <n v="7"/>
    <n v="6"/>
    <n v="6"/>
    <n v="8"/>
    <n v="8"/>
    <n v="7"/>
    <n v="7"/>
    <n v="6"/>
    <n v="6"/>
    <n v="6"/>
    <m/>
    <m/>
    <m/>
    <n v="50"/>
    <n v="0"/>
    <s v="ALLEY(MAX)/JEFF ST"/>
    <n v="2"/>
    <x v="4"/>
    <n v="8000"/>
    <m/>
    <n v="0"/>
    <x v="0"/>
  </r>
  <r>
    <s v=""/>
    <x v="693"/>
    <s v="ALLEY(MAX)/SR9toEN"/>
    <m/>
    <x v="21"/>
    <x v="25"/>
    <n v="330"/>
    <n v="20"/>
    <s v="G"/>
    <s v="C"/>
    <n v="0"/>
    <n v="7"/>
    <n v="6"/>
    <n v="6"/>
    <n v="6"/>
    <n v="8"/>
    <n v="7"/>
    <n v="7"/>
    <n v="6"/>
    <n v="6"/>
    <n v="6"/>
    <m/>
    <m/>
    <m/>
    <n v="50"/>
    <n v="0"/>
    <s v="ALLEY(MAX)/SR9toEN"/>
    <n v="2"/>
    <x v="4"/>
    <n v="6875"/>
    <m/>
    <n v="0"/>
    <x v="0"/>
  </r>
  <r>
    <s v=""/>
    <x v="694"/>
    <s v="ALLEY(MOH)/NEW ST"/>
    <m/>
    <x v="27"/>
    <x v="149"/>
    <n v="294"/>
    <n v="20"/>
    <s v="G"/>
    <s v="C"/>
    <n v="0"/>
    <n v="6"/>
    <n v="6"/>
    <n v="6"/>
    <n v="6"/>
    <n v="9"/>
    <n v="8"/>
    <n v="8"/>
    <n v="8"/>
    <n v="7"/>
    <n v="7"/>
    <m/>
    <m/>
    <m/>
    <n v="50"/>
    <n v="0"/>
    <s v="ALLEY(MOH)/NEW ST"/>
    <n v="1"/>
    <x v="8"/>
    <n v="779.5454545454545"/>
    <m/>
    <n v="0"/>
    <x v="4"/>
  </r>
  <r>
    <s v=""/>
    <x v="695"/>
    <s v="ALLEY(PHILY)/PEARL"/>
    <m/>
    <x v="151"/>
    <x v="150"/>
    <n v="153"/>
    <n v="20"/>
    <s v="G"/>
    <s v="SC"/>
    <n v="0"/>
    <n v="7"/>
    <n v="6"/>
    <n v="6"/>
    <n v="6"/>
    <n v="6"/>
    <n v="6"/>
    <n v="6"/>
    <n v="6"/>
    <n v="7"/>
    <n v="8"/>
    <m/>
    <m/>
    <m/>
    <n v="50"/>
    <n v="0"/>
    <s v="ALLEY(PHILY)/PEARL"/>
    <n v="4"/>
    <x v="3"/>
    <n v="1332.9545454545455"/>
    <m/>
    <n v="0"/>
    <x v="0"/>
  </r>
  <r>
    <s v=""/>
    <x v="696"/>
    <s v="ALLEY(PHILY)/US40"/>
    <m/>
    <x v="23"/>
    <x v="151"/>
    <n v="465"/>
    <n v="20"/>
    <s v="G"/>
    <s v="SC"/>
    <n v="0"/>
    <n v="7"/>
    <n v="6"/>
    <n v="6"/>
    <n v="6"/>
    <n v="6"/>
    <n v="6"/>
    <n v="6"/>
    <n v="6"/>
    <n v="7"/>
    <n v="7"/>
    <m/>
    <m/>
    <m/>
    <n v="50"/>
    <n v="0"/>
    <s v="ALLEY(PHILY)/US40"/>
    <n v="4"/>
    <x v="3"/>
    <n v="4051.1363636363635"/>
    <m/>
    <n v="0"/>
    <x v="0"/>
  </r>
  <r>
    <s v=""/>
    <x v="697"/>
    <s v="ALLEY(PHILY)/US40A"/>
    <m/>
    <x v="23"/>
    <x v="151"/>
    <n v="459"/>
    <n v="20"/>
    <s v="G"/>
    <s v="SC"/>
    <n v="0"/>
    <n v="7"/>
    <n v="6"/>
    <n v="6"/>
    <n v="6"/>
    <n v="6"/>
    <n v="6"/>
    <n v="6"/>
    <n v="6"/>
    <n v="7"/>
    <n v="7"/>
    <m/>
    <m/>
    <m/>
    <n v="50"/>
    <n v="0"/>
    <s v="ALLEY(PHILY)/US40A"/>
    <n v="4"/>
    <x v="3"/>
    <n v="3998.8636363636365"/>
    <m/>
    <n v="0"/>
    <x v="0"/>
  </r>
  <r>
    <s v=""/>
    <x v="698"/>
    <s v="AMANDA COURT"/>
    <s v="Buck Creek Meadows"/>
    <x v="33"/>
    <x v="70"/>
    <n v="88.69"/>
    <m/>
    <s v="NC"/>
    <s v="BC"/>
    <n v="0"/>
    <m/>
    <n v="7"/>
    <n v="7"/>
    <n v="7"/>
    <n v="7"/>
    <n v="7"/>
    <n v="5"/>
    <n v="7"/>
    <n v="7"/>
    <n v="7"/>
    <m/>
    <m/>
    <m/>
    <n v="50"/>
    <n v="0"/>
    <s v="AMANDA COURT"/>
    <n v="3"/>
    <x v="7"/>
    <n v="419.93371212121212"/>
    <m/>
    <n v="0"/>
    <x v="4"/>
  </r>
  <r>
    <s v=""/>
    <x v="699"/>
    <s v="AMELIA DRIVE"/>
    <s v="Schildmeier Woods"/>
    <x v="102"/>
    <x v="152"/>
    <n v="1162"/>
    <n v="26"/>
    <s v="NC"/>
    <s v="SC"/>
    <n v="0"/>
    <n v="6"/>
    <n v="7"/>
    <n v="10"/>
    <n v="9"/>
    <n v="8"/>
    <n v="7"/>
    <n v="7"/>
    <n v="8"/>
    <n v="7"/>
    <n v="6"/>
    <m/>
    <m/>
    <m/>
    <n v="139"/>
    <n v="0"/>
    <s v="AMELIA DRIVE"/>
    <n v="2"/>
    <x v="7"/>
    <n v="5501.893939393939"/>
    <m/>
    <n v="0"/>
    <x v="4"/>
  </r>
  <r>
    <s v=""/>
    <x v="700"/>
    <s v="WINDHAVEN COURT"/>
    <s v="Windhaven"/>
    <x v="141"/>
    <x v="139"/>
    <n v="686"/>
    <n v="26"/>
    <s v="NC"/>
    <s v="SC"/>
    <n v="0"/>
    <n v="8"/>
    <n v="8"/>
    <n v="8"/>
    <n v="8"/>
    <n v="8"/>
    <n v="7"/>
    <n v="7"/>
    <n v="7"/>
    <n v="7"/>
    <n v="7"/>
    <m/>
    <m/>
    <m/>
    <n v="2144"/>
    <n v="1"/>
    <s v="WINDHAVEN COURT"/>
    <n v="3"/>
    <x v="9"/>
    <n v="324.81060606060606"/>
    <m/>
    <n v="0"/>
    <x v="6"/>
  </r>
  <r>
    <s v=""/>
    <x v="701"/>
    <s v="ANTON WAY"/>
    <s v="Schildmeier Woods"/>
    <x v="102"/>
    <x v="152"/>
    <n v="2746"/>
    <n v="26"/>
    <s v="NC"/>
    <s v="SC"/>
    <n v="0"/>
    <n v="7"/>
    <n v="7"/>
    <n v="10"/>
    <n v="9"/>
    <n v="8"/>
    <n v="7"/>
    <n v="7"/>
    <n v="8"/>
    <n v="7"/>
    <n v="6"/>
    <m/>
    <m/>
    <m/>
    <n v="410"/>
    <n v="0"/>
    <s v="ANTON WAY"/>
    <n v="2"/>
    <x v="7"/>
    <n v="13001.89393939394"/>
    <m/>
    <n v="0"/>
    <x v="4"/>
  </r>
  <r>
    <s v=""/>
    <x v="702"/>
    <s v="APPLE CAVE COURT"/>
    <s v="Cornerstone Village"/>
    <x v="152"/>
    <x v="152"/>
    <n v="280"/>
    <n v="26"/>
    <s v="NC"/>
    <s v="SC"/>
    <n v="0"/>
    <n v="8"/>
    <n v="8"/>
    <n v="8"/>
    <n v="8"/>
    <n v="8"/>
    <n v="7"/>
    <n v="7"/>
    <n v="7"/>
    <n v="7"/>
    <n v="7"/>
    <m/>
    <m/>
    <m/>
    <n v="50"/>
    <n v="0"/>
    <s v="APPLE CAVE COURT"/>
    <n v="2"/>
    <x v="7"/>
    <n v="1325.7575757575758"/>
    <m/>
    <n v="0"/>
    <x v="4"/>
  </r>
  <r>
    <m/>
    <x v="703"/>
    <s v="APPLE ST/200N"/>
    <m/>
    <x v="153"/>
    <x v="153"/>
    <n v="2420"/>
    <n v="20"/>
    <s v="AC"/>
    <s v="C"/>
    <n v="0"/>
    <m/>
    <m/>
    <m/>
    <m/>
    <m/>
    <n v="6"/>
    <m/>
    <s v="city"/>
    <m/>
    <m/>
    <m/>
    <m/>
    <m/>
    <n v="50"/>
    <n v="0"/>
    <s v="APPLE ST/200N"/>
    <n v="10"/>
    <x v="4"/>
    <n v="50416.666666666664"/>
    <m/>
    <n v="0"/>
    <x v="1"/>
  </r>
  <r>
    <s v=""/>
    <x v="704"/>
    <s v="APPLEGATE DRIVE(S)"/>
    <s v="Countryside"/>
    <x v="15"/>
    <x v="154"/>
    <n v="3053"/>
    <n v="26"/>
    <s v="NC"/>
    <s v="SC"/>
    <n v="0"/>
    <n v="7"/>
    <n v="8"/>
    <n v="7"/>
    <n v="7"/>
    <n v="7"/>
    <n v="7"/>
    <n v="7"/>
    <n v="7"/>
    <n v="7"/>
    <n v="7"/>
    <m/>
    <m/>
    <m/>
    <n v="433"/>
    <n v="0"/>
    <s v="APPLEGATE DRIVE(S)"/>
    <n v="3"/>
    <x v="9"/>
    <n v="1445.5492424242425"/>
    <m/>
    <n v="0"/>
    <x v="3"/>
  </r>
  <r>
    <m/>
    <x v="705"/>
    <s v="ARBOR LANE"/>
    <s v="Hilton Business Park"/>
    <x v="154"/>
    <x v="155"/>
    <n v="441"/>
    <n v="26"/>
    <s v="NC"/>
    <s v="SC"/>
    <n v="0"/>
    <n v="8"/>
    <n v="8"/>
    <n v="8"/>
    <n v="8"/>
    <n v="8"/>
    <n v="8"/>
    <n v="7"/>
    <n v="7"/>
    <n v="7"/>
    <n v="7"/>
    <m/>
    <m/>
    <m/>
    <n v="50"/>
    <n v="0"/>
    <s v="ARBOR LANE"/>
    <n v="2"/>
    <x v="7"/>
    <n v="2088.068181818182"/>
    <m/>
    <n v="0"/>
    <x v="4"/>
  </r>
  <r>
    <s v=""/>
    <x v="706"/>
    <s v="ARROWHEAD COURT"/>
    <s v="Arrowhead"/>
    <x v="155"/>
    <x v="156"/>
    <n v="1445"/>
    <n v="26"/>
    <s v="NC"/>
    <s v="C"/>
    <n v="0"/>
    <n v="8"/>
    <n v="9"/>
    <n v="9"/>
    <n v="8"/>
    <n v="8"/>
    <n v="7"/>
    <n v="7"/>
    <n v="6"/>
    <n v="7"/>
    <n v="7"/>
    <m/>
    <m/>
    <m/>
    <n v="50"/>
    <n v="0"/>
    <s v="ARROWHEAD COURT"/>
    <n v="2"/>
    <x v="7"/>
    <n v="6841.856060606061"/>
    <m/>
    <n v="0"/>
    <x v="4"/>
  </r>
  <r>
    <s v=""/>
    <x v="707"/>
    <s v="ARROWHEAD DRIVE"/>
    <s v="Arrowhead"/>
    <x v="155"/>
    <x v="156"/>
    <n v="2621"/>
    <n v="26"/>
    <s v="NC"/>
    <s v="C"/>
    <n v="0"/>
    <n v="6"/>
    <n v="6"/>
    <n v="10"/>
    <n v="9"/>
    <n v="9"/>
    <n v="8"/>
    <n v="7"/>
    <n v="6"/>
    <n v="7"/>
    <n v="7"/>
    <m/>
    <m/>
    <m/>
    <n v="50"/>
    <n v="0"/>
    <s v="ARROWHEAD DRIVE"/>
    <n v="1"/>
    <x v="7"/>
    <n v="12410.037878787878"/>
    <m/>
    <n v="0"/>
    <x v="4"/>
  </r>
  <r>
    <s v=""/>
    <x v="708"/>
    <s v="WINDSONG COURT"/>
    <s v="Windhaven"/>
    <x v="141"/>
    <x v="139"/>
    <n v="528"/>
    <n v="26"/>
    <s v="NC"/>
    <s v="SC"/>
    <n v="0"/>
    <n v="8"/>
    <n v="8"/>
    <n v="8"/>
    <n v="8"/>
    <n v="8"/>
    <n v="7"/>
    <n v="7"/>
    <n v="7"/>
    <n v="7"/>
    <n v="7"/>
    <m/>
    <m/>
    <m/>
    <n v="2144"/>
    <n v="1"/>
    <s v="WINDSONG COURT"/>
    <n v="3"/>
    <x v="9"/>
    <n v="250"/>
    <m/>
    <n v="0"/>
    <x v="6"/>
  </r>
  <r>
    <s v=""/>
    <x v="709"/>
    <s v="BLACKBERRY CT(S)"/>
    <s v="Stinemyer Crossing"/>
    <x v="156"/>
    <x v="157"/>
    <n v="1795"/>
    <n v="26"/>
    <s v="NC"/>
    <s v="SC"/>
    <n v="0"/>
    <n v="7"/>
    <n v="8"/>
    <n v="8"/>
    <n v="8"/>
    <n v="8"/>
    <n v="8"/>
    <n v="8"/>
    <n v="7"/>
    <n v="7"/>
    <n v="7"/>
    <m/>
    <m/>
    <m/>
    <n v="306"/>
    <n v="0"/>
    <s v="BLACKBERRY CT(S)"/>
    <n v="2"/>
    <x v="9"/>
    <n v="15557"/>
    <m/>
    <n v="0"/>
    <x v="6"/>
  </r>
  <r>
    <s v=""/>
    <x v="710"/>
    <s v="BALFER DRIVE EAST"/>
    <s v="East Gate"/>
    <x v="157"/>
    <x v="0"/>
    <n v="1267"/>
    <n v="26"/>
    <s v="NC"/>
    <s v="V"/>
    <n v="0"/>
    <n v="7"/>
    <n v="6"/>
    <n v="6"/>
    <n v="6"/>
    <n v="6"/>
    <n v="9"/>
    <n v="8"/>
    <n v="7"/>
    <n v="7"/>
    <n v="7"/>
    <m/>
    <m/>
    <m/>
    <n v="50"/>
    <n v="0"/>
    <s v="BALFER DRIVE EAST"/>
    <n v="4"/>
    <x v="0"/>
    <n v="5039.204545454545"/>
    <m/>
    <n v="0"/>
    <x v="3"/>
  </r>
  <r>
    <s v=""/>
    <x v="711"/>
    <s v="BALFER DRIVE WEST"/>
    <s v="East Gate"/>
    <x v="157"/>
    <x v="0"/>
    <n v="1267"/>
    <n v="26"/>
    <s v="NC"/>
    <s v="V"/>
    <n v="0"/>
    <n v="7"/>
    <n v="6"/>
    <n v="6"/>
    <n v="6"/>
    <n v="6"/>
    <n v="9"/>
    <n v="8"/>
    <n v="7"/>
    <n v="7"/>
    <n v="7"/>
    <m/>
    <m/>
    <m/>
    <n v="50"/>
    <n v="0"/>
    <s v="BALFER DRIVE WEST"/>
    <n v="4"/>
    <x v="0"/>
    <n v="5039.204545454545"/>
    <m/>
    <n v="0"/>
    <x v="3"/>
  </r>
  <r>
    <s v=""/>
    <x v="712"/>
    <s v="BANTON CIRCLE"/>
    <s v="Fox Cove"/>
    <x v="158"/>
    <x v="158"/>
    <n v="634"/>
    <n v="26"/>
    <s v="NC"/>
    <s v="SC"/>
    <n v="0"/>
    <n v="7"/>
    <n v="7"/>
    <n v="7"/>
    <n v="7"/>
    <n v="7"/>
    <n v="8"/>
    <n v="8"/>
    <n v="8"/>
    <n v="7"/>
    <n v="7"/>
    <m/>
    <m/>
    <m/>
    <n v="667"/>
    <n v="0.5"/>
    <s v="BANTON CIRCLE"/>
    <n v="3.5"/>
    <x v="9"/>
    <n v="5072"/>
    <m/>
    <n v="0"/>
    <x v="3"/>
  </r>
  <r>
    <s v="G50"/>
    <x v="713"/>
    <s v="BARNARD RD./1000N"/>
    <m/>
    <x v="5"/>
    <x v="61"/>
    <n v="6593"/>
    <n v="20"/>
    <s v="CS"/>
    <s v="G"/>
    <n v="0"/>
    <n v="7"/>
    <n v="7"/>
    <n v="7"/>
    <n v="5"/>
    <n v="5"/>
    <n v="5"/>
    <n v="5"/>
    <n v="8"/>
    <n v="7"/>
    <n v="7"/>
    <m/>
    <m/>
    <m/>
    <n v="40"/>
    <n v="0"/>
    <s v="BARNARD RD."/>
    <n v="5"/>
    <x v="2"/>
    <n v="39957.57575757576"/>
    <m/>
    <n v="0"/>
    <x v="4"/>
  </r>
  <r>
    <s v="G51"/>
    <x v="714"/>
    <s v="BARNARD RD./1100N"/>
    <m/>
    <x v="60"/>
    <x v="62"/>
    <n v="5610"/>
    <n v="20"/>
    <s v="AC"/>
    <s v="G"/>
    <n v="0"/>
    <n v="7"/>
    <n v="7"/>
    <n v="6"/>
    <n v="5"/>
    <n v="5"/>
    <n v="5"/>
    <n v="5"/>
    <n v="8"/>
    <n v="8"/>
    <n v="8"/>
    <m/>
    <m/>
    <m/>
    <n v="52"/>
    <n v="0"/>
    <s v="BARNARD RD."/>
    <n v="5"/>
    <x v="0"/>
    <n v="22312.5"/>
    <m/>
    <n v="0"/>
    <x v="4"/>
  </r>
  <r>
    <s v=""/>
    <x v="715"/>
    <s v="BARNWOOD DRIVE(W)"/>
    <s v="Countryside"/>
    <x v="15"/>
    <x v="154"/>
    <n v="1056"/>
    <n v="26"/>
    <s v="NC"/>
    <s v="SC"/>
    <n v="0"/>
    <n v="7"/>
    <n v="8"/>
    <n v="8"/>
    <n v="8"/>
    <n v="7"/>
    <n v="7"/>
    <n v="7"/>
    <n v="7"/>
    <n v="7"/>
    <n v="6"/>
    <m/>
    <m/>
    <m/>
    <n v="515"/>
    <n v="0.5"/>
    <s v="BARNWOOD DRIVE(W)"/>
    <n v="3.5"/>
    <x v="9"/>
    <n v="500"/>
    <m/>
    <n v="0"/>
    <x v="3"/>
  </r>
  <r>
    <s v=""/>
    <x v="716"/>
    <s v="STINEMEYER CT (W)"/>
    <s v="Stinemyer Crossing"/>
    <x v="156"/>
    <x v="157"/>
    <n v="475"/>
    <n v="26"/>
    <s v="NC"/>
    <s v="SC"/>
    <n v="0"/>
    <n v="6"/>
    <n v="8"/>
    <n v="8"/>
    <n v="8"/>
    <n v="8"/>
    <n v="8"/>
    <n v="8"/>
    <n v="7"/>
    <n v="7"/>
    <n v="7"/>
    <m/>
    <m/>
    <m/>
    <n v="306"/>
    <n v="0"/>
    <s v="STINEMEYER CT (W)"/>
    <n v="2"/>
    <x v="9"/>
    <n v="4117"/>
    <m/>
    <n v="0"/>
    <x v="6"/>
  </r>
  <r>
    <m/>
    <x v="717"/>
    <s v="BEECH TREE (N)"/>
    <s v="Twin Oaks"/>
    <x v="73"/>
    <x v="142"/>
    <n v="634"/>
    <n v="26"/>
    <s v="NC"/>
    <s v="C"/>
    <n v="0"/>
    <n v="7"/>
    <n v="7"/>
    <n v="7"/>
    <n v="7"/>
    <n v="9"/>
    <n v="8"/>
    <n v="8"/>
    <n v="7"/>
    <n v="6"/>
    <n v="6"/>
    <m/>
    <m/>
    <m/>
    <n v="50"/>
    <n v="0"/>
    <s v="BEECH TREE (N)"/>
    <n v="1"/>
    <x v="5"/>
    <n v="9606.060606060606"/>
    <n v="1"/>
    <n v="9606.060606060606"/>
    <x v="3"/>
  </r>
  <r>
    <m/>
    <x v="718"/>
    <s v="BEECH TREE DR"/>
    <s v="Twin Oaks"/>
    <x v="73"/>
    <x v="142"/>
    <n v="663.7"/>
    <m/>
    <s v="NC"/>
    <s v="C"/>
    <n v="0"/>
    <m/>
    <n v="8"/>
    <n v="8"/>
    <n v="8"/>
    <n v="9"/>
    <n v="8"/>
    <n v="8"/>
    <n v="7"/>
    <n v="6"/>
    <n v="6"/>
    <m/>
    <m/>
    <m/>
    <n v="50"/>
    <n v="0"/>
    <m/>
    <n v="1"/>
    <x v="5"/>
    <n v="10056.060606060606"/>
    <n v="1"/>
    <n v="10056.060606060606"/>
    <x v="3"/>
  </r>
  <r>
    <s v=""/>
    <x v="719"/>
    <s v="BEECHWOOD LANE"/>
    <s v="Beechwood"/>
    <x v="159"/>
    <x v="159"/>
    <n v="1162"/>
    <n v="26"/>
    <s v="NC"/>
    <s v="SC"/>
    <n v="0"/>
    <n v="6"/>
    <n v="6"/>
    <n v="10"/>
    <n v="9"/>
    <n v="8"/>
    <n v="8"/>
    <n v="8"/>
    <n v="7"/>
    <n v="7"/>
    <n v="6"/>
    <m/>
    <m/>
    <m/>
    <n v="163"/>
    <n v="0"/>
    <s v="BEECHWOOD LANE"/>
    <n v="2"/>
    <x v="7"/>
    <n v="5501.893939393939"/>
    <m/>
    <n v="0"/>
    <x v="4"/>
  </r>
  <r>
    <s v=""/>
    <x v="720"/>
    <s v="GRASSY CT (S)"/>
    <s v="Stinemyer Crossing"/>
    <x v="156"/>
    <x v="157"/>
    <n v="1373"/>
    <n v="26"/>
    <s v="NC"/>
    <s v="SC"/>
    <n v="0"/>
    <n v="7"/>
    <n v="8"/>
    <n v="8"/>
    <n v="8"/>
    <n v="8"/>
    <n v="8"/>
    <n v="8"/>
    <n v="7"/>
    <n v="7"/>
    <n v="7"/>
    <m/>
    <m/>
    <m/>
    <n v="220"/>
    <n v="0"/>
    <s v="GRASSY CT (S)"/>
    <n v="2"/>
    <x v="9"/>
    <n v="11900"/>
    <m/>
    <n v="0"/>
    <x v="6"/>
  </r>
  <r>
    <s v=""/>
    <x v="721"/>
    <s v="BERLANDER ROAD"/>
    <s v="New Palestine Village"/>
    <x v="159"/>
    <x v="11"/>
    <n v="898"/>
    <n v="26"/>
    <s v="NC"/>
    <s v="SC"/>
    <n v="0"/>
    <n v="7"/>
    <n v="6"/>
    <n v="10"/>
    <n v="9"/>
    <n v="9"/>
    <n v="8"/>
    <n v="8"/>
    <n v="7"/>
    <n v="7"/>
    <n v="7"/>
    <m/>
    <m/>
    <m/>
    <n v="155"/>
    <n v="0"/>
    <s v="BERLANDER ROAD"/>
    <n v="1"/>
    <x v="7"/>
    <n v="4251.893939393939"/>
    <m/>
    <n v="0"/>
    <x v="4"/>
  </r>
  <r>
    <s v="BR69"/>
    <x v="722"/>
    <s v="BINFORD ROAD/300S"/>
    <m/>
    <x v="63"/>
    <x v="38"/>
    <n v="5539"/>
    <n v="20"/>
    <s v="AC"/>
    <s v="BR"/>
    <n v="0"/>
    <n v="6"/>
    <n v="6"/>
    <n v="10"/>
    <n v="9"/>
    <n v="8"/>
    <n v="7"/>
    <n v="7"/>
    <n v="7"/>
    <n v="7"/>
    <n v="7"/>
    <m/>
    <m/>
    <m/>
    <n v="318"/>
    <n v="0"/>
    <s v="BINFORD ROAD/300S"/>
    <n v="2"/>
    <x v="2"/>
    <n v="33569.696969696968"/>
    <m/>
    <n v="0"/>
    <x v="5"/>
  </r>
  <r>
    <s v="BR70"/>
    <x v="723"/>
    <s v="BINFORD ROAD/800E"/>
    <m/>
    <x v="38"/>
    <x v="26"/>
    <n v="3067"/>
    <n v="20"/>
    <s v="AC"/>
    <s v="BR"/>
    <n v="0"/>
    <n v="6"/>
    <n v="8"/>
    <n v="10"/>
    <n v="9"/>
    <n v="8"/>
    <n v="7"/>
    <n v="6"/>
    <n v="6"/>
    <n v="6"/>
    <n v="7"/>
    <m/>
    <m/>
    <m/>
    <n v="318"/>
    <n v="0"/>
    <s v="BINFORD ROAD/800E"/>
    <n v="2"/>
    <x v="2"/>
    <n v="18587.878787878788"/>
    <m/>
    <n v="0"/>
    <x v="5"/>
  </r>
  <r>
    <s v=""/>
    <x v="724"/>
    <s v="BIRCH COURT"/>
    <s v="Colonial Heights"/>
    <x v="102"/>
    <x v="160"/>
    <n v="106"/>
    <n v="26"/>
    <s v="NC"/>
    <s v="BC"/>
    <n v="0"/>
    <n v="6"/>
    <n v="7"/>
    <n v="8"/>
    <n v="8"/>
    <n v="7"/>
    <n v="7"/>
    <n v="6"/>
    <n v="7"/>
    <n v="7"/>
    <n v="7"/>
    <m/>
    <m/>
    <m/>
    <n v="50"/>
    <n v="0"/>
    <s v="BIRCH COURT"/>
    <n v="3"/>
    <x v="7"/>
    <n v="501.89393939393938"/>
    <m/>
    <n v="0"/>
    <x v="4"/>
  </r>
  <r>
    <s v=""/>
    <x v="725"/>
    <s v="BIRDSONG COURT"/>
    <s v="Ridgewood"/>
    <x v="75"/>
    <x v="161"/>
    <n v="422"/>
    <n v="26"/>
    <s v="NC"/>
    <s v="SC"/>
    <n v="0"/>
    <n v="7"/>
    <n v="7"/>
    <n v="10"/>
    <n v="9"/>
    <n v="8"/>
    <n v="7"/>
    <n v="7"/>
    <n v="7"/>
    <n v="6"/>
    <n v="6"/>
    <m/>
    <m/>
    <m/>
    <n v="116"/>
    <n v="0"/>
    <s v="BIRDSONG COURT"/>
    <n v="2"/>
    <x v="5"/>
    <n v="6393.939393939394"/>
    <n v="1"/>
    <n v="6393.939393939394"/>
    <x v="3"/>
  </r>
  <r>
    <s v=""/>
    <x v="726"/>
    <s v="BIRDSONG DRIVE"/>
    <s v="Ridgewood"/>
    <x v="75"/>
    <x v="161"/>
    <n v="1003"/>
    <n v="26"/>
    <s v="NC"/>
    <s v="SC"/>
    <n v="0"/>
    <n v="7"/>
    <n v="7"/>
    <n v="10"/>
    <n v="9"/>
    <n v="8"/>
    <n v="7"/>
    <n v="7"/>
    <n v="7"/>
    <n v="6"/>
    <n v="6"/>
    <m/>
    <m/>
    <m/>
    <n v="116"/>
    <n v="0"/>
    <s v="BIRDSONG DRIVE"/>
    <n v="2"/>
    <x v="5"/>
    <n v="15196.969696969696"/>
    <n v="1"/>
    <n v="15196.969696969696"/>
    <x v="3"/>
  </r>
  <r>
    <s v=""/>
    <x v="727"/>
    <s v="BITTNER LANE"/>
    <s v="Bittner Woods"/>
    <x v="152"/>
    <x v="162"/>
    <n v="1320"/>
    <n v="26"/>
    <s v="NC"/>
    <s v="SC"/>
    <n v="0"/>
    <n v="7"/>
    <n v="8"/>
    <n v="8"/>
    <n v="8"/>
    <n v="8"/>
    <n v="8"/>
    <n v="8"/>
    <n v="7"/>
    <n v="7"/>
    <n v="7"/>
    <m/>
    <m/>
    <m/>
    <n v="196"/>
    <n v="0"/>
    <s v="BITTNER LANE"/>
    <n v="2"/>
    <x v="9"/>
    <n v="10990"/>
    <m/>
    <n v="0"/>
    <x v="6"/>
  </r>
  <r>
    <s v=""/>
    <x v="728"/>
    <s v="HACKBERRY TRL (W)"/>
    <s v="Stinemyer Crossing"/>
    <x v="156"/>
    <x v="157"/>
    <n v="1003"/>
    <n v="26"/>
    <s v="NC"/>
    <s v="SC"/>
    <n v="0"/>
    <n v="7"/>
    <n v="9"/>
    <n v="8"/>
    <n v="8"/>
    <n v="8"/>
    <n v="8"/>
    <n v="8"/>
    <n v="7"/>
    <n v="7"/>
    <n v="7"/>
    <m/>
    <m/>
    <m/>
    <n v="162"/>
    <n v="0"/>
    <s v="HACKBERRY TRL (W)"/>
    <n v="2"/>
    <x v="9"/>
    <n v="8693"/>
    <m/>
    <n v="0"/>
    <x v="6"/>
  </r>
  <r>
    <s v=""/>
    <x v="729"/>
    <s v="BLUE BELL DRIVE"/>
    <s v="Wood Dale"/>
    <x v="160"/>
    <x v="139"/>
    <n v="422"/>
    <n v="26"/>
    <s v="NC"/>
    <s v="SC"/>
    <n v="0"/>
    <n v="7"/>
    <n v="8"/>
    <n v="8"/>
    <n v="8"/>
    <n v="8"/>
    <n v="8"/>
    <n v="8"/>
    <n v="8"/>
    <n v="8"/>
    <n v="7"/>
    <m/>
    <m/>
    <m/>
    <n v="50"/>
    <n v="0"/>
    <s v="BLUE BELL DRIVE"/>
    <n v="2"/>
    <x v="7"/>
    <n v="1998.1060606060605"/>
    <m/>
    <n v="0"/>
    <x v="4"/>
  </r>
  <r>
    <s v=""/>
    <x v="730"/>
    <s v="BLUE SPRUCE CT (N)"/>
    <s v="Sugar Creek Valley Estates"/>
    <x v="161"/>
    <x v="163"/>
    <n v="370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BLUE SPRUCE CT (N)"/>
    <n v="3"/>
    <x v="9"/>
    <n v="2993"/>
    <m/>
    <n v="0"/>
    <x v="3"/>
  </r>
  <r>
    <s v=""/>
    <x v="731"/>
    <s v="BLUEBELL DRIVE"/>
    <s v="Gem Meadows"/>
    <x v="15"/>
    <x v="164"/>
    <n v="1373"/>
    <n v="26"/>
    <s v="NC"/>
    <s v="SC"/>
    <n v="0"/>
    <n v="7"/>
    <n v="7"/>
    <n v="7"/>
    <n v="7"/>
    <n v="7"/>
    <n v="7"/>
    <n v="7"/>
    <n v="7"/>
    <n v="7"/>
    <n v="7"/>
    <m/>
    <m/>
    <m/>
    <n v="302"/>
    <n v="0"/>
    <s v="BLUEBELL DRIVE"/>
    <n v="3"/>
    <x v="5"/>
    <n v="20803.030303030304"/>
    <m/>
    <n v="0"/>
    <x v="7"/>
  </r>
  <r>
    <m/>
    <x v="732"/>
    <s v="BAYWOOD DR (W)"/>
    <s v="Stinemyer Crossing"/>
    <x v="156"/>
    <x v="157"/>
    <n v="1056"/>
    <n v="26"/>
    <s v="NC"/>
    <s v="SC"/>
    <n v="0"/>
    <n v="7"/>
    <n v="8"/>
    <n v="8"/>
    <n v="8"/>
    <n v="8"/>
    <n v="8"/>
    <n v="8"/>
    <n v="7"/>
    <n v="7"/>
    <n v="7"/>
    <m/>
    <m/>
    <m/>
    <n v="145"/>
    <n v="0"/>
    <s v="BAYWOOD DR (W)"/>
    <n v="2"/>
    <x v="9"/>
    <n v="9152"/>
    <m/>
    <n v="0"/>
    <x v="6"/>
  </r>
  <r>
    <s v=""/>
    <x v="733"/>
    <s v="KEN LANE"/>
    <s v="Sycamore Hills"/>
    <x v="162"/>
    <x v="165"/>
    <n v="317"/>
    <n v="26"/>
    <s v="NC"/>
    <s v="SC"/>
    <n v="0"/>
    <n v="6"/>
    <n v="7"/>
    <n v="7"/>
    <n v="7"/>
    <n v="7"/>
    <n v="6"/>
    <n v="7"/>
    <n v="7"/>
    <n v="7"/>
    <n v="7"/>
    <m/>
    <m/>
    <m/>
    <n v="123"/>
    <n v="0"/>
    <s v="KEN LANE"/>
    <n v="3"/>
    <x v="9"/>
    <n v="150.09469696969697"/>
    <m/>
    <n v="0"/>
    <x v="6"/>
  </r>
  <r>
    <s v=""/>
    <x v="734"/>
    <s v="SYCAMORE HILLS DR"/>
    <s v="Sycamore Hills"/>
    <x v="163"/>
    <x v="143"/>
    <n v="475"/>
    <n v="26"/>
    <s v="NC"/>
    <s v="SC"/>
    <n v="0"/>
    <n v="8"/>
    <n v="7"/>
    <n v="7"/>
    <n v="7"/>
    <n v="7"/>
    <n v="6"/>
    <n v="7"/>
    <n v="7"/>
    <n v="7"/>
    <n v="7"/>
    <m/>
    <m/>
    <m/>
    <n v="123"/>
    <n v="0"/>
    <s v="SYCAMORE HILLS DR"/>
    <n v="3"/>
    <x v="9"/>
    <n v="224.90530303030303"/>
    <m/>
    <n v="0"/>
    <x v="6"/>
  </r>
  <r>
    <s v=""/>
    <x v="735"/>
    <s v="BOULDER CREEK COURT(W)"/>
    <s v="Boulder Creek"/>
    <x v="164"/>
    <x v="143"/>
    <n v="475"/>
    <n v="26"/>
    <s v="NC"/>
    <s v="SC"/>
    <n v="0"/>
    <n v="7"/>
    <n v="8"/>
    <n v="8"/>
    <n v="8"/>
    <n v="8"/>
    <n v="7"/>
    <n v="7"/>
    <n v="7"/>
    <n v="7"/>
    <n v="7"/>
    <m/>
    <m/>
    <m/>
    <n v="247"/>
    <n v="0"/>
    <s v="BOULDER CREEK COURT(W)"/>
    <n v="2"/>
    <x v="7"/>
    <n v="2249.0530303030305"/>
    <m/>
    <n v="0"/>
    <x v="4"/>
  </r>
  <r>
    <s v=""/>
    <x v="736"/>
    <s v="BOULDER CREEK DRIVE(W)"/>
    <s v="Boulder Creek"/>
    <x v="164"/>
    <x v="143"/>
    <n v="1214"/>
    <n v="26"/>
    <s v="NC"/>
    <s v="SC"/>
    <n v="0"/>
    <n v="7"/>
    <n v="8"/>
    <n v="8"/>
    <n v="8"/>
    <n v="8"/>
    <n v="8"/>
    <n v="8"/>
    <n v="7"/>
    <n v="7"/>
    <n v="7"/>
    <m/>
    <m/>
    <m/>
    <n v="247"/>
    <n v="0"/>
    <s v="BOULDER CREEK DRIVE(W)"/>
    <n v="2"/>
    <x v="7"/>
    <n v="5748.106060606061"/>
    <m/>
    <n v="0"/>
    <x v="4"/>
  </r>
  <r>
    <s v=""/>
    <x v="737"/>
    <s v="BOULDER CREEK LANE"/>
    <s v="Boulder Creek"/>
    <x v="164"/>
    <x v="143"/>
    <n v="739"/>
    <n v="26"/>
    <s v="NC"/>
    <s v="SC"/>
    <n v="0"/>
    <n v="7"/>
    <n v="8"/>
    <n v="8"/>
    <n v="8"/>
    <n v="8"/>
    <n v="8"/>
    <n v="8"/>
    <n v="8"/>
    <n v="7"/>
    <n v="7"/>
    <m/>
    <m/>
    <m/>
    <n v="247"/>
    <n v="0"/>
    <s v="BOULDER CREEK LANE(S)"/>
    <n v="2"/>
    <x v="7"/>
    <n v="3499.0530303030305"/>
    <m/>
    <n v="0"/>
    <x v="4"/>
  </r>
  <r>
    <s v="BW12"/>
    <x v="738"/>
    <s v="FURRY ROAD/100W"/>
    <m/>
    <x v="25"/>
    <x v="28"/>
    <n v="6050"/>
    <n v="20"/>
    <s v="CS"/>
    <s v="BW"/>
    <n v="0"/>
    <n v="7"/>
    <n v="7"/>
    <n v="7"/>
    <n v="7"/>
    <n v="7"/>
    <n v="6"/>
    <n v="6"/>
    <n v="7"/>
    <n v="7"/>
    <n v="7"/>
    <m/>
    <m/>
    <m/>
    <n v="105"/>
    <n v="0"/>
    <s v="FURRY ROAD/100W"/>
    <n v="3"/>
    <x v="9"/>
    <n v="2864.5833333333335"/>
    <m/>
    <n v="0"/>
    <x v="6"/>
  </r>
  <r>
    <s v=""/>
    <x v="739"/>
    <s v="MUD CREEK CT (S)"/>
    <s v="Stinemyer Crossing"/>
    <x v="156"/>
    <x v="157"/>
    <n v="950"/>
    <n v="26"/>
    <s v="NC"/>
    <s v="SC"/>
    <n v="0"/>
    <n v="7"/>
    <n v="8"/>
    <n v="8"/>
    <n v="8"/>
    <n v="8"/>
    <n v="8"/>
    <n v="8"/>
    <n v="7"/>
    <n v="7"/>
    <n v="7"/>
    <m/>
    <m/>
    <m/>
    <n v="92"/>
    <n v="0"/>
    <s v="MUD CREEK CT (S)"/>
    <n v="2"/>
    <x v="9"/>
    <n v="8234"/>
    <m/>
    <n v="0"/>
    <x v="6"/>
  </r>
  <r>
    <s v=""/>
    <x v="740"/>
    <s v="ATTLEBURG DRIVE(N)"/>
    <s v="Easton At Stansbury"/>
    <x v="165"/>
    <x v="156"/>
    <n v="2218"/>
    <n v="26"/>
    <s v="NC"/>
    <s v="BC"/>
    <n v="0"/>
    <n v="7"/>
    <n v="8"/>
    <n v="8"/>
    <n v="8"/>
    <n v="8"/>
    <n v="7"/>
    <n v="6"/>
    <n v="7"/>
    <n v="7"/>
    <n v="7"/>
    <m/>
    <m/>
    <m/>
    <n v="50"/>
    <n v="0"/>
    <s v="ATTLEBURG DRIVE(N)"/>
    <n v="2"/>
    <x v="9"/>
    <n v="1050.189393939394"/>
    <m/>
    <n v="0"/>
    <x v="6"/>
  </r>
  <r>
    <s v=""/>
    <x v="741"/>
    <s v="CRANBERRY DRIVE"/>
    <s v="Cranberry Lake Estates"/>
    <x v="31"/>
    <x v="133"/>
    <n v="7128"/>
    <n v="26"/>
    <s v="NC"/>
    <s v="C"/>
    <n v="0"/>
    <n v="6"/>
    <n v="6"/>
    <n v="6"/>
    <n v="6"/>
    <n v="7"/>
    <n v="7"/>
    <n v="7"/>
    <n v="7"/>
    <n v="7"/>
    <n v="7"/>
    <m/>
    <m/>
    <m/>
    <n v="50"/>
    <n v="0"/>
    <s v="CRANBERRY DRIVE"/>
    <n v="3"/>
    <x v="9"/>
    <n v="3375"/>
    <m/>
    <n v="0"/>
    <x v="6"/>
  </r>
  <r>
    <s v=""/>
    <x v="742"/>
    <s v="BRIAR PARK VIEW(W)"/>
    <s v="Briarwood Trace"/>
    <x v="102"/>
    <x v="166"/>
    <n v="1478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BRIAR PARK VIEW(W)"/>
    <n v="3"/>
    <x v="9"/>
    <n v="16652"/>
    <m/>
    <n v="0"/>
    <x v="3"/>
  </r>
  <r>
    <s v=""/>
    <x v="743"/>
    <s v="BRIARWOOD BLVD(W)"/>
    <s v="Briarwood Trace"/>
    <x v="102"/>
    <x v="166"/>
    <n v="792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BRIARWOOD BLVD(W)"/>
    <n v="3"/>
    <x v="9"/>
    <n v="8924"/>
    <m/>
    <n v="0"/>
    <x v="3"/>
  </r>
  <r>
    <s v=""/>
    <x v="744"/>
    <s v="BRIER CREEK COURT"/>
    <s v="Brier Creek"/>
    <x v="102"/>
    <x v="139"/>
    <n v="898"/>
    <n v="26"/>
    <s v="NC"/>
    <s v="SC"/>
    <n v="0"/>
    <n v="7"/>
    <n v="7"/>
    <n v="7"/>
    <n v="7"/>
    <n v="8"/>
    <n v="8"/>
    <n v="8"/>
    <n v="8"/>
    <n v="7"/>
    <n v="7"/>
    <m/>
    <m/>
    <m/>
    <n v="58"/>
    <n v="0"/>
    <s v="BRIER COURT"/>
    <n v="2"/>
    <x v="7"/>
    <n v="4251.893939393939"/>
    <m/>
    <n v="0"/>
    <x v="4"/>
  </r>
  <r>
    <s v=""/>
    <x v="745"/>
    <s v="BRIER CREEK DRIVE"/>
    <s v="Brier Creek"/>
    <x v="102"/>
    <x v="139"/>
    <n v="2534"/>
    <n v="26"/>
    <s v="NC"/>
    <s v="SC"/>
    <n v="0"/>
    <n v="7"/>
    <n v="7"/>
    <n v="9"/>
    <n v="9"/>
    <n v="8"/>
    <n v="8"/>
    <n v="8"/>
    <n v="8"/>
    <n v="7"/>
    <n v="7"/>
    <m/>
    <m/>
    <m/>
    <n v="232"/>
    <n v="0"/>
    <s v="BRIER CREEK DRIVE"/>
    <n v="2"/>
    <x v="7"/>
    <n v="11998.10606060606"/>
    <m/>
    <n v="0"/>
    <x v="4"/>
  </r>
  <r>
    <s v=""/>
    <x v="746"/>
    <s v="BRISTOL WAY"/>
    <s v="Bristol Ridge"/>
    <x v="166"/>
    <x v="167"/>
    <n v="1056"/>
    <n v="26"/>
    <s v="NC"/>
    <s v="SC"/>
    <n v="0"/>
    <n v="8"/>
    <n v="8"/>
    <n v="8"/>
    <n v="8"/>
    <n v="8"/>
    <n v="8"/>
    <n v="8"/>
    <n v="8"/>
    <n v="7"/>
    <n v="7"/>
    <m/>
    <m/>
    <m/>
    <n v="325"/>
    <n v="0"/>
    <s v="BRISTOL WAY"/>
    <n v="2"/>
    <x v="7"/>
    <n v="5000"/>
    <m/>
    <n v="0"/>
    <x v="4"/>
  </r>
  <r>
    <s v=""/>
    <x v="747"/>
    <s v="BROKEN ARROW COURT(W)"/>
    <s v="Denton Trace"/>
    <x v="164"/>
    <x v="168"/>
    <n v="422"/>
    <n v="26"/>
    <s v="NC"/>
    <s v="SC"/>
    <n v="0"/>
    <n v="6"/>
    <n v="6"/>
    <n v="6"/>
    <n v="6"/>
    <n v="8"/>
    <n v="7"/>
    <n v="7"/>
    <n v="7"/>
    <n v="6"/>
    <n v="6"/>
    <m/>
    <m/>
    <m/>
    <n v="395"/>
    <n v="0"/>
    <s v="BROKEN ARROW COURT(W)"/>
    <n v="2"/>
    <x v="5"/>
    <n v="6393.939393939394"/>
    <n v="1"/>
    <n v="6393.939393939394"/>
    <x v="3"/>
  </r>
  <r>
    <s v=""/>
    <x v="748"/>
    <s v="BROKEN ARROW DRIVE(S)"/>
    <s v="Denton Trace"/>
    <x v="164"/>
    <x v="168"/>
    <n v="1656"/>
    <n v="20"/>
    <s v="C"/>
    <s v="SC"/>
    <n v="0"/>
    <n v="6"/>
    <n v="6"/>
    <n v="6"/>
    <n v="6"/>
    <n v="8"/>
    <n v="7"/>
    <n v="7"/>
    <n v="7"/>
    <n v="6"/>
    <n v="6"/>
    <m/>
    <m/>
    <m/>
    <n v="395"/>
    <n v="0"/>
    <s v="BROKEN ARROW DRIVE(S)"/>
    <n v="2"/>
    <x v="5"/>
    <n v="25090.909090909092"/>
    <n v="1"/>
    <n v="25090.909090909092"/>
    <x v="3"/>
  </r>
  <r>
    <s v=""/>
    <x v="749"/>
    <s v="BROKEN ARROW DRIVE(W)"/>
    <s v="Denton Trace"/>
    <x v="164"/>
    <x v="168"/>
    <n v="1008"/>
    <n v="26"/>
    <s v="NC"/>
    <s v="SC"/>
    <n v="0"/>
    <n v="6"/>
    <n v="6"/>
    <n v="6"/>
    <n v="6"/>
    <n v="8"/>
    <n v="7"/>
    <n v="7"/>
    <n v="7"/>
    <n v="6"/>
    <n v="6"/>
    <m/>
    <m/>
    <m/>
    <n v="395"/>
    <n v="0"/>
    <s v="BROKEN ARROW DRIVE(W)"/>
    <n v="2"/>
    <x v="5"/>
    <n v="15272.727272727272"/>
    <n v="1"/>
    <n v="15272.727272727272"/>
    <x v="3"/>
  </r>
  <r>
    <s v=""/>
    <x v="750"/>
    <s v="BROOKLAWN DRIVE"/>
    <s v="Brookville Heights"/>
    <x v="160"/>
    <x v="155"/>
    <n v="2059"/>
    <n v="26"/>
    <s v="NC"/>
    <s v="SC"/>
    <n v="0"/>
    <n v="4"/>
    <n v="10"/>
    <n v="10"/>
    <n v="10"/>
    <n v="9"/>
    <n v="8"/>
    <n v="8"/>
    <n v="8"/>
    <n v="8"/>
    <n v="8"/>
    <m/>
    <m/>
    <m/>
    <n v="264"/>
    <n v="0"/>
    <s v="BROOKLAWN DRIVE"/>
    <n v="1"/>
    <x v="7"/>
    <n v="9749.05303030303"/>
    <m/>
    <n v="0"/>
    <x v="4"/>
  </r>
  <r>
    <s v=""/>
    <x v="751"/>
    <s v="BRUNE COURT"/>
    <s v="Meadow Lake Estates"/>
    <x v="15"/>
    <x v="169"/>
    <n v="422"/>
    <n v="26"/>
    <s v="NC"/>
    <s v="SC"/>
    <n v="0"/>
    <n v="6"/>
    <n v="8"/>
    <n v="7"/>
    <n v="7"/>
    <n v="7"/>
    <n v="7"/>
    <n v="7"/>
    <n v="7"/>
    <n v="7"/>
    <n v="7"/>
    <m/>
    <m/>
    <m/>
    <n v="1150"/>
    <n v="0.5"/>
    <s v="BRUNE COURT"/>
    <n v="3.5"/>
    <x v="7"/>
    <n v="1998.1060606060605"/>
    <m/>
    <n v="0"/>
    <x v="4"/>
  </r>
  <r>
    <s v=""/>
    <x v="752"/>
    <s v="BUCK CREEK COURT"/>
    <s v="Buck Creek Meadows"/>
    <x v="102"/>
    <x v="163"/>
    <n v="158"/>
    <n v="26"/>
    <s v="NC"/>
    <s v="BC"/>
    <n v="0"/>
    <n v="6"/>
    <n v="7"/>
    <n v="7"/>
    <n v="7"/>
    <n v="7"/>
    <n v="6"/>
    <n v="6"/>
    <n v="7"/>
    <n v="7"/>
    <n v="7"/>
    <m/>
    <m/>
    <m/>
    <n v="50"/>
    <n v="0"/>
    <s v="BUCK CREEK COURT"/>
    <n v="3"/>
    <x v="7"/>
    <n v="748.10606060606062"/>
    <m/>
    <n v="0"/>
    <x v="4"/>
  </r>
  <r>
    <m/>
    <x v="753"/>
    <s v="BUCK CREEK RD./150N"/>
    <m/>
    <x v="55"/>
    <x v="53"/>
    <n v="898"/>
    <n v="20"/>
    <s v="AC"/>
    <s v="BC"/>
    <n v="0"/>
    <n v="7"/>
    <n v="9"/>
    <n v="9"/>
    <n v="9"/>
    <n v="9"/>
    <n v="9"/>
    <n v="8"/>
    <n v="8"/>
    <n v="8"/>
    <n v="8"/>
    <m/>
    <m/>
    <s v="Y"/>
    <n v="50"/>
    <n v="0"/>
    <s v="BUCK CREEK RD./150N"/>
    <n v="6"/>
    <x v="0"/>
    <n v="3571.590909090909"/>
    <m/>
    <n v="0"/>
    <x v="4"/>
  </r>
  <r>
    <s v=""/>
    <x v="754"/>
    <s v="DELEGATE WAY (N)"/>
    <s v="Stansbury"/>
    <x v="167"/>
    <x v="156"/>
    <n v="647"/>
    <n v="26"/>
    <s v="NC"/>
    <s v="BC"/>
    <n v="0"/>
    <n v="7"/>
    <n v="7"/>
    <n v="7"/>
    <n v="7"/>
    <n v="7"/>
    <n v="7"/>
    <n v="7"/>
    <n v="7"/>
    <n v="7"/>
    <n v="7"/>
    <m/>
    <m/>
    <m/>
    <n v="50"/>
    <n v="0"/>
    <s v="DELEGATE WAY (N)"/>
    <n v="3"/>
    <x v="9"/>
    <n v="306.344696969697"/>
    <m/>
    <n v="0"/>
    <x v="6"/>
  </r>
  <r>
    <s v="BC49"/>
    <x v="755"/>
    <s v="BUCK CREEK RD/100N"/>
    <m/>
    <x v="44"/>
    <x v="170"/>
    <n v="6430"/>
    <n v="20"/>
    <s v="AC"/>
    <s v="BC"/>
    <n v="0"/>
    <n v="7"/>
    <n v="6"/>
    <n v="6"/>
    <n v="5"/>
    <n v="5"/>
    <n v="9"/>
    <n v="8"/>
    <n v="8"/>
    <n v="8"/>
    <n v="8"/>
    <n v="2024"/>
    <n v="2019"/>
    <s v="Y"/>
    <n v="618"/>
    <n v="0.5"/>
    <s v="BUCK CREEK RD/100N"/>
    <n v="5.5"/>
    <x v="0"/>
    <n v="25573.863636363636"/>
    <m/>
    <n v="0"/>
    <x v="3"/>
  </r>
  <r>
    <s v="BC47"/>
    <x v="756"/>
    <s v="BUCK CREEK RD/200N"/>
    <m/>
    <x v="35"/>
    <x v="171"/>
    <n v="530"/>
    <n v="20"/>
    <s v="AC"/>
    <s v="BC"/>
    <n v="0"/>
    <n v="7"/>
    <n v="9"/>
    <n v="9"/>
    <n v="9"/>
    <n v="9"/>
    <n v="7"/>
    <n v="7"/>
    <n v="7"/>
    <n v="7"/>
    <n v="7"/>
    <m/>
    <m/>
    <m/>
    <n v="50"/>
    <n v="0"/>
    <s v="BUCK CREEK RD/200N"/>
    <n v="1"/>
    <x v="0"/>
    <n v="2107.9545454545455"/>
    <m/>
    <n v="0"/>
    <x v="0"/>
  </r>
  <r>
    <s v=""/>
    <x v="757"/>
    <s v="ESSEX CIRCLE"/>
    <s v="Easton At Stansbury"/>
    <x v="165"/>
    <x v="156"/>
    <n v="158"/>
    <n v="26"/>
    <s v="NC"/>
    <s v="BC"/>
    <n v="0"/>
    <n v="7"/>
    <n v="8"/>
    <n v="8"/>
    <n v="8"/>
    <n v="8"/>
    <n v="8"/>
    <n v="7"/>
    <n v="7"/>
    <n v="7"/>
    <n v="7"/>
    <m/>
    <m/>
    <m/>
    <n v="50"/>
    <n v="0"/>
    <s v="ESSEX CIRCLE"/>
    <n v="2"/>
    <x v="9"/>
    <n v="74.810606060606062"/>
    <m/>
    <n v="0"/>
    <x v="6"/>
  </r>
  <r>
    <s v=""/>
    <x v="758"/>
    <s v="BUCKEYE DR (W)"/>
    <s v="Sugar Creek Valley Estates"/>
    <x v="161"/>
    <x v="163"/>
    <n v="1214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BUCKEYE DR (W)"/>
    <n v="3"/>
    <x v="9"/>
    <n v="9819.91"/>
    <m/>
    <n v="0"/>
    <x v="3"/>
  </r>
  <r>
    <m/>
    <x v="759"/>
    <s v="BUCKEYE LANE (N)"/>
    <s v="Sugar Creek Valley Estates"/>
    <x v="161"/>
    <x v="163"/>
    <n v="581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BUCKEYE LANE (N)"/>
    <n v="3"/>
    <x v="9"/>
    <n v="4699.6499999999996"/>
    <m/>
    <n v="0"/>
    <x v="3"/>
  </r>
  <r>
    <s v=""/>
    <x v="760"/>
    <s v="BUCKSKIN COURT"/>
    <s v="Doe Creek Estates"/>
    <x v="154"/>
    <x v="143"/>
    <n v="317"/>
    <n v="26"/>
    <s v="NC"/>
    <s v="SC"/>
    <n v="0"/>
    <n v="7"/>
    <n v="6"/>
    <n v="6"/>
    <n v="6"/>
    <n v="7"/>
    <n v="7"/>
    <n v="7"/>
    <n v="7"/>
    <n v="7"/>
    <n v="7"/>
    <m/>
    <m/>
    <m/>
    <n v="392"/>
    <n v="0"/>
    <s v="BUCKSKIN COURT"/>
    <n v="3"/>
    <x v="7"/>
    <n v="1500.9469696969697"/>
    <m/>
    <n v="0"/>
    <x v="4"/>
  </r>
  <r>
    <s v="BC33"/>
    <x v="761"/>
    <s v="LANE RD./700W"/>
    <m/>
    <x v="51"/>
    <x v="48"/>
    <n v="7105"/>
    <n v="20"/>
    <s v="AC"/>
    <s v="BC"/>
    <n v="0"/>
    <n v="6"/>
    <n v="7"/>
    <n v="8"/>
    <n v="6"/>
    <n v="6"/>
    <n v="5"/>
    <n v="8"/>
    <n v="7"/>
    <n v="7"/>
    <n v="7"/>
    <m/>
    <m/>
    <m/>
    <n v="50"/>
    <n v="0"/>
    <s v="LANE RD./700W"/>
    <n v="4"/>
    <x v="9"/>
    <n v="3364.1098484848485"/>
    <m/>
    <n v="0"/>
    <x v="6"/>
  </r>
  <r>
    <s v=""/>
    <x v="762"/>
    <s v="BURR OAK DRIVE"/>
    <s v="Twin Oaks"/>
    <x v="73"/>
    <x v="142"/>
    <n v="370"/>
    <n v="26"/>
    <s v="NC"/>
    <s v="C"/>
    <n v="0"/>
    <n v="7"/>
    <n v="8"/>
    <n v="8"/>
    <n v="8"/>
    <n v="9"/>
    <n v="8"/>
    <n v="8"/>
    <n v="7"/>
    <n v="6"/>
    <n v="6"/>
    <m/>
    <m/>
    <m/>
    <n v="50"/>
    <n v="0"/>
    <s v="BUR OAK DRIVE"/>
    <n v="1"/>
    <x v="5"/>
    <n v="5606.060606060606"/>
    <n v="1"/>
    <n v="5606.060606060606"/>
    <x v="3"/>
  </r>
  <r>
    <s v=""/>
    <x v="763"/>
    <s v="BUTTERCUP DRIVE"/>
    <s v="Gem Meadows"/>
    <x v="15"/>
    <x v="168"/>
    <n v="1531"/>
    <n v="26"/>
    <s v="NC"/>
    <s v="SC"/>
    <n v="0"/>
    <n v="7"/>
    <n v="8"/>
    <n v="8"/>
    <n v="8"/>
    <n v="8"/>
    <n v="7"/>
    <n v="7"/>
    <n v="7"/>
    <n v="7"/>
    <n v="7"/>
    <m/>
    <m/>
    <m/>
    <n v="302"/>
    <n v="0"/>
    <s v="BUTTERCUP DRIVE"/>
    <n v="2"/>
    <x v="5"/>
    <n v="23196.969696969696"/>
    <m/>
    <n v="0"/>
    <x v="7"/>
  </r>
  <r>
    <s v=""/>
    <x v="764"/>
    <s v="CAMERON LANE"/>
    <s v="Cranberry Lake Estates"/>
    <x v="73"/>
    <x v="133"/>
    <n v="422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CAMERON LANE"/>
    <n v="3"/>
    <x v="0"/>
    <n v="1678.409090909091"/>
    <m/>
    <n v="0"/>
    <x v="3"/>
  </r>
  <r>
    <s v=""/>
    <x v="765"/>
    <s v="CARIBOU CIRCLE"/>
    <s v="Deer Run"/>
    <x v="164"/>
    <x v="172"/>
    <n v="264"/>
    <n v="26"/>
    <s v="NC"/>
    <s v="SC"/>
    <n v="0"/>
    <n v="5"/>
    <n v="5"/>
    <n v="10"/>
    <n v="9"/>
    <n v="8"/>
    <n v="7"/>
    <n v="7"/>
    <n v="7"/>
    <n v="7"/>
    <n v="7"/>
    <m/>
    <m/>
    <m/>
    <n v="629"/>
    <n v="0.5"/>
    <s v="DEER RUN DRIVE"/>
    <n v="2.5"/>
    <x v="7"/>
    <n v="1250"/>
    <m/>
    <n v="0"/>
    <x v="4"/>
  </r>
  <r>
    <s v=""/>
    <x v="766"/>
    <s v="CARRIAGE DRIVE"/>
    <s v="Southern Knoll"/>
    <x v="15"/>
    <x v="162"/>
    <n v="317"/>
    <n v="26"/>
    <s v="NC"/>
    <s v="SC"/>
    <n v="0"/>
    <n v="7"/>
    <n v="5"/>
    <n v="4"/>
    <n v="8"/>
    <n v="8"/>
    <n v="7"/>
    <n v="7"/>
    <n v="7"/>
    <n v="7"/>
    <n v="7"/>
    <m/>
    <m/>
    <m/>
    <n v="50"/>
    <n v="0"/>
    <s v="CARRIAGE DRIVE"/>
    <n v="2"/>
    <x v="7"/>
    <n v="1500.9469696969697"/>
    <m/>
    <n v="0"/>
    <x v="4"/>
  </r>
  <r>
    <s v=""/>
    <x v="767"/>
    <s v="CARRIE DRIVE"/>
    <s v="Schildmeier Woods"/>
    <x v="102"/>
    <x v="152"/>
    <n v="2904"/>
    <n v="26"/>
    <s v="NC"/>
    <s v="SC"/>
    <n v="0"/>
    <n v="6"/>
    <n v="6"/>
    <n v="10"/>
    <n v="9"/>
    <n v="9"/>
    <n v="8"/>
    <n v="7"/>
    <n v="8"/>
    <n v="6"/>
    <n v="6"/>
    <m/>
    <m/>
    <m/>
    <n v="277"/>
    <n v="0"/>
    <s v="CARRIE DRIVE"/>
    <n v="1"/>
    <x v="7"/>
    <n v="13750"/>
    <m/>
    <n v="0"/>
    <x v="4"/>
  </r>
  <r>
    <s v=""/>
    <x v="768"/>
    <s v="CARTHAGE RD/US40"/>
    <m/>
    <x v="23"/>
    <x v="173"/>
    <n v="1774"/>
    <n v="20"/>
    <s v="AC"/>
    <s v="J"/>
    <n v="0"/>
    <n v="6"/>
    <n v="4"/>
    <n v="4"/>
    <n v="9"/>
    <n v="8"/>
    <n v="8"/>
    <n v="7"/>
    <n v="7"/>
    <n v="7"/>
    <n v="7"/>
    <m/>
    <m/>
    <m/>
    <n v="50"/>
    <n v="0"/>
    <s v="CARTHAGE RD/US40"/>
    <n v="2"/>
    <x v="2"/>
    <n v="10751.515151515152"/>
    <m/>
    <n v="0"/>
    <x v="5"/>
  </r>
  <r>
    <s v=""/>
    <x v="769"/>
    <s v="CASEY LANE(E)"/>
    <s v="Cranberry Lake Estates"/>
    <x v="73"/>
    <x v="133"/>
    <n v="2693"/>
    <n v="26"/>
    <s v="NC"/>
    <s v="C"/>
    <n v="0"/>
    <n v="7"/>
    <n v="7"/>
    <n v="7"/>
    <n v="7"/>
    <n v="7"/>
    <n v="7"/>
    <n v="6"/>
    <n v="6"/>
    <n v="7"/>
    <n v="7"/>
    <m/>
    <m/>
    <m/>
    <n v="50"/>
    <n v="0"/>
    <s v="CASEY LANE(E)"/>
    <n v="3"/>
    <x v="3"/>
    <n v="23461.742424242424"/>
    <m/>
    <n v="0"/>
    <x v="0"/>
  </r>
  <r>
    <s v=""/>
    <x v="770"/>
    <s v="CATALINA DRIVE EAST"/>
    <s v="Charlamore Woods"/>
    <x v="168"/>
    <x v="139"/>
    <n v="686"/>
    <n v="26"/>
    <s v="NC"/>
    <s v="SC"/>
    <n v="0"/>
    <n v="7"/>
    <n v="7"/>
    <n v="7"/>
    <n v="7"/>
    <n v="7"/>
    <n v="7"/>
    <n v="7"/>
    <n v="8"/>
    <n v="8"/>
    <n v="8"/>
    <m/>
    <m/>
    <m/>
    <n v="90"/>
    <n v="0"/>
    <s v="CATALINA DRIVE EAST"/>
    <n v="3"/>
    <x v="7"/>
    <n v="3248.1060606060605"/>
    <m/>
    <n v="0"/>
    <x v="4"/>
  </r>
  <r>
    <s v=""/>
    <x v="771"/>
    <s v="CATALINA DRIVE SOUTH"/>
    <s v="Charlamore Woods"/>
    <x v="168"/>
    <x v="139"/>
    <n v="792"/>
    <n v="26"/>
    <s v="NC"/>
    <s v="SC"/>
    <n v="0"/>
    <n v="7"/>
    <n v="7"/>
    <n v="7"/>
    <n v="7"/>
    <n v="7"/>
    <n v="7"/>
    <n v="7"/>
    <n v="8"/>
    <n v="8"/>
    <n v="8"/>
    <m/>
    <m/>
    <m/>
    <n v="100"/>
    <n v="0"/>
    <s v="CATALINA DRIVE SOUTH"/>
    <n v="3"/>
    <x v="7"/>
    <n v="3750"/>
    <m/>
    <n v="0"/>
    <x v="4"/>
  </r>
  <r>
    <s v=""/>
    <x v="772"/>
    <s v="CATALINA DRIVE WEST"/>
    <s v="Charlamore Woods"/>
    <x v="168"/>
    <x v="139"/>
    <n v="528"/>
    <n v="26"/>
    <s v="NC"/>
    <s v="SC"/>
    <n v="0"/>
    <n v="7"/>
    <n v="7"/>
    <n v="7"/>
    <n v="7"/>
    <n v="7"/>
    <n v="7"/>
    <n v="7"/>
    <n v="8"/>
    <n v="8"/>
    <n v="8"/>
    <m/>
    <m/>
    <m/>
    <n v="100"/>
    <n v="0"/>
    <s v="CATALINA DRIVE WEST"/>
    <n v="3"/>
    <x v="7"/>
    <n v="2500"/>
    <m/>
    <n v="0"/>
    <x v="4"/>
  </r>
  <r>
    <s v=""/>
    <x v="773"/>
    <s v="CENTER (FIN)/100W"/>
    <m/>
    <x v="148"/>
    <x v="37"/>
    <n v="898"/>
    <n v="20"/>
    <s v="AC"/>
    <s v="BW"/>
    <n v="0"/>
    <n v="7"/>
    <n v="7"/>
    <n v="7"/>
    <n v="7"/>
    <n v="7"/>
    <n v="7"/>
    <n v="6"/>
    <n v="6"/>
    <n v="6"/>
    <n v="6"/>
    <m/>
    <m/>
    <m/>
    <n v="35"/>
    <n v="0"/>
    <s v="CENTER (FIN)/100W"/>
    <n v="3"/>
    <x v="0"/>
    <n v="3571.590909090909"/>
    <m/>
    <n v="0"/>
    <x v="2"/>
  </r>
  <r>
    <s v=""/>
    <x v="774"/>
    <s v="CENTER ST(MAX)JEFF"/>
    <m/>
    <x v="169"/>
    <x v="148"/>
    <n v="720"/>
    <n v="20"/>
    <s v="CS"/>
    <s v="C"/>
    <n v="0"/>
    <n v="7"/>
    <n v="6"/>
    <n v="6"/>
    <n v="6"/>
    <n v="8"/>
    <n v="7"/>
    <n v="7"/>
    <n v="6"/>
    <n v="6"/>
    <n v="6"/>
    <m/>
    <m/>
    <m/>
    <n v="50"/>
    <n v="0"/>
    <s v="CENTER ST(MAX)JEFF"/>
    <n v="2"/>
    <x v="2"/>
    <n v="4363.636363636364"/>
    <m/>
    <n v="0"/>
    <x v="2"/>
  </r>
  <r>
    <s v=""/>
    <x v="775"/>
    <s v="BENJAMIN PLACE (N)"/>
    <s v="Stansbury"/>
    <x v="167"/>
    <x v="156"/>
    <n v="1119"/>
    <n v="26"/>
    <s v="NC"/>
    <s v="BC"/>
    <n v="0"/>
    <n v="7"/>
    <n v="8"/>
    <n v="8"/>
    <n v="8"/>
    <n v="8"/>
    <n v="8"/>
    <n v="9"/>
    <n v="8"/>
    <n v="8"/>
    <n v="8"/>
    <m/>
    <m/>
    <m/>
    <n v="50"/>
    <n v="0"/>
    <s v="BENJAMIN PLACE (N)"/>
    <n v="2"/>
    <x v="7"/>
    <n v="5298.295454545455"/>
    <m/>
    <n v="0"/>
    <x v="6"/>
  </r>
  <r>
    <s v=""/>
    <x v="776"/>
    <s v="CENTRAL DRIVE"/>
    <s v="East Gate"/>
    <x v="157"/>
    <x v="0"/>
    <n v="370"/>
    <n v="26"/>
    <s v="NC"/>
    <s v="V"/>
    <n v="0"/>
    <n v="7"/>
    <n v="6"/>
    <n v="6"/>
    <n v="6"/>
    <n v="6"/>
    <n v="9"/>
    <n v="8"/>
    <n v="7"/>
    <n v="7"/>
    <n v="7"/>
    <m/>
    <m/>
    <m/>
    <n v="50"/>
    <n v="0"/>
    <s v="CENTRAL DRIVE"/>
    <n v="4"/>
    <x v="0"/>
    <n v="1471.590909090909"/>
    <m/>
    <n v="0"/>
    <x v="3"/>
  </r>
  <r>
    <s v=""/>
    <x v="777"/>
    <s v="BURLINGTON DRIVE(W)"/>
    <s v="Stansbury"/>
    <x v="167"/>
    <x v="156"/>
    <n v="909"/>
    <n v="26"/>
    <s v="NC"/>
    <s v="BC"/>
    <n v="0"/>
    <n v="8"/>
    <n v="8"/>
    <n v="8"/>
    <n v="8"/>
    <n v="8"/>
    <n v="8"/>
    <n v="8"/>
    <n v="8"/>
    <n v="8"/>
    <n v="8"/>
    <m/>
    <m/>
    <m/>
    <n v="50"/>
    <n v="0"/>
    <s v="BURLINGTON DRIVE(W)"/>
    <n v="2"/>
    <x v="7"/>
    <n v="4303.977272727273"/>
    <m/>
    <n v="0"/>
    <x v="6"/>
  </r>
  <r>
    <s v=""/>
    <x v="778"/>
    <s v="CHERRY TREE (N)"/>
    <s v="Twin Oaks"/>
    <x v="73"/>
    <x v="142"/>
    <n v="264"/>
    <n v="26"/>
    <s v="NC"/>
    <s v="C"/>
    <n v="0"/>
    <n v="7"/>
    <n v="8"/>
    <n v="8"/>
    <n v="8"/>
    <n v="9"/>
    <n v="8"/>
    <n v="8"/>
    <n v="7"/>
    <n v="6"/>
    <n v="6"/>
    <m/>
    <m/>
    <m/>
    <n v="50"/>
    <n v="0"/>
    <s v="CHERRY TREE (N)"/>
    <n v="1"/>
    <x v="5"/>
    <n v="4000"/>
    <n v="1"/>
    <n v="4000"/>
    <x v="3"/>
  </r>
  <r>
    <s v=""/>
    <x v="779"/>
    <s v="CHESTNUT ST(MOH)/E"/>
    <m/>
    <x v="3"/>
    <x v="25"/>
    <n v="588"/>
    <n v="20"/>
    <s v="AC"/>
    <s v="C"/>
    <n v="0"/>
    <n v="6"/>
    <n v="4"/>
    <n v="4"/>
    <n v="8"/>
    <n v="8"/>
    <n v="8"/>
    <n v="8"/>
    <n v="8"/>
    <n v="7"/>
    <n v="7"/>
    <m/>
    <m/>
    <m/>
    <n v="50"/>
    <n v="0"/>
    <s v="CHESTNUT ST(MOH)/E"/>
    <n v="2"/>
    <x v="0"/>
    <n v="2338.6363636363635"/>
    <m/>
    <n v="0"/>
    <x v="5"/>
  </r>
  <r>
    <s v=""/>
    <x v="780"/>
    <s v="CHRISTIAN DRIVE"/>
    <s v="Schildmeier Woods"/>
    <x v="102"/>
    <x v="152"/>
    <n v="1584"/>
    <n v="26"/>
    <s v="NC"/>
    <s v="SC"/>
    <n v="0"/>
    <n v="6"/>
    <n v="6"/>
    <n v="10"/>
    <n v="9"/>
    <n v="9"/>
    <n v="8"/>
    <n v="7"/>
    <n v="8"/>
    <n v="7"/>
    <n v="7"/>
    <m/>
    <m/>
    <m/>
    <n v="277"/>
    <n v="0"/>
    <s v="CHRISTIAN DRIVE"/>
    <n v="1"/>
    <x v="7"/>
    <n v="7500"/>
    <m/>
    <n v="0"/>
    <x v="4"/>
  </r>
  <r>
    <s v=""/>
    <x v="781"/>
    <s v="CLUBHOUSE DRIVE"/>
    <s v="Arrowhead"/>
    <x v="155"/>
    <x v="156"/>
    <n v="686"/>
    <n v="26"/>
    <s v="NC"/>
    <s v="C"/>
    <n v="0"/>
    <n v="7"/>
    <n v="7"/>
    <n v="7"/>
    <m/>
    <n v="7"/>
    <n v="7"/>
    <n v="7"/>
    <n v="6"/>
    <n v="7"/>
    <n v="7"/>
    <m/>
    <m/>
    <m/>
    <n v="50"/>
    <n v="0"/>
    <s v="CLUBHOUSE DRIVE"/>
    <n v="3"/>
    <x v="7"/>
    <n v="3248.1060606060605"/>
    <m/>
    <n v="0"/>
    <x v="4"/>
  </r>
  <r>
    <s v=""/>
    <x v="782"/>
    <s v="COLONIAL DRIVE"/>
    <s v="Colonial Heights"/>
    <x v="102"/>
    <x v="160"/>
    <n v="1531"/>
    <n v="26"/>
    <s v="NC"/>
    <s v="BC"/>
    <n v="0"/>
    <n v="4"/>
    <n v="4"/>
    <n v="10"/>
    <n v="9"/>
    <n v="8"/>
    <n v="7"/>
    <n v="6"/>
    <n v="7"/>
    <n v="7"/>
    <n v="7"/>
    <m/>
    <m/>
    <m/>
    <n v="50"/>
    <n v="0"/>
    <s v="COLONIAL DRIVE"/>
    <n v="2"/>
    <x v="7"/>
    <n v="7249.05303030303"/>
    <m/>
    <n v="0"/>
    <x v="4"/>
  </r>
  <r>
    <m/>
    <x v="783"/>
    <s v="COLTON COURT"/>
    <s v="Village Green"/>
    <x v="170"/>
    <x v="174"/>
    <n v="159"/>
    <n v="26"/>
    <s v="NC"/>
    <s v="SC"/>
    <n v="0"/>
    <m/>
    <n v="9"/>
    <n v="9"/>
    <n v="8"/>
    <n v="8"/>
    <n v="8"/>
    <n v="8"/>
    <n v="8"/>
    <n v="8"/>
    <n v="8"/>
    <m/>
    <m/>
    <m/>
    <n v="740"/>
    <n v="0.5"/>
    <s v="COLTON COURT"/>
    <n v="2.5"/>
    <x v="7"/>
    <n v="752.84090909090912"/>
    <m/>
    <n v="0"/>
    <x v="4"/>
  </r>
  <r>
    <m/>
    <x v="784"/>
    <s v="COLTON RD"/>
    <s v="Village Green"/>
    <x v="170"/>
    <x v="174"/>
    <n v="1246"/>
    <m/>
    <s v="NC"/>
    <s v="SC"/>
    <n v="0"/>
    <m/>
    <n v="9"/>
    <n v="9"/>
    <n v="8"/>
    <n v="8"/>
    <n v="8"/>
    <n v="8"/>
    <n v="8"/>
    <n v="8"/>
    <n v="8"/>
    <m/>
    <m/>
    <m/>
    <n v="740"/>
    <n v="0.5"/>
    <s v="COLTON RD"/>
    <n v="2.5"/>
    <x v="7"/>
    <n v="5899.621212121212"/>
    <m/>
    <n v="0"/>
    <x v="4"/>
  </r>
  <r>
    <s v=""/>
    <x v="785"/>
    <s v="COMMERCIAL"/>
    <s v="Mt. Comfort Commercial Park"/>
    <x v="171"/>
    <x v="175"/>
    <n v="845"/>
    <n v="26"/>
    <s v="NC"/>
    <s v="BC"/>
    <n v="0"/>
    <n v="8"/>
    <n v="7"/>
    <n v="7"/>
    <n v="7"/>
    <n v="7"/>
    <n v="7"/>
    <n v="7"/>
    <n v="8"/>
    <n v="7"/>
    <n v="7"/>
    <m/>
    <m/>
    <m/>
    <n v="50"/>
    <n v="0"/>
    <s v="COMMERCIAL"/>
    <n v="3"/>
    <x v="7"/>
    <n v="4000.9469696969695"/>
    <m/>
    <n v="0"/>
    <x v="4"/>
  </r>
  <r>
    <s v=""/>
    <x v="786"/>
    <s v="CORNERSTONE DRIVE(W)"/>
    <s v="Cornerstone Village"/>
    <x v="152"/>
    <x v="152"/>
    <n v="898"/>
    <n v="26"/>
    <s v="NC"/>
    <s v="SC"/>
    <n v="0"/>
    <n v="7"/>
    <n v="8"/>
    <n v="8"/>
    <n v="8"/>
    <n v="8"/>
    <n v="7"/>
    <n v="7"/>
    <n v="7"/>
    <n v="7"/>
    <n v="7"/>
    <m/>
    <m/>
    <m/>
    <n v="50"/>
    <n v="0"/>
    <s v="CHARLESTON WAY(W)"/>
    <n v="2"/>
    <x v="7"/>
    <n v="4251.893939393939"/>
    <m/>
    <n v="0"/>
    <x v="4"/>
  </r>
  <r>
    <s v=""/>
    <x v="787"/>
    <s v="CHARLESTON WAY(W)"/>
    <s v="Stansbury"/>
    <x v="167"/>
    <x v="156"/>
    <n v="686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CHARLESTON WAY(W)"/>
    <n v="2"/>
    <x v="7"/>
    <n v="3248.1060606060605"/>
    <m/>
    <n v="0"/>
    <x v="6"/>
  </r>
  <r>
    <m/>
    <x v="788"/>
    <s v="COTTONWOOD DRIVE"/>
    <s v="Apple's Maxwell"/>
    <x v="31"/>
    <x v="33"/>
    <n v="518.79999999999995"/>
    <m/>
    <s v="NC"/>
    <s v="C"/>
    <n v="0"/>
    <m/>
    <n v="6"/>
    <n v="10"/>
    <n v="9"/>
    <n v="8"/>
    <n v="7"/>
    <n v="7"/>
    <n v="7"/>
    <n v="7"/>
    <n v="7"/>
    <m/>
    <m/>
    <m/>
    <n v="50"/>
    <n v="0"/>
    <s v="COTTONWOOD DR"/>
    <n v="2"/>
    <x v="5"/>
    <n v="7860.606060606061"/>
    <m/>
    <n v="0"/>
    <x v="5"/>
  </r>
  <r>
    <s v=""/>
    <x v="789"/>
    <s v="COUNTRY LANE"/>
    <s v="Bittersweet Acres"/>
    <x v="172"/>
    <x v="105"/>
    <n v="1267"/>
    <n v="26"/>
    <s v="NC"/>
    <s v="C"/>
    <n v="0"/>
    <n v="7"/>
    <n v="7"/>
    <n v="10"/>
    <n v="9"/>
    <n v="8"/>
    <n v="7"/>
    <n v="7"/>
    <n v="7"/>
    <n v="7"/>
    <n v="7"/>
    <m/>
    <m/>
    <m/>
    <n v="50"/>
    <n v="0"/>
    <s v="COUNTRY LANE DRIVE"/>
    <n v="2"/>
    <x v="7"/>
    <n v="5999.05303030303"/>
    <m/>
    <n v="0"/>
    <x v="4"/>
  </r>
  <r>
    <m/>
    <x v="790"/>
    <s v="COUNTRY LANE DRIVE"/>
    <s v="Shady Creek"/>
    <x v="71"/>
    <x v="31"/>
    <n v="1011"/>
    <n v="26"/>
    <s v="HMA"/>
    <s v="SC"/>
    <n v="0"/>
    <m/>
    <n v="6"/>
    <n v="10"/>
    <n v="9"/>
    <n v="9"/>
    <n v="9"/>
    <n v="8"/>
    <n v="8"/>
    <n v="8"/>
    <n v="7"/>
    <m/>
    <m/>
    <m/>
    <n v="189"/>
    <n v="0"/>
    <s v="COUNTRY LANE"/>
    <n v="1"/>
    <x v="7"/>
    <n v="4786.931818181818"/>
    <m/>
    <n v="0"/>
    <x v="4"/>
  </r>
  <r>
    <s v=""/>
    <x v="791"/>
    <s v="COUNTRY MILL DRIVE"/>
    <s v="Country Mill"/>
    <x v="73"/>
    <x v="176"/>
    <n v="950"/>
    <n v="26"/>
    <s v="NC"/>
    <s v="C"/>
    <n v="0"/>
    <n v="7"/>
    <n v="8"/>
    <n v="8"/>
    <n v="7"/>
    <n v="7"/>
    <n v="7"/>
    <n v="6"/>
    <n v="6"/>
    <n v="6"/>
    <n v="6"/>
    <m/>
    <m/>
    <m/>
    <n v="50"/>
    <n v="0"/>
    <s v="COUNTRY MILL DRIVE"/>
    <n v="3"/>
    <x v="5"/>
    <n v="14393.939393939394"/>
    <n v="1"/>
    <n v="14393.939393939394"/>
    <x v="3"/>
  </r>
  <r>
    <s v=""/>
    <x v="792"/>
    <s v="DOVER PLACE(W)"/>
    <s v="Stansbury"/>
    <x v="167"/>
    <x v="156"/>
    <n v="950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DOVER PLACE(W)"/>
    <n v="2"/>
    <x v="7"/>
    <n v="4498.106060606061"/>
    <m/>
    <n v="0"/>
    <x v="6"/>
  </r>
  <r>
    <s v=""/>
    <x v="793"/>
    <s v="COUNTRY WAY"/>
    <s v="Countryside"/>
    <x v="15"/>
    <x v="154"/>
    <n v="1584"/>
    <n v="26"/>
    <s v="NC"/>
    <s v="SC"/>
    <n v="0"/>
    <n v="6"/>
    <n v="8"/>
    <n v="7"/>
    <n v="6"/>
    <n v="6"/>
    <n v="8"/>
    <n v="8"/>
    <n v="7"/>
    <n v="7"/>
    <n v="7"/>
    <m/>
    <m/>
    <m/>
    <n v="184"/>
    <n v="0"/>
    <s v="COUNTRY WAY"/>
    <n v="4"/>
    <x v="9"/>
    <n v="750"/>
    <m/>
    <n v="0"/>
    <x v="3"/>
  </r>
  <r>
    <s v=""/>
    <x v="794"/>
    <s v="COUNTRYSIDE COURT"/>
    <s v="Countryside"/>
    <x v="15"/>
    <x v="154"/>
    <n v="686"/>
    <n v="26"/>
    <s v="NC"/>
    <s v="SC"/>
    <n v="0"/>
    <n v="6"/>
    <n v="8"/>
    <n v="7"/>
    <n v="7"/>
    <n v="7"/>
    <n v="7"/>
    <n v="8"/>
    <n v="7"/>
    <n v="7"/>
    <n v="7"/>
    <m/>
    <m/>
    <m/>
    <n v="184"/>
    <n v="0"/>
    <s v="COUNTRYSIDE COURT"/>
    <n v="3"/>
    <x v="9"/>
    <n v="324.81060606060606"/>
    <m/>
    <n v="0"/>
    <x v="3"/>
  </r>
  <r>
    <s v=""/>
    <x v="795"/>
    <s v="COUNTRYSIDE DRIVE"/>
    <s v="Countryside"/>
    <x v="15"/>
    <x v="154"/>
    <n v="1162"/>
    <n v="26"/>
    <s v="NC"/>
    <s v="SC"/>
    <n v="0"/>
    <n v="6"/>
    <n v="8"/>
    <n v="7"/>
    <n v="7"/>
    <n v="7"/>
    <n v="8"/>
    <n v="8"/>
    <n v="7"/>
    <n v="7"/>
    <n v="7"/>
    <m/>
    <m/>
    <m/>
    <n v="889"/>
    <n v="0.5"/>
    <s v="COUNTRYSIDE DRIVE"/>
    <n v="3.5"/>
    <x v="9"/>
    <n v="550.18939393939399"/>
    <m/>
    <n v="0"/>
    <x v="3"/>
  </r>
  <r>
    <s v=""/>
    <x v="796"/>
    <s v="JAMESTOWN DR(N)"/>
    <s v="Stansbury"/>
    <x v="167"/>
    <x v="156"/>
    <n v="911"/>
    <n v="26"/>
    <s v="NC"/>
    <s v="BC"/>
    <n v="0"/>
    <n v="8"/>
    <n v="8"/>
    <n v="8"/>
    <n v="8"/>
    <n v="8"/>
    <n v="8"/>
    <n v="8"/>
    <n v="8"/>
    <n v="8"/>
    <n v="8"/>
    <m/>
    <m/>
    <m/>
    <n v="50"/>
    <n v="0"/>
    <s v="JAMESTOWN DR(N)"/>
    <n v="2"/>
    <x v="7"/>
    <n v="4313.44696969697"/>
    <m/>
    <n v="0"/>
    <x v="6"/>
  </r>
  <r>
    <m/>
    <x v="797"/>
    <s v="CREEK RIDGE DRIVE"/>
    <s v="Creek Ridge Place"/>
    <x v="31"/>
    <x v="177"/>
    <n v="1040"/>
    <n v="26"/>
    <s v="NC"/>
    <s v="BW"/>
    <n v="0"/>
    <m/>
    <n v="6"/>
    <n v="6"/>
    <n v="8"/>
    <n v="8"/>
    <n v="8"/>
    <n v="7"/>
    <n v="7"/>
    <n v="7"/>
    <n v="7"/>
    <m/>
    <m/>
    <m/>
    <n v="208"/>
    <n v="0"/>
    <m/>
    <n v="2"/>
    <x v="7"/>
    <n v="4924.242424242424"/>
    <m/>
    <n v="0"/>
    <x v="4"/>
  </r>
  <r>
    <s v=""/>
    <x v="798"/>
    <s v="CREEK RIDGE DRIVE(W)"/>
    <s v="Creek Ridge Place"/>
    <x v="157"/>
    <x v="177"/>
    <n v="1056"/>
    <n v="26"/>
    <s v="NC"/>
    <s v="BW"/>
    <n v="0"/>
    <n v="7"/>
    <n v="9"/>
    <n v="9"/>
    <n v="9"/>
    <n v="9"/>
    <n v="8"/>
    <n v="7"/>
    <n v="7"/>
    <n v="7"/>
    <n v="7"/>
    <m/>
    <m/>
    <m/>
    <n v="112"/>
    <n v="0"/>
    <s v="CREEK RIDGE DRIVE(W)"/>
    <n v="1"/>
    <x v="0"/>
    <n v="4200"/>
    <m/>
    <n v="0"/>
    <x v="3"/>
  </r>
  <r>
    <s v=""/>
    <x v="799"/>
    <s v="CREEKSIDE COURT"/>
    <s v="Schildmeier Woods"/>
    <x v="102"/>
    <x v="152"/>
    <n v="422"/>
    <n v="26"/>
    <s v="NC"/>
    <s v="SC"/>
    <n v="0"/>
    <n v="7"/>
    <n v="7"/>
    <n v="10"/>
    <n v="9"/>
    <n v="8"/>
    <n v="7"/>
    <n v="7"/>
    <n v="8"/>
    <n v="7"/>
    <n v="7"/>
    <m/>
    <m/>
    <m/>
    <n v="668"/>
    <n v="0.5"/>
    <s v="CREEKSIDE COURT"/>
    <n v="2.5"/>
    <x v="7"/>
    <n v="1998.1060606060605"/>
    <m/>
    <n v="0"/>
    <x v="4"/>
  </r>
  <r>
    <s v=""/>
    <x v="800"/>
    <s v="CREEKSIDE DR (N)"/>
    <s v="Schildmeier Woods"/>
    <x v="161"/>
    <x v="163"/>
    <n v="422"/>
    <n v="26"/>
    <s v="NC"/>
    <s v="SC"/>
    <n v="0"/>
    <n v="7"/>
    <n v="7"/>
    <n v="7"/>
    <n v="7"/>
    <n v="8"/>
    <n v="8"/>
    <n v="7"/>
    <n v="8"/>
    <n v="7"/>
    <n v="7"/>
    <m/>
    <m/>
    <m/>
    <n v="668"/>
    <n v="0.5"/>
    <s v="CREEKSIDE DR (N)"/>
    <n v="2.5"/>
    <x v="7"/>
    <n v="1998.1060606060605"/>
    <m/>
    <n v="0"/>
    <x v="4"/>
  </r>
  <r>
    <s v=""/>
    <x v="801"/>
    <s v="CREEKSIDE DR (W)"/>
    <s v="Schildmeier Woods"/>
    <x v="161"/>
    <x v="163"/>
    <n v="2059"/>
    <n v="26"/>
    <s v="NC"/>
    <s v="SC"/>
    <n v="0"/>
    <n v="7"/>
    <n v="7"/>
    <n v="7"/>
    <n v="7"/>
    <n v="8"/>
    <n v="8"/>
    <n v="7"/>
    <n v="8"/>
    <n v="7"/>
    <n v="7"/>
    <m/>
    <m/>
    <m/>
    <n v="668"/>
    <n v="0.5"/>
    <s v="CREEKSIDE DR (W)"/>
    <n v="2.5"/>
    <x v="7"/>
    <n v="9749.05303030303"/>
    <m/>
    <n v="0"/>
    <x v="4"/>
  </r>
  <r>
    <s v=""/>
    <x v="802"/>
    <s v="CREEKSIDE DRIVE"/>
    <s v="Schildmeier Woods"/>
    <x v="102"/>
    <x v="152"/>
    <n v="5702"/>
    <n v="26"/>
    <s v="NC"/>
    <s v="SC"/>
    <n v="0"/>
    <n v="7"/>
    <n v="7"/>
    <n v="7"/>
    <n v="7"/>
    <n v="8"/>
    <n v="8"/>
    <n v="7"/>
    <n v="8"/>
    <n v="7"/>
    <n v="7"/>
    <m/>
    <m/>
    <m/>
    <n v="668"/>
    <n v="0.5"/>
    <s v="CREEKSIDE DRIVE"/>
    <n v="2.5"/>
    <x v="7"/>
    <n v="26998.10606060606"/>
    <m/>
    <n v="0"/>
    <x v="4"/>
  </r>
  <r>
    <s v=""/>
    <x v="803"/>
    <s v="CREEKVIEW DRIVE"/>
    <s v="Sugar Creek Valley Estates"/>
    <x v="161"/>
    <x v="163"/>
    <n v="2087"/>
    <m/>
    <s v="NC"/>
    <s v="BC"/>
    <n v="0"/>
    <m/>
    <n v="7"/>
    <n v="7"/>
    <n v="7"/>
    <n v="7"/>
    <n v="8"/>
    <n v="8"/>
    <n v="7"/>
    <n v="7"/>
    <n v="7"/>
    <m/>
    <m/>
    <m/>
    <n v="50"/>
    <n v="0"/>
    <s v="CREEKVIEW DRIVE"/>
    <n v="3"/>
    <x v="9"/>
    <n v="16881.509999999998"/>
    <m/>
    <n v="0"/>
    <x v="3"/>
  </r>
  <r>
    <m/>
    <x v="804"/>
    <s v="CREEKWATER PASS"/>
    <s v="Heron Creek"/>
    <x v="171"/>
    <x v="178"/>
    <n v="1182"/>
    <m/>
    <s v="NC"/>
    <s v="BC"/>
    <n v="0"/>
    <m/>
    <n v="10"/>
    <n v="10"/>
    <n v="9"/>
    <n v="9"/>
    <n v="9"/>
    <n v="8"/>
    <n v="8"/>
    <n v="8"/>
    <n v="8"/>
    <m/>
    <m/>
    <m/>
    <n v="50"/>
    <n v="0"/>
    <s v="CREEKWATER PASS"/>
    <n v="1"/>
    <x v="7"/>
    <n v="5596.590909090909"/>
    <m/>
    <n v="0"/>
    <x v="4"/>
  </r>
  <r>
    <s v=""/>
    <x v="805"/>
    <s v="CROSS TRAIL (W)"/>
    <s v="Willow Grove"/>
    <x v="102"/>
    <x v="172"/>
    <n v="528"/>
    <n v="26"/>
    <s v="NC"/>
    <s v="SC"/>
    <n v="0"/>
    <n v="7"/>
    <n v="7"/>
    <n v="7"/>
    <n v="7"/>
    <n v="7"/>
    <n v="7"/>
    <n v="7"/>
    <n v="7"/>
    <n v="7"/>
    <n v="7"/>
    <m/>
    <m/>
    <m/>
    <n v="888"/>
    <n v="0.5"/>
    <s v="CROSS TRAIL (W)"/>
    <n v="3.5"/>
    <x v="7"/>
    <n v="2500"/>
    <m/>
    <n v="0"/>
    <x v="4"/>
  </r>
  <r>
    <s v=""/>
    <x v="806"/>
    <s v="CUB BOULEVARD"/>
    <s v="Fox Cove"/>
    <x v="102"/>
    <x v="179"/>
    <n v="1109"/>
    <n v="26"/>
    <s v="NC"/>
    <s v="SC"/>
    <n v="0"/>
    <n v="7"/>
    <n v="7"/>
    <n v="7"/>
    <n v="7"/>
    <n v="7"/>
    <n v="7"/>
    <n v="7"/>
    <n v="7"/>
    <n v="7"/>
    <n v="7"/>
    <m/>
    <m/>
    <m/>
    <n v="515"/>
    <n v="0.5"/>
    <s v="CUB BOULEVARD"/>
    <n v="3.5"/>
    <x v="7"/>
    <n v="5250.94696969697"/>
    <m/>
    <n v="0"/>
    <x v="4"/>
  </r>
  <r>
    <s v=""/>
    <x v="807"/>
    <s v="DAISY LANE"/>
    <s v="Gem Meadows"/>
    <x v="15"/>
    <x v="139"/>
    <n v="3168"/>
    <n v="26"/>
    <s v="NC"/>
    <s v="SC"/>
    <n v="0"/>
    <n v="7"/>
    <n v="8"/>
    <n v="8"/>
    <n v="8"/>
    <n v="8"/>
    <n v="7"/>
    <n v="7"/>
    <n v="7"/>
    <n v="7"/>
    <n v="7"/>
    <m/>
    <m/>
    <m/>
    <n v="302"/>
    <n v="0"/>
    <s v="DAISY LANE"/>
    <n v="2"/>
    <x v="5"/>
    <n v="48000"/>
    <m/>
    <n v="0"/>
    <x v="7"/>
  </r>
  <r>
    <s v=""/>
    <x v="808"/>
    <s v="DECKSHIRE LANE"/>
    <s v="Deckshire"/>
    <x v="173"/>
    <x v="180"/>
    <n v="1031"/>
    <n v="26"/>
    <s v="NC"/>
    <s v="B"/>
    <n v="0"/>
    <n v="7"/>
    <n v="6"/>
    <n v="6"/>
    <n v="6"/>
    <n v="6"/>
    <n v="9"/>
    <n v="8"/>
    <n v="7"/>
    <n v="7"/>
    <n v="7"/>
    <m/>
    <m/>
    <m/>
    <n v="50"/>
    <n v="0"/>
    <s v="DECKSHIRE LANE"/>
    <n v="4"/>
    <x v="7"/>
    <n v="4881.628787878788"/>
    <m/>
    <n v="0"/>
    <x v="4"/>
  </r>
  <r>
    <m/>
    <x v="809"/>
    <s v="DEER LANE (N)"/>
    <s v="Sugar Creek Valley Estates"/>
    <x v="161"/>
    <x v="163"/>
    <n v="475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DEER LANE (N)"/>
    <n v="3"/>
    <x v="9"/>
    <n v="3842.2"/>
    <m/>
    <n v="0"/>
    <x v="3"/>
  </r>
  <r>
    <s v=""/>
    <x v="810"/>
    <s v="DEER RUN DRIVE"/>
    <s v="Deer Run"/>
    <x v="164"/>
    <x v="172"/>
    <n v="1426"/>
    <n v="26"/>
    <s v="NC"/>
    <s v="SC"/>
    <n v="0"/>
    <n v="5"/>
    <n v="5"/>
    <n v="10"/>
    <n v="9"/>
    <n v="8"/>
    <n v="7"/>
    <n v="7"/>
    <n v="7"/>
    <n v="7"/>
    <n v="7"/>
    <m/>
    <m/>
    <m/>
    <n v="431"/>
    <n v="0"/>
    <s v="DEER RUN DRIVE"/>
    <n v="2"/>
    <x v="7"/>
    <n v="6751.893939393939"/>
    <m/>
    <n v="0"/>
    <x v="4"/>
  </r>
  <r>
    <s v=""/>
    <x v="811"/>
    <s v="DEERFIELD DRIVE"/>
    <s v="Hunters Chase"/>
    <x v="174"/>
    <x v="181"/>
    <n v="2534"/>
    <n v="26"/>
    <s v="NC"/>
    <s v="BC"/>
    <n v="0"/>
    <n v="6"/>
    <n v="6"/>
    <n v="6"/>
    <n v="6"/>
    <n v="9"/>
    <n v="9"/>
    <n v="8"/>
    <n v="8"/>
    <n v="8"/>
    <n v="8"/>
    <m/>
    <m/>
    <m/>
    <n v="50"/>
    <n v="0"/>
    <s v="DEERFIELD DRIVE"/>
    <n v="1"/>
    <x v="7"/>
    <n v="11998.10606060606"/>
    <m/>
    <n v="0"/>
    <x v="4"/>
  </r>
  <r>
    <s v=""/>
    <x v="812"/>
    <s v="JAMESTOWN DRIVE (W)"/>
    <s v="Stansbury"/>
    <x v="175"/>
    <x v="182"/>
    <n v="539"/>
    <n v="26"/>
    <s v="NC"/>
    <s v="BC"/>
    <n v="0"/>
    <n v="7"/>
    <n v="8"/>
    <n v="8"/>
    <n v="8"/>
    <n v="8"/>
    <n v="8"/>
    <m/>
    <n v="8"/>
    <n v="8"/>
    <n v="8"/>
    <m/>
    <m/>
    <m/>
    <n v="50"/>
    <n v="0"/>
    <s v="JAMESTOWN DRIVE (W"/>
    <n v="2"/>
    <x v="7"/>
    <n v="2552.0833333333335"/>
    <m/>
    <n v="0"/>
    <x v="6"/>
  </r>
  <r>
    <s v=""/>
    <x v="813"/>
    <s v="DOE CT (N)"/>
    <s v="Sugar Creek Valley Estates"/>
    <x v="161"/>
    <x v="163"/>
    <n v="317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DOE CT (N)"/>
    <n v="3"/>
    <x v="7"/>
    <n v="1500.9469696969697"/>
    <m/>
    <n v="0"/>
    <x v="4"/>
  </r>
  <r>
    <s v=""/>
    <x v="814"/>
    <s v="DOGWOOD WAY (N)"/>
    <s v="Sugar Creek Valley Estates"/>
    <x v="161"/>
    <x v="163"/>
    <n v="528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DOGWOOD WAY (N)"/>
    <n v="3"/>
    <x v="7"/>
    <n v="2500"/>
    <m/>
    <n v="0"/>
    <x v="4"/>
  </r>
  <r>
    <s v=""/>
    <x v="815"/>
    <s v="JEFFERSON CT (W)"/>
    <s v="Stansbury"/>
    <x v="175"/>
    <x v="182"/>
    <n v="416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JEFFERSON CT (W)"/>
    <n v="2"/>
    <x v="7"/>
    <n v="1969.6969696969697"/>
    <m/>
    <n v="0"/>
    <x v="6"/>
  </r>
  <r>
    <s v=""/>
    <x v="816"/>
    <s v="JEFFERSON CT(N)"/>
    <s v="Stansbury"/>
    <x v="167"/>
    <x v="156"/>
    <n v="439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JEFFERSON CT(N)"/>
    <n v="2"/>
    <x v="7"/>
    <n v="2078.598484848485"/>
    <m/>
    <n v="0"/>
    <x v="6"/>
  </r>
  <r>
    <s v=""/>
    <x v="817"/>
    <s v="EAST ST(CHAR)/25N"/>
    <m/>
    <x v="23"/>
    <x v="57"/>
    <n v="1049"/>
    <n v="20"/>
    <s v="AC"/>
    <s v="C"/>
    <n v="0"/>
    <n v="8"/>
    <n v="3"/>
    <n v="3"/>
    <n v="10"/>
    <n v="9"/>
    <n v="8"/>
    <n v="7"/>
    <n v="7"/>
    <n v="7"/>
    <n v="7"/>
    <m/>
    <m/>
    <m/>
    <n v="50"/>
    <n v="0"/>
    <s v="EAST ST(CHAR)/25N"/>
    <n v="1"/>
    <x v="2"/>
    <n v="6357.575757575758"/>
    <m/>
    <n v="0"/>
    <x v="5"/>
  </r>
  <r>
    <s v=""/>
    <x v="818"/>
    <s v="EAST ST(CHAR)/US40"/>
    <m/>
    <x v="23"/>
    <x v="144"/>
    <n v="1992"/>
    <n v="20"/>
    <s v="AC"/>
    <s v="J"/>
    <n v="0"/>
    <n v="8"/>
    <n v="6"/>
    <n v="5"/>
    <n v="9"/>
    <n v="8"/>
    <n v="8"/>
    <n v="7"/>
    <n v="7"/>
    <n v="7"/>
    <n v="7"/>
    <m/>
    <m/>
    <m/>
    <n v="50"/>
    <n v="0"/>
    <s v="EAST ST(CHAR)/US40"/>
    <n v="2"/>
    <x v="2"/>
    <n v="12072.727272727272"/>
    <m/>
    <n v="0"/>
    <x v="5"/>
  </r>
  <r>
    <s v=""/>
    <x v="819"/>
    <s v="EAST ST(MAX)/END"/>
    <m/>
    <x v="1"/>
    <x v="25"/>
    <n v="874"/>
    <n v="20"/>
    <s v="CS"/>
    <s v="C"/>
    <n v="0"/>
    <n v="7"/>
    <n v="6"/>
    <n v="6"/>
    <n v="6"/>
    <n v="6"/>
    <n v="6"/>
    <n v="6"/>
    <n v="6"/>
    <n v="6"/>
    <n v="6"/>
    <m/>
    <m/>
    <m/>
    <n v="50"/>
    <n v="0"/>
    <s v="EAST ST(MAX)/END"/>
    <n v="4"/>
    <x v="2"/>
    <n v="5296.969696969697"/>
    <m/>
    <n v="0"/>
    <x v="2"/>
  </r>
  <r>
    <n v="1097"/>
    <x v="820"/>
    <s v="EASTERN VILLAGE"/>
    <s v="Eastern Village"/>
    <x v="23"/>
    <x v="183"/>
    <n v="1628"/>
    <n v="20"/>
    <s v="AC"/>
    <s v="J"/>
    <n v="0"/>
    <m/>
    <m/>
    <m/>
    <n v="8"/>
    <n v="8"/>
    <m/>
    <n v="7"/>
    <n v="7"/>
    <n v="7"/>
    <m/>
    <m/>
    <m/>
    <m/>
    <n v="50"/>
    <n v="0"/>
    <s v="EASTERN VILLAGE"/>
    <n v="2"/>
    <x v="7"/>
    <n v="7708.333333333333"/>
    <m/>
    <n v="0"/>
    <x v="4"/>
  </r>
  <r>
    <s v=""/>
    <x v="821"/>
    <s v="EASY ST."/>
    <s v="Meadow Lake Village"/>
    <x v="176"/>
    <x v="139"/>
    <n v="1608"/>
    <m/>
    <s v="NC"/>
    <s v="SC"/>
    <n v="0"/>
    <m/>
    <n v="7"/>
    <n v="7"/>
    <n v="7"/>
    <n v="7"/>
    <n v="7"/>
    <n v="7"/>
    <n v="7"/>
    <n v="7"/>
    <n v="7"/>
    <m/>
    <m/>
    <m/>
    <n v="2144"/>
    <n v="1"/>
    <m/>
    <n v="4"/>
    <x v="7"/>
    <n v="7613.636363636364"/>
    <m/>
    <n v="0"/>
    <x v="4"/>
  </r>
  <r>
    <s v=""/>
    <x v="822"/>
    <s v="JEFFERSON DRIVE"/>
    <s v="Stansbury"/>
    <x v="167"/>
    <x v="156"/>
    <n v="1195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JEFFERSON DRIVE"/>
    <n v="2"/>
    <x v="7"/>
    <n v="5658.143939393939"/>
    <m/>
    <n v="0"/>
    <x v="6"/>
  </r>
  <r>
    <s v="G22"/>
    <x v="823"/>
    <s v="EDEN RD./250E"/>
    <m/>
    <x v="21"/>
    <x v="121"/>
    <n v="3590"/>
    <n v="18"/>
    <s v="AC"/>
    <s v="G"/>
    <n v="0"/>
    <n v="4"/>
    <n v="7"/>
    <n v="7"/>
    <n v="6"/>
    <n v="6"/>
    <n v="6"/>
    <n v="6"/>
    <n v="6"/>
    <n v="7"/>
    <n v="7"/>
    <m/>
    <m/>
    <m/>
    <n v="108"/>
    <n v="0"/>
    <s v="EDEN RD./250E"/>
    <n v="4"/>
    <x v="3"/>
    <n v="31276.515151515152"/>
    <m/>
    <n v="0"/>
    <x v="5"/>
  </r>
  <r>
    <s v="G23"/>
    <x v="824"/>
    <s v="EDEN RD./TROY RD"/>
    <m/>
    <x v="116"/>
    <x v="131"/>
    <n v="4646"/>
    <n v="20"/>
    <s v="CS"/>
    <s v="G"/>
    <n v="0"/>
    <n v="7"/>
    <n v="8"/>
    <n v="8"/>
    <n v="7"/>
    <n v="7"/>
    <n v="6"/>
    <n v="6"/>
    <n v="6"/>
    <n v="7"/>
    <n v="7"/>
    <m/>
    <m/>
    <m/>
    <n v="44"/>
    <n v="0"/>
    <s v="EDEN RD./TROY RD"/>
    <n v="3"/>
    <x v="0"/>
    <n v="18478.409090909092"/>
    <m/>
    <n v="0"/>
    <x v="2"/>
  </r>
  <r>
    <s v=""/>
    <x v="825"/>
    <s v="ELAND DRIVE"/>
    <s v="Deer Run"/>
    <x v="164"/>
    <x v="172"/>
    <n v="2482"/>
    <n v="26"/>
    <s v="NC"/>
    <s v="SC"/>
    <n v="0"/>
    <n v="5"/>
    <n v="5"/>
    <n v="10"/>
    <n v="9"/>
    <n v="8"/>
    <n v="7"/>
    <n v="7"/>
    <n v="7"/>
    <n v="7"/>
    <n v="7"/>
    <m/>
    <m/>
    <m/>
    <n v="629"/>
    <n v="0.5"/>
    <s v="ELAND DRIVE"/>
    <n v="2.5"/>
    <x v="7"/>
    <n v="11751.89393939394"/>
    <m/>
    <n v="0"/>
    <x v="4"/>
  </r>
  <r>
    <s v=""/>
    <x v="826"/>
    <s v="ELISE COURT"/>
    <s v="Country Mill"/>
    <x v="73"/>
    <x v="176"/>
    <n v="634"/>
    <n v="26"/>
    <s v="NC"/>
    <s v="C"/>
    <n v="0"/>
    <n v="7"/>
    <n v="8"/>
    <n v="8"/>
    <n v="7"/>
    <n v="8"/>
    <n v="7"/>
    <n v="6"/>
    <n v="6"/>
    <n v="6"/>
    <n v="6"/>
    <m/>
    <m/>
    <m/>
    <n v="50"/>
    <n v="0"/>
    <s v="ELISE COURT"/>
    <n v="2"/>
    <x v="5"/>
    <n v="9606.060606060606"/>
    <n v="1"/>
    <n v="9606.060606060606"/>
    <x v="3"/>
  </r>
  <r>
    <s v=""/>
    <x v="827"/>
    <s v="KINGSTON DRIVE(W)"/>
    <s v="Stansbury"/>
    <x v="167"/>
    <x v="156"/>
    <n v="898"/>
    <n v="26"/>
    <s v="NC"/>
    <s v="BC"/>
    <n v="0"/>
    <n v="7"/>
    <n v="8"/>
    <n v="8"/>
    <n v="8"/>
    <n v="8"/>
    <n v="8"/>
    <n v="8"/>
    <n v="8"/>
    <n v="8"/>
    <n v="7"/>
    <m/>
    <m/>
    <m/>
    <n v="50"/>
    <n v="0"/>
    <s v="KINGSTON DRIVE(W)"/>
    <n v="2"/>
    <x v="7"/>
    <n v="4251.893939393939"/>
    <m/>
    <n v="0"/>
    <x v="6"/>
  </r>
  <r>
    <s v=""/>
    <x v="828"/>
    <s v="FAIRWAY VILLAGE BOULEVARD(S)"/>
    <s v="Fairway Village"/>
    <x v="76"/>
    <x v="139"/>
    <n v="739"/>
    <n v="26"/>
    <s v="NC"/>
    <s v="C"/>
    <n v="0"/>
    <n v="7"/>
    <n v="8"/>
    <n v="7"/>
    <n v="7"/>
    <n v="7"/>
    <n v="7"/>
    <n v="7"/>
    <n v="7"/>
    <n v="7"/>
    <n v="7"/>
    <m/>
    <m/>
    <m/>
    <n v="50"/>
    <n v="0"/>
    <s v="FAIRWAY VILLAGE BOULEVARD(S)"/>
    <n v="3"/>
    <x v="7"/>
    <n v="3499.0530303030305"/>
    <m/>
    <n v="0"/>
    <x v="4"/>
  </r>
  <r>
    <s v=""/>
    <x v="829"/>
    <s v="FAIRWAY VILLAGE COURT(S)"/>
    <s v="Fairway Village"/>
    <x v="76"/>
    <x v="139"/>
    <n v="317"/>
    <n v="26"/>
    <s v="NC"/>
    <s v="C"/>
    <n v="0"/>
    <n v="7"/>
    <n v="8"/>
    <n v="8"/>
    <n v="8"/>
    <n v="8"/>
    <n v="7"/>
    <n v="7"/>
    <n v="7"/>
    <n v="7"/>
    <n v="7"/>
    <m/>
    <m/>
    <m/>
    <n v="50"/>
    <n v="0"/>
    <s v="FAIRWAY VILLAGE COURT(S)"/>
    <n v="2"/>
    <x v="7"/>
    <n v="1500.9469696969697"/>
    <m/>
    <n v="0"/>
    <x v="4"/>
  </r>
  <r>
    <s v=""/>
    <x v="830"/>
    <s v="FAIRWAY VILLAGE DRIVE(E)"/>
    <s v="Fairway Village"/>
    <x v="76"/>
    <x v="139"/>
    <n v="1584"/>
    <n v="26"/>
    <s v="NC"/>
    <s v="C"/>
    <n v="0"/>
    <n v="7"/>
    <n v="8"/>
    <n v="8"/>
    <n v="8"/>
    <n v="8"/>
    <n v="7"/>
    <n v="7"/>
    <n v="7"/>
    <n v="7"/>
    <n v="7"/>
    <m/>
    <m/>
    <m/>
    <n v="50"/>
    <n v="0"/>
    <s v="FAIRWAY VILLAGE DRIVE€"/>
    <n v="2"/>
    <x v="7"/>
    <n v="7500"/>
    <m/>
    <n v="0"/>
    <x v="4"/>
  </r>
  <r>
    <m/>
    <x v="831"/>
    <s v="FALLOW TRAIL"/>
    <s v="Deer Run"/>
    <x v="164"/>
    <x v="172"/>
    <n v="1584"/>
    <n v="26"/>
    <s v="NC"/>
    <s v="SC"/>
    <n v="0"/>
    <n v="6"/>
    <n v="6"/>
    <n v="10"/>
    <n v="9"/>
    <n v="8"/>
    <n v="7"/>
    <n v="7"/>
    <n v="7"/>
    <n v="7"/>
    <n v="7"/>
    <m/>
    <m/>
    <m/>
    <n v="629"/>
    <n v="0.5"/>
    <s v="FALLOW TRAIL"/>
    <n v="2.5"/>
    <x v="7"/>
    <n v="7500"/>
    <m/>
    <n v="0"/>
    <x v="4"/>
  </r>
  <r>
    <s v=""/>
    <x v="832"/>
    <s v="FARM STONE CIRCLE(S)"/>
    <s v="Countryside"/>
    <x v="15"/>
    <x v="154"/>
    <n v="364"/>
    <n v="26"/>
    <s v="NC"/>
    <s v="SC"/>
    <n v="0"/>
    <n v="6"/>
    <n v="8"/>
    <n v="8"/>
    <n v="8"/>
    <n v="8"/>
    <n v="8"/>
    <n v="8"/>
    <n v="7"/>
    <n v="7"/>
    <n v="7"/>
    <m/>
    <m/>
    <m/>
    <n v="515"/>
    <n v="0.5"/>
    <s v="FARM STONE CIRCLE(S)"/>
    <n v="2.5"/>
    <x v="9"/>
    <n v="172.34848484848484"/>
    <m/>
    <n v="0"/>
    <x v="3"/>
  </r>
  <r>
    <s v="SC15"/>
    <x v="833"/>
    <s v="FAUT ROAD/300W"/>
    <m/>
    <x v="11"/>
    <x v="29"/>
    <n v="6591"/>
    <n v="20"/>
    <s v="CS"/>
    <s v="SC"/>
    <n v="0"/>
    <n v="6"/>
    <n v="8"/>
    <n v="7"/>
    <n v="7"/>
    <n v="7"/>
    <n v="6"/>
    <n v="6"/>
    <n v="6"/>
    <n v="6"/>
    <n v="7"/>
    <m/>
    <m/>
    <m/>
    <n v="18"/>
    <n v="0"/>
    <s v="FAUT ROAD/300W"/>
    <n v="3"/>
    <x v="2"/>
    <n v="39945.454545454544"/>
    <m/>
    <n v="0"/>
    <x v="2"/>
  </r>
  <r>
    <s v=""/>
    <x v="834"/>
    <s v="FIELDING ROAD"/>
    <s v="New Palestine Village"/>
    <x v="159"/>
    <x v="143"/>
    <n v="1109"/>
    <n v="26"/>
    <s v="NC"/>
    <s v="SC"/>
    <n v="0"/>
    <n v="6"/>
    <n v="6"/>
    <n v="6"/>
    <n v="9"/>
    <n v="9"/>
    <n v="8"/>
    <n v="8"/>
    <n v="7"/>
    <n v="7"/>
    <n v="7"/>
    <m/>
    <m/>
    <m/>
    <n v="103"/>
    <n v="0"/>
    <s v="FIELDING ROAD"/>
    <n v="1"/>
    <x v="7"/>
    <n v="5250.94696969697"/>
    <m/>
    <n v="0"/>
    <x v="4"/>
  </r>
  <r>
    <s v=""/>
    <x v="835"/>
    <s v="FOREST COURT"/>
    <s v="Cranberry Lake Estates"/>
    <x v="31"/>
    <x v="133"/>
    <n v="317"/>
    <n v="26"/>
    <s v="NC"/>
    <s v="C"/>
    <n v="0"/>
    <n v="6"/>
    <n v="6"/>
    <n v="6"/>
    <n v="6"/>
    <n v="7"/>
    <n v="7"/>
    <n v="7"/>
    <n v="7"/>
    <n v="7"/>
    <n v="7"/>
    <m/>
    <m/>
    <m/>
    <n v="50"/>
    <n v="0"/>
    <s v="FOREST COURT"/>
    <n v="3"/>
    <x v="7"/>
    <n v="1500.9469696969697"/>
    <m/>
    <n v="0"/>
    <x v="4"/>
  </r>
  <r>
    <s v=""/>
    <x v="836"/>
    <s v="FOREST LANE"/>
    <s v="Cranberry Lake Estates"/>
    <x v="31"/>
    <x v="133"/>
    <n v="1742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FOREST LANE"/>
    <n v="3"/>
    <x v="0"/>
    <n v="6928.409090909091"/>
    <m/>
    <n v="0"/>
    <x v="3"/>
  </r>
  <r>
    <s v=""/>
    <x v="837"/>
    <s v="FORTVILLE PK./200N"/>
    <m/>
    <x v="44"/>
    <x v="51"/>
    <n v="5590"/>
    <n v="20"/>
    <s v="AC"/>
    <s v="C"/>
    <n v="0"/>
    <n v="6"/>
    <n v="8"/>
    <n v="8"/>
    <n v="8"/>
    <n v="8"/>
    <n v="7"/>
    <n v="7"/>
    <n v="7"/>
    <n v="7"/>
    <n v="7"/>
    <m/>
    <n v="2016"/>
    <s v="Y"/>
    <n v="50"/>
    <n v="0"/>
    <s v="FORTVILLE PK."/>
    <n v="2"/>
    <x v="7"/>
    <n v="26467.803030303032"/>
    <m/>
    <n v="0"/>
    <x v="1"/>
  </r>
  <r>
    <s v="C89"/>
    <x v="838"/>
    <s v="FORTVILLE PK./25W"/>
    <m/>
    <x v="177"/>
    <x v="113"/>
    <n v="1425"/>
    <n v="20"/>
    <s v="AC"/>
    <s v="C"/>
    <n v="0"/>
    <n v="6"/>
    <n v="8"/>
    <n v="8"/>
    <n v="8"/>
    <n v="8"/>
    <n v="7"/>
    <n v="7"/>
    <n v="7"/>
    <n v="7"/>
    <n v="7"/>
    <m/>
    <n v="2021"/>
    <s v="Y"/>
    <n v="3880"/>
    <n v="1.5"/>
    <s v="FORTVILLE PK."/>
    <n v="3.5"/>
    <x v="7"/>
    <n v="6747.159090909091"/>
    <m/>
    <n v="0"/>
    <x v="5"/>
  </r>
  <r>
    <s v=""/>
    <x v="839"/>
    <s v="FORTVILLE PK./300N"/>
    <m/>
    <x v="115"/>
    <x v="36"/>
    <n v="5174"/>
    <n v="20"/>
    <s v="AC"/>
    <s v="C"/>
    <n v="0"/>
    <n v="6"/>
    <n v="8"/>
    <n v="8"/>
    <n v="8"/>
    <n v="8"/>
    <n v="7"/>
    <n v="7"/>
    <s v="city"/>
    <m/>
    <n v="7"/>
    <m/>
    <n v="2016"/>
    <s v="Y"/>
    <n v="50"/>
    <n v="0"/>
    <s v="FORTVILLE PK."/>
    <n v="2"/>
    <x v="7"/>
    <n v="24498.10606060606"/>
    <m/>
    <n v="0"/>
    <x v="1"/>
  </r>
  <r>
    <s v="C88"/>
    <x v="840"/>
    <s v="FORTVILLE PK./375N"/>
    <m/>
    <x v="50"/>
    <x v="184"/>
    <n v="5227"/>
    <n v="20"/>
    <s v="AC"/>
    <s v="C"/>
    <n v="0"/>
    <n v="6"/>
    <n v="8"/>
    <n v="8"/>
    <n v="8"/>
    <n v="8"/>
    <n v="7"/>
    <n v="7"/>
    <n v="7"/>
    <n v="7"/>
    <n v="7"/>
    <m/>
    <n v="2021"/>
    <s v="Y"/>
    <n v="3949"/>
    <n v="1.5"/>
    <s v="FORTVILLE PK."/>
    <n v="3.5"/>
    <x v="7"/>
    <n v="24749.053030303032"/>
    <m/>
    <n v="0"/>
    <x v="5"/>
  </r>
  <r>
    <s v="C91"/>
    <x v="841"/>
    <s v="FORTVILLE PK./500A"/>
    <m/>
    <x v="108"/>
    <x v="3"/>
    <n v="5121"/>
    <n v="20"/>
    <s v="AC"/>
    <s v="C"/>
    <n v="0"/>
    <n v="6"/>
    <n v="8"/>
    <n v="8"/>
    <n v="8"/>
    <n v="8"/>
    <n v="7"/>
    <n v="7"/>
    <n v="7"/>
    <n v="7"/>
    <n v="7"/>
    <m/>
    <n v="2021"/>
    <s v="Y"/>
    <n v="3557"/>
    <n v="1.5"/>
    <s v="FORTVILLE PK."/>
    <n v="3.5"/>
    <x v="7"/>
    <n v="24247.159090909092"/>
    <m/>
    <n v="0"/>
    <x v="5"/>
  </r>
  <r>
    <s v="C90"/>
    <x v="842"/>
    <s v="FORTVILLE PK./500N"/>
    <m/>
    <x v="1"/>
    <x v="3"/>
    <n v="2376"/>
    <n v="20"/>
    <s v="AC"/>
    <s v="C"/>
    <n v="0"/>
    <n v="7"/>
    <n v="8"/>
    <n v="8"/>
    <n v="8"/>
    <n v="8"/>
    <n v="7"/>
    <n v="7"/>
    <n v="7"/>
    <n v="7"/>
    <n v="7"/>
    <m/>
    <n v="2021"/>
    <s v="Y"/>
    <n v="3557"/>
    <n v="1.5"/>
    <s v="FORTVILLE PK."/>
    <n v="3.5"/>
    <x v="7"/>
    <n v="11250"/>
    <m/>
    <n v="0"/>
    <x v="5"/>
  </r>
  <r>
    <s v="C92"/>
    <x v="843"/>
    <s v="FORTVILLE PK./600N"/>
    <m/>
    <x v="1"/>
    <x v="1"/>
    <n v="5280"/>
    <n v="20"/>
    <s v="AC"/>
    <s v="C"/>
    <n v="0"/>
    <n v="7"/>
    <n v="8"/>
    <n v="8"/>
    <n v="8"/>
    <n v="8"/>
    <n v="7"/>
    <n v="7"/>
    <n v="7"/>
    <n v="7"/>
    <n v="7"/>
    <m/>
    <n v="2021"/>
    <s v="Y"/>
    <n v="3034"/>
    <n v="1.5"/>
    <s v="FORTVILLE PK."/>
    <n v="3.5"/>
    <x v="7"/>
    <n v="25000"/>
    <m/>
    <n v="0"/>
    <x v="5"/>
  </r>
  <r>
    <s v="V85"/>
    <x v="844"/>
    <s v="FORTVILLE PK./700N"/>
    <m/>
    <x v="77"/>
    <x v="82"/>
    <n v="5373"/>
    <n v="20"/>
    <s v="AC"/>
    <s v="V"/>
    <n v="0"/>
    <n v="7"/>
    <n v="8"/>
    <n v="8"/>
    <n v="8"/>
    <n v="8"/>
    <n v="7"/>
    <n v="7"/>
    <n v="7"/>
    <n v="7"/>
    <n v="7"/>
    <m/>
    <n v="2021"/>
    <s v="Y"/>
    <n v="2589"/>
    <n v="1.5"/>
    <s v="FORTVILLE PK."/>
    <n v="3.5"/>
    <x v="7"/>
    <n v="25440.340909090908"/>
    <m/>
    <n v="0"/>
    <x v="5"/>
  </r>
  <r>
    <s v="V87"/>
    <x v="845"/>
    <s v="FORTVILLE PK/850N"/>
    <m/>
    <x v="7"/>
    <x v="98"/>
    <n v="2956"/>
    <n v="20"/>
    <s v="AC"/>
    <s v="V"/>
    <n v="0"/>
    <n v="7"/>
    <n v="8"/>
    <n v="8"/>
    <n v="8"/>
    <n v="8"/>
    <n v="7"/>
    <n v="7"/>
    <n v="7"/>
    <n v="7"/>
    <n v="7"/>
    <m/>
    <n v="2021"/>
    <s v="Y"/>
    <n v="3450"/>
    <n v="1.5"/>
    <s v="FORTVILLE PK."/>
    <n v="3.5"/>
    <x v="7"/>
    <n v="13996.212121212122"/>
    <m/>
    <n v="0"/>
    <x v="5"/>
  </r>
  <r>
    <s v="V88"/>
    <x v="846"/>
    <s v="FORTVILLE PK/900N"/>
    <m/>
    <x v="95"/>
    <x v="88"/>
    <n v="2956"/>
    <n v="20"/>
    <s v="AC"/>
    <s v="V"/>
    <n v="0"/>
    <n v="7"/>
    <n v="8"/>
    <n v="8"/>
    <n v="8"/>
    <n v="8"/>
    <n v="7"/>
    <n v="7"/>
    <n v="7"/>
    <n v="7"/>
    <n v="7"/>
    <m/>
    <n v="2021"/>
    <s v="Y"/>
    <n v="3450"/>
    <n v="1.5"/>
    <s v="FORTVILLE PK."/>
    <n v="3.5"/>
    <x v="7"/>
    <n v="13996.212121212122"/>
    <m/>
    <n v="0"/>
    <x v="5"/>
  </r>
  <r>
    <s v="V89"/>
    <x v="847"/>
    <s v="FORTVILLE PK/950N"/>
    <m/>
    <x v="5"/>
    <x v="103"/>
    <n v="2956"/>
    <n v="20"/>
    <s v="AC"/>
    <s v="V"/>
    <n v="0"/>
    <n v="7"/>
    <n v="8"/>
    <n v="8"/>
    <n v="8"/>
    <n v="8"/>
    <n v="7"/>
    <n v="7"/>
    <n v="7"/>
    <n v="7"/>
    <n v="7"/>
    <m/>
    <n v="2021"/>
    <s v="Y"/>
    <n v="3449"/>
    <n v="1.5"/>
    <s v="FORTVILLE PK."/>
    <n v="3.5"/>
    <x v="7"/>
    <n v="13996.212121212122"/>
    <m/>
    <n v="0"/>
    <x v="5"/>
  </r>
  <r>
    <s v="V86"/>
    <x v="848"/>
    <s v="FORTVILLE PK/SR234"/>
    <m/>
    <x v="65"/>
    <x v="6"/>
    <n v="5702"/>
    <n v="20"/>
    <s v="AC"/>
    <s v="V"/>
    <n v="0"/>
    <n v="7"/>
    <n v="8"/>
    <n v="8"/>
    <n v="8"/>
    <n v="8"/>
    <n v="7"/>
    <n v="7"/>
    <n v="7"/>
    <n v="7"/>
    <n v="7"/>
    <m/>
    <n v="2021"/>
    <s v="Y"/>
    <n v="2574"/>
    <n v="1.5"/>
    <s v="FORTVILLE PK."/>
    <n v="3.5"/>
    <x v="7"/>
    <n v="26998.10606060606"/>
    <m/>
    <n v="0"/>
    <x v="5"/>
  </r>
  <r>
    <s v=""/>
    <x v="849"/>
    <s v="FOX COVE BOULEVARD"/>
    <s v="Fox Cove"/>
    <x v="158"/>
    <x v="158"/>
    <n v="3590"/>
    <n v="26"/>
    <s v="NC"/>
    <s v="SC"/>
    <n v="0"/>
    <n v="7"/>
    <n v="7"/>
    <n v="10"/>
    <n v="9"/>
    <n v="9"/>
    <n v="7"/>
    <n v="7"/>
    <n v="7"/>
    <n v="7"/>
    <n v="7"/>
    <m/>
    <m/>
    <m/>
    <n v="667"/>
    <n v="0.5"/>
    <s v="FOX COVE BOULEVARD"/>
    <n v="1.5"/>
    <x v="7"/>
    <n v="16998.10606060606"/>
    <m/>
    <n v="0"/>
    <x v="4"/>
  </r>
  <r>
    <s v=""/>
    <x v="850"/>
    <s v="FOX DEN BOULEVARD"/>
    <s v="Fox Cove"/>
    <x v="102"/>
    <x v="179"/>
    <n v="581"/>
    <n v="26"/>
    <s v="NC"/>
    <s v="SC"/>
    <n v="0"/>
    <n v="7"/>
    <n v="7"/>
    <n v="7"/>
    <n v="7"/>
    <n v="7"/>
    <n v="8"/>
    <n v="8"/>
    <n v="8"/>
    <n v="7"/>
    <n v="7"/>
    <m/>
    <m/>
    <m/>
    <n v="515"/>
    <n v="0.5"/>
    <s v="FOX DEN BOULEVARD"/>
    <n v="3.5"/>
    <x v="9"/>
    <n v="4507.25"/>
    <m/>
    <n v="0"/>
    <x v="3"/>
  </r>
  <r>
    <s v=""/>
    <x v="851"/>
    <s v="FOX PAW DRIVE"/>
    <s v="Fox Cove"/>
    <x v="158"/>
    <x v="158"/>
    <n v="1426"/>
    <n v="26"/>
    <s v="NC"/>
    <s v="SC"/>
    <n v="0"/>
    <n v="7"/>
    <n v="7"/>
    <n v="10"/>
    <n v="9"/>
    <n v="9"/>
    <n v="8"/>
    <n v="8"/>
    <n v="8"/>
    <n v="7"/>
    <n v="7"/>
    <m/>
    <m/>
    <m/>
    <n v="515"/>
    <n v="0.5"/>
    <s v="FOX PAW DRIVE"/>
    <n v="1.5"/>
    <x v="7"/>
    <n v="6751.893939393939"/>
    <m/>
    <n v="0"/>
    <x v="4"/>
  </r>
  <r>
    <s v=""/>
    <x v="852"/>
    <s v="FOX RUN DRIVE"/>
    <s v="Hunters Chase"/>
    <x v="174"/>
    <x v="181"/>
    <n v="581"/>
    <n v="26"/>
    <s v="NC"/>
    <s v="BC"/>
    <n v="0"/>
    <n v="6"/>
    <n v="6"/>
    <n v="5"/>
    <n v="5"/>
    <n v="9"/>
    <n v="9"/>
    <n v="8"/>
    <n v="8"/>
    <n v="8"/>
    <n v="8"/>
    <m/>
    <m/>
    <m/>
    <n v="50"/>
    <n v="0"/>
    <s v="FOX RUN DRIVE"/>
    <n v="1"/>
    <x v="7"/>
    <n v="2750.9469696969695"/>
    <m/>
    <n v="0"/>
    <x v="4"/>
  </r>
  <r>
    <s v=""/>
    <x v="853"/>
    <s v="FOX TAIL PASS"/>
    <s v="Fox Cove"/>
    <x v="102"/>
    <x v="179"/>
    <n v="581"/>
    <n v="26"/>
    <s v="NC"/>
    <s v="SC"/>
    <n v="0"/>
    <n v="7"/>
    <n v="7"/>
    <n v="7"/>
    <n v="7"/>
    <n v="7"/>
    <n v="7"/>
    <n v="7"/>
    <n v="7"/>
    <n v="7"/>
    <n v="7"/>
    <m/>
    <m/>
    <m/>
    <n v="515"/>
    <n v="0.5"/>
    <s v="FOX TAIL PASS"/>
    <n v="3.5"/>
    <x v="7"/>
    <n v="2750.9469696969695"/>
    <m/>
    <n v="0"/>
    <x v="4"/>
  </r>
  <r>
    <m/>
    <x v="854"/>
    <s v="FOX TRAIL DRIVE"/>
    <s v="Brier Creek"/>
    <x v="102"/>
    <x v="139"/>
    <n v="2482"/>
    <n v="26"/>
    <s v="NC"/>
    <s v="SC"/>
    <n v="0"/>
    <n v="7"/>
    <n v="7"/>
    <n v="7"/>
    <n v="7"/>
    <n v="7"/>
    <n v="8"/>
    <n v="8"/>
    <n v="8"/>
    <n v="7"/>
    <n v="7"/>
    <m/>
    <m/>
    <m/>
    <n v="232"/>
    <n v="0"/>
    <s v="FOX TRAIL DRIVE"/>
    <n v="3"/>
    <x v="7"/>
    <n v="11751.89393939394"/>
    <m/>
    <n v="0"/>
    <x v="4"/>
  </r>
  <r>
    <s v=""/>
    <x v="855"/>
    <s v="FOX VIEW TRAIL"/>
    <s v="Fox Cove"/>
    <x v="102"/>
    <x v="179"/>
    <n v="1373"/>
    <n v="26"/>
    <s v="NC"/>
    <s v="SC"/>
    <n v="0"/>
    <n v="6"/>
    <n v="6"/>
    <n v="10"/>
    <n v="9"/>
    <n v="9"/>
    <n v="8"/>
    <n v="8"/>
    <n v="8"/>
    <n v="7"/>
    <n v="7"/>
    <m/>
    <m/>
    <m/>
    <n v="50"/>
    <n v="0"/>
    <s v="FOX VIEW TRAIL"/>
    <n v="1"/>
    <x v="7"/>
    <n v="6500.94696969697"/>
    <m/>
    <n v="0"/>
    <x v="4"/>
  </r>
  <r>
    <s v=""/>
    <x v="856"/>
    <s v="FROG POND COURT"/>
    <s v="Morning Walk"/>
    <x v="178"/>
    <x v="161"/>
    <n v="317"/>
    <n v="26"/>
    <s v="NC"/>
    <s v="C"/>
    <n v="0"/>
    <n v="7"/>
    <n v="7"/>
    <n v="7"/>
    <n v="7"/>
    <n v="7"/>
    <n v="7"/>
    <n v="7"/>
    <n v="7"/>
    <n v="7"/>
    <n v="7"/>
    <m/>
    <m/>
    <m/>
    <n v="321"/>
    <n v="0"/>
    <s v="FROG POND COURT"/>
    <n v="3"/>
    <x v="7"/>
    <n v="1500.9469696969697"/>
    <m/>
    <n v="0"/>
    <x v="4"/>
  </r>
  <r>
    <s v=""/>
    <x v="857"/>
    <s v="LITTLETON DRIVE"/>
    <s v="Stansbury"/>
    <x v="167"/>
    <x v="156"/>
    <n v="1315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LITTLETON DRIVE"/>
    <n v="2"/>
    <x v="7"/>
    <n v="6226.325757575758"/>
    <m/>
    <n v="0"/>
    <x v="6"/>
  </r>
  <r>
    <s v=""/>
    <x v="858"/>
    <s v="GLENDALE LANE"/>
    <s v="Huntington Heights"/>
    <x v="102"/>
    <x v="163"/>
    <n v="3485"/>
    <n v="26"/>
    <s v="NC"/>
    <s v="BC"/>
    <n v="0"/>
    <n v="6"/>
    <n v="5"/>
    <n v="5"/>
    <n v="4"/>
    <n v="9"/>
    <n v="9"/>
    <n v="8"/>
    <n v="8"/>
    <n v="8"/>
    <n v="8"/>
    <m/>
    <m/>
    <m/>
    <n v="191"/>
    <n v="0"/>
    <s v="GLENDALE LANE"/>
    <n v="1"/>
    <x v="7"/>
    <n v="16500.946969696968"/>
    <m/>
    <n v="0"/>
    <x v="4"/>
  </r>
  <r>
    <s v="J79"/>
    <x v="859"/>
    <s v="GRANDISON RD./25N"/>
    <m/>
    <x v="23"/>
    <x v="57"/>
    <n v="1054"/>
    <n v="20"/>
    <s v="AC"/>
    <s v="J"/>
    <n v="0"/>
    <n v="7"/>
    <n v="7"/>
    <n v="7"/>
    <n v="7"/>
    <n v="7"/>
    <n v="7"/>
    <n v="7"/>
    <n v="7"/>
    <n v="7"/>
    <n v="7"/>
    <m/>
    <m/>
    <m/>
    <n v="149"/>
    <n v="0"/>
    <s v="GRANDISON RD."/>
    <n v="3"/>
    <x v="0"/>
    <n v="4192.045454545455"/>
    <m/>
    <n v="0"/>
    <x v="5"/>
  </r>
  <r>
    <s v="J83"/>
    <x v="860"/>
    <s v="GRANDISON RD./300N"/>
    <m/>
    <x v="2"/>
    <x v="36"/>
    <n v="2624"/>
    <n v="20"/>
    <s v="CS"/>
    <s v="J"/>
    <n v="0"/>
    <n v="3"/>
    <n v="6"/>
    <n v="6"/>
    <n v="6"/>
    <n v="5"/>
    <n v="6"/>
    <m/>
    <n v="6"/>
    <n v="7"/>
    <n v="7"/>
    <m/>
    <m/>
    <m/>
    <n v="50"/>
    <n v="0"/>
    <s v="GRANDISON RD."/>
    <n v="5"/>
    <x v="0"/>
    <n v="10436.363636363636"/>
    <m/>
    <n v="0"/>
    <x v="2"/>
  </r>
  <r>
    <s v="J80"/>
    <x v="861"/>
    <s v="GRANDISON RD/100N"/>
    <m/>
    <x v="54"/>
    <x v="70"/>
    <n v="2531"/>
    <n v="20"/>
    <s v="AC"/>
    <s v="J"/>
    <n v="0"/>
    <n v="7"/>
    <n v="6"/>
    <n v="6"/>
    <n v="6"/>
    <n v="5"/>
    <n v="5"/>
    <n v="5"/>
    <n v="5"/>
    <n v="7"/>
    <n v="7"/>
    <m/>
    <m/>
    <m/>
    <n v="149"/>
    <n v="0"/>
    <s v="GRANDISON RD."/>
    <n v="5"/>
    <x v="3"/>
    <n v="22050.378787878788"/>
    <m/>
    <n v="0"/>
    <x v="5"/>
  </r>
  <r>
    <s v="J81"/>
    <x v="862"/>
    <s v="GRANDISON RD/150N"/>
    <m/>
    <x v="44"/>
    <x v="55"/>
    <n v="3379"/>
    <n v="20"/>
    <s v="AC"/>
    <s v="J"/>
    <n v="0"/>
    <n v="7"/>
    <n v="6"/>
    <n v="6"/>
    <n v="6"/>
    <n v="5"/>
    <n v="5"/>
    <n v="5"/>
    <n v="7"/>
    <n v="7"/>
    <n v="7"/>
    <m/>
    <m/>
    <m/>
    <n v="149"/>
    <n v="0"/>
    <s v="GRANDISON RD."/>
    <n v="5"/>
    <x v="0"/>
    <n v="13439.204545454546"/>
    <m/>
    <n v="0"/>
    <x v="4"/>
  </r>
  <r>
    <m/>
    <x v="863"/>
    <s v="MEDFORD COURT"/>
    <s v="Easton at Stansbury"/>
    <x v="165"/>
    <x v="156"/>
    <n v="158"/>
    <n v="26"/>
    <s v="NC"/>
    <s v="BC"/>
    <n v="0"/>
    <m/>
    <n v="7"/>
    <n v="7"/>
    <n v="7"/>
    <n v="7"/>
    <n v="7"/>
    <n v="8"/>
    <n v="8"/>
    <n v="7"/>
    <n v="7"/>
    <m/>
    <m/>
    <m/>
    <n v="50"/>
    <n v="0"/>
    <s v="MEDFORD COURT"/>
    <n v="3"/>
    <x v="7"/>
    <n v="748.10606060606062"/>
    <m/>
    <n v="0"/>
    <x v="6"/>
  </r>
  <r>
    <s v=""/>
    <x v="864"/>
    <s v="GRANITE COURT(W)"/>
    <s v="Countryside"/>
    <x v="15"/>
    <x v="154"/>
    <n v="1087"/>
    <n v="26"/>
    <s v="NC"/>
    <s v="SC"/>
    <n v="0"/>
    <n v="6"/>
    <n v="6"/>
    <n v="6"/>
    <n v="6"/>
    <n v="6"/>
    <n v="8"/>
    <n v="8"/>
    <n v="7"/>
    <n v="7"/>
    <n v="6"/>
    <m/>
    <m/>
    <m/>
    <n v="515"/>
    <n v="0.5"/>
    <s v="GRANITE COURT(W)"/>
    <n v="4.5"/>
    <x v="9"/>
    <n v="514.67803030303025"/>
    <m/>
    <n v="0"/>
    <x v="3"/>
  </r>
  <r>
    <m/>
    <x v="865"/>
    <s v="ORCHARD DRIVE"/>
    <s v="Alfords"/>
    <x v="0"/>
    <x v="185"/>
    <n v="1056"/>
    <n v="26"/>
    <s v="NC"/>
    <s v="V"/>
    <n v="0"/>
    <n v="7"/>
    <n v="8"/>
    <n v="8"/>
    <n v="8"/>
    <n v="8"/>
    <n v="8"/>
    <n v="8"/>
    <n v="8"/>
    <n v="7"/>
    <n v="7"/>
    <m/>
    <m/>
    <m/>
    <n v="50"/>
    <n v="0"/>
    <s v="ORCHARD DRIVE"/>
    <n v="2"/>
    <x v="7"/>
    <n v="5000"/>
    <m/>
    <n v="0"/>
    <x v="6"/>
  </r>
  <r>
    <s v=""/>
    <x v="866"/>
    <s v="GREENFIELD (FIN)/1"/>
    <m/>
    <x v="52"/>
    <x v="37"/>
    <n v="1426"/>
    <n v="20"/>
    <s v="AC"/>
    <s v="BW"/>
    <n v="0"/>
    <n v="7"/>
    <n v="7"/>
    <n v="7"/>
    <n v="7"/>
    <n v="7"/>
    <n v="7"/>
    <n v="6"/>
    <n v="6"/>
    <n v="6"/>
    <n v="7"/>
    <m/>
    <m/>
    <m/>
    <n v="35"/>
    <n v="0"/>
    <s v="GREENFIELD (FIN)/1"/>
    <n v="3"/>
    <x v="0"/>
    <n v="5671.590909090909"/>
    <m/>
    <n v="0"/>
    <x v="2"/>
  </r>
  <r>
    <s v=""/>
    <x v="867"/>
    <s v="GREY FEATHER TRAIL"/>
    <s v="Greyhawk Woods"/>
    <x v="73"/>
    <x v="186"/>
    <n v="1214"/>
    <n v="26"/>
    <s v="NC"/>
    <s v="BW"/>
    <n v="0"/>
    <n v="7"/>
    <n v="8"/>
    <n v="8"/>
    <n v="8"/>
    <n v="8"/>
    <n v="8"/>
    <n v="7"/>
    <n v="6"/>
    <n v="6"/>
    <n v="6"/>
    <m/>
    <m/>
    <m/>
    <n v="439"/>
    <n v="0"/>
    <s v="GREY FEATHER TRAIL"/>
    <n v="2"/>
    <x v="5"/>
    <n v="18393.939393939392"/>
    <n v="1"/>
    <n v="18393.939393939392"/>
    <x v="3"/>
  </r>
  <r>
    <s v=""/>
    <x v="868"/>
    <s v="GREYHAWK LANE"/>
    <s v="Greyhawk Woods"/>
    <x v="73"/>
    <x v="186"/>
    <n v="1003"/>
    <n v="26"/>
    <s v="NC"/>
    <s v="BW"/>
    <n v="0"/>
    <n v="7"/>
    <n v="8"/>
    <n v="8"/>
    <n v="8"/>
    <n v="8"/>
    <n v="8"/>
    <n v="7"/>
    <n v="6"/>
    <n v="6"/>
    <n v="7"/>
    <m/>
    <m/>
    <m/>
    <n v="439"/>
    <n v="0"/>
    <s v="GREYHAWK LANE"/>
    <n v="2"/>
    <x v="5"/>
    <n v="15196.969696969696"/>
    <n v="1"/>
    <n v="15196.969696969696"/>
    <x v="3"/>
  </r>
  <r>
    <s v=""/>
    <x v="869"/>
    <s v="GREYHAWK WAY"/>
    <s v="Greyhawk Woods"/>
    <x v="73"/>
    <x v="186"/>
    <n v="2218"/>
    <n v="26"/>
    <s v="NC"/>
    <s v="BW"/>
    <n v="0"/>
    <n v="7"/>
    <n v="8"/>
    <n v="8"/>
    <n v="8"/>
    <n v="7"/>
    <n v="7"/>
    <n v="6"/>
    <n v="7"/>
    <n v="7"/>
    <n v="6"/>
    <m/>
    <m/>
    <m/>
    <n v="439"/>
    <n v="0"/>
    <s v="GREYHAWK WAY"/>
    <n v="3"/>
    <x v="5"/>
    <n v="33606.060606060608"/>
    <n v="1"/>
    <n v="33606.060606060608"/>
    <x v="3"/>
  </r>
  <r>
    <s v=""/>
    <x v="870"/>
    <s v="PEPPEREEL WAY(N)"/>
    <s v="Stansbury"/>
    <x v="167"/>
    <x v="156"/>
    <n v="1742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PEPPEREEL WAY(N)"/>
    <n v="2"/>
    <x v="7"/>
    <n v="8248.1060606060601"/>
    <m/>
    <n v="0"/>
    <x v="6"/>
  </r>
  <r>
    <s v=""/>
    <x v="871"/>
    <s v="HARMONY TRAIL(W)"/>
    <s v="Ridgewood"/>
    <x v="75"/>
    <x v="161"/>
    <n v="2904"/>
    <n v="26"/>
    <s v="NC"/>
    <s v="SC"/>
    <n v="0"/>
    <n v="7"/>
    <n v="7"/>
    <n v="10"/>
    <n v="9"/>
    <n v="8"/>
    <n v="7"/>
    <n v="7"/>
    <n v="7"/>
    <n v="6"/>
    <n v="6"/>
    <m/>
    <m/>
    <m/>
    <n v="202"/>
    <n v="0"/>
    <s v="HARMONY TRAIL(W)"/>
    <n v="2"/>
    <x v="5"/>
    <n v="44000"/>
    <n v="1"/>
    <n v="44000"/>
    <x v="3"/>
  </r>
  <r>
    <s v=""/>
    <x v="872"/>
    <s v="HARVEST WAY(W)"/>
    <s v="Meadow Lake Village"/>
    <x v="176"/>
    <x v="139"/>
    <n v="581"/>
    <n v="26"/>
    <s v="NC"/>
    <s v="SC"/>
    <n v="0"/>
    <n v="8"/>
    <n v="7"/>
    <n v="7"/>
    <n v="7"/>
    <n v="7"/>
    <n v="7"/>
    <n v="7"/>
    <n v="7"/>
    <n v="7"/>
    <n v="7"/>
    <m/>
    <m/>
    <m/>
    <n v="364"/>
    <n v="0"/>
    <s v="HARVEST WAY(W)"/>
    <n v="3"/>
    <x v="7"/>
    <n v="2750.9469696969695"/>
    <m/>
    <n v="0"/>
    <x v="4"/>
  </r>
  <r>
    <m/>
    <x v="873"/>
    <s v="PHILADELPHIA DRIVE"/>
    <s v="Stansbury"/>
    <x v="167"/>
    <x v="156"/>
    <n v="2123"/>
    <n v="26"/>
    <s v="NC"/>
    <s v="BC"/>
    <n v="0"/>
    <n v="7"/>
    <n v="8"/>
    <n v="8"/>
    <n v="8"/>
    <n v="8"/>
    <n v="8"/>
    <n v="8"/>
    <n v="8"/>
    <n v="8"/>
    <n v="8"/>
    <m/>
    <m/>
    <m/>
    <n v="50"/>
    <n v="0"/>
    <s v="PHILADELPHIA DR(W)"/>
    <n v="2"/>
    <x v="7"/>
    <n v="10052.083333333334"/>
    <m/>
    <n v="0"/>
    <x v="6"/>
  </r>
  <r>
    <s v=""/>
    <x v="874"/>
    <s v="HEARTH STONE COURT"/>
    <s v="Countryside"/>
    <x v="15"/>
    <x v="154"/>
    <n v="264"/>
    <n v="26"/>
    <s v="NC"/>
    <s v="SC"/>
    <n v="0"/>
    <n v="6"/>
    <n v="8"/>
    <n v="8"/>
    <n v="7"/>
    <n v="7"/>
    <n v="8"/>
    <n v="8"/>
    <n v="7"/>
    <n v="6"/>
    <n v="6"/>
    <m/>
    <m/>
    <m/>
    <n v="515"/>
    <n v="0.5"/>
    <s v="HEARTH STONE COURT"/>
    <n v="3.5"/>
    <x v="9"/>
    <n v="125"/>
    <m/>
    <n v="0"/>
    <x v="3"/>
  </r>
  <r>
    <s v=""/>
    <x v="875"/>
    <s v="HERITAGE COURT"/>
    <s v="Schildmeier Woods"/>
    <x v="102"/>
    <x v="152"/>
    <n v="1109"/>
    <n v="26"/>
    <s v="NC"/>
    <s v="SC"/>
    <n v="0"/>
    <n v="7"/>
    <n v="8"/>
    <n v="10"/>
    <n v="9"/>
    <n v="9"/>
    <n v="8"/>
    <n v="7"/>
    <n v="8"/>
    <n v="7"/>
    <n v="7"/>
    <m/>
    <m/>
    <m/>
    <n v="668"/>
    <n v="0.5"/>
    <s v="HERITAGE COURT"/>
    <n v="1.5"/>
    <x v="7"/>
    <n v="5250.94696969697"/>
    <m/>
    <n v="0"/>
    <x v="4"/>
  </r>
  <r>
    <s v=""/>
    <x v="876"/>
    <s v="HERITAGE DRIVE"/>
    <s v="Schildmeier Woods"/>
    <x v="102"/>
    <x v="152"/>
    <n v="422"/>
    <n v="26"/>
    <s v="NC"/>
    <s v="SC"/>
    <n v="0"/>
    <n v="7"/>
    <n v="8"/>
    <n v="10"/>
    <n v="9"/>
    <n v="9"/>
    <n v="8"/>
    <n v="7"/>
    <n v="8"/>
    <n v="7"/>
    <n v="7"/>
    <m/>
    <m/>
    <m/>
    <n v="668"/>
    <n v="0.5"/>
    <s v="HERITAGE DRIVE"/>
    <n v="1.5"/>
    <x v="7"/>
    <n v="1998.1060606060605"/>
    <m/>
    <n v="0"/>
    <x v="4"/>
  </r>
  <r>
    <m/>
    <x v="877"/>
    <s v="HERITAGE DRIVE EAST"/>
    <s v="Heritage Estates"/>
    <x v="31"/>
    <x v="187"/>
    <n v="792"/>
    <n v="26"/>
    <s v="NC"/>
    <s v="C"/>
    <n v="0"/>
    <n v="6"/>
    <n v="7"/>
    <n v="7"/>
    <n v="8"/>
    <n v="7"/>
    <n v="6"/>
    <n v="6"/>
    <n v="6"/>
    <m/>
    <n v="6"/>
    <m/>
    <m/>
    <m/>
    <n v="50"/>
    <n v="0"/>
    <s v="HERITAGE DRIVE EAST"/>
    <n v="3"/>
    <x v="7"/>
    <n v="3750"/>
    <m/>
    <n v="0"/>
    <x v="4"/>
  </r>
  <r>
    <s v=""/>
    <x v="878"/>
    <s v="HERITAGE DRIVE NORTH"/>
    <s v="Heritage Estates"/>
    <x v="31"/>
    <x v="187"/>
    <n v="634"/>
    <n v="26"/>
    <s v="NC"/>
    <s v="C"/>
    <n v="0"/>
    <n v="6"/>
    <n v="7"/>
    <n v="7"/>
    <n v="8"/>
    <n v="7"/>
    <n v="6"/>
    <n v="6"/>
    <n v="6"/>
    <n v="6"/>
    <n v="6"/>
    <m/>
    <m/>
    <m/>
    <n v="50"/>
    <n v="0"/>
    <s v="HERITAGE DRIVE NORTH"/>
    <n v="3"/>
    <x v="7"/>
    <n v="3001.8939393939395"/>
    <m/>
    <n v="0"/>
    <x v="4"/>
  </r>
  <r>
    <s v=""/>
    <x v="879"/>
    <s v="HERITAGE DRIVE SOUTH"/>
    <s v="Heritage Estates"/>
    <x v="31"/>
    <x v="187"/>
    <n v="581"/>
    <n v="26"/>
    <s v="NC"/>
    <s v="C"/>
    <n v="0"/>
    <n v="6"/>
    <n v="7"/>
    <n v="7"/>
    <n v="8"/>
    <n v="7"/>
    <n v="6"/>
    <n v="6"/>
    <n v="6"/>
    <n v="6"/>
    <n v="6"/>
    <m/>
    <m/>
    <m/>
    <n v="50"/>
    <n v="0"/>
    <s v="HERITAGE DRIVE SOUTH"/>
    <n v="3"/>
    <x v="7"/>
    <n v="2750.9469696969695"/>
    <m/>
    <n v="0"/>
    <x v="4"/>
  </r>
  <r>
    <s v=""/>
    <x v="880"/>
    <s v="HERITAGE DRIVE WEST"/>
    <s v="Heritage Estates"/>
    <x v="31"/>
    <x v="187"/>
    <n v="422"/>
    <n v="26"/>
    <s v="NC"/>
    <s v="C"/>
    <n v="0"/>
    <n v="6"/>
    <n v="7"/>
    <n v="7"/>
    <n v="8"/>
    <n v="7"/>
    <n v="6"/>
    <n v="6"/>
    <n v="6"/>
    <n v="6"/>
    <n v="6"/>
    <m/>
    <m/>
    <m/>
    <n v="50"/>
    <n v="0"/>
    <s v="HERITAGE DRIVE WEST"/>
    <n v="3"/>
    <x v="7"/>
    <n v="1998.1060606060605"/>
    <m/>
    <n v="0"/>
    <x v="4"/>
  </r>
  <r>
    <s v=""/>
    <x v="881"/>
    <s v="HERON COURT"/>
    <s v="Spring Meadows"/>
    <x v="15"/>
    <x v="188"/>
    <n v="581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HERON COURT"/>
    <n v="2.5"/>
    <x v="7"/>
    <n v="2750.9469696969695"/>
    <m/>
    <n v="0"/>
    <x v="4"/>
  </r>
  <r>
    <s v=""/>
    <x v="882"/>
    <s v="HERON DRIVE EAST"/>
    <s v="Spring Meadows"/>
    <x v="15"/>
    <x v="188"/>
    <n v="581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HERON DRIVE EAST"/>
    <n v="2.5"/>
    <x v="7"/>
    <n v="2750.9469696969695"/>
    <m/>
    <n v="0"/>
    <x v="4"/>
  </r>
  <r>
    <s v=""/>
    <x v="883"/>
    <s v="HERON DRIVE SOUTH"/>
    <s v="Spring Meadows"/>
    <x v="15"/>
    <x v="188"/>
    <n v="739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HERON DRIVE SOUTH"/>
    <n v="2.5"/>
    <x v="7"/>
    <n v="3499.0530303030305"/>
    <m/>
    <n v="0"/>
    <x v="4"/>
  </r>
  <r>
    <s v=""/>
    <x v="884"/>
    <s v="HERON DRIVE WEST"/>
    <s v="Spring Meadows"/>
    <x v="15"/>
    <x v="188"/>
    <n v="581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HERON DRIVE WEST"/>
    <n v="2.5"/>
    <x v="7"/>
    <n v="2750.9469696969695"/>
    <m/>
    <n v="0"/>
    <x v="4"/>
  </r>
  <r>
    <s v=""/>
    <x v="885"/>
    <s v="HICKORY BOULEVARD"/>
    <s v="Hickory Hill"/>
    <x v="179"/>
    <x v="189"/>
    <n v="3379"/>
    <n v="26"/>
    <s v="NC"/>
    <s v="C"/>
    <n v="0"/>
    <n v="6"/>
    <n v="7"/>
    <n v="6"/>
    <n v="6"/>
    <n v="9"/>
    <n v="8"/>
    <n v="8"/>
    <n v="6"/>
    <n v="6"/>
    <n v="6"/>
    <m/>
    <m/>
    <m/>
    <n v="50"/>
    <n v="0"/>
    <s v="HICKORY BOULEVARD"/>
    <n v="1"/>
    <x v="7"/>
    <n v="15999.05303030303"/>
    <m/>
    <n v="0"/>
    <x v="4"/>
  </r>
  <r>
    <s v=""/>
    <x v="886"/>
    <s v="HICKORY DRIVE (W)"/>
    <s v="Meridian Acres"/>
    <x v="49"/>
    <x v="161"/>
    <n v="950"/>
    <n v="26"/>
    <s v="NC"/>
    <s v="C"/>
    <n v="0"/>
    <n v="7"/>
    <n v="7"/>
    <n v="7"/>
    <m/>
    <n v="6"/>
    <n v="6"/>
    <n v="5"/>
    <n v="5"/>
    <n v="6"/>
    <n v="6"/>
    <m/>
    <m/>
    <m/>
    <n v="48"/>
    <n v="0"/>
    <s v="HICKORY DRIVE"/>
    <n v="4"/>
    <x v="7"/>
    <n v="4498.106060606061"/>
    <m/>
    <n v="0"/>
    <x v="4"/>
  </r>
  <r>
    <s v=""/>
    <x v="887"/>
    <s v="HICKORY WOODS LANE"/>
    <s v="Hickory Woods"/>
    <x v="179"/>
    <x v="189"/>
    <n v="1320"/>
    <n v="26"/>
    <s v="NC"/>
    <s v="C"/>
    <n v="0"/>
    <n v="6"/>
    <n v="7"/>
    <n v="6"/>
    <n v="6"/>
    <n v="9"/>
    <n v="8"/>
    <n v="8"/>
    <n v="7"/>
    <n v="7"/>
    <n v="7"/>
    <m/>
    <m/>
    <m/>
    <n v="50"/>
    <n v="0"/>
    <s v="HICKORY LANE"/>
    <n v="1"/>
    <x v="7"/>
    <n v="6250"/>
    <m/>
    <n v="0"/>
    <x v="4"/>
  </r>
  <r>
    <s v=""/>
    <x v="888"/>
    <s v="HIDDEN LAKE CT (W)"/>
    <s v="Summerfield"/>
    <x v="180"/>
    <x v="190"/>
    <n v="475"/>
    <n v="26"/>
    <s v="NC"/>
    <s v="BC"/>
    <n v="0"/>
    <n v="7"/>
    <n v="8"/>
    <n v="8"/>
    <n v="8"/>
    <n v="8"/>
    <n v="8"/>
    <n v="7"/>
    <n v="7"/>
    <n v="7"/>
    <n v="7"/>
    <m/>
    <m/>
    <m/>
    <n v="50"/>
    <n v="0"/>
    <s v="HIDDEN LAKE CT (W)"/>
    <n v="2"/>
    <x v="9"/>
    <n v="3842.2"/>
    <m/>
    <n v="0"/>
    <x v="3"/>
  </r>
  <r>
    <s v=""/>
    <x v="889"/>
    <s v="HIGH ACRES EAST DR"/>
    <s v="High Acres"/>
    <x v="181"/>
    <x v="143"/>
    <n v="1267"/>
    <n v="26"/>
    <s v="NC"/>
    <s v="SC"/>
    <n v="0"/>
    <n v="7"/>
    <n v="6"/>
    <n v="6"/>
    <n v="6"/>
    <n v="8"/>
    <n v="7"/>
    <n v="7"/>
    <n v="7"/>
    <n v="7"/>
    <n v="7"/>
    <m/>
    <m/>
    <m/>
    <n v="156"/>
    <n v="0"/>
    <s v="EAST DRIVE"/>
    <n v="2"/>
    <x v="7"/>
    <n v="5999.05303030303"/>
    <m/>
    <n v="0"/>
    <x v="4"/>
  </r>
  <r>
    <s v=""/>
    <x v="890"/>
    <s v="HIGH ACRES NORTH COURT"/>
    <s v="High Acres"/>
    <x v="181"/>
    <x v="143"/>
    <n v="370"/>
    <n v="26"/>
    <s v="NC"/>
    <s v="SC"/>
    <n v="0"/>
    <n v="7"/>
    <n v="7"/>
    <n v="7"/>
    <n v="7"/>
    <n v="8"/>
    <n v="8"/>
    <n v="7"/>
    <n v="7"/>
    <n v="7"/>
    <n v="7"/>
    <m/>
    <m/>
    <m/>
    <n v="156"/>
    <n v="0"/>
    <s v="NORTH COURT"/>
    <n v="2"/>
    <x v="7"/>
    <n v="1751.8939393939395"/>
    <m/>
    <n v="0"/>
    <x v="4"/>
  </r>
  <r>
    <s v=""/>
    <x v="891"/>
    <s v="HIGH ACRES SOUTH COURT"/>
    <s v="High Acres"/>
    <x v="181"/>
    <x v="143"/>
    <n v="370"/>
    <n v="26"/>
    <s v="NC"/>
    <s v="SC"/>
    <n v="0"/>
    <n v="7"/>
    <n v="7"/>
    <n v="7"/>
    <n v="7"/>
    <n v="8"/>
    <n v="8"/>
    <n v="7"/>
    <n v="7"/>
    <n v="7"/>
    <n v="7"/>
    <m/>
    <m/>
    <m/>
    <n v="156"/>
    <n v="0"/>
    <s v="SOUTH COURT"/>
    <n v="2"/>
    <x v="7"/>
    <n v="1751.8939393939395"/>
    <m/>
    <n v="0"/>
    <x v="4"/>
  </r>
  <r>
    <s v=""/>
    <x v="892"/>
    <s v="HIGH ACRES WEST COURT"/>
    <s v="High Acres"/>
    <x v="181"/>
    <x v="143"/>
    <n v="317"/>
    <n v="26"/>
    <s v="NC"/>
    <s v="SC"/>
    <n v="0"/>
    <n v="7"/>
    <n v="7"/>
    <n v="7"/>
    <n v="7"/>
    <n v="8"/>
    <n v="8"/>
    <n v="7"/>
    <n v="7"/>
    <n v="7"/>
    <n v="7"/>
    <m/>
    <m/>
    <m/>
    <n v="156"/>
    <n v="0"/>
    <s v="WEST COURT"/>
    <n v="2"/>
    <x v="7"/>
    <n v="1500.9469696969697"/>
    <m/>
    <n v="0"/>
    <x v="4"/>
  </r>
  <r>
    <s v=""/>
    <x v="893"/>
    <s v="HIGH ACRES WEST DR"/>
    <s v="High Acres"/>
    <x v="181"/>
    <x v="143"/>
    <n v="1214"/>
    <n v="26"/>
    <s v="NC"/>
    <s v="SC"/>
    <n v="0"/>
    <n v="7"/>
    <n v="7"/>
    <n v="7"/>
    <n v="7"/>
    <n v="8"/>
    <n v="8"/>
    <n v="7"/>
    <n v="7"/>
    <n v="7"/>
    <n v="7"/>
    <m/>
    <m/>
    <m/>
    <n v="156"/>
    <n v="0"/>
    <s v="WEST ST"/>
    <n v="2"/>
    <x v="7"/>
    <n v="5748.106060606061"/>
    <m/>
    <n v="0"/>
    <x v="4"/>
  </r>
  <r>
    <s v=""/>
    <x v="894"/>
    <s v="HILL DRIVE"/>
    <s v="Hickory Hill"/>
    <x v="179"/>
    <x v="189"/>
    <n v="528"/>
    <n v="26"/>
    <s v="NC"/>
    <s v="C"/>
    <n v="0"/>
    <n v="6"/>
    <n v="7"/>
    <n v="6"/>
    <n v="6"/>
    <n v="9"/>
    <n v="8"/>
    <n v="8"/>
    <n v="7"/>
    <n v="7"/>
    <n v="7"/>
    <m/>
    <m/>
    <m/>
    <n v="50"/>
    <n v="0"/>
    <s v="HILL DRIVE"/>
    <n v="1"/>
    <x v="7"/>
    <n v="2500"/>
    <m/>
    <n v="0"/>
    <x v="4"/>
  </r>
  <r>
    <m/>
    <x v="895"/>
    <s v="HILLVIEW DRIVE(S)"/>
    <s v="Bristol Ridge"/>
    <x v="166"/>
    <x v="167"/>
    <n v="792"/>
    <n v="26"/>
    <s v="NC"/>
    <s v="SC"/>
    <n v="0"/>
    <n v="8"/>
    <n v="8"/>
    <n v="8"/>
    <n v="8"/>
    <n v="8"/>
    <n v="8"/>
    <n v="8"/>
    <n v="8"/>
    <n v="8"/>
    <n v="8"/>
    <m/>
    <m/>
    <m/>
    <n v="325"/>
    <n v="0"/>
    <s v="HILLVIEW DRIVE(S)"/>
    <n v="2"/>
    <x v="7"/>
    <n v="3750"/>
    <m/>
    <n v="0"/>
    <x v="4"/>
  </r>
  <r>
    <s v=""/>
    <x v="896"/>
    <s v="HOLLYHOCK COURT"/>
    <s v="Doe Creek Estates"/>
    <x v="154"/>
    <x v="143"/>
    <n v="317"/>
    <n v="26"/>
    <s v="NC"/>
    <s v="SC"/>
    <n v="0"/>
    <n v="8"/>
    <n v="7"/>
    <n v="7"/>
    <n v="7"/>
    <n v="7"/>
    <n v="7"/>
    <n v="7"/>
    <n v="7"/>
    <n v="7"/>
    <n v="7"/>
    <m/>
    <m/>
    <m/>
    <n v="392"/>
    <n v="0"/>
    <s v="HOLLYHOCK COURT"/>
    <n v="3"/>
    <x v="7"/>
    <n v="1500.9469696969697"/>
    <m/>
    <n v="0"/>
    <x v="4"/>
  </r>
  <r>
    <s v=""/>
    <x v="897"/>
    <s v="PLYMOUTH CT (N)"/>
    <s v="Stansbury"/>
    <x v="167"/>
    <x v="156"/>
    <n v="792"/>
    <n v="26"/>
    <s v="NC"/>
    <s v="BC"/>
    <n v="0"/>
    <n v="7"/>
    <n v="5"/>
    <n v="5"/>
    <n v="8"/>
    <n v="8"/>
    <n v="8"/>
    <n v="8"/>
    <n v="8"/>
    <n v="8"/>
    <n v="8"/>
    <m/>
    <m/>
    <m/>
    <n v="50"/>
    <n v="0"/>
    <s v="PLYMOUTH CT (N)"/>
    <n v="2"/>
    <x v="7"/>
    <n v="3750"/>
    <m/>
    <n v="0"/>
    <x v="6"/>
  </r>
  <r>
    <s v=""/>
    <x v="898"/>
    <s v="HOMESTEAD COURT"/>
    <s v="Doe Creek Estates"/>
    <x v="154"/>
    <x v="143"/>
    <n v="317"/>
    <n v="26"/>
    <s v="NC"/>
    <s v="SC"/>
    <n v="0"/>
    <n v="8"/>
    <n v="8"/>
    <n v="8"/>
    <n v="8"/>
    <n v="8"/>
    <n v="7"/>
    <n v="7"/>
    <n v="7"/>
    <n v="7"/>
    <n v="7"/>
    <m/>
    <m/>
    <m/>
    <n v="392"/>
    <n v="0"/>
    <s v="HOMESTEAD COURT"/>
    <n v="2"/>
    <x v="7"/>
    <n v="1500.9469696969697"/>
    <m/>
    <n v="0"/>
    <x v="4"/>
  </r>
  <r>
    <s v=""/>
    <x v="899"/>
    <s v="HOMESTEAD DRIVE"/>
    <s v="Countryside"/>
    <x v="15"/>
    <x v="154"/>
    <n v="1637"/>
    <n v="26"/>
    <s v="NC"/>
    <s v="SC"/>
    <n v="0"/>
    <n v="6"/>
    <n v="8"/>
    <n v="7"/>
    <n v="6"/>
    <n v="6"/>
    <n v="8"/>
    <n v="8"/>
    <n v="7"/>
    <n v="6"/>
    <n v="7"/>
    <m/>
    <m/>
    <m/>
    <n v="889"/>
    <n v="0.5"/>
    <s v="HOMESTEAD DRIVE"/>
    <n v="4.5"/>
    <x v="9"/>
    <n v="775.094696969697"/>
    <m/>
    <n v="0"/>
    <x v="3"/>
  </r>
  <r>
    <s v=""/>
    <x v="900"/>
    <s v="HONEYSUCKLE COURT"/>
    <s v="Morning Walk"/>
    <x v="178"/>
    <x v="161"/>
    <n v="264"/>
    <n v="26"/>
    <s v="NC"/>
    <s v="C"/>
    <n v="0"/>
    <n v="7"/>
    <n v="7"/>
    <n v="7"/>
    <n v="7"/>
    <n v="7"/>
    <n v="7"/>
    <n v="7"/>
    <n v="7"/>
    <n v="7"/>
    <n v="7"/>
    <m/>
    <m/>
    <m/>
    <n v="321"/>
    <n v="0"/>
    <s v="HONEYSUCKLE COURT"/>
    <n v="3"/>
    <x v="7"/>
    <n v="1250"/>
    <m/>
    <n v="0"/>
    <x v="4"/>
  </r>
  <r>
    <s v=""/>
    <x v="901"/>
    <s v="HUNTERS COURT(N)"/>
    <s v="Cranberry Lake Estates"/>
    <x v="31"/>
    <x v="133"/>
    <n v="264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HUNTERS COURT(N)"/>
    <n v="3"/>
    <x v="0"/>
    <n v="1050"/>
    <m/>
    <n v="0"/>
    <x v="3"/>
  </r>
  <r>
    <m/>
    <x v="902"/>
    <s v="IRWIN DRIVE (W)"/>
    <m/>
    <x v="182"/>
    <x v="25"/>
    <n v="883"/>
    <n v="20"/>
    <s v="CS"/>
    <s v="BC"/>
    <n v="0"/>
    <m/>
    <m/>
    <m/>
    <m/>
    <m/>
    <m/>
    <n v="4"/>
    <n v="9"/>
    <n v="8"/>
    <n v="8"/>
    <m/>
    <m/>
    <m/>
    <n v="50"/>
    <m/>
    <s v="IRWIN DRIVE (W)"/>
    <n v="10"/>
    <x v="0"/>
    <n v="3511.931818181818"/>
    <m/>
    <m/>
    <x v="4"/>
  </r>
  <r>
    <s v=""/>
    <x v="903"/>
    <s v="IVY COURT"/>
    <s v="Ivy Dale"/>
    <x v="183"/>
    <x v="182"/>
    <n v="1584"/>
    <n v="26"/>
    <s v="NC"/>
    <s v="SC"/>
    <n v="0"/>
    <n v="7"/>
    <n v="7"/>
    <n v="7"/>
    <n v="7"/>
    <n v="7"/>
    <n v="7"/>
    <n v="7"/>
    <n v="7"/>
    <n v="7"/>
    <n v="7"/>
    <m/>
    <m/>
    <m/>
    <n v="366"/>
    <n v="0"/>
    <s v="IVY COURT"/>
    <n v="3"/>
    <x v="7"/>
    <n v="7500"/>
    <m/>
    <n v="0"/>
    <x v="4"/>
  </r>
  <r>
    <s v=""/>
    <x v="904"/>
    <s v="IVY LANE"/>
    <s v="Ivy Dale"/>
    <x v="183"/>
    <x v="182"/>
    <n v="3062"/>
    <n v="26"/>
    <s v="NC"/>
    <s v="SC"/>
    <n v="0"/>
    <n v="7"/>
    <n v="7"/>
    <n v="7"/>
    <n v="7"/>
    <n v="7"/>
    <n v="7"/>
    <n v="7"/>
    <n v="7"/>
    <n v="7"/>
    <n v="7"/>
    <m/>
    <m/>
    <m/>
    <n v="366"/>
    <n v="0"/>
    <s v="IVY LANE"/>
    <n v="3"/>
    <x v="7"/>
    <n v="14498.10606060606"/>
    <m/>
    <n v="0"/>
    <x v="4"/>
  </r>
  <r>
    <s v=""/>
    <x v="905"/>
    <s v="JACKSON"/>
    <s v="Apple's Maxwell"/>
    <x v="31"/>
    <x v="33"/>
    <n v="581"/>
    <n v="26"/>
    <s v="NC"/>
    <s v="C"/>
    <n v="0"/>
    <n v="7"/>
    <n v="6"/>
    <n v="6"/>
    <n v="8"/>
    <n v="8"/>
    <n v="8"/>
    <n v="7"/>
    <n v="6"/>
    <n v="7"/>
    <n v="7"/>
    <m/>
    <m/>
    <m/>
    <n v="50"/>
    <n v="0"/>
    <s v="JACKSON STREET"/>
    <n v="2"/>
    <x v="7"/>
    <n v="2750.9469696969695"/>
    <m/>
    <n v="0"/>
    <x v="4"/>
  </r>
  <r>
    <s v=""/>
    <x v="906"/>
    <s v="JACKSON (MAX)/COTT"/>
    <m/>
    <x v="21"/>
    <x v="191"/>
    <n v="694"/>
    <n v="20"/>
    <s v="CS"/>
    <s v="C"/>
    <n v="0"/>
    <n v="7"/>
    <n v="6"/>
    <n v="6"/>
    <n v="7"/>
    <n v="7"/>
    <n v="7"/>
    <n v="7"/>
    <n v="7"/>
    <n v="7"/>
    <n v="7"/>
    <m/>
    <m/>
    <m/>
    <n v="50"/>
    <n v="0"/>
    <s v="JACKSON (MAX)/COTT"/>
    <n v="3"/>
    <x v="2"/>
    <n v="4206.060606060606"/>
    <m/>
    <n v="0"/>
    <x v="0"/>
  </r>
  <r>
    <s v="SC97"/>
    <x v="907"/>
    <s v="JACOBI RD./100S"/>
    <m/>
    <x v="71"/>
    <x v="64"/>
    <n v="6640"/>
    <n v="20"/>
    <s v="CS"/>
    <s v="SC"/>
    <n v="0"/>
    <n v="8"/>
    <n v="7"/>
    <n v="8"/>
    <n v="8"/>
    <n v="7"/>
    <n v="7"/>
    <n v="6"/>
    <n v="6"/>
    <n v="6"/>
    <n v="8"/>
    <m/>
    <m/>
    <m/>
    <n v="208"/>
    <n v="0"/>
    <s v="JACOBI RD./100S"/>
    <n v="3"/>
    <x v="0"/>
    <n v="26409.090909090908"/>
    <m/>
    <n v="0"/>
    <x v="2"/>
  </r>
  <r>
    <s v="SC98"/>
    <x v="908"/>
    <s v="JACOBI RD./200S"/>
    <m/>
    <x v="62"/>
    <x v="11"/>
    <n v="6673"/>
    <n v="20"/>
    <s v="G"/>
    <s v="SC"/>
    <n v="0"/>
    <n v="8"/>
    <n v="6"/>
    <n v="5"/>
    <n v="5"/>
    <n v="6"/>
    <n v="6"/>
    <n v="6"/>
    <n v="6"/>
    <n v="6"/>
    <n v="6"/>
    <m/>
    <m/>
    <m/>
    <n v="59"/>
    <n v="0"/>
    <s v="JACOBI RD./200S"/>
    <n v="4"/>
    <x v="0"/>
    <n v="26540.340909090908"/>
    <m/>
    <n v="0"/>
    <x v="4"/>
  </r>
  <r>
    <s v=""/>
    <x v="909"/>
    <s v="QUINCY DRIVE(N)"/>
    <s v="Stansbury"/>
    <x v="167"/>
    <x v="156"/>
    <n v="840"/>
    <n v="26"/>
    <s v="NC"/>
    <s v="BC"/>
    <n v="0"/>
    <n v="7"/>
    <n v="8"/>
    <n v="8"/>
    <n v="8"/>
    <n v="8"/>
    <n v="8"/>
    <n v="8"/>
    <n v="8"/>
    <n v="7"/>
    <n v="7"/>
    <m/>
    <m/>
    <m/>
    <n v="50"/>
    <n v="0"/>
    <s v="QUINCY DRIVE(N)"/>
    <n v="2"/>
    <x v="7"/>
    <n v="3977.2727272727275"/>
    <m/>
    <n v="0"/>
    <x v="6"/>
  </r>
  <r>
    <s v=""/>
    <x v="910"/>
    <s v="RALEIGH DRIVE(W)"/>
    <s v="Stansbury"/>
    <x v="167"/>
    <x v="156"/>
    <n v="829"/>
    <n v="26"/>
    <s v="NC"/>
    <s v="BC"/>
    <n v="0"/>
    <n v="8"/>
    <n v="8"/>
    <n v="8"/>
    <n v="8"/>
    <n v="8"/>
    <n v="8"/>
    <n v="8"/>
    <n v="8"/>
    <n v="8"/>
    <n v="8"/>
    <m/>
    <m/>
    <m/>
    <n v="50"/>
    <n v="0"/>
    <s v="RALEIGH DRIVE(W)"/>
    <n v="2"/>
    <x v="7"/>
    <n v="3925.189393939394"/>
    <m/>
    <n v="0"/>
    <x v="6"/>
  </r>
  <r>
    <s v=""/>
    <x v="911"/>
    <s v="JEANNE COURT"/>
    <s v="Fox Cove"/>
    <x v="158"/>
    <x v="158"/>
    <n v="720"/>
    <n v="26"/>
    <s v="NC"/>
    <s v="SC"/>
    <n v="0"/>
    <n v="7"/>
    <n v="7"/>
    <n v="7"/>
    <n v="7"/>
    <n v="7"/>
    <n v="8"/>
    <n v="8"/>
    <n v="8"/>
    <n v="7"/>
    <n v="7"/>
    <m/>
    <m/>
    <m/>
    <n v="667"/>
    <n v="0.5"/>
    <s v="JEANNE COURT"/>
    <n v="3.5"/>
    <x v="9"/>
    <n v="5816"/>
    <m/>
    <n v="0"/>
    <x v="3"/>
  </r>
  <r>
    <s v=""/>
    <x v="912"/>
    <s v="JEFFERSON (MAX)/EA"/>
    <m/>
    <x v="21"/>
    <x v="134"/>
    <n v="612"/>
    <n v="20"/>
    <s v="CS"/>
    <s v="C"/>
    <n v="0"/>
    <n v="7"/>
    <n v="7"/>
    <n v="7"/>
    <n v="7"/>
    <n v="7"/>
    <n v="7"/>
    <n v="7"/>
    <n v="7"/>
    <n v="7"/>
    <n v="7"/>
    <m/>
    <m/>
    <m/>
    <n v="50"/>
    <n v="0"/>
    <s v="JEFFERSON (MAX)/EA"/>
    <n v="3"/>
    <x v="2"/>
    <n v="3709.090909090909"/>
    <m/>
    <n v="0"/>
    <x v="0"/>
  </r>
  <r>
    <s v=""/>
    <x v="913"/>
    <s v="ROCKINGHAM LANE(N)"/>
    <s v="Easton At Stansbury"/>
    <x v="165"/>
    <x v="156"/>
    <n v="2376"/>
    <n v="26"/>
    <s v="NC"/>
    <s v="BC"/>
    <n v="0"/>
    <n v="7"/>
    <n v="8"/>
    <n v="8"/>
    <n v="8"/>
    <n v="8"/>
    <n v="8"/>
    <n v="8"/>
    <n v="8"/>
    <n v="7"/>
    <n v="7"/>
    <m/>
    <m/>
    <m/>
    <n v="50"/>
    <n v="0"/>
    <s v="ROCKINGHAM LANE(N)"/>
    <n v="2"/>
    <x v="7"/>
    <n v="11250"/>
    <m/>
    <n v="0"/>
    <x v="6"/>
  </r>
  <r>
    <s v=""/>
    <x v="914"/>
    <s v="STANSBURY BLVD"/>
    <s v="Stansbury"/>
    <x v="167"/>
    <x v="156"/>
    <n v="3878"/>
    <n v="26"/>
    <s v="NC"/>
    <s v="BC"/>
    <n v="0"/>
    <n v="6"/>
    <n v="8"/>
    <n v="7"/>
    <n v="7"/>
    <n v="7"/>
    <n v="6"/>
    <n v="8"/>
    <n v="8"/>
    <n v="7"/>
    <n v="7"/>
    <m/>
    <m/>
    <m/>
    <n v="50"/>
    <n v="0"/>
    <s v="STANSBURY BLVD(W)"/>
    <n v="3"/>
    <x v="7"/>
    <n v="18361.742424242424"/>
    <m/>
    <n v="0"/>
    <x v="6"/>
  </r>
  <r>
    <s v=""/>
    <x v="915"/>
    <s v="STAYLEY AVE"/>
    <s v="Price Park"/>
    <x v="184"/>
    <x v="192"/>
    <n v="392"/>
    <n v="26"/>
    <s v="NC"/>
    <s v="B"/>
    <n v="0"/>
    <n v="8"/>
    <n v="6"/>
    <n v="6"/>
    <n v="5"/>
    <n v="5"/>
    <n v="4"/>
    <n v="9"/>
    <n v="8"/>
    <n v="7"/>
    <n v="7"/>
    <m/>
    <m/>
    <m/>
    <n v="50"/>
    <n v="0"/>
    <s v="STAYLEY AVE"/>
    <n v="5"/>
    <x v="7"/>
    <n v="1856.060606060606"/>
    <m/>
    <n v="0"/>
    <x v="6"/>
  </r>
  <r>
    <s v=""/>
    <x v="916"/>
    <s v="JENNIFER COURT"/>
    <s v="Buck Creek Meadows"/>
    <x v="102"/>
    <x v="163"/>
    <n v="211"/>
    <n v="26"/>
    <s v="NC"/>
    <s v="BC"/>
    <n v="0"/>
    <n v="5"/>
    <n v="5"/>
    <n v="9"/>
    <n v="9"/>
    <n v="8"/>
    <n v="7"/>
    <n v="6"/>
    <n v="7"/>
    <n v="6"/>
    <n v="7"/>
    <m/>
    <m/>
    <m/>
    <n v="50"/>
    <n v="0"/>
    <s v="JENNIFER COURT"/>
    <n v="2"/>
    <x v="7"/>
    <n v="999.05303030303025"/>
    <m/>
    <n v="0"/>
    <x v="4"/>
  </r>
  <r>
    <s v=""/>
    <x v="917"/>
    <s v="JENNIFER DRIVE"/>
    <s v="Buck Creek Meadows"/>
    <x v="102"/>
    <x v="163"/>
    <n v="2323"/>
    <n v="26"/>
    <s v="NC"/>
    <s v="BC"/>
    <n v="0"/>
    <n v="6"/>
    <n v="6"/>
    <n v="9"/>
    <n v="9"/>
    <n v="8"/>
    <n v="7"/>
    <n v="6"/>
    <n v="7"/>
    <n v="7"/>
    <n v="6"/>
    <m/>
    <m/>
    <m/>
    <n v="50"/>
    <n v="0"/>
    <s v="JENNIFER DRIVE"/>
    <n v="2"/>
    <x v="7"/>
    <n v="10999.05303030303"/>
    <m/>
    <n v="0"/>
    <x v="4"/>
  </r>
  <r>
    <s v=""/>
    <x v="918"/>
    <s v="JENNIFER LANE"/>
    <s v="Buck Creek Meadows"/>
    <x v="102"/>
    <x v="163"/>
    <n v="422"/>
    <n v="26"/>
    <s v="NC"/>
    <s v="BC"/>
    <n v="0"/>
    <n v="5"/>
    <n v="5"/>
    <n v="9"/>
    <n v="9"/>
    <n v="8"/>
    <n v="7"/>
    <n v="6"/>
    <n v="7"/>
    <n v="7"/>
    <n v="7"/>
    <m/>
    <m/>
    <m/>
    <n v="50"/>
    <n v="0"/>
    <s v="JENNIFER LANE"/>
    <n v="2"/>
    <x v="7"/>
    <n v="1998.1060606060605"/>
    <m/>
    <n v="0"/>
    <x v="4"/>
  </r>
  <r>
    <m/>
    <x v="919"/>
    <s v="KAITLIN COURT"/>
    <s v="Village Green"/>
    <x v="43"/>
    <x v="11"/>
    <n v="168"/>
    <n v="26"/>
    <s v="NC"/>
    <s v="SC"/>
    <n v="0"/>
    <m/>
    <n v="8"/>
    <n v="8"/>
    <n v="8"/>
    <n v="8"/>
    <n v="8"/>
    <n v="8"/>
    <n v="8"/>
    <n v="8"/>
    <n v="8"/>
    <m/>
    <m/>
    <m/>
    <n v="740"/>
    <n v="0.5"/>
    <s v="KAITLIN COURT"/>
    <n v="2.5"/>
    <x v="7"/>
    <n v="795.4545454545455"/>
    <m/>
    <n v="0"/>
    <x v="4"/>
  </r>
  <r>
    <m/>
    <x v="920"/>
    <s v="KAITLIN RD"/>
    <s v="Village Green"/>
    <x v="43"/>
    <x v="11"/>
    <n v="442"/>
    <n v="26"/>
    <s v="NC"/>
    <s v="SC"/>
    <n v="0"/>
    <m/>
    <n v="8"/>
    <n v="8"/>
    <n v="8"/>
    <n v="8"/>
    <n v="8"/>
    <n v="8"/>
    <n v="8"/>
    <n v="8"/>
    <n v="7"/>
    <m/>
    <m/>
    <m/>
    <n v="740"/>
    <n v="0.5"/>
    <s v="KAITLIN RD"/>
    <n v="2.5"/>
    <x v="7"/>
    <n v="2092.8030303030305"/>
    <m/>
    <n v="0"/>
    <x v="4"/>
  </r>
  <r>
    <s v=""/>
    <x v="921"/>
    <s v="KATHLEEN COURT"/>
    <s v="Pleasant Acres"/>
    <x v="164"/>
    <x v="193"/>
    <n v="898"/>
    <n v="26"/>
    <s v="NC"/>
    <s v="BC"/>
    <n v="0"/>
    <n v="5"/>
    <n v="5"/>
    <n v="5"/>
    <n v="9"/>
    <n v="9"/>
    <n v="9"/>
    <n v="8"/>
    <n v="8"/>
    <n v="7"/>
    <n v="7"/>
    <m/>
    <m/>
    <m/>
    <n v="50"/>
    <n v="0"/>
    <s v="KATHLEEN COURT"/>
    <n v="1"/>
    <x v="7"/>
    <n v="4251.893939393939"/>
    <m/>
    <n v="0"/>
    <x v="4"/>
  </r>
  <r>
    <s v=""/>
    <x v="922"/>
    <s v="KELLY DRIVE(N)"/>
    <s v="Cranberry Lake Estates"/>
    <x v="31"/>
    <x v="133"/>
    <n v="1056"/>
    <n v="26"/>
    <s v="NC"/>
    <s v="C"/>
    <n v="0"/>
    <n v="7"/>
    <n v="7"/>
    <n v="7"/>
    <n v="7"/>
    <n v="7"/>
    <n v="7"/>
    <n v="6"/>
    <n v="6"/>
    <n v="6"/>
    <n v="6"/>
    <m/>
    <m/>
    <m/>
    <n v="50"/>
    <n v="0"/>
    <s v="KELLY DRIVE(N)"/>
    <n v="3"/>
    <x v="3"/>
    <n v="9200"/>
    <m/>
    <n v="0"/>
    <x v="0"/>
  </r>
  <r>
    <s v=""/>
    <x v="923"/>
    <s v="SUGAR CREEK TRAIL"/>
    <s v="Valley Green"/>
    <x v="178"/>
    <x v="153"/>
    <n v="1690"/>
    <n v="26"/>
    <s v="NC"/>
    <s v="C"/>
    <n v="0"/>
    <n v="7"/>
    <n v="7"/>
    <n v="7"/>
    <n v="7"/>
    <n v="6"/>
    <n v="6"/>
    <n v="8"/>
    <n v="8"/>
    <n v="7"/>
    <n v="7"/>
    <m/>
    <m/>
    <m/>
    <n v="50"/>
    <n v="0"/>
    <s v="SUGAR CREEK TRAIL"/>
    <n v="4"/>
    <x v="7"/>
    <n v="8001.893939393939"/>
    <m/>
    <n v="0"/>
    <x v="6"/>
  </r>
  <r>
    <s v=""/>
    <x v="924"/>
    <s v="KINGBIRD COURT"/>
    <s v="Vernon Woods"/>
    <x v="49"/>
    <x v="194"/>
    <n v="422"/>
    <n v="26"/>
    <s v="NC"/>
    <s v="V"/>
    <n v="0"/>
    <n v="8"/>
    <n v="8"/>
    <n v="8"/>
    <n v="8"/>
    <n v="8"/>
    <n v="8"/>
    <n v="7"/>
    <n v="7"/>
    <n v="7"/>
    <n v="7"/>
    <m/>
    <m/>
    <m/>
    <n v="50"/>
    <n v="0"/>
    <s v="KINGBIRD COURT"/>
    <n v="2"/>
    <x v="7"/>
    <n v="1998.1060606060605"/>
    <m/>
    <n v="0"/>
    <x v="4"/>
  </r>
  <r>
    <s v=""/>
    <x v="925"/>
    <s v="KINGBIRD DRIVE"/>
    <s v="Vernon Woods"/>
    <x v="49"/>
    <x v="194"/>
    <n v="1109"/>
    <n v="26"/>
    <s v="NC"/>
    <s v="V"/>
    <n v="0"/>
    <n v="8"/>
    <n v="8"/>
    <n v="8"/>
    <n v="8"/>
    <n v="8"/>
    <n v="8"/>
    <n v="7"/>
    <n v="7"/>
    <n v="7"/>
    <n v="7"/>
    <m/>
    <m/>
    <m/>
    <n v="50"/>
    <n v="0"/>
    <s v="KINGBIRD DRIVE"/>
    <n v="2"/>
    <x v="7"/>
    <n v="5250.94696969697"/>
    <m/>
    <n v="0"/>
    <x v="4"/>
  </r>
  <r>
    <m/>
    <x v="926"/>
    <s v="THISTLE BURR"/>
    <s v="Old Shagbark Woods"/>
    <x v="3"/>
    <x v="38"/>
    <n v="526"/>
    <n v="20"/>
    <s v="HMA"/>
    <s v="J"/>
    <n v="0"/>
    <m/>
    <m/>
    <m/>
    <n v="8"/>
    <n v="8"/>
    <n v="8"/>
    <m/>
    <m/>
    <m/>
    <n v="7"/>
    <m/>
    <m/>
    <m/>
    <n v="50"/>
    <n v="0"/>
    <s v="THISTLE BURR"/>
    <n v="2"/>
    <x v="7"/>
    <n v="2490.530303030303"/>
    <m/>
    <n v="0"/>
    <x v="6"/>
  </r>
  <r>
    <s v=""/>
    <x v="927"/>
    <s v="LAKESIDE COURT"/>
    <s v="Cranberry Lake Estates"/>
    <x v="31"/>
    <x v="133"/>
    <n v="264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LAKESIDE COURT"/>
    <n v="3"/>
    <x v="0"/>
    <n v="1050"/>
    <m/>
    <n v="0"/>
    <x v="3"/>
  </r>
  <r>
    <m/>
    <x v="928"/>
    <s v="LAKEWOOD COURT"/>
    <s v="Cranberry Lake Estates"/>
    <x v="31"/>
    <x v="133"/>
    <n v="262.5"/>
    <m/>
    <s v="NC"/>
    <s v="C"/>
    <n v="0"/>
    <m/>
    <n v="7"/>
    <n v="7"/>
    <n v="7"/>
    <n v="7"/>
    <n v="7"/>
    <n v="7"/>
    <n v="7"/>
    <n v="7"/>
    <n v="7"/>
    <m/>
    <m/>
    <m/>
    <n v="50"/>
    <n v="0"/>
    <m/>
    <n v="3"/>
    <x v="7"/>
    <n v="1242.8977272727273"/>
    <m/>
    <n v="0"/>
    <x v="4"/>
  </r>
  <r>
    <s v=""/>
    <x v="929"/>
    <s v="LAKEWOOD DRIVE"/>
    <s v="Cranberry Lake Estates"/>
    <x v="31"/>
    <x v="133"/>
    <n v="1742"/>
    <n v="26"/>
    <s v="NC"/>
    <s v="C"/>
    <n v="0"/>
    <n v="8"/>
    <n v="7"/>
    <n v="7"/>
    <n v="7"/>
    <n v="7"/>
    <n v="7"/>
    <n v="7"/>
    <n v="7"/>
    <n v="7"/>
    <n v="7"/>
    <m/>
    <m/>
    <m/>
    <n v="50"/>
    <n v="0"/>
    <s v="LAKEWOOD DRIVE"/>
    <n v="3"/>
    <x v="0"/>
    <n v="6928.409090909091"/>
    <m/>
    <n v="0"/>
    <x v="3"/>
  </r>
  <r>
    <s v=""/>
    <x v="930"/>
    <s v="LANA COURT EAST"/>
    <s v="Brier Creek"/>
    <x v="102"/>
    <x v="139"/>
    <n v="581"/>
    <n v="26"/>
    <s v="NC"/>
    <s v="SC"/>
    <n v="0"/>
    <n v="7"/>
    <n v="7"/>
    <n v="7"/>
    <n v="7"/>
    <n v="8"/>
    <n v="8"/>
    <n v="8"/>
    <n v="8"/>
    <n v="7"/>
    <n v="7"/>
    <m/>
    <m/>
    <m/>
    <n v="232"/>
    <n v="0"/>
    <s v="LANA COURT EAST"/>
    <n v="2"/>
    <x v="7"/>
    <n v="2750.9469696969695"/>
    <m/>
    <n v="0"/>
    <x v="4"/>
  </r>
  <r>
    <s v=""/>
    <x v="931"/>
    <s v="LANA COURT WEST"/>
    <s v="Brier Creek"/>
    <x v="102"/>
    <x v="139"/>
    <n v="581"/>
    <n v="26"/>
    <s v="NC"/>
    <s v="SC"/>
    <n v="0"/>
    <n v="7"/>
    <n v="7"/>
    <n v="7"/>
    <n v="7"/>
    <n v="8"/>
    <n v="8"/>
    <n v="8"/>
    <n v="8"/>
    <n v="7"/>
    <n v="7"/>
    <m/>
    <m/>
    <m/>
    <n v="232"/>
    <n v="0"/>
    <s v="LANA COURT WEST"/>
    <n v="2"/>
    <x v="7"/>
    <n v="2750.9469696969695"/>
    <m/>
    <n v="0"/>
    <x v="4"/>
  </r>
  <r>
    <s v=""/>
    <x v="932"/>
    <s v="VERNON LANE"/>
    <s v="Alfords"/>
    <x v="0"/>
    <x v="185"/>
    <n v="370"/>
    <n v="26"/>
    <s v="NC"/>
    <s v="V"/>
    <n v="0"/>
    <n v="6"/>
    <n v="8"/>
    <n v="8"/>
    <n v="8"/>
    <n v="8"/>
    <n v="8"/>
    <n v="8"/>
    <n v="8"/>
    <n v="7"/>
    <n v="7"/>
    <m/>
    <m/>
    <m/>
    <n v="50"/>
    <n v="0"/>
    <s v="VERNON LANE"/>
    <n v="2"/>
    <x v="7"/>
    <n v="1751.8939393939395"/>
    <m/>
    <n v="0"/>
    <x v="6"/>
  </r>
  <r>
    <s v=""/>
    <x v="933"/>
    <s v="LEE MAR DRIVE"/>
    <s v="Glad Acres"/>
    <x v="15"/>
    <x v="17"/>
    <n v="422"/>
    <n v="26"/>
    <s v="NC"/>
    <s v="SC"/>
    <n v="0"/>
    <n v="7"/>
    <n v="8"/>
    <n v="8"/>
    <n v="7"/>
    <n v="8"/>
    <n v="8"/>
    <n v="7"/>
    <n v="7"/>
    <n v="7"/>
    <n v="7"/>
    <m/>
    <m/>
    <m/>
    <n v="121"/>
    <n v="0"/>
    <s v="LEE MAR DRIVE"/>
    <n v="2"/>
    <x v="7"/>
    <n v="1998.1060606060605"/>
    <m/>
    <n v="0"/>
    <x v="4"/>
  </r>
  <r>
    <s v=""/>
    <x v="934"/>
    <s v="LEONARD ROAD"/>
    <s v="Glad Acres"/>
    <x v="15"/>
    <x v="17"/>
    <n v="1584"/>
    <n v="26"/>
    <s v="NC"/>
    <s v="SC"/>
    <n v="0"/>
    <n v="7"/>
    <n v="8"/>
    <n v="8"/>
    <n v="7"/>
    <n v="8"/>
    <n v="8"/>
    <n v="7"/>
    <n v="7"/>
    <n v="7"/>
    <n v="7"/>
    <m/>
    <m/>
    <m/>
    <n v="121"/>
    <n v="0"/>
    <s v="LEONARD ROAD"/>
    <n v="2"/>
    <x v="7"/>
    <n v="7500"/>
    <m/>
    <n v="0"/>
    <x v="4"/>
  </r>
  <r>
    <s v=""/>
    <x v="935"/>
    <s v="LILAC LANE"/>
    <s v="Gem Meadows"/>
    <x v="185"/>
    <x v="168"/>
    <n v="1214"/>
    <n v="26"/>
    <s v="NC"/>
    <s v="SC"/>
    <n v="0"/>
    <n v="8"/>
    <n v="8"/>
    <n v="8"/>
    <n v="8"/>
    <n v="8"/>
    <n v="7"/>
    <n v="7"/>
    <n v="7"/>
    <n v="7"/>
    <n v="7"/>
    <m/>
    <m/>
    <m/>
    <n v="234"/>
    <n v="0"/>
    <s v="LILAC LANE"/>
    <n v="2"/>
    <x v="5"/>
    <n v="18393.939393939392"/>
    <m/>
    <n v="0"/>
    <x v="7"/>
  </r>
  <r>
    <s v=""/>
    <x v="936"/>
    <s v="LILLIAN COURT"/>
    <s v="Schildmeier Woods"/>
    <x v="102"/>
    <x v="152"/>
    <n v="317"/>
    <n v="26"/>
    <s v="NC"/>
    <s v="SC"/>
    <n v="0"/>
    <n v="9"/>
    <n v="8"/>
    <n v="10"/>
    <n v="9"/>
    <n v="8"/>
    <n v="8"/>
    <n v="7"/>
    <n v="8"/>
    <n v="7"/>
    <n v="7"/>
    <m/>
    <m/>
    <m/>
    <n v="410"/>
    <n v="0"/>
    <s v="LILLIAN COURT"/>
    <n v="2"/>
    <x v="7"/>
    <n v="1500.9469696969697"/>
    <m/>
    <n v="0"/>
    <x v="4"/>
  </r>
  <r>
    <s v=""/>
    <x v="937"/>
    <s v="LILY COURT"/>
    <s v="Morning Walk"/>
    <x v="178"/>
    <x v="161"/>
    <n v="211"/>
    <n v="26"/>
    <s v="NC"/>
    <s v="C"/>
    <n v="0"/>
    <n v="7"/>
    <n v="7"/>
    <n v="7"/>
    <n v="7"/>
    <n v="7"/>
    <n v="7"/>
    <n v="7"/>
    <n v="7"/>
    <n v="7"/>
    <n v="7"/>
    <m/>
    <m/>
    <m/>
    <n v="321"/>
    <n v="0"/>
    <s v="LILY COURT"/>
    <n v="3"/>
    <x v="7"/>
    <n v="999.05303030303025"/>
    <m/>
    <n v="0"/>
    <x v="4"/>
  </r>
  <r>
    <s v=""/>
    <x v="938"/>
    <s v="WALNUT/VINE(PHILY)"/>
    <m/>
    <x v="42"/>
    <x v="83"/>
    <n v="1797"/>
    <n v="20"/>
    <s v="AC"/>
    <s v="SC"/>
    <n v="0"/>
    <n v="8"/>
    <n v="6"/>
    <n v="5"/>
    <n v="4"/>
    <n v="4"/>
    <n v="4"/>
    <n v="8"/>
    <n v="8"/>
    <n v="8"/>
    <n v="8"/>
    <m/>
    <m/>
    <m/>
    <n v="50"/>
    <n v="0"/>
    <s v="WALNUT DRIVE"/>
    <n v="6"/>
    <x v="7"/>
    <n v="8508.5227272727279"/>
    <m/>
    <n v="0"/>
    <x v="6"/>
  </r>
  <r>
    <s v=""/>
    <x v="939"/>
    <s v="LOGAN DR (S)"/>
    <s v="Briarwood Trace"/>
    <x v="102"/>
    <x v="166"/>
    <n v="1262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LOGAN DR (S)"/>
    <n v="3"/>
    <x v="9"/>
    <n v="14218"/>
    <m/>
    <n v="0"/>
    <x v="3"/>
  </r>
  <r>
    <s v=""/>
    <x v="940"/>
    <s v="MAIELLEN COURT"/>
    <s v="Buck Creek Meadows"/>
    <x v="33"/>
    <x v="70"/>
    <n v="83.24"/>
    <m/>
    <s v="NC"/>
    <s v="BC"/>
    <n v="0"/>
    <m/>
    <n v="7"/>
    <n v="8"/>
    <n v="8"/>
    <n v="7"/>
    <n v="6"/>
    <n v="5"/>
    <n v="7"/>
    <n v="7"/>
    <n v="7"/>
    <m/>
    <m/>
    <m/>
    <n v="50"/>
    <n v="0"/>
    <s v="MAIELLEN COURT"/>
    <n v="3"/>
    <x v="7"/>
    <n v="394.12878787878782"/>
    <m/>
    <n v="0"/>
    <x v="4"/>
  </r>
  <r>
    <s v=""/>
    <x v="941"/>
    <s v="MAIELLEN DRIVE"/>
    <s v="Buck Creek Meadows"/>
    <x v="102"/>
    <x v="163"/>
    <n v="1933"/>
    <n v="26"/>
    <s v="NC"/>
    <s v="BC"/>
    <n v="0"/>
    <n v="7"/>
    <n v="7"/>
    <n v="7"/>
    <n v="7"/>
    <n v="6"/>
    <n v="6"/>
    <n v="6"/>
    <n v="7"/>
    <n v="7"/>
    <n v="7"/>
    <m/>
    <m/>
    <m/>
    <n v="50"/>
    <n v="0"/>
    <s v="MAIELLEN DRIVE"/>
    <n v="4"/>
    <x v="7"/>
    <n v="9152.4621212121219"/>
    <m/>
    <n v="0"/>
    <x v="4"/>
  </r>
  <r>
    <s v=""/>
    <x v="942"/>
    <s v="MAIN CROSS(PHILY)"/>
    <m/>
    <x v="23"/>
    <x v="195"/>
    <n v="612"/>
    <n v="20"/>
    <s v="AC"/>
    <s v="SC"/>
    <n v="0"/>
    <n v="5"/>
    <n v="5"/>
    <n v="5"/>
    <n v="8"/>
    <n v="8"/>
    <n v="7"/>
    <n v="7"/>
    <n v="7"/>
    <n v="7"/>
    <n v="7"/>
    <m/>
    <m/>
    <m/>
    <n v="50"/>
    <n v="0"/>
    <s v="MAIN CROSS(PHILY)"/>
    <n v="2"/>
    <x v="9"/>
    <n v="289.77272727272725"/>
    <m/>
    <n v="0"/>
    <x v="3"/>
  </r>
  <r>
    <s v=""/>
    <x v="943"/>
    <s v="MAIN ST(CHAR)/25N"/>
    <m/>
    <x v="23"/>
    <x v="57"/>
    <n v="1077"/>
    <n v="20"/>
    <s v="AC"/>
    <s v="J"/>
    <n v="0"/>
    <n v="6"/>
    <n v="6"/>
    <n v="6"/>
    <n v="6"/>
    <n v="6"/>
    <n v="6"/>
    <n v="5"/>
    <n v="5"/>
    <n v="7"/>
    <n v="7"/>
    <m/>
    <m/>
    <m/>
    <n v="50"/>
    <n v="0"/>
    <s v="MAIN ST"/>
    <n v="4"/>
    <x v="2"/>
    <n v="6527.272727272727"/>
    <m/>
    <n v="0"/>
    <x v="2"/>
  </r>
  <r>
    <s v=""/>
    <x v="944"/>
    <s v="MAIN ST(FINLY)/GR"/>
    <m/>
    <x v="52"/>
    <x v="196"/>
    <n v="634"/>
    <n v="20"/>
    <s v="AC"/>
    <s v="BW"/>
    <n v="0"/>
    <n v="7"/>
    <n v="7"/>
    <n v="7"/>
    <n v="7"/>
    <n v="7"/>
    <n v="7"/>
    <n v="6"/>
    <n v="6"/>
    <n v="6"/>
    <n v="7"/>
    <m/>
    <m/>
    <m/>
    <n v="35"/>
    <n v="0"/>
    <s v="MAIN ST"/>
    <n v="3"/>
    <x v="0"/>
    <n v="2521.590909090909"/>
    <m/>
    <n v="0"/>
    <x v="2"/>
  </r>
  <r>
    <s v="B41"/>
    <x v="945"/>
    <s v="MAIN ST.(WILL BR)"/>
    <s v="Willow Branch"/>
    <x v="99"/>
    <x v="1"/>
    <n v="2620"/>
    <n v="20"/>
    <s v="AC"/>
    <s v="B"/>
    <n v="0"/>
    <n v="6"/>
    <n v="6"/>
    <n v="6"/>
    <n v="6"/>
    <n v="5"/>
    <n v="9"/>
    <n v="8"/>
    <n v="8"/>
    <n v="7"/>
    <n v="7"/>
    <m/>
    <m/>
    <m/>
    <n v="50"/>
    <n v="0"/>
    <s v="MAIN ST"/>
    <n v="5"/>
    <x v="0"/>
    <n v="10420.454545454546"/>
    <m/>
    <n v="0"/>
    <x v="4"/>
  </r>
  <r>
    <s v=""/>
    <x v="946"/>
    <s v="ANITA LANE"/>
    <s v="Wildwood Estates"/>
    <x v="172"/>
    <x v="160"/>
    <n v="1478"/>
    <n v="26"/>
    <s v="NC"/>
    <s v="BC"/>
    <n v="0"/>
    <n v="6"/>
    <n v="6"/>
    <n v="6"/>
    <n v="6"/>
    <n v="6"/>
    <n v="6"/>
    <n v="6"/>
    <n v="6"/>
    <n v="6"/>
    <n v="6"/>
    <m/>
    <m/>
    <m/>
    <n v="50"/>
    <n v="0"/>
    <s v="ANITA LANE"/>
    <n v="4"/>
    <x v="10"/>
    <n v="20994.31818181818"/>
    <m/>
    <n v="0"/>
    <x v="6"/>
  </r>
  <r>
    <s v=""/>
    <x v="947"/>
    <s v="MEADOW LAKE DRIVE"/>
    <s v="Meadow Lake Estates"/>
    <x v="15"/>
    <x v="169"/>
    <n v="1795"/>
    <n v="26"/>
    <s v="NC"/>
    <s v="SC"/>
    <n v="0"/>
    <n v="7"/>
    <n v="8"/>
    <n v="8"/>
    <n v="8"/>
    <n v="8"/>
    <n v="7"/>
    <n v="7"/>
    <n v="7"/>
    <n v="7"/>
    <n v="7"/>
    <m/>
    <m/>
    <m/>
    <n v="1150"/>
    <n v="0.5"/>
    <s v="MEADOW LAKE DRIVE"/>
    <n v="2.5"/>
    <x v="7"/>
    <n v="8499.05303030303"/>
    <m/>
    <n v="0"/>
    <x v="4"/>
  </r>
  <r>
    <s v=""/>
    <x v="948"/>
    <s v="MEADOW SONG CT S"/>
    <s v="Meadow Lake Estates"/>
    <x v="15"/>
    <x v="169"/>
    <n v="739"/>
    <n v="26"/>
    <s v="NC"/>
    <s v="SC"/>
    <n v="0"/>
    <n v="7"/>
    <n v="8"/>
    <n v="8"/>
    <n v="8"/>
    <n v="8"/>
    <n v="7"/>
    <n v="7"/>
    <n v="7"/>
    <n v="7"/>
    <n v="7"/>
    <m/>
    <m/>
    <m/>
    <n v="1150"/>
    <n v="0.5"/>
    <s v="MEADOW SONG CT S"/>
    <n v="2.5"/>
    <x v="7"/>
    <n v="3499.0530303030305"/>
    <m/>
    <n v="0"/>
    <x v="4"/>
  </r>
  <r>
    <s v=""/>
    <x v="949"/>
    <s v="MEADOWS CIRCLE"/>
    <s v="Buck Creek Meadows"/>
    <x v="102"/>
    <x v="163"/>
    <n v="739"/>
    <n v="26"/>
    <s v="NC"/>
    <s v="BC"/>
    <n v="0"/>
    <n v="7"/>
    <n v="7"/>
    <n v="7"/>
    <n v="7"/>
    <n v="7"/>
    <n v="7"/>
    <n v="6"/>
    <n v="7"/>
    <n v="7"/>
    <n v="7"/>
    <m/>
    <m/>
    <m/>
    <n v="176"/>
    <n v="0"/>
    <s v="MEADOWS CIRCLE"/>
    <n v="3"/>
    <x v="7"/>
    <n v="3499.0530303030305"/>
    <m/>
    <n v="0"/>
    <x v="4"/>
  </r>
  <r>
    <s v=""/>
    <x v="950"/>
    <s v="MEADOWS LANE"/>
    <s v="Buck Creek Meadows"/>
    <x v="102"/>
    <x v="163"/>
    <n v="2059"/>
    <n v="26"/>
    <s v="NC"/>
    <s v="BC"/>
    <n v="0"/>
    <n v="7"/>
    <n v="7"/>
    <n v="7"/>
    <n v="7"/>
    <n v="7"/>
    <n v="7"/>
    <n v="6"/>
    <n v="7"/>
    <n v="7"/>
    <n v="7"/>
    <m/>
    <m/>
    <m/>
    <n v="176"/>
    <n v="0"/>
    <s v="MEADOWS LANE"/>
    <n v="3"/>
    <x v="7"/>
    <n v="9749.05303030303"/>
    <m/>
    <n v="0"/>
    <x v="4"/>
  </r>
  <r>
    <s v=""/>
    <x v="951"/>
    <s v="MEADOWVIEW DR"/>
    <s v="Summerfield"/>
    <x v="180"/>
    <x v="190"/>
    <n v="1320"/>
    <n v="26"/>
    <s v="NC"/>
    <s v="BC"/>
    <n v="0"/>
    <n v="7"/>
    <n v="6"/>
    <n v="6"/>
    <n v="6"/>
    <n v="6"/>
    <n v="8"/>
    <n v="7"/>
    <n v="7"/>
    <n v="7"/>
    <n v="7"/>
    <m/>
    <m/>
    <m/>
    <n v="50"/>
    <n v="0"/>
    <s v="MEADOWVIEW DR"/>
    <n v="4"/>
    <x v="9"/>
    <n v="10677"/>
    <m/>
    <n v="0"/>
    <x v="3"/>
  </r>
  <r>
    <s v=""/>
    <x v="952"/>
    <s v="MELODY LANE"/>
    <s v="Wildwood Estates"/>
    <x v="172"/>
    <x v="160"/>
    <n v="1003"/>
    <n v="26"/>
    <s v="NC"/>
    <s v="BC"/>
    <n v="0"/>
    <n v="7"/>
    <n v="7"/>
    <n v="7"/>
    <n v="7"/>
    <n v="7"/>
    <n v="7"/>
    <n v="7"/>
    <n v="6"/>
    <n v="6"/>
    <n v="6"/>
    <m/>
    <m/>
    <m/>
    <n v="50"/>
    <n v="0"/>
    <s v="MELODY LANE"/>
    <n v="3"/>
    <x v="10"/>
    <n v="14247.15909090909"/>
    <m/>
    <n v="0"/>
    <x v="6"/>
  </r>
  <r>
    <s v=""/>
    <x v="953"/>
    <s v="WILDWOOD DRIVE"/>
    <s v="Wildwood Estates"/>
    <x v="172"/>
    <x v="160"/>
    <n v="1373"/>
    <n v="26"/>
    <s v="NC"/>
    <s v="BC"/>
    <n v="0"/>
    <n v="7"/>
    <n v="7"/>
    <n v="7"/>
    <n v="7"/>
    <n v="7"/>
    <n v="7"/>
    <n v="7"/>
    <n v="7"/>
    <n v="7"/>
    <n v="7"/>
    <m/>
    <m/>
    <m/>
    <n v="50"/>
    <n v="0"/>
    <s v="WILDWOOD DRIVE"/>
    <n v="3"/>
    <x v="10"/>
    <n v="19502.840909090908"/>
    <m/>
    <n v="0"/>
    <x v="6"/>
  </r>
  <r>
    <s v=""/>
    <x v="954"/>
    <s v="MEMORY LANE"/>
    <s v="Time Capsule Park"/>
    <x v="164"/>
    <x v="197"/>
    <n v="634"/>
    <n v="26"/>
    <s v="NC"/>
    <s v="SC"/>
    <n v="0"/>
    <n v="8"/>
    <n v="7"/>
    <n v="7"/>
    <n v="7"/>
    <n v="7"/>
    <n v="7"/>
    <n v="7"/>
    <n v="7"/>
    <n v="7"/>
    <n v="8"/>
    <m/>
    <m/>
    <m/>
    <n v="50"/>
    <n v="0"/>
    <s v="MEMORY LANE"/>
    <n v="3"/>
    <x v="7"/>
    <n v="3001.8939393939395"/>
    <m/>
    <n v="0"/>
    <x v="4"/>
  </r>
  <r>
    <s v="V103"/>
    <x v="955"/>
    <s v="MERIDIAN RD./1000A"/>
    <m/>
    <x v="5"/>
    <x v="61"/>
    <n v="3800"/>
    <n v="20"/>
    <s v="AC"/>
    <s v="V"/>
    <n v="0"/>
    <n v="8"/>
    <n v="7"/>
    <n v="7"/>
    <n v="7"/>
    <n v="7"/>
    <n v="6"/>
    <n v="6"/>
    <n v="6"/>
    <n v="6"/>
    <n v="7"/>
    <m/>
    <m/>
    <m/>
    <n v="250"/>
    <n v="0"/>
    <s v="MERIDIAN RD."/>
    <n v="3"/>
    <x v="2"/>
    <n v="23030.303030303032"/>
    <m/>
    <n v="0"/>
    <x v="3"/>
  </r>
  <r>
    <s v="BC22"/>
    <x v="956"/>
    <s v="300N/500W"/>
    <m/>
    <x v="117"/>
    <x v="34"/>
    <n v="4972"/>
    <n v="20"/>
    <s v="AC"/>
    <s v="BC"/>
    <n v="0"/>
    <n v="6"/>
    <n v="6"/>
    <n v="6"/>
    <n v="5"/>
    <n v="5"/>
    <n v="5"/>
    <n v="5"/>
    <n v="5"/>
    <n v="8"/>
    <n v="7"/>
    <m/>
    <m/>
    <s v="Y"/>
    <n v="4581"/>
    <n v="1.5"/>
    <s v="300N"/>
    <n v="6.5"/>
    <x v="4"/>
    <n v="103583.33333333333"/>
    <m/>
    <n v="0"/>
    <x v="6"/>
  </r>
  <r>
    <s v="C60"/>
    <x v="957"/>
    <s v="MERIDIAN RD./100S"/>
    <m/>
    <x v="62"/>
    <x v="63"/>
    <n v="5265"/>
    <n v="20"/>
    <s v="AC"/>
    <s v="C"/>
    <n v="0"/>
    <n v="7"/>
    <n v="8"/>
    <n v="8"/>
    <n v="8"/>
    <n v="7"/>
    <n v="7"/>
    <n v="7"/>
    <n v="7"/>
    <n v="7"/>
    <n v="7"/>
    <n v="2024"/>
    <n v="2023"/>
    <s v="Y"/>
    <n v="1452"/>
    <n v="0.5"/>
    <s v="MERIDIAN RD."/>
    <n v="3.5"/>
    <x v="0"/>
    <n v="20940.340909090908"/>
    <m/>
    <n v="0"/>
    <x v="3"/>
  </r>
  <r>
    <s v="V104"/>
    <x v="958"/>
    <s v="MERIDIAN RD./1100N"/>
    <m/>
    <x v="60"/>
    <x v="62"/>
    <n v="5315"/>
    <n v="20"/>
    <s v="AC"/>
    <s v="V"/>
    <n v="0"/>
    <n v="8"/>
    <n v="5"/>
    <n v="6"/>
    <n v="5"/>
    <n v="5"/>
    <n v="7"/>
    <n v="7"/>
    <n v="8"/>
    <n v="7"/>
    <n v="7"/>
    <m/>
    <m/>
    <m/>
    <n v="304"/>
    <n v="0"/>
    <s v="MERIDIAN RD."/>
    <n v="5"/>
    <x v="2"/>
    <n v="32212.121212121212"/>
    <m/>
    <n v="0"/>
    <x v="3"/>
  </r>
  <r>
    <s v="BW45"/>
    <x v="959"/>
    <s v="MERIDIAN RD./200S"/>
    <m/>
    <x v="63"/>
    <x v="64"/>
    <n v="5330"/>
    <n v="20"/>
    <s v="AC"/>
    <s v="BW"/>
    <n v="0"/>
    <n v="6"/>
    <n v="7"/>
    <n v="9"/>
    <n v="9"/>
    <n v="8"/>
    <n v="7"/>
    <n v="6"/>
    <n v="6"/>
    <n v="6"/>
    <n v="7"/>
    <n v="2023"/>
    <n v="2023"/>
    <s v="Y"/>
    <n v="1243"/>
    <n v="0.5"/>
    <s v="MERIDIAN RD."/>
    <n v="2.5"/>
    <x v="0"/>
    <n v="21198.863636363636"/>
    <m/>
    <n v="0"/>
    <x v="2"/>
  </r>
  <r>
    <s v="BC50"/>
    <x v="960"/>
    <s v="700W/600N"/>
    <m/>
    <x v="1"/>
    <x v="1"/>
    <n v="4963"/>
    <n v="20"/>
    <s v="CS"/>
    <s v="BC"/>
    <n v="0"/>
    <n v="7"/>
    <n v="7"/>
    <n v="7"/>
    <n v="7"/>
    <n v="8"/>
    <n v="7"/>
    <n v="7"/>
    <n v="6"/>
    <n v="6"/>
    <n v="7"/>
    <m/>
    <n v="2018"/>
    <s v="Y"/>
    <n v="2420"/>
    <n v="1"/>
    <s v="700W"/>
    <n v="3"/>
    <x v="4"/>
    <n v="103395.83333333333"/>
    <m/>
    <n v="0"/>
    <x v="6"/>
  </r>
  <r>
    <m/>
    <x v="961"/>
    <s v="MERIDIAN RD./400N"/>
    <m/>
    <x v="177"/>
    <x v="2"/>
    <n v="1160"/>
    <n v="20"/>
    <s v="AC"/>
    <s v="BW"/>
    <n v="0"/>
    <n v="8"/>
    <n v="7"/>
    <n v="8"/>
    <n v="8"/>
    <n v="7"/>
    <n v="7"/>
    <n v="6"/>
    <n v="6"/>
    <n v="6"/>
    <n v="6"/>
    <m/>
    <m/>
    <m/>
    <n v="540"/>
    <n v="0.5"/>
    <s v="MERIDIAN RD."/>
    <n v="3.5"/>
    <x v="1"/>
    <n v="1186.3636363636363"/>
    <m/>
    <n v="0"/>
    <x v="2"/>
  </r>
  <r>
    <s v="BW43"/>
    <x v="962"/>
    <s v="MERIDIAN RD./400S"/>
    <m/>
    <x v="24"/>
    <x v="26"/>
    <n v="5340"/>
    <n v="20"/>
    <s v="AC"/>
    <s v="BW"/>
    <n v="0"/>
    <n v="8"/>
    <n v="7"/>
    <n v="8"/>
    <n v="8"/>
    <n v="7"/>
    <n v="6"/>
    <n v="6"/>
    <n v="7"/>
    <n v="7"/>
    <n v="7"/>
    <n v="2023"/>
    <n v="2023"/>
    <s v="Y"/>
    <n v="540"/>
    <n v="0.5"/>
    <s v="MERIDIAN RD."/>
    <n v="3.5"/>
    <x v="0"/>
    <n v="21238.636363636364"/>
    <m/>
    <n v="0"/>
    <x v="4"/>
  </r>
  <r>
    <s v="BW42"/>
    <x v="963"/>
    <s v="MERIDIAN RD./500S"/>
    <m/>
    <x v="122"/>
    <x v="91"/>
    <n v="5185"/>
    <n v="20"/>
    <s v="AC"/>
    <s v="BW"/>
    <n v="0"/>
    <n v="7"/>
    <n v="5"/>
    <n v="4"/>
    <n v="4"/>
    <n v="9"/>
    <n v="9"/>
    <n v="8"/>
    <n v="7"/>
    <n v="7"/>
    <n v="7"/>
    <m/>
    <m/>
    <m/>
    <n v="486"/>
    <n v="0"/>
    <s v="MERIDIAN RD."/>
    <n v="1"/>
    <x v="1"/>
    <n v="5302.840909090909"/>
    <m/>
    <n v="0"/>
    <x v="2"/>
  </r>
  <r>
    <s v="V101"/>
    <x v="964"/>
    <s v="MERIDIAN RD./900N"/>
    <m/>
    <x v="7"/>
    <x v="88"/>
    <n v="5300"/>
    <n v="20"/>
    <s v="CS"/>
    <s v="V"/>
    <n v="0"/>
    <n v="8"/>
    <n v="7"/>
    <n v="6"/>
    <n v="6"/>
    <n v="6"/>
    <n v="5"/>
    <n v="5"/>
    <n v="5"/>
    <n v="8"/>
    <n v="8"/>
    <m/>
    <m/>
    <m/>
    <n v="262"/>
    <n v="0"/>
    <s v="MERIDIAN RD."/>
    <n v="4"/>
    <x v="0"/>
    <n v="21079.545454545456"/>
    <m/>
    <n v="0"/>
    <x v="5"/>
  </r>
  <r>
    <s v="V100"/>
    <x v="965"/>
    <s v="MERIDIAN RD./SR234"/>
    <m/>
    <x v="7"/>
    <x v="82"/>
    <n v="5160"/>
    <n v="20"/>
    <s v="CS"/>
    <s v="V"/>
    <n v="0"/>
    <n v="3"/>
    <n v="5"/>
    <n v="7"/>
    <n v="7"/>
    <n v="7"/>
    <n v="5"/>
    <n v="5"/>
    <n v="5"/>
    <n v="5"/>
    <n v="7"/>
    <m/>
    <m/>
    <m/>
    <n v="71"/>
    <n v="0"/>
    <s v="MERIDIAN RD."/>
    <n v="3"/>
    <x v="0"/>
    <n v="20522.727272727272"/>
    <m/>
    <n v="0"/>
    <x v="2"/>
  </r>
  <r>
    <s v=""/>
    <x v="966"/>
    <s v="MICHAEL'S CT"/>
    <s v="Shel-Lyn Estates"/>
    <x v="157"/>
    <x v="177"/>
    <n v="792"/>
    <n v="26"/>
    <s v="NC"/>
    <s v="BW"/>
    <n v="0"/>
    <n v="6"/>
    <n v="9"/>
    <n v="9"/>
    <n v="8"/>
    <n v="8"/>
    <n v="8"/>
    <n v="7"/>
    <n v="7"/>
    <n v="7"/>
    <n v="7"/>
    <m/>
    <m/>
    <m/>
    <n v="141"/>
    <n v="0"/>
    <s v="MICHAEL'S CT"/>
    <n v="2"/>
    <x v="5"/>
    <n v="12000"/>
    <n v="1"/>
    <n v="12000"/>
    <x v="3"/>
  </r>
  <r>
    <s v=""/>
    <x v="967"/>
    <s v="MILL BOULEVARD"/>
    <s v="Country Mill"/>
    <x v="73"/>
    <x v="198"/>
    <n v="950"/>
    <n v="26"/>
    <s v="NC"/>
    <s v="C"/>
    <n v="0"/>
    <n v="7"/>
    <n v="8"/>
    <n v="8"/>
    <n v="8"/>
    <n v="8"/>
    <n v="7"/>
    <n v="6"/>
    <n v="6"/>
    <n v="6"/>
    <n v="6"/>
    <m/>
    <m/>
    <m/>
    <n v="50"/>
    <n v="0"/>
    <s v="MILL BOULEVARD"/>
    <n v="2"/>
    <x v="5"/>
    <n v="14393.939393939394"/>
    <n v="1"/>
    <n v="14393.939393939394"/>
    <x v="3"/>
  </r>
  <r>
    <s v=""/>
    <x v="968"/>
    <s v="MILL COURT"/>
    <s v="Country Mill"/>
    <x v="73"/>
    <x v="176"/>
    <n v="264"/>
    <n v="26"/>
    <s v="NC"/>
    <s v="C"/>
    <n v="0"/>
    <n v="6"/>
    <n v="8"/>
    <n v="8"/>
    <n v="8"/>
    <n v="8"/>
    <n v="7"/>
    <n v="7"/>
    <n v="7"/>
    <n v="7"/>
    <n v="7"/>
    <m/>
    <m/>
    <m/>
    <n v="50"/>
    <n v="0"/>
    <s v="MILL COURT"/>
    <n v="2"/>
    <x v="5"/>
    <n v="4000"/>
    <n v="1"/>
    <n v="4000"/>
    <x v="3"/>
  </r>
  <r>
    <s v=""/>
    <x v="969"/>
    <s v="MILL STREAM DRIVE"/>
    <s v="Country Mill"/>
    <x v="73"/>
    <x v="176"/>
    <n v="1267"/>
    <n v="26"/>
    <s v="NC"/>
    <s v="C"/>
    <n v="0"/>
    <n v="6"/>
    <n v="8"/>
    <n v="8"/>
    <n v="8"/>
    <n v="8"/>
    <n v="7"/>
    <n v="7"/>
    <n v="7"/>
    <n v="7"/>
    <n v="7"/>
    <m/>
    <m/>
    <m/>
    <n v="50"/>
    <n v="0"/>
    <s v="MILL STREAM DRIVE"/>
    <n v="2"/>
    <x v="5"/>
    <n v="19196.969696969696"/>
    <n v="1"/>
    <n v="19196.969696969696"/>
    <x v="3"/>
  </r>
  <r>
    <s v=""/>
    <x v="970"/>
    <s v="MOELLER CIR (S)"/>
    <s v="Briarwood Trace"/>
    <x v="102"/>
    <x v="166"/>
    <n v="663.5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MOELLER CIR (S)"/>
    <n v="3"/>
    <x v="7"/>
    <n v="3141.5719696969695"/>
    <m/>
    <n v="0"/>
    <x v="4"/>
  </r>
  <r>
    <s v=""/>
    <x v="971"/>
    <s v="MOELLER CIR(N)"/>
    <s v="Briarwood Trace"/>
    <x v="102"/>
    <x v="166"/>
    <n v="858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MOELLER CIR(N)"/>
    <n v="3"/>
    <x v="9"/>
    <n v="9667"/>
    <m/>
    <n v="0"/>
    <x v="3"/>
  </r>
  <r>
    <s v=""/>
    <x v="972"/>
    <s v="MOHAWK LN(MOH)/NEW"/>
    <m/>
    <x v="27"/>
    <x v="149"/>
    <n v="294"/>
    <n v="20"/>
    <s v="AC"/>
    <s v="C"/>
    <n v="0"/>
    <n v="6"/>
    <n v="4"/>
    <n v="10"/>
    <n v="9"/>
    <n v="9"/>
    <n v="8"/>
    <n v="8"/>
    <n v="7"/>
    <n v="7"/>
    <n v="7"/>
    <m/>
    <m/>
    <m/>
    <n v="50"/>
    <n v="0"/>
    <s v="MOHAWK LN(MOH)/NEW"/>
    <n v="1"/>
    <x v="2"/>
    <n v="1781.8181818181818"/>
    <m/>
    <n v="0"/>
    <x v="5"/>
  </r>
  <r>
    <s v=""/>
    <x v="973"/>
    <s v="MOHR ESTATES MIDDLE DRIVE"/>
    <s v="Mohr Estates"/>
    <x v="186"/>
    <x v="199"/>
    <n v="1320"/>
    <n v="26"/>
    <s v="NC"/>
    <s v="SC"/>
    <n v="0"/>
    <n v="8"/>
    <n v="7"/>
    <n v="7"/>
    <n v="8"/>
    <n v="9"/>
    <n v="8"/>
    <n v="8"/>
    <n v="8"/>
    <n v="8"/>
    <n v="8"/>
    <m/>
    <m/>
    <m/>
    <n v="220"/>
    <n v="0"/>
    <s v="MIDDLE DRIVE"/>
    <n v="1"/>
    <x v="7"/>
    <n v="6250"/>
    <m/>
    <n v="0"/>
    <x v="4"/>
  </r>
  <r>
    <s v=""/>
    <x v="974"/>
    <s v="MOHR ESTATES SOUTH DRIVE"/>
    <s v="Mohr Estates"/>
    <x v="186"/>
    <x v="199"/>
    <n v="1267"/>
    <n v="26"/>
    <s v="NC"/>
    <s v="SC"/>
    <n v="0"/>
    <n v="6"/>
    <n v="6"/>
    <n v="6"/>
    <n v="5"/>
    <n v="9"/>
    <n v="8"/>
    <n v="8"/>
    <n v="8"/>
    <n v="8"/>
    <n v="7"/>
    <m/>
    <m/>
    <m/>
    <n v="205"/>
    <n v="0"/>
    <s v="SOUTH DRIVE"/>
    <n v="1"/>
    <x v="7"/>
    <n v="5999.05303030303"/>
    <m/>
    <n v="0"/>
    <x v="4"/>
  </r>
  <r>
    <s v=""/>
    <x v="975"/>
    <s v="MOHR ROAD(E)"/>
    <s v="Cranberry Lake Estates"/>
    <x v="31"/>
    <x v="133"/>
    <n v="2376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MOHR ROAD(E)"/>
    <n v="3"/>
    <x v="0"/>
    <n v="9450"/>
    <m/>
    <n v="0"/>
    <x v="3"/>
  </r>
  <r>
    <s v=""/>
    <x v="976"/>
    <s v="MOHR ROAD(N)"/>
    <s v="Cranberry Lake Estates"/>
    <x v="31"/>
    <x v="133"/>
    <n v="1531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MOHR ROAD(N)"/>
    <n v="3"/>
    <x v="0"/>
    <n v="6089.204545454545"/>
    <m/>
    <n v="0"/>
    <x v="3"/>
  </r>
  <r>
    <s v=""/>
    <x v="977"/>
    <s v="MORGAN COURT(W)"/>
    <s v="Village Green"/>
    <x v="187"/>
    <x v="143"/>
    <n v="638"/>
    <n v="26"/>
    <s v="NC"/>
    <s v="SC"/>
    <n v="0"/>
    <n v="7"/>
    <n v="7"/>
    <n v="7"/>
    <n v="7"/>
    <n v="7"/>
    <n v="7"/>
    <n v="7"/>
    <n v="7"/>
    <n v="7"/>
    <n v="7"/>
    <m/>
    <m/>
    <m/>
    <n v="259"/>
    <n v="0"/>
    <s v="MORGAN COURT(W)"/>
    <n v="3"/>
    <x v="5"/>
    <n v="9666.6666666666661"/>
    <n v="1"/>
    <n v="9666.6666666666661"/>
    <x v="3"/>
  </r>
  <r>
    <s v=""/>
    <x v="978"/>
    <s v="MORGAN CT (E)"/>
    <s v="Village Green"/>
    <x v="188"/>
    <x v="200"/>
    <n v="331"/>
    <n v="26"/>
    <s v="NC"/>
    <s v="SC"/>
    <n v="0"/>
    <n v="7"/>
    <n v="7"/>
    <n v="7"/>
    <n v="7"/>
    <n v="7"/>
    <n v="7"/>
    <n v="7"/>
    <n v="7"/>
    <n v="7"/>
    <n v="7"/>
    <m/>
    <m/>
    <m/>
    <n v="259"/>
    <n v="0"/>
    <s v="MORGAN CT (E)"/>
    <n v="3"/>
    <x v="5"/>
    <n v="5015.151515151515"/>
    <n v="1"/>
    <n v="5015.151515151515"/>
    <x v="3"/>
  </r>
  <r>
    <s v=""/>
    <x v="979"/>
    <s v="MORNING GLORY CIRCLE"/>
    <s v="Morning Walk"/>
    <x v="178"/>
    <x v="161"/>
    <n v="370"/>
    <n v="26"/>
    <s v="NC"/>
    <s v="C"/>
    <n v="0"/>
    <n v="7"/>
    <n v="6"/>
    <n v="6"/>
    <n v="6"/>
    <n v="7"/>
    <n v="7"/>
    <n v="7"/>
    <n v="7"/>
    <n v="7"/>
    <n v="7"/>
    <m/>
    <m/>
    <m/>
    <n v="321"/>
    <n v="0"/>
    <s v="MORNING GLORY CIRCLE"/>
    <n v="3"/>
    <x v="7"/>
    <n v="1751.8939393939395"/>
    <m/>
    <n v="0"/>
    <x v="4"/>
  </r>
  <r>
    <s v=""/>
    <x v="980"/>
    <s v="MORNING WALK DRIVE"/>
    <s v="Morning Walk"/>
    <x v="178"/>
    <x v="161"/>
    <n v="2904"/>
    <n v="26"/>
    <s v="NC"/>
    <s v="C"/>
    <n v="0"/>
    <n v="7"/>
    <n v="7"/>
    <n v="7"/>
    <n v="7"/>
    <n v="7"/>
    <n v="7"/>
    <n v="7"/>
    <n v="7"/>
    <n v="7"/>
    <n v="7"/>
    <m/>
    <m/>
    <m/>
    <n v="321"/>
    <n v="0"/>
    <s v="MORNING WALK DRIVE"/>
    <n v="3"/>
    <x v="7"/>
    <n v="13750"/>
    <m/>
    <n v="0"/>
    <x v="4"/>
  </r>
  <r>
    <s v="C93"/>
    <x v="981"/>
    <s v="MORRISTOWN PK./STE"/>
    <m/>
    <x v="189"/>
    <x v="64"/>
    <n v="1790"/>
    <n v="20"/>
    <s v="AC"/>
    <s v="C"/>
    <n v="0"/>
    <n v="5"/>
    <n v="7"/>
    <n v="10"/>
    <n v="9"/>
    <n v="9"/>
    <n v="9"/>
    <n v="8"/>
    <n v="7"/>
    <n v="7"/>
    <n v="7"/>
    <n v="2022"/>
    <m/>
    <s v="Y"/>
    <n v="806"/>
    <n v="0.5"/>
    <s v="MORRISTOWN PK."/>
    <n v="1.5"/>
    <x v="0"/>
    <n v="7119.318181818182"/>
    <m/>
    <n v="0"/>
    <x v="4"/>
  </r>
  <r>
    <s v="C95"/>
    <x v="982"/>
    <s v="MORRISTOWN PK/100S"/>
    <m/>
    <x v="189"/>
    <x v="63"/>
    <n v="295"/>
    <n v="20"/>
    <s v="AC"/>
    <s v="C"/>
    <n v="0"/>
    <n v="7"/>
    <n v="7"/>
    <n v="7"/>
    <n v="7"/>
    <n v="7"/>
    <n v="7"/>
    <n v="7"/>
    <n v="7"/>
    <n v="7"/>
    <n v="7"/>
    <n v="2024"/>
    <m/>
    <s v="Y"/>
    <n v="806"/>
    <n v="0.5"/>
    <s v="MORRISTOWN PK."/>
    <n v="3.5"/>
    <x v="0"/>
    <n v="1173.2954545454545"/>
    <m/>
    <n v="0"/>
    <x v="3"/>
  </r>
  <r>
    <s v="BW60"/>
    <x v="983"/>
    <s v="MORRISTOWN PK/200S"/>
    <m/>
    <x v="62"/>
    <x v="11"/>
    <n v="5830"/>
    <n v="20"/>
    <s v="CS"/>
    <s v="BW"/>
    <n v="0"/>
    <n v="6"/>
    <n v="7"/>
    <n v="7"/>
    <n v="5"/>
    <n v="7"/>
    <n v="7"/>
    <n v="7"/>
    <n v="7"/>
    <n v="7"/>
    <n v="7"/>
    <n v="2023"/>
    <n v="2023"/>
    <s v="Y"/>
    <n v="625"/>
    <n v="0.5"/>
    <s v="MORRISTOWN PK."/>
    <n v="3.5"/>
    <x v="1"/>
    <n v="5962.5"/>
    <m/>
    <n v="0"/>
    <x v="2"/>
  </r>
  <r>
    <s v="BW59"/>
    <x v="984"/>
    <s v="MORRISTOWN PK/300S"/>
    <m/>
    <x v="63"/>
    <x v="26"/>
    <n v="5934"/>
    <n v="20"/>
    <s v="CS"/>
    <s v="BW"/>
    <n v="0"/>
    <n v="7"/>
    <n v="7"/>
    <n v="7"/>
    <n v="7"/>
    <n v="7"/>
    <n v="7"/>
    <n v="7"/>
    <n v="7"/>
    <n v="7"/>
    <n v="7"/>
    <n v="2023"/>
    <n v="2023"/>
    <s v="Y"/>
    <n v="846"/>
    <n v="0.5"/>
    <s v="MORRISTOWN PK."/>
    <n v="3.5"/>
    <x v="1"/>
    <n v="6068.863636363636"/>
    <m/>
    <n v="0"/>
    <x v="2"/>
  </r>
  <r>
    <s v="BR45"/>
    <x v="985"/>
    <s v="MORRISTOWN PK/400S"/>
    <m/>
    <x v="10"/>
    <x v="91"/>
    <n v="5960"/>
    <n v="20"/>
    <s v="CS"/>
    <s v="BR"/>
    <n v="0"/>
    <n v="7"/>
    <n v="7"/>
    <n v="7"/>
    <n v="7"/>
    <n v="7"/>
    <n v="7"/>
    <n v="7"/>
    <n v="7"/>
    <n v="7"/>
    <n v="7"/>
    <n v="2023"/>
    <n v="2023"/>
    <s v="Y"/>
    <n v="718"/>
    <n v="0.5"/>
    <s v="MORRISTOWN PK."/>
    <n v="3.5"/>
    <x v="1"/>
    <n v="6095.454545454545"/>
    <m/>
    <n v="0"/>
    <x v="2"/>
  </r>
  <r>
    <s v="C96"/>
    <x v="986"/>
    <s v="MORRISTOWN PK/US40"/>
    <m/>
    <x v="71"/>
    <x v="201"/>
    <n v="3021"/>
    <n v="20"/>
    <s v="AC"/>
    <s v="C"/>
    <n v="0"/>
    <n v="8"/>
    <n v="8"/>
    <n v="7"/>
    <n v="7"/>
    <n v="7"/>
    <n v="7"/>
    <n v="7"/>
    <n v="7"/>
    <n v="7"/>
    <n v="7"/>
    <n v="2024"/>
    <m/>
    <s v="Y"/>
    <n v="2857"/>
    <n v="1.5"/>
    <s v="MORRISTOWN PK."/>
    <n v="4.5"/>
    <x v="0"/>
    <n v="12015.34090909091"/>
    <m/>
    <n v="0"/>
    <x v="3"/>
  </r>
  <r>
    <s v=""/>
    <x v="987"/>
    <s v="MT VERNON COURT"/>
    <s v="Mt. Vernon Pointe"/>
    <x v="190"/>
    <x v="202"/>
    <n v="370"/>
    <n v="26"/>
    <s v="NC"/>
    <s v="V"/>
    <n v="0"/>
    <n v="7"/>
    <n v="8"/>
    <n v="8"/>
    <n v="7"/>
    <n v="7"/>
    <n v="7"/>
    <n v="7"/>
    <n v="7"/>
    <n v="7"/>
    <n v="7"/>
    <m/>
    <m/>
    <m/>
    <n v="50"/>
    <n v="0"/>
    <s v="MT VERNON COURT"/>
    <n v="3"/>
    <x v="5"/>
    <n v="5606.060606060606"/>
    <n v="1"/>
    <n v="5606.060606060606"/>
    <x v="3"/>
  </r>
  <r>
    <s v=""/>
    <x v="988"/>
    <s v="MT VERNON WAY"/>
    <s v="Mt. Vernon Pointe"/>
    <x v="190"/>
    <x v="202"/>
    <n v="2534"/>
    <n v="26"/>
    <s v="NC"/>
    <s v="V"/>
    <n v="0"/>
    <n v="7"/>
    <n v="8"/>
    <n v="8"/>
    <n v="7"/>
    <n v="7"/>
    <n v="6"/>
    <n v="7"/>
    <n v="7"/>
    <n v="6"/>
    <n v="7"/>
    <m/>
    <m/>
    <m/>
    <n v="50"/>
    <n v="0"/>
    <s v="MT VERNON WAY"/>
    <n v="3"/>
    <x v="5"/>
    <n v="38393.939393939392"/>
    <n v="1"/>
    <n v="38393.939393939392"/>
    <x v="3"/>
  </r>
  <r>
    <s v="BR59"/>
    <x v="989"/>
    <s v="600E/200S"/>
    <m/>
    <x v="62"/>
    <x v="129"/>
    <n v="2164"/>
    <n v="20"/>
    <s v="AC"/>
    <s v="BR"/>
    <n v="0"/>
    <n v="7"/>
    <n v="7"/>
    <n v="7"/>
    <n v="7"/>
    <n v="7"/>
    <n v="7"/>
    <n v="7"/>
    <n v="7"/>
    <n v="7"/>
    <n v="8"/>
    <m/>
    <n v="2020"/>
    <s v="Y"/>
    <n v="1415"/>
    <n v="0.5"/>
    <s v="600E"/>
    <n v="3.5"/>
    <x v="4"/>
    <n v="45083.333333333336"/>
    <m/>
    <n v="0"/>
    <x v="6"/>
  </r>
  <r>
    <s v="B62"/>
    <x v="990"/>
    <s v="NASHVILLE RD./775E"/>
    <m/>
    <x v="46"/>
    <x v="88"/>
    <n v="5960"/>
    <n v="20"/>
    <s v="AC"/>
    <s v="B"/>
    <n v="0"/>
    <n v="6"/>
    <n v="6"/>
    <n v="6"/>
    <n v="5"/>
    <n v="5"/>
    <n v="9"/>
    <n v="8"/>
    <n v="7"/>
    <n v="7"/>
    <n v="7"/>
    <m/>
    <n v="2023"/>
    <s v="Y"/>
    <n v="124"/>
    <n v="0"/>
    <s v="NASHVILLE RD."/>
    <n v="5"/>
    <x v="5"/>
    <n v="90303.030303030304"/>
    <n v="1"/>
    <n v="90303.030303030304"/>
    <x v="3"/>
  </r>
  <r>
    <s v="B61"/>
    <x v="991"/>
    <s v="NASHVILLE RD./900N"/>
    <m/>
    <x v="5"/>
    <x v="8"/>
    <n v="4480"/>
    <n v="20"/>
    <s v="AC"/>
    <s v="B"/>
    <n v="0"/>
    <n v="7"/>
    <n v="7"/>
    <n v="7"/>
    <n v="6"/>
    <n v="6"/>
    <n v="9"/>
    <n v="8"/>
    <n v="7"/>
    <n v="7"/>
    <n v="7"/>
    <m/>
    <n v="2023"/>
    <s v="Y"/>
    <n v="272"/>
    <n v="0"/>
    <s v="NASHVILLE RD."/>
    <n v="4"/>
    <x v="5"/>
    <n v="67878.787878787873"/>
    <n v="1"/>
    <n v="67878.787878787873"/>
    <x v="3"/>
  </r>
  <r>
    <s v="B63"/>
    <x v="992"/>
    <s v="NASHVILLE RD/1000N"/>
    <m/>
    <x v="46"/>
    <x v="61"/>
    <n v="820"/>
    <n v="20"/>
    <s v="AC"/>
    <s v="B"/>
    <n v="0"/>
    <n v="6"/>
    <n v="6"/>
    <n v="6"/>
    <n v="6"/>
    <n v="5"/>
    <n v="9"/>
    <n v="8"/>
    <n v="7"/>
    <n v="7"/>
    <n v="7"/>
    <m/>
    <n v="2023"/>
    <s v="Y"/>
    <n v="222"/>
    <n v="0"/>
    <s v="NASHVILLE RD."/>
    <n v="5"/>
    <x v="5"/>
    <n v="12424.242424242424"/>
    <n v="1"/>
    <n v="12424.242424242424"/>
    <x v="3"/>
  </r>
  <r>
    <s v="B65"/>
    <x v="993"/>
    <s v="NASHVILLE RD/1100N"/>
    <m/>
    <x v="105"/>
    <x v="21"/>
    <n v="858"/>
    <n v="20"/>
    <s v="AC"/>
    <s v="B"/>
    <n v="0"/>
    <n v="6"/>
    <n v="6"/>
    <n v="6"/>
    <n v="6"/>
    <n v="6"/>
    <n v="9"/>
    <n v="8"/>
    <n v="7"/>
    <n v="7"/>
    <n v="7"/>
    <m/>
    <n v="2023"/>
    <s v="Y"/>
    <n v="222"/>
    <n v="0"/>
    <s v="NASHVILLE RD."/>
    <n v="4"/>
    <x v="5"/>
    <n v="13000"/>
    <n v="1"/>
    <n v="13000"/>
    <x v="3"/>
  </r>
  <r>
    <s v="B64"/>
    <x v="994"/>
    <s v="NASHVILLE RD/675E"/>
    <m/>
    <x v="60"/>
    <x v="21"/>
    <n v="6328"/>
    <n v="20"/>
    <s v="AC"/>
    <s v="B"/>
    <n v="0"/>
    <n v="7"/>
    <n v="6"/>
    <n v="6"/>
    <n v="6"/>
    <n v="5"/>
    <n v="9"/>
    <n v="8"/>
    <n v="7"/>
    <n v="7"/>
    <n v="7"/>
    <m/>
    <n v="2023"/>
    <s v="Y"/>
    <n v="222"/>
    <n v="0"/>
    <s v="NASHVILLE RD."/>
    <n v="5"/>
    <x v="5"/>
    <n v="95878.787878787873"/>
    <n v="1"/>
    <n v="95878.787878787873"/>
    <x v="3"/>
  </r>
  <r>
    <s v=""/>
    <x v="995"/>
    <s v="NEW ST(MOH)/MOH LN"/>
    <m/>
    <x v="3"/>
    <x v="203"/>
    <n v="622"/>
    <n v="20"/>
    <s v="AC"/>
    <s v="C"/>
    <n v="0"/>
    <n v="5"/>
    <n v="4"/>
    <n v="10"/>
    <n v="9"/>
    <n v="9"/>
    <n v="8"/>
    <n v="8"/>
    <n v="7"/>
    <n v="7"/>
    <n v="7"/>
    <m/>
    <m/>
    <m/>
    <n v="50"/>
    <n v="0"/>
    <s v="NEW ST."/>
    <n v="1"/>
    <x v="2"/>
    <n v="3769.6969696969695"/>
    <m/>
    <n v="0"/>
    <x v="5"/>
  </r>
  <r>
    <s v=""/>
    <x v="996"/>
    <s v="NORTH ST(CHAR)/END"/>
    <m/>
    <x v="146"/>
    <x v="25"/>
    <n v="1007"/>
    <n v="20"/>
    <s v="AC"/>
    <s v="J"/>
    <n v="0"/>
    <n v="6"/>
    <n v="6"/>
    <n v="6"/>
    <n v="6"/>
    <n v="6"/>
    <n v="6"/>
    <n v="6"/>
    <n v="6"/>
    <n v="7"/>
    <n v="7"/>
    <m/>
    <m/>
    <m/>
    <n v="50"/>
    <n v="0"/>
    <s v="NORTH ST."/>
    <n v="4"/>
    <x v="3"/>
    <n v="8773.1060606060601"/>
    <m/>
    <n v="0"/>
    <x v="5"/>
  </r>
  <r>
    <s v=""/>
    <x v="997"/>
    <s v="NORTH/EAST ST"/>
    <m/>
    <x v="191"/>
    <x v="174"/>
    <n v="835"/>
    <n v="20"/>
    <s v="G"/>
    <s v="BC"/>
    <n v="0"/>
    <n v="7"/>
    <n v="7"/>
    <n v="6"/>
    <n v="6"/>
    <n v="6"/>
    <n v="6"/>
    <n v="5"/>
    <n v="5"/>
    <n v="5"/>
    <n v="5"/>
    <m/>
    <m/>
    <m/>
    <n v="50"/>
    <n v="0"/>
    <s v="NORTH ST."/>
    <n v="4"/>
    <x v="0"/>
    <n v="3321.0227272727275"/>
    <m/>
    <n v="0"/>
    <x v="0"/>
  </r>
  <r>
    <s v=""/>
    <x v="998"/>
    <s v="OAK DRIVE"/>
    <s v="Lantern Woods"/>
    <x v="15"/>
    <x v="161"/>
    <n v="1267"/>
    <n v="26"/>
    <s v="NC"/>
    <s v="SC"/>
    <n v="0"/>
    <n v="7"/>
    <n v="7"/>
    <n v="7"/>
    <n v="7"/>
    <n v="7"/>
    <n v="7"/>
    <n v="7"/>
    <n v="7"/>
    <n v="7"/>
    <n v="7"/>
    <m/>
    <m/>
    <m/>
    <n v="191"/>
    <n v="0"/>
    <s v="OAK DRIVE"/>
    <n v="3"/>
    <x v="7"/>
    <n v="5999.05303030303"/>
    <m/>
    <n v="0"/>
    <x v="4"/>
  </r>
  <r>
    <s v=""/>
    <x v="999"/>
    <s v="OAK STREET"/>
    <s v="Hamilton Heights"/>
    <x v="161"/>
    <x v="139"/>
    <n v="792"/>
    <n v="26"/>
    <s v="NC"/>
    <s v="SC"/>
    <n v="0"/>
    <n v="7"/>
    <n v="7"/>
    <n v="7"/>
    <n v="8"/>
    <n v="8"/>
    <n v="7"/>
    <n v="7"/>
    <n v="7"/>
    <n v="7"/>
    <n v="7"/>
    <m/>
    <m/>
    <m/>
    <n v="69"/>
    <n v="0"/>
    <s v="OAK STREET"/>
    <n v="2"/>
    <x v="7"/>
    <n v="3750"/>
    <m/>
    <n v="0"/>
    <x v="4"/>
  </r>
  <r>
    <s v=""/>
    <x v="1000"/>
    <s v="OAKWOOD COURT"/>
    <s v="Oakwood"/>
    <x v="192"/>
    <x v="204"/>
    <n v="581"/>
    <n v="26"/>
    <s v="NC"/>
    <s v="SC"/>
    <n v="0"/>
    <n v="9"/>
    <n v="8"/>
    <n v="8"/>
    <n v="8"/>
    <n v="8"/>
    <n v="8"/>
    <n v="8"/>
    <n v="7"/>
    <n v="7"/>
    <n v="7"/>
    <m/>
    <m/>
    <m/>
    <n v="217"/>
    <n v="0"/>
    <s v="OAKWOOD COURT"/>
    <n v="2"/>
    <x v="7"/>
    <n v="2750.9469696969695"/>
    <m/>
    <n v="0"/>
    <x v="4"/>
  </r>
  <r>
    <s v=""/>
    <x v="1001"/>
    <s v="OAKWOOD DRIVE"/>
    <s v="Oakwood"/>
    <x v="192"/>
    <x v="204"/>
    <n v="2165"/>
    <n v="26"/>
    <s v="NC"/>
    <s v="SC"/>
    <n v="0"/>
    <n v="9"/>
    <n v="8"/>
    <n v="8"/>
    <n v="8"/>
    <n v="8"/>
    <n v="7"/>
    <n v="7"/>
    <n v="7"/>
    <n v="7"/>
    <n v="7"/>
    <m/>
    <m/>
    <m/>
    <n v="217"/>
    <n v="0"/>
    <s v="OAKWOOD DRIVE"/>
    <n v="2"/>
    <x v="7"/>
    <n v="10250.94696969697"/>
    <m/>
    <n v="0"/>
    <x v="4"/>
  </r>
  <r>
    <s v=""/>
    <x v="1002"/>
    <s v="ODEN ROAD"/>
    <s v="North Brandywine Heights"/>
    <x v="193"/>
    <x v="139"/>
    <n v="1056"/>
    <n v="26"/>
    <s v="NC"/>
    <s v="C"/>
    <n v="0"/>
    <n v="6"/>
    <n v="6"/>
    <n v="6"/>
    <n v="5"/>
    <n v="4"/>
    <n v="9"/>
    <n v="8"/>
    <n v="7"/>
    <n v="7"/>
    <n v="7"/>
    <m/>
    <m/>
    <m/>
    <n v="50"/>
    <n v="0"/>
    <s v="ODEN ROAD"/>
    <n v="6"/>
    <x v="0"/>
    <n v="4200"/>
    <m/>
    <n v="0"/>
    <x v="3"/>
  </r>
  <r>
    <s v=""/>
    <x v="1003"/>
    <s v="OLD 1200E/NEW1200E"/>
    <m/>
    <x v="194"/>
    <x v="205"/>
    <n v="1645"/>
    <n v="20"/>
    <s v="AC"/>
    <s v="B"/>
    <n v="0"/>
    <n v="8"/>
    <n v="7"/>
    <n v="7"/>
    <n v="7"/>
    <n v="7"/>
    <n v="7"/>
    <n v="7"/>
    <n v="7"/>
    <n v="7"/>
    <n v="7"/>
    <m/>
    <m/>
    <m/>
    <n v="50"/>
    <n v="0"/>
    <s v="OLD 1200E"/>
    <n v="3"/>
    <x v="1"/>
    <n v="1682.3863636363637"/>
    <m/>
    <n v="0"/>
    <x v="2"/>
  </r>
  <r>
    <s v=""/>
    <x v="1004"/>
    <s v="OLD COLONY DR WEST"/>
    <s v="Schildmeier Village"/>
    <x v="102"/>
    <x v="152"/>
    <n v="1056"/>
    <n v="26"/>
    <s v="NC"/>
    <s v="SC"/>
    <n v="0"/>
    <n v="7"/>
    <n v="8"/>
    <n v="7"/>
    <n v="7"/>
    <n v="7"/>
    <n v="6"/>
    <n v="7"/>
    <n v="8"/>
    <n v="7"/>
    <n v="6"/>
    <m/>
    <m/>
    <m/>
    <n v="1074"/>
    <n v="0.5"/>
    <s v="OLD COLONEY DR WEST"/>
    <n v="3.5"/>
    <x v="5"/>
    <n v="16000"/>
    <n v="1"/>
    <n v="16000"/>
    <x v="3"/>
  </r>
  <r>
    <s v="G40"/>
    <x v="1005"/>
    <s v="OLVEY RD./900N"/>
    <m/>
    <x v="5"/>
    <x v="18"/>
    <n v="3981"/>
    <n v="20"/>
    <s v="CS"/>
    <s v="G"/>
    <n v="0"/>
    <n v="7"/>
    <n v="6"/>
    <n v="6"/>
    <n v="5"/>
    <n v="5"/>
    <n v="5"/>
    <n v="5"/>
    <n v="8"/>
    <n v="8"/>
    <n v="7"/>
    <m/>
    <m/>
    <m/>
    <n v="15"/>
    <n v="0"/>
    <s v="OLVEY RD."/>
    <n v="5"/>
    <x v="0"/>
    <n v="15833.522727272728"/>
    <m/>
    <n v="0"/>
    <x v="4"/>
  </r>
  <r>
    <s v="BR58"/>
    <x v="1006"/>
    <s v="600E/250S"/>
    <m/>
    <x v="128"/>
    <x v="11"/>
    <n v="2692"/>
    <n v="20"/>
    <s v="AC"/>
    <s v="BR"/>
    <n v="0"/>
    <n v="8"/>
    <n v="7"/>
    <n v="7"/>
    <n v="7"/>
    <n v="6"/>
    <n v="7"/>
    <n v="7"/>
    <n v="6"/>
    <n v="7"/>
    <n v="7"/>
    <m/>
    <m/>
    <s v="Y"/>
    <n v="1415"/>
    <n v="0.5"/>
    <s v="600E"/>
    <n v="4.5"/>
    <x v="4"/>
    <n v="56083.333333333336"/>
    <m/>
    <n v="0"/>
    <x v="6"/>
  </r>
  <r>
    <s v=""/>
    <x v="1007"/>
    <s v="OSMAN LANE"/>
    <s v="Wildwood North"/>
    <x v="172"/>
    <x v="160"/>
    <n v="1954"/>
    <n v="26"/>
    <s v="NC"/>
    <s v="BC"/>
    <n v="0"/>
    <n v="7"/>
    <n v="5"/>
    <n v="8"/>
    <n v="8"/>
    <n v="7"/>
    <n v="6"/>
    <n v="6"/>
    <n v="6"/>
    <n v="6"/>
    <n v="6"/>
    <m/>
    <m/>
    <m/>
    <n v="50"/>
    <n v="0"/>
    <s v="OSMAN LANE"/>
    <n v="3"/>
    <x v="3"/>
    <n v="17023.484848484848"/>
    <m/>
    <n v="0"/>
    <x v="4"/>
  </r>
  <r>
    <s v=""/>
    <x v="1008"/>
    <s v="OSPREY DR"/>
    <s v="Greyhawk Woods"/>
    <x v="73"/>
    <x v="186"/>
    <n v="317"/>
    <n v="26"/>
    <s v="NC"/>
    <s v="BW"/>
    <n v="0"/>
    <n v="7"/>
    <n v="8"/>
    <n v="8"/>
    <n v="8"/>
    <n v="8"/>
    <n v="8"/>
    <n v="7"/>
    <n v="7"/>
    <n v="7"/>
    <n v="7"/>
    <m/>
    <m/>
    <m/>
    <n v="439"/>
    <n v="0"/>
    <s v="OSPREY"/>
    <n v="2"/>
    <x v="5"/>
    <n v="4803.030303030303"/>
    <n v="1"/>
    <n v="4803.030303030303"/>
    <x v="3"/>
  </r>
  <r>
    <s v=""/>
    <x v="1009"/>
    <s v="PARKER LANE (S)"/>
    <s v="Village Green"/>
    <x v="187"/>
    <x v="143"/>
    <n v="1478"/>
    <n v="26"/>
    <s v="NC"/>
    <s v="SC"/>
    <n v="0"/>
    <n v="7"/>
    <n v="7"/>
    <n v="7"/>
    <n v="7"/>
    <n v="7"/>
    <n v="7"/>
    <n v="6"/>
    <n v="7"/>
    <n v="7"/>
    <n v="7"/>
    <m/>
    <m/>
    <m/>
    <n v="259"/>
    <n v="0"/>
    <s v="PARKER LANE (S)"/>
    <n v="3"/>
    <x v="5"/>
    <n v="22393.939393939392"/>
    <n v="1"/>
    <n v="22393.939393939392"/>
    <x v="3"/>
  </r>
  <r>
    <s v=""/>
    <x v="1010"/>
    <s v="PARKSIDE DRIVE"/>
    <s v="Countryside"/>
    <x v="15"/>
    <x v="154"/>
    <n v="1003"/>
    <n v="26"/>
    <s v="NC"/>
    <s v="SC"/>
    <n v="0"/>
    <n v="7"/>
    <n v="8"/>
    <n v="8"/>
    <n v="8"/>
    <n v="8"/>
    <n v="7"/>
    <n v="7"/>
    <n v="7"/>
    <n v="7"/>
    <n v="7"/>
    <m/>
    <m/>
    <m/>
    <n v="433"/>
    <n v="0"/>
    <s v="PARKSIDE DRIVE(CO)(S)"/>
    <n v="2"/>
    <x v="9"/>
    <n v="474.905303030303"/>
    <m/>
    <n v="0"/>
    <x v="3"/>
  </r>
  <r>
    <s v=""/>
    <x v="1011"/>
    <s v="PARKVIEW DR"/>
    <s v="Bristol Ridge"/>
    <x v="166"/>
    <x v="167"/>
    <n v="965.4"/>
    <m/>
    <s v="NC"/>
    <s v="SC"/>
    <n v="0"/>
    <m/>
    <n v="8"/>
    <n v="8"/>
    <n v="8"/>
    <n v="8"/>
    <n v="8"/>
    <n v="8"/>
    <n v="8"/>
    <n v="8"/>
    <n v="8"/>
    <m/>
    <m/>
    <m/>
    <n v="325"/>
    <n v="0"/>
    <m/>
    <n v="2"/>
    <x v="7"/>
    <n v="4571.022727272727"/>
    <m/>
    <n v="0"/>
    <x v="4"/>
  </r>
  <r>
    <s v="SC28"/>
    <x v="1012"/>
    <s v="300S/700W"/>
    <m/>
    <x v="51"/>
    <x v="48"/>
    <n v="5370"/>
    <n v="20"/>
    <s v="AC"/>
    <s v="SC"/>
    <n v="0"/>
    <n v="7"/>
    <n v="7"/>
    <n v="8"/>
    <n v="8"/>
    <n v="7"/>
    <n v="6"/>
    <n v="6"/>
    <n v="6"/>
    <n v="6"/>
    <n v="6"/>
    <n v="2024"/>
    <m/>
    <s v="N"/>
    <n v="1412"/>
    <n v="0.5"/>
    <s v="300S"/>
    <n v="3.5"/>
    <x v="4"/>
    <n v="111875"/>
    <m/>
    <n v="0"/>
    <x v="6"/>
  </r>
  <r>
    <s v="C28"/>
    <x v="1013"/>
    <s v="300N/525E"/>
    <m/>
    <x v="100"/>
    <x v="106"/>
    <n v="4046"/>
    <n v="20"/>
    <s v="AC"/>
    <s v="C"/>
    <n v="0"/>
    <n v="8"/>
    <n v="7"/>
    <n v="7"/>
    <n v="7"/>
    <n v="7"/>
    <n v="6"/>
    <n v="6"/>
    <n v="6"/>
    <n v="7"/>
    <n v="7"/>
    <m/>
    <m/>
    <s v="Y"/>
    <n v="1394"/>
    <n v="0.5"/>
    <s v="300N"/>
    <n v="3.5"/>
    <x v="4"/>
    <n v="84291.666666666672"/>
    <m/>
    <n v="0"/>
    <x v="6"/>
  </r>
  <r>
    <s v=""/>
    <x v="1014"/>
    <s v="PEACE STREET"/>
    <s v="Ridgewood"/>
    <x v="75"/>
    <x v="161"/>
    <n v="1162"/>
    <n v="26"/>
    <s v="NC"/>
    <s v="SC"/>
    <n v="0"/>
    <n v="7"/>
    <n v="7"/>
    <n v="10"/>
    <n v="9"/>
    <n v="8"/>
    <n v="7"/>
    <n v="7"/>
    <n v="7"/>
    <n v="6"/>
    <n v="6"/>
    <m/>
    <m/>
    <m/>
    <n v="202"/>
    <n v="0"/>
    <s v="PEACE STREET"/>
    <n v="2"/>
    <x v="5"/>
    <n v="17606.060606060608"/>
    <n v="1"/>
    <n v="17606.060606060608"/>
    <x v="3"/>
  </r>
  <r>
    <s v=""/>
    <x v="1015"/>
    <s v="PEARL ST(PHILY)"/>
    <m/>
    <x v="23"/>
    <x v="25"/>
    <n v="634"/>
    <n v="20"/>
    <s v="AC"/>
    <s v="C"/>
    <n v="0"/>
    <n v="7"/>
    <n v="7"/>
    <n v="6"/>
    <n v="6"/>
    <n v="6"/>
    <n v="6"/>
    <n v="6"/>
    <n v="6"/>
    <n v="8"/>
    <n v="8"/>
    <m/>
    <m/>
    <m/>
    <n v="50"/>
    <n v="0"/>
    <s v="PEARL ST(PHILY)"/>
    <n v="4"/>
    <x v="0"/>
    <n v="2521.590909090909"/>
    <m/>
    <n v="0"/>
    <x v="5"/>
  </r>
  <r>
    <s v="BC80"/>
    <x v="1016"/>
    <s v="400W/100N"/>
    <m/>
    <x v="44"/>
    <x v="170"/>
    <n v="6620"/>
    <n v="20"/>
    <s v="AC"/>
    <s v="BC"/>
    <n v="0"/>
    <n v="8"/>
    <n v="7"/>
    <n v="7"/>
    <n v="7"/>
    <n v="7"/>
    <n v="7"/>
    <n v="7"/>
    <n v="7"/>
    <n v="7"/>
    <n v="7"/>
    <n v="2023"/>
    <n v="2023"/>
    <s v="Y"/>
    <n v="982"/>
    <n v="0.5"/>
    <s v="400W"/>
    <n v="3.5"/>
    <x v="4"/>
    <n v="137916.66666666666"/>
    <m/>
    <n v="0"/>
    <x v="6"/>
  </r>
  <r>
    <s v="BW16"/>
    <x v="1017"/>
    <s v="400S/100E"/>
    <m/>
    <x v="41"/>
    <x v="42"/>
    <n v="5115"/>
    <n v="20"/>
    <s v="AC"/>
    <s v="BW"/>
    <n v="0"/>
    <n v="8"/>
    <n v="7"/>
    <n v="7"/>
    <n v="7"/>
    <n v="6"/>
    <n v="6"/>
    <n v="5"/>
    <n v="5"/>
    <n v="5"/>
    <n v="6"/>
    <m/>
    <m/>
    <m/>
    <n v="608"/>
    <n v="0.5"/>
    <s v="400S"/>
    <n v="4.5"/>
    <x v="4"/>
    <n v="106562.5"/>
    <m/>
    <n v="0"/>
    <x v="6"/>
  </r>
  <r>
    <s v=""/>
    <x v="1018"/>
    <s v="PINE BLUFF DRIVE(W)"/>
    <s v="Countryside"/>
    <x v="15"/>
    <x v="154"/>
    <n v="1073"/>
    <n v="26"/>
    <s v="NC"/>
    <s v="SC"/>
    <n v="0"/>
    <n v="7"/>
    <n v="6"/>
    <n v="7"/>
    <n v="7"/>
    <n v="7"/>
    <n v="7"/>
    <n v="7"/>
    <n v="7"/>
    <n v="7"/>
    <n v="7"/>
    <m/>
    <m/>
    <m/>
    <n v="515"/>
    <n v="0.5"/>
    <s v="PINE BLUFF DRIVE(W)"/>
    <n v="3.5"/>
    <x v="9"/>
    <n v="508.04924242424244"/>
    <m/>
    <n v="0"/>
    <x v="3"/>
  </r>
  <r>
    <s v=""/>
    <x v="1019"/>
    <s v="PINE COURT"/>
    <s v="Colonial Heights"/>
    <x v="102"/>
    <x v="160"/>
    <n v="317"/>
    <n v="26"/>
    <s v="NC"/>
    <s v="BC"/>
    <n v="0"/>
    <n v="6"/>
    <n v="6"/>
    <n v="8"/>
    <n v="8"/>
    <n v="7"/>
    <n v="7"/>
    <n v="6"/>
    <n v="7"/>
    <n v="7"/>
    <n v="7"/>
    <m/>
    <m/>
    <m/>
    <n v="50"/>
    <n v="0"/>
    <s v="PINE COURT"/>
    <n v="3"/>
    <x v="7"/>
    <n v="1500.9469696969697"/>
    <m/>
    <n v="0"/>
    <x v="4"/>
  </r>
  <r>
    <s v=""/>
    <x v="1020"/>
    <s v="PINE ST(CHAR)/1050"/>
    <m/>
    <x v="146"/>
    <x v="86"/>
    <n v="793"/>
    <n v="20"/>
    <s v="AC"/>
    <s v="J"/>
    <n v="0"/>
    <n v="6"/>
    <n v="6"/>
    <n v="6"/>
    <n v="9"/>
    <n v="8"/>
    <n v="7"/>
    <n v="7"/>
    <n v="7"/>
    <n v="7"/>
    <n v="7"/>
    <m/>
    <m/>
    <m/>
    <n v="50"/>
    <n v="0"/>
    <s v="PINE ST(CHAR)/1050"/>
    <n v="2"/>
    <x v="2"/>
    <n v="4806.060606060606"/>
    <m/>
    <n v="0"/>
    <x v="5"/>
  </r>
  <r>
    <s v=""/>
    <x v="1021"/>
    <s v="PLANTATION ROW (W)"/>
    <s v="Valley View Plantation"/>
    <x v="172"/>
    <x v="206"/>
    <n v="1056"/>
    <n v="26"/>
    <s v="NC"/>
    <s v="C"/>
    <n v="0"/>
    <n v="7"/>
    <n v="7"/>
    <n v="7"/>
    <n v="7"/>
    <n v="7"/>
    <n v="7"/>
    <n v="7"/>
    <n v="7"/>
    <n v="7"/>
    <n v="7"/>
    <m/>
    <m/>
    <m/>
    <n v="50"/>
    <n v="0"/>
    <s v="PLANTATION ROW (W)"/>
    <n v="3"/>
    <x v="7"/>
    <n v="5000"/>
    <m/>
    <n v="0"/>
    <x v="4"/>
  </r>
  <r>
    <s v=""/>
    <x v="1022"/>
    <s v="PLEASANT DRIVE"/>
    <s v="Ridgewood"/>
    <x v="75"/>
    <x v="161"/>
    <n v="581"/>
    <n v="26"/>
    <s v="NC"/>
    <s v="SC"/>
    <n v="0"/>
    <n v="7"/>
    <n v="8"/>
    <n v="10"/>
    <n v="9"/>
    <n v="8"/>
    <n v="7"/>
    <n v="7"/>
    <n v="7"/>
    <n v="6"/>
    <n v="6"/>
    <m/>
    <m/>
    <m/>
    <n v="202"/>
    <n v="0"/>
    <s v="PLEASANT DRIVE"/>
    <n v="2"/>
    <x v="5"/>
    <n v="8803.0303030303039"/>
    <n v="1"/>
    <n v="8803.0303030303039"/>
    <x v="3"/>
  </r>
  <r>
    <s v="V27"/>
    <x v="1023"/>
    <s v="900N/500W"/>
    <m/>
    <x v="117"/>
    <x v="78"/>
    <n v="2703"/>
    <n v="20"/>
    <s v="AC"/>
    <s v="V"/>
    <n v="0"/>
    <n v="6"/>
    <n v="6"/>
    <n v="6"/>
    <n v="6"/>
    <n v="9"/>
    <n v="8"/>
    <n v="8"/>
    <n v="7"/>
    <n v="7"/>
    <n v="7"/>
    <m/>
    <m/>
    <m/>
    <n v="287"/>
    <n v="0"/>
    <s v="900N"/>
    <n v="1"/>
    <x v="4"/>
    <n v="56312.5"/>
    <m/>
    <n v="0"/>
    <x v="6"/>
  </r>
  <r>
    <s v=""/>
    <x v="1024"/>
    <s v="PORTALAN DRIVE"/>
    <s v="Portalan Pleasant Plains"/>
    <x v="164"/>
    <x v="163"/>
    <n v="1320"/>
    <n v="26"/>
    <s v="NC"/>
    <s v="BC"/>
    <n v="0"/>
    <n v="6"/>
    <n v="5"/>
    <n v="10"/>
    <n v="7"/>
    <n v="7"/>
    <n v="8"/>
    <n v="7"/>
    <n v="7"/>
    <n v="7"/>
    <n v="7"/>
    <m/>
    <m/>
    <m/>
    <n v="50"/>
    <n v="0"/>
    <s v="PORTALAN DRIVE"/>
    <n v="3"/>
    <x v="7"/>
    <n v="6250"/>
    <m/>
    <n v="0"/>
    <x v="4"/>
  </r>
  <r>
    <s v=""/>
    <x v="1025"/>
    <s v="PORTIA DRIVE"/>
    <s v="Portalan Pleasant Plains"/>
    <x v="164"/>
    <x v="193"/>
    <n v="634"/>
    <n v="26"/>
    <s v="NC"/>
    <s v="BC"/>
    <n v="0"/>
    <n v="6"/>
    <n v="7"/>
    <n v="10"/>
    <n v="9"/>
    <n v="9"/>
    <n v="9"/>
    <n v="8"/>
    <n v="7"/>
    <n v="7"/>
    <n v="7"/>
    <m/>
    <m/>
    <m/>
    <n v="50"/>
    <n v="0"/>
    <s v="PORTIA DRIVE"/>
    <n v="1"/>
    <x v="7"/>
    <n v="3001.8939393939395"/>
    <m/>
    <n v="0"/>
    <x v="4"/>
  </r>
  <r>
    <s v=""/>
    <x v="1026"/>
    <s v="POSTMASTER LANE"/>
    <s v="Wildwood North"/>
    <x v="172"/>
    <x v="160"/>
    <n v="1954"/>
    <n v="26"/>
    <s v="NC"/>
    <s v="BC"/>
    <n v="0"/>
    <n v="7"/>
    <n v="7"/>
    <n v="6"/>
    <n v="6"/>
    <n v="6"/>
    <n v="7"/>
    <n v="7"/>
    <n v="6"/>
    <n v="6"/>
    <n v="6"/>
    <m/>
    <m/>
    <m/>
    <n v="50"/>
    <n v="0"/>
    <s v="POSTMASTER LANE"/>
    <n v="4"/>
    <x v="9"/>
    <n v="22015"/>
    <m/>
    <n v="0"/>
    <x v="3"/>
  </r>
  <r>
    <s v=""/>
    <x v="1027"/>
    <s v="PRAIRIE COURT"/>
    <s v="Doe Creek Estates"/>
    <x v="154"/>
    <x v="143"/>
    <n v="317"/>
    <n v="26"/>
    <s v="NC"/>
    <s v="SC"/>
    <n v="0"/>
    <n v="7"/>
    <n v="8"/>
    <n v="7"/>
    <n v="7"/>
    <n v="7"/>
    <n v="7"/>
    <n v="7"/>
    <n v="7"/>
    <n v="7"/>
    <n v="7"/>
    <m/>
    <m/>
    <m/>
    <n v="392"/>
    <n v="0"/>
    <s v="PRAIRIE COURT"/>
    <n v="3"/>
    <x v="7"/>
    <n v="1500.9469696969697"/>
    <m/>
    <n v="0"/>
    <x v="4"/>
  </r>
  <r>
    <s v=""/>
    <x v="1028"/>
    <s v="QUAIL COURT"/>
    <s v="Spring Meadows"/>
    <x v="15"/>
    <x v="188"/>
    <n v="581"/>
    <n v="26"/>
    <s v="NC"/>
    <s v="SC"/>
    <n v="0"/>
    <n v="7"/>
    <n v="8"/>
    <n v="8"/>
    <n v="8"/>
    <n v="8"/>
    <n v="7"/>
    <n v="7"/>
    <n v="7"/>
    <n v="7"/>
    <n v="6"/>
    <m/>
    <m/>
    <m/>
    <n v="580"/>
    <n v="0.5"/>
    <s v="QUAIL COURT"/>
    <n v="2.5"/>
    <x v="7"/>
    <n v="2750.9469696969695"/>
    <m/>
    <n v="0"/>
    <x v="4"/>
  </r>
  <r>
    <s v=""/>
    <x v="1029"/>
    <s v="QUAIL RUN DRIVE"/>
    <s v="Spring Meadows"/>
    <x v="15"/>
    <x v="188"/>
    <n v="2429"/>
    <n v="26"/>
    <s v="NC"/>
    <s v="SC"/>
    <n v="0"/>
    <n v="7"/>
    <n v="8"/>
    <n v="8"/>
    <n v="8"/>
    <n v="8"/>
    <n v="7"/>
    <n v="7"/>
    <n v="7"/>
    <n v="7"/>
    <n v="7"/>
    <m/>
    <m/>
    <m/>
    <n v="580"/>
    <n v="0.5"/>
    <s v="QUAIL RUN DRIVE"/>
    <n v="2.5"/>
    <x v="7"/>
    <n v="11500.94696969697"/>
    <m/>
    <n v="0"/>
    <x v="4"/>
  </r>
  <r>
    <s v=""/>
    <x v="1030"/>
    <s v="ALEXANDRIA DRIVE"/>
    <s v="Wildwood Estates"/>
    <x v="172"/>
    <x v="160"/>
    <n v="1637"/>
    <n v="26"/>
    <s v="NC"/>
    <s v="BC"/>
    <n v="0"/>
    <n v="5"/>
    <n v="5"/>
    <n v="5"/>
    <n v="6"/>
    <n v="6"/>
    <n v="6"/>
    <n v="6"/>
    <n v="6"/>
    <n v="7"/>
    <n v="7"/>
    <m/>
    <m/>
    <m/>
    <n v="50"/>
    <n v="0"/>
    <s v="ALEXANDRIA DRIVE"/>
    <n v="4"/>
    <x v="4"/>
    <n v="34104.166666666664"/>
    <m/>
    <n v="0"/>
    <x v="6"/>
  </r>
  <r>
    <s v=""/>
    <x v="1031"/>
    <s v="ASHLEY DRIVE(S)"/>
    <s v="BoMar Manor"/>
    <x v="73"/>
    <x v="167"/>
    <n v="528"/>
    <n v="26"/>
    <s v="NC"/>
    <s v="BW"/>
    <n v="0"/>
    <n v="7"/>
    <n v="7"/>
    <n v="10"/>
    <n v="9"/>
    <n v="7"/>
    <n v="7"/>
    <n v="6"/>
    <n v="7"/>
    <n v="6"/>
    <n v="6"/>
    <m/>
    <m/>
    <m/>
    <n v="50"/>
    <n v="0"/>
    <s v="ASHLEY DRIVE(S)"/>
    <n v="3"/>
    <x v="4"/>
    <n v="11000"/>
    <m/>
    <n v="0"/>
    <x v="6"/>
  </r>
  <r>
    <s v=""/>
    <x v="1032"/>
    <s v="BOMAR BOULEVARD"/>
    <s v="BoMar Manor"/>
    <x v="73"/>
    <x v="167"/>
    <n v="1690"/>
    <n v="26"/>
    <s v="NC"/>
    <s v="BW"/>
    <n v="0"/>
    <n v="6"/>
    <n v="6"/>
    <n v="10"/>
    <n v="9"/>
    <n v="7"/>
    <n v="7"/>
    <n v="6"/>
    <n v="6"/>
    <n v="6"/>
    <n v="6"/>
    <m/>
    <m/>
    <m/>
    <n v="50"/>
    <n v="0"/>
    <s v="BOMAR BOULEVARD"/>
    <n v="3"/>
    <x v="4"/>
    <n v="35208.333333333336"/>
    <m/>
    <n v="0"/>
    <x v="6"/>
  </r>
  <r>
    <s v=""/>
    <x v="1033"/>
    <s v="BOMAR CIRCLE"/>
    <s v="BoMar Manor"/>
    <x v="73"/>
    <x v="167"/>
    <n v="317"/>
    <n v="26"/>
    <s v="NC"/>
    <s v="BW"/>
    <n v="0"/>
    <n v="7"/>
    <n v="7"/>
    <n v="7"/>
    <n v="9"/>
    <n v="7"/>
    <n v="7"/>
    <n v="7"/>
    <n v="7"/>
    <n v="6"/>
    <n v="6"/>
    <m/>
    <m/>
    <m/>
    <n v="50"/>
    <n v="0"/>
    <s v="BOMAR CIRCLE"/>
    <n v="3"/>
    <x v="4"/>
    <n v="6604.166666666667"/>
    <m/>
    <n v="0"/>
    <x v="6"/>
  </r>
  <r>
    <s v=""/>
    <x v="1034"/>
    <s v="RAVEN FIELD BLVD(W)"/>
    <s v="Raven Field"/>
    <x v="180"/>
    <x v="160"/>
    <n v="1267"/>
    <n v="26"/>
    <s v="NC"/>
    <s v="BC"/>
    <n v="0"/>
    <n v="7"/>
    <n v="7"/>
    <n v="7"/>
    <n v="6"/>
    <n v="6"/>
    <n v="6"/>
    <n v="6"/>
    <n v="7"/>
    <n v="7"/>
    <n v="7"/>
    <m/>
    <m/>
    <m/>
    <n v="50"/>
    <n v="0"/>
    <s v="RAVEN FIELD BLVD(W)"/>
    <n v="4"/>
    <x v="7"/>
    <n v="5999.05303030303"/>
    <m/>
    <n v="0"/>
    <x v="4"/>
  </r>
  <r>
    <s v=""/>
    <x v="1035"/>
    <s v="RAVENFIELD CRT(N)"/>
    <s v="Raven Field"/>
    <x v="180"/>
    <x v="160"/>
    <n v="686"/>
    <n v="26"/>
    <s v="NC"/>
    <s v="BC"/>
    <n v="0"/>
    <n v="7"/>
    <n v="7"/>
    <n v="7"/>
    <n v="6"/>
    <n v="6"/>
    <n v="6"/>
    <n v="6"/>
    <n v="7"/>
    <n v="6"/>
    <n v="7"/>
    <m/>
    <m/>
    <m/>
    <n v="50"/>
    <n v="0"/>
    <s v="RAVEN FIELD CRT(N)"/>
    <n v="4"/>
    <x v="7"/>
    <n v="3248.1060606060605"/>
    <m/>
    <n v="0"/>
    <x v="4"/>
  </r>
  <r>
    <s v=""/>
    <x v="1036"/>
    <s v="RAYLEE GARDEN DR(S)"/>
    <s v="Meadow Lake Village"/>
    <x v="176"/>
    <x v="139"/>
    <n v="1716"/>
    <n v="26"/>
    <s v="NC"/>
    <s v="SC"/>
    <n v="0"/>
    <n v="8"/>
    <n v="8"/>
    <n v="8"/>
    <n v="8"/>
    <n v="8"/>
    <n v="7"/>
    <n v="7"/>
    <n v="7"/>
    <n v="7"/>
    <n v="7"/>
    <m/>
    <m/>
    <m/>
    <n v="364"/>
    <n v="0"/>
    <s v="RAYLEE GARDEN DR(S)"/>
    <n v="2"/>
    <x v="7"/>
    <n v="8125"/>
    <m/>
    <n v="0"/>
    <x v="4"/>
  </r>
  <r>
    <s v=""/>
    <x v="1037"/>
    <s v="RED FOX TRAIL (N)"/>
    <s v="Fox Cove"/>
    <x v="158"/>
    <x v="158"/>
    <n v="475"/>
    <n v="26"/>
    <s v="NC"/>
    <s v="SC"/>
    <n v="0"/>
    <n v="7"/>
    <n v="7"/>
    <n v="7"/>
    <n v="7"/>
    <n v="7"/>
    <n v="8"/>
    <n v="8"/>
    <n v="8"/>
    <n v="7"/>
    <n v="7"/>
    <m/>
    <m/>
    <m/>
    <n v="667"/>
    <n v="0.5"/>
    <s v="RED FOX TRAIL (N)"/>
    <n v="3.5"/>
    <x v="9"/>
    <n v="3786"/>
    <m/>
    <n v="0"/>
    <x v="3"/>
  </r>
  <r>
    <s v=""/>
    <x v="1038"/>
    <s v="RED OAK DRIVE"/>
    <s v="Twin Oaks"/>
    <x v="73"/>
    <x v="142"/>
    <n v="2640"/>
    <n v="26"/>
    <s v="NC"/>
    <s v="C"/>
    <n v="0"/>
    <n v="7"/>
    <n v="8"/>
    <n v="8"/>
    <n v="7"/>
    <n v="7"/>
    <n v="8"/>
    <n v="7"/>
    <n v="7"/>
    <n v="6"/>
    <n v="6"/>
    <m/>
    <m/>
    <m/>
    <n v="50"/>
    <n v="0"/>
    <s v="RED OAK DRIVE"/>
    <n v="3"/>
    <x v="5"/>
    <n v="40000"/>
    <n v="1"/>
    <n v="40000"/>
    <x v="3"/>
  </r>
  <r>
    <s v=""/>
    <x v="1039"/>
    <s v="REDBUD CIRCLE"/>
    <s v="Sugar Creek Valley Estates"/>
    <x v="161"/>
    <x v="163"/>
    <n v="193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REDBUD CIRCLE"/>
    <n v="3"/>
    <x v="9"/>
    <n v="1561.15"/>
    <m/>
    <n v="0"/>
    <x v="3"/>
  </r>
  <r>
    <s v=""/>
    <x v="1040"/>
    <s v="REMBRANT COURT"/>
    <s v="Schildmeier Woods"/>
    <x v="102"/>
    <x v="152"/>
    <n v="158"/>
    <n v="26"/>
    <s v="NC"/>
    <s v="SC"/>
    <n v="0"/>
    <n v="7"/>
    <n v="7"/>
    <n v="9"/>
    <n v="9"/>
    <n v="8"/>
    <n v="7"/>
    <n v="7"/>
    <n v="8"/>
    <n v="7"/>
    <n v="8"/>
    <m/>
    <m/>
    <m/>
    <n v="668"/>
    <n v="0.5"/>
    <s v="REMBRANT COURT"/>
    <n v="2.5"/>
    <x v="7"/>
    <n v="748.10606060606062"/>
    <m/>
    <n v="0"/>
    <x v="4"/>
  </r>
  <r>
    <s v=""/>
    <x v="1041"/>
    <s v="REX RIDGE ROAD"/>
    <s v="Fox Cove"/>
    <x v="158"/>
    <x v="158"/>
    <n v="528"/>
    <n v="26"/>
    <s v="NC"/>
    <s v="SC"/>
    <n v="0"/>
    <n v="7"/>
    <n v="7"/>
    <n v="7"/>
    <n v="7"/>
    <n v="7"/>
    <n v="7"/>
    <n v="7"/>
    <n v="7"/>
    <n v="7"/>
    <n v="7"/>
    <m/>
    <m/>
    <m/>
    <n v="667"/>
    <n v="0.5"/>
    <s v="REX RIDGE ROAD"/>
    <n v="3.5"/>
    <x v="9"/>
    <n v="4270.9399999999996"/>
    <m/>
    <n v="0"/>
    <x v="3"/>
  </r>
  <r>
    <s v=""/>
    <x v="1042"/>
    <s v="RICHMAN BLVD"/>
    <s v="Richman Platz"/>
    <x v="164"/>
    <x v="207"/>
    <n v="264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BLVD"/>
    <n v="2.5"/>
    <x v="7"/>
    <n v="1250"/>
    <m/>
    <n v="0"/>
    <x v="4"/>
  </r>
  <r>
    <m/>
    <x v="1043"/>
    <s v="RICHMAN CIRCLE"/>
    <s v="Richman Platz"/>
    <x v="170"/>
    <x v="208"/>
    <n v="264"/>
    <n v="26"/>
    <s v="NC"/>
    <s v="SC"/>
    <n v="0"/>
    <m/>
    <n v="9"/>
    <n v="9"/>
    <n v="8"/>
    <n v="8"/>
    <n v="7"/>
    <n v="7"/>
    <n v="7"/>
    <n v="7"/>
    <n v="7"/>
    <m/>
    <m/>
    <m/>
    <n v="653"/>
    <n v="0.5"/>
    <s v="RICHMAN CIRCLE"/>
    <n v="2.5"/>
    <x v="7"/>
    <n v="1250"/>
    <m/>
    <n v="0"/>
    <x v="4"/>
  </r>
  <r>
    <s v=""/>
    <x v="1044"/>
    <s v="RICHMAN COURT"/>
    <s v="Richman Platz"/>
    <x v="164"/>
    <x v="207"/>
    <n v="317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COURT"/>
    <n v="2.5"/>
    <x v="7"/>
    <n v="1500.9469696969697"/>
    <m/>
    <n v="0"/>
    <x v="4"/>
  </r>
  <r>
    <s v=""/>
    <x v="1045"/>
    <s v="RICHMAN DRIVE(S)"/>
    <s v="Richman Platz"/>
    <x v="164"/>
    <x v="207"/>
    <n v="845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DRIVE(S)"/>
    <n v="2.5"/>
    <x v="7"/>
    <n v="4000.9469696969695"/>
    <m/>
    <n v="0"/>
    <x v="4"/>
  </r>
  <r>
    <s v=""/>
    <x v="1046"/>
    <s v="RICHMAN LANE(W)"/>
    <s v="Richman Platz"/>
    <x v="164"/>
    <x v="207"/>
    <n v="1056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LANE(W)"/>
    <n v="2.5"/>
    <x v="7"/>
    <n v="5000"/>
    <m/>
    <n v="0"/>
    <x v="4"/>
  </r>
  <r>
    <s v=""/>
    <x v="1047"/>
    <s v="RICHMAN WAY(S)"/>
    <s v="Richman Platz"/>
    <x v="164"/>
    <x v="207"/>
    <n v="1531"/>
    <n v="26"/>
    <s v="NC"/>
    <s v="SC"/>
    <n v="0"/>
    <n v="8"/>
    <n v="9"/>
    <n v="9"/>
    <n v="8"/>
    <n v="8"/>
    <n v="7"/>
    <n v="7"/>
    <n v="7"/>
    <n v="7"/>
    <n v="7"/>
    <m/>
    <m/>
    <m/>
    <n v="653"/>
    <n v="0.5"/>
    <s v="RICHMAN WAY(S)"/>
    <n v="2.5"/>
    <x v="7"/>
    <n v="7249.05303030303"/>
    <m/>
    <n v="0"/>
    <x v="4"/>
  </r>
  <r>
    <s v=""/>
    <x v="1048"/>
    <s v="RICKS DRIVE EAST"/>
    <s v="Woodbury Manor"/>
    <x v="152"/>
    <x v="209"/>
    <n v="1531"/>
    <n v="20"/>
    <s v="NC"/>
    <s v="V"/>
    <n v="0"/>
    <n v="7"/>
    <n v="7"/>
    <n v="7"/>
    <n v="7"/>
    <n v="7"/>
    <n v="8"/>
    <n v="8"/>
    <n v="7"/>
    <n v="7"/>
    <n v="7"/>
    <m/>
    <m/>
    <m/>
    <n v="50"/>
    <n v="0"/>
    <s v="RICKS DRIVE EAST"/>
    <n v="3"/>
    <x v="9"/>
    <n v="13269"/>
    <m/>
    <n v="0"/>
    <x v="3"/>
  </r>
  <r>
    <s v=""/>
    <x v="1049"/>
    <s v="RICKS DRIVE SOUTH"/>
    <s v="Woodbury Manor"/>
    <x v="152"/>
    <x v="209"/>
    <n v="422"/>
    <n v="20"/>
    <s v="NC"/>
    <s v="V"/>
    <n v="0"/>
    <n v="7"/>
    <n v="7"/>
    <n v="7"/>
    <n v="7"/>
    <n v="7"/>
    <n v="8"/>
    <n v="8"/>
    <n v="7"/>
    <n v="7"/>
    <n v="7"/>
    <m/>
    <m/>
    <m/>
    <n v="50"/>
    <n v="0"/>
    <s v="RICKS DRIVE SOUTH"/>
    <n v="3"/>
    <x v="9"/>
    <n v="3658"/>
    <m/>
    <n v="0"/>
    <x v="3"/>
  </r>
  <r>
    <s v=""/>
    <x v="1050"/>
    <s v="RICKS DRIVE WEST"/>
    <s v="Woodbury Manor"/>
    <x v="152"/>
    <x v="209"/>
    <n v="1267"/>
    <n v="20"/>
    <s v="NC"/>
    <s v="V"/>
    <n v="0"/>
    <n v="7"/>
    <n v="7"/>
    <n v="7"/>
    <n v="7"/>
    <n v="7"/>
    <n v="8"/>
    <n v="8"/>
    <n v="7"/>
    <n v="7"/>
    <n v="7"/>
    <m/>
    <m/>
    <m/>
    <n v="50"/>
    <n v="0"/>
    <s v="RICKS DRIVE WEST"/>
    <n v="3"/>
    <x v="9"/>
    <n v="10981"/>
    <m/>
    <n v="0"/>
    <x v="3"/>
  </r>
  <r>
    <s v=""/>
    <x v="1051"/>
    <s v="RIDGE DRIVE"/>
    <s v="Walnut Ridge"/>
    <x v="195"/>
    <x v="178"/>
    <n v="1320"/>
    <n v="26"/>
    <s v="NC"/>
    <s v="C"/>
    <n v="0"/>
    <n v="7"/>
    <n v="8"/>
    <n v="8"/>
    <n v="8"/>
    <n v="8"/>
    <n v="8"/>
    <n v="7"/>
    <n v="7"/>
    <n v="7"/>
    <n v="7"/>
    <m/>
    <m/>
    <m/>
    <n v="50"/>
    <n v="0"/>
    <s v="RIDGE DRIVE"/>
    <n v="2"/>
    <x v="7"/>
    <n v="6250"/>
    <m/>
    <n v="0"/>
    <x v="4"/>
  </r>
  <r>
    <s v=""/>
    <x v="1052"/>
    <s v="RIDGEVIEW"/>
    <s v="Greyhawk Woods"/>
    <x v="73"/>
    <x v="186"/>
    <n v="1109"/>
    <n v="26"/>
    <s v="NC"/>
    <s v="BW"/>
    <n v="0"/>
    <n v="7"/>
    <n v="6"/>
    <n v="9"/>
    <n v="8"/>
    <n v="8"/>
    <n v="8"/>
    <n v="7"/>
    <n v="7"/>
    <n v="7"/>
    <n v="7"/>
    <m/>
    <m/>
    <m/>
    <n v="439"/>
    <n v="0"/>
    <s v="RIDGEVIEW"/>
    <n v="2"/>
    <x v="5"/>
    <n v="16803.030303030304"/>
    <n v="1"/>
    <n v="16803.030303030304"/>
    <x v="3"/>
  </r>
  <r>
    <m/>
    <x v="1053"/>
    <s v="ROBERTS CT. (W)"/>
    <s v="Maple Grove"/>
    <x v="196"/>
    <x v="143"/>
    <n v="698"/>
    <n v="26"/>
    <s v="AC"/>
    <s v="BW"/>
    <m/>
    <m/>
    <m/>
    <m/>
    <m/>
    <n v="8"/>
    <n v="8"/>
    <n v="8"/>
    <n v="8"/>
    <n v="8"/>
    <n v="8"/>
    <m/>
    <m/>
    <m/>
    <n v="118"/>
    <n v="0"/>
    <s v="ROBERTS CT. (W)"/>
    <n v="2"/>
    <x v="7"/>
    <n v="3304.9242424242425"/>
    <m/>
    <n v="0"/>
    <x v="4"/>
  </r>
  <r>
    <s v=""/>
    <x v="1054"/>
    <s v="BOMAR LANE"/>
    <s v="BoMar Manor"/>
    <x v="73"/>
    <x v="167"/>
    <n v="1584"/>
    <n v="26"/>
    <s v="NC"/>
    <s v="BW"/>
    <n v="0"/>
    <n v="6"/>
    <n v="6"/>
    <n v="10"/>
    <n v="9"/>
    <n v="7"/>
    <n v="7"/>
    <n v="7"/>
    <n v="7"/>
    <n v="7"/>
    <n v="6"/>
    <m/>
    <m/>
    <m/>
    <n v="50"/>
    <n v="0"/>
    <s v="BOMAR LANE"/>
    <n v="3"/>
    <x v="4"/>
    <n v="33000"/>
    <m/>
    <n v="0"/>
    <x v="6"/>
  </r>
  <r>
    <s v=""/>
    <x v="1055"/>
    <s v="ROCKWAY DRIVE(W)"/>
    <s v="Countryside"/>
    <x v="15"/>
    <x v="154"/>
    <n v="1320"/>
    <n v="26"/>
    <s v="NC"/>
    <s v="SC"/>
    <n v="0"/>
    <n v="7"/>
    <n v="8"/>
    <n v="8"/>
    <n v="7"/>
    <n v="7"/>
    <n v="8"/>
    <n v="8"/>
    <n v="7"/>
    <n v="7"/>
    <n v="7"/>
    <m/>
    <m/>
    <m/>
    <n v="889"/>
    <n v="0.5"/>
    <s v="ROCKWAY DRIVE(W)"/>
    <n v="3.5"/>
    <x v="9"/>
    <n v="625"/>
    <m/>
    <n v="0"/>
    <x v="3"/>
  </r>
  <r>
    <s v=""/>
    <x v="1056"/>
    <s v="BRANDYWINE COURT"/>
    <s v="BoMar Manor"/>
    <x v="73"/>
    <x v="167"/>
    <n v="1320"/>
    <n v="26"/>
    <s v="NC"/>
    <s v="BW"/>
    <n v="0"/>
    <n v="7"/>
    <n v="6"/>
    <n v="10"/>
    <n v="9"/>
    <n v="7"/>
    <n v="7"/>
    <n v="6"/>
    <n v="5"/>
    <n v="5"/>
    <n v="5"/>
    <m/>
    <m/>
    <m/>
    <n v="50"/>
    <n v="0"/>
    <s v="BRANDYWINE COURT"/>
    <n v="3"/>
    <x v="4"/>
    <n v="27500"/>
    <m/>
    <n v="0"/>
    <x v="6"/>
  </r>
  <r>
    <s v=""/>
    <x v="1057"/>
    <s v="ROSEWIND DR (S)"/>
    <s v="Willow Grove"/>
    <x v="102"/>
    <x v="172"/>
    <n v="1320"/>
    <n v="26"/>
    <s v="NC"/>
    <s v="SC"/>
    <n v="0"/>
    <n v="7"/>
    <n v="7"/>
    <n v="7"/>
    <n v="7"/>
    <n v="7"/>
    <n v="7"/>
    <n v="7"/>
    <n v="7"/>
    <n v="7"/>
    <n v="7"/>
    <m/>
    <m/>
    <m/>
    <n v="888"/>
    <n v="0.5"/>
    <s v="ROSEWIND DR (S)"/>
    <n v="3.5"/>
    <x v="7"/>
    <n v="6250"/>
    <m/>
    <n v="0"/>
    <x v="4"/>
  </r>
  <r>
    <m/>
    <x v="1058"/>
    <s v="CENTENNIAL AVE (S)"/>
    <s v="Centennial Village"/>
    <x v="117"/>
    <x v="64"/>
    <n v="570"/>
    <n v="26"/>
    <m/>
    <s v="SC"/>
    <n v="0"/>
    <m/>
    <m/>
    <m/>
    <n v="9"/>
    <n v="9"/>
    <n v="8"/>
    <n v="8"/>
    <n v="8"/>
    <n v="8"/>
    <n v="8"/>
    <m/>
    <m/>
    <m/>
    <n v="640"/>
    <m/>
    <s v="S CENTENNIAL AVE"/>
    <n v="1"/>
    <x v="7"/>
    <n v="2698.8636363636365"/>
    <m/>
    <n v="0"/>
    <x v="4"/>
  </r>
  <r>
    <m/>
    <x v="1059"/>
    <s v="PHILADELPHIA PASS (S)"/>
    <s v="Centennial Village"/>
    <x v="117"/>
    <x v="64"/>
    <n v="316"/>
    <n v="26"/>
    <m/>
    <s v="SC"/>
    <n v="0"/>
    <m/>
    <m/>
    <m/>
    <n v="9"/>
    <n v="8"/>
    <n v="8"/>
    <n v="7"/>
    <n v="8"/>
    <n v="8"/>
    <n v="8"/>
    <m/>
    <m/>
    <m/>
    <n v="640"/>
    <m/>
    <s v="S PHILADELPHIA PASS"/>
    <n v="2"/>
    <x v="7"/>
    <n v="1496.2121212121212"/>
    <m/>
    <n v="0"/>
    <x v="4"/>
  </r>
  <r>
    <s v=""/>
    <x v="1060"/>
    <s v="SACREMENTO DRIVE"/>
    <s v="Huntington Heights"/>
    <x v="102"/>
    <x v="163"/>
    <n v="2693"/>
    <n v="26"/>
    <s v="NC"/>
    <s v="BC"/>
    <n v="0"/>
    <n v="7"/>
    <n v="7"/>
    <n v="7"/>
    <n v="7"/>
    <n v="7"/>
    <n v="7"/>
    <n v="6"/>
    <n v="7"/>
    <n v="7"/>
    <n v="7"/>
    <m/>
    <m/>
    <m/>
    <n v="207"/>
    <n v="0"/>
    <s v="SACREMENTO DRIVE"/>
    <n v="3"/>
    <x v="7"/>
    <n v="12750.94696969697"/>
    <m/>
    <n v="0"/>
    <x v="4"/>
  </r>
  <r>
    <s v=""/>
    <x v="1061"/>
    <s v="SAW MILL COURT"/>
    <s v="Cornerstone Village"/>
    <x v="152"/>
    <x v="152"/>
    <n v="290"/>
    <n v="26"/>
    <s v="NC"/>
    <s v="SC"/>
    <n v="0"/>
    <n v="7"/>
    <n v="8"/>
    <n v="8"/>
    <n v="8"/>
    <n v="8"/>
    <n v="7"/>
    <n v="7"/>
    <n v="7"/>
    <n v="7"/>
    <n v="7"/>
    <m/>
    <m/>
    <m/>
    <n v="50"/>
    <n v="0"/>
    <s v="SAW MILL COURT"/>
    <n v="2"/>
    <x v="7"/>
    <n v="1373.1060606060605"/>
    <m/>
    <n v="0"/>
    <x v="4"/>
  </r>
  <r>
    <s v=""/>
    <x v="1062"/>
    <s v="SCHOOL ST(MAX)/END"/>
    <m/>
    <x v="21"/>
    <x v="25"/>
    <n v="337"/>
    <n v="20"/>
    <s v="CS"/>
    <s v="C"/>
    <n v="0"/>
    <n v="7"/>
    <n v="5"/>
    <n v="5"/>
    <n v="5"/>
    <n v="5"/>
    <n v="7"/>
    <n v="7"/>
    <n v="7"/>
    <n v="7"/>
    <n v="7"/>
    <m/>
    <m/>
    <m/>
    <n v="50"/>
    <n v="0"/>
    <s v="SCHOOL ST(MAX)/END"/>
    <n v="5"/>
    <x v="2"/>
    <n v="2042.4242424242425"/>
    <m/>
    <n v="0"/>
    <x v="0"/>
  </r>
  <r>
    <s v=""/>
    <x v="1063"/>
    <s v="SECOND (CHAR)/CART"/>
    <m/>
    <x v="133"/>
    <x v="144"/>
    <n v="759"/>
    <n v="20"/>
    <s v="CS"/>
    <s v="J"/>
    <n v="0"/>
    <n v="6"/>
    <n v="5"/>
    <n v="5"/>
    <n v="9"/>
    <n v="9"/>
    <n v="8"/>
    <n v="7"/>
    <n v="7"/>
    <n v="7"/>
    <n v="7"/>
    <m/>
    <m/>
    <m/>
    <n v="50"/>
    <n v="0"/>
    <s v="SECOND ST."/>
    <n v="1"/>
    <x v="0"/>
    <n v="3018.75"/>
    <m/>
    <n v="0"/>
    <x v="5"/>
  </r>
  <r>
    <s v=""/>
    <x v="1064"/>
    <s v="BRANDYWINE LANE(E)"/>
    <s v="BoMar Manor"/>
    <x v="73"/>
    <x v="167"/>
    <n v="2376"/>
    <n v="26"/>
    <s v="NC"/>
    <s v="BW"/>
    <n v="0"/>
    <n v="7"/>
    <n v="6"/>
    <n v="10"/>
    <n v="9"/>
    <n v="7"/>
    <n v="7"/>
    <n v="7"/>
    <n v="7"/>
    <n v="7"/>
    <n v="6"/>
    <m/>
    <m/>
    <m/>
    <n v="50"/>
    <n v="0"/>
    <s v="BRANDYWINE LANE€"/>
    <n v="3"/>
    <x v="4"/>
    <n v="49500"/>
    <m/>
    <n v="0"/>
    <x v="6"/>
  </r>
  <r>
    <s v=""/>
    <x v="1065"/>
    <s v="SECOND ST(WIL BRA)"/>
    <s v="Willow Branch"/>
    <x v="146"/>
    <x v="210"/>
    <n v="280"/>
    <n v="20"/>
    <s v="AC"/>
    <s v="B"/>
    <n v="0"/>
    <n v="6"/>
    <n v="6"/>
    <n v="6"/>
    <n v="5"/>
    <n v="5"/>
    <n v="9"/>
    <n v="8"/>
    <n v="8"/>
    <n v="7"/>
    <n v="7"/>
    <m/>
    <m/>
    <m/>
    <n v="50"/>
    <n v="0"/>
    <s v="SECOND ST."/>
    <n v="5"/>
    <x v="0"/>
    <n v="1113.6363636363637"/>
    <m/>
    <n v="0"/>
    <x v="3"/>
  </r>
  <r>
    <s v=""/>
    <x v="1066"/>
    <s v="SHADELAND DRIVE"/>
    <s v="Lynnwood"/>
    <x v="197"/>
    <x v="158"/>
    <n v="528"/>
    <n v="26"/>
    <s v="NC"/>
    <s v="BW"/>
    <n v="0"/>
    <n v="6"/>
    <n v="6"/>
    <n v="6"/>
    <n v="6"/>
    <n v="8"/>
    <n v="7"/>
    <n v="6"/>
    <n v="6"/>
    <n v="6"/>
    <n v="6"/>
    <m/>
    <m/>
    <m/>
    <n v="77"/>
    <n v="0"/>
    <s v="SHADELAND DRIVE"/>
    <n v="2"/>
    <x v="7"/>
    <n v="2500"/>
    <m/>
    <n v="0"/>
    <x v="4"/>
  </r>
  <r>
    <s v=""/>
    <x v="1067"/>
    <s v="SHADOW CREEK WAY WEST"/>
    <s v="Shadow Creek"/>
    <x v="198"/>
    <x v="211"/>
    <n v="898"/>
    <n v="26"/>
    <s v="NC"/>
    <s v="BC"/>
    <n v="0"/>
    <n v="7"/>
    <n v="8"/>
    <n v="8"/>
    <n v="8"/>
    <n v="8"/>
    <n v="7"/>
    <n v="6"/>
    <n v="6"/>
    <n v="7"/>
    <n v="7"/>
    <m/>
    <m/>
    <m/>
    <n v="50"/>
    <n v="0"/>
    <s v="SHADOW CREEK WAY WEST"/>
    <n v="2"/>
    <x v="3"/>
    <n v="7823.484848484848"/>
    <m/>
    <n v="0"/>
    <x v="4"/>
  </r>
  <r>
    <s v=""/>
    <x v="1068"/>
    <s v="SHADY CREEK DRIVE"/>
    <s v="Shady Creek"/>
    <x v="199"/>
    <x v="212"/>
    <n v="950"/>
    <n v="26"/>
    <s v="NC"/>
    <s v="SC"/>
    <n v="0"/>
    <n v="6"/>
    <n v="6"/>
    <n v="5"/>
    <n v="5"/>
    <n v="5"/>
    <n v="9"/>
    <n v="8"/>
    <n v="8"/>
    <n v="8"/>
    <n v="7"/>
    <m/>
    <m/>
    <m/>
    <n v="112"/>
    <n v="0"/>
    <s v="SHADY CREEK DRIVE"/>
    <n v="5"/>
    <x v="0"/>
    <n v="3778.409090909091"/>
    <m/>
    <n v="0"/>
    <x v="3"/>
  </r>
  <r>
    <s v=""/>
    <x v="1069"/>
    <s v="SHARON DRIVE"/>
    <s v="Sugar Creek Estates"/>
    <x v="200"/>
    <x v="213"/>
    <n v="1320"/>
    <n v="26"/>
    <s v="NC"/>
    <s v="BC"/>
    <n v="0"/>
    <n v="7"/>
    <n v="7"/>
    <n v="7"/>
    <n v="6"/>
    <n v="6"/>
    <n v="6"/>
    <n v="6"/>
    <n v="7"/>
    <n v="6"/>
    <n v="6"/>
    <m/>
    <m/>
    <m/>
    <n v="50"/>
    <n v="0"/>
    <s v="SHARON DRIVE"/>
    <n v="4"/>
    <x v="7"/>
    <n v="6250"/>
    <m/>
    <n v="0"/>
    <x v="4"/>
  </r>
  <r>
    <s v=""/>
    <x v="1070"/>
    <s v="SHEL-LYN COURT"/>
    <s v="Shel-Lyn Estates"/>
    <x v="201"/>
    <x v="177"/>
    <n v="1162"/>
    <n v="26"/>
    <s v="NC"/>
    <s v="BW"/>
    <n v="0"/>
    <n v="7"/>
    <n v="7"/>
    <n v="7"/>
    <n v="7"/>
    <n v="6"/>
    <n v="6"/>
    <n v="5"/>
    <n v="5"/>
    <n v="7"/>
    <n v="7"/>
    <m/>
    <m/>
    <m/>
    <n v="162"/>
    <n v="0"/>
    <s v="SHEL-LYN COURT"/>
    <n v="4"/>
    <x v="7"/>
    <n v="5501.893939393939"/>
    <m/>
    <n v="0"/>
    <x v="5"/>
  </r>
  <r>
    <s v=""/>
    <x v="1071"/>
    <s v="SHEL-LYN DRIVE"/>
    <s v="Shel-Lyn Estates"/>
    <x v="201"/>
    <x v="177"/>
    <n v="422"/>
    <n v="26"/>
    <s v="NC"/>
    <s v="BW"/>
    <n v="0"/>
    <n v="7"/>
    <n v="7"/>
    <n v="7"/>
    <n v="7"/>
    <n v="6"/>
    <n v="6"/>
    <n v="5"/>
    <n v="5"/>
    <n v="7"/>
    <n v="7"/>
    <m/>
    <m/>
    <m/>
    <n v="162"/>
    <n v="0"/>
    <s v="SHEL-LYN DRIVE"/>
    <n v="4"/>
    <x v="7"/>
    <n v="1998.1060606060605"/>
    <m/>
    <n v="0"/>
    <x v="5"/>
  </r>
  <r>
    <s v=""/>
    <x v="1072"/>
    <s v="SOUTH ST(CHAR)/EAS"/>
    <m/>
    <x v="133"/>
    <x v="134"/>
    <n v="382"/>
    <n v="20"/>
    <s v="P"/>
    <s v="J"/>
    <n v="0"/>
    <n v="6"/>
    <n v="3"/>
    <n v="8"/>
    <n v="8"/>
    <n v="8"/>
    <n v="8"/>
    <n v="7"/>
    <n v="7"/>
    <n v="7"/>
    <n v="7"/>
    <m/>
    <m/>
    <m/>
    <n v="50"/>
    <n v="0"/>
    <s v="SOUTH ST."/>
    <n v="2"/>
    <x v="2"/>
    <n v="2315.151515151515"/>
    <m/>
    <n v="0"/>
    <x v="5"/>
  </r>
  <r>
    <s v=""/>
    <x v="1073"/>
    <s v="SOUTH ST(MAX)/CENT"/>
    <m/>
    <x v="21"/>
    <x v="214"/>
    <n v="283"/>
    <n v="20"/>
    <s v="G"/>
    <s v="C"/>
    <n v="0"/>
    <n v="6"/>
    <n v="6"/>
    <n v="6"/>
    <n v="5"/>
    <n v="5"/>
    <n v="5"/>
    <n v="5"/>
    <n v="5"/>
    <n v="5"/>
    <n v="5"/>
    <m/>
    <m/>
    <m/>
    <n v="50"/>
    <n v="0"/>
    <s v="SOUTH ST."/>
    <n v="5"/>
    <x v="4"/>
    <n v="5895.833333333333"/>
    <m/>
    <n v="0"/>
    <x v="0"/>
  </r>
  <r>
    <s v=""/>
    <x v="1074"/>
    <s v="SOUTH ST/END"/>
    <m/>
    <x v="202"/>
    <x v="25"/>
    <n v="451"/>
    <n v="20"/>
    <s v="AC"/>
    <s v="C"/>
    <n v="0"/>
    <n v="7"/>
    <n v="6"/>
    <m/>
    <m/>
    <n v="9"/>
    <n v="8"/>
    <n v="7"/>
    <n v="7"/>
    <n v="7"/>
    <n v="7"/>
    <m/>
    <m/>
    <m/>
    <n v="50"/>
    <n v="0"/>
    <s v="SOUTH ST."/>
    <n v="1"/>
    <x v="0"/>
    <n v="1793.75"/>
    <m/>
    <n v="0"/>
    <x v="2"/>
  </r>
  <r>
    <s v=""/>
    <x v="1075"/>
    <s v="SOUTHWAY DR (S)"/>
    <s v="Willow Grove"/>
    <x v="102"/>
    <x v="172"/>
    <n v="1954"/>
    <n v="26"/>
    <s v="NC"/>
    <s v="SC"/>
    <n v="0"/>
    <n v="8"/>
    <n v="7"/>
    <n v="7"/>
    <n v="7"/>
    <n v="7"/>
    <n v="7"/>
    <n v="7"/>
    <n v="7"/>
    <n v="7"/>
    <n v="7"/>
    <m/>
    <m/>
    <m/>
    <n v="888"/>
    <n v="0.5"/>
    <s v="SOUTHWAY DR (S)"/>
    <n v="3.5"/>
    <x v="7"/>
    <n v="9251.8939393939399"/>
    <m/>
    <n v="0"/>
    <x v="4"/>
  </r>
  <r>
    <s v=""/>
    <x v="1076"/>
    <s v="SPARKS RD./300N"/>
    <m/>
    <x v="50"/>
    <x v="25"/>
    <n v="2160"/>
    <n v="20"/>
    <s v="CS"/>
    <s v="BC"/>
    <n v="0"/>
    <n v="7"/>
    <n v="7"/>
    <n v="7"/>
    <n v="6"/>
    <n v="6"/>
    <n v="5"/>
    <n v="5"/>
    <n v="5"/>
    <n v="5"/>
    <n v="7"/>
    <m/>
    <m/>
    <m/>
    <n v="50"/>
    <n v="0"/>
    <s v="SPARKS RD."/>
    <n v="4"/>
    <x v="2"/>
    <n v="13090.90909090909"/>
    <m/>
    <n v="0"/>
    <x v="2"/>
  </r>
  <r>
    <s v=""/>
    <x v="1077"/>
    <s v="BRANDYWINE TRAIL(E)"/>
    <s v="BoMar Manor"/>
    <x v="73"/>
    <x v="167"/>
    <n v="2059"/>
    <n v="26"/>
    <s v="NC"/>
    <s v="BW"/>
    <n v="0"/>
    <n v="6"/>
    <n v="6"/>
    <n v="10"/>
    <n v="9"/>
    <n v="7"/>
    <n v="7"/>
    <n v="7"/>
    <n v="7"/>
    <n v="7"/>
    <n v="7"/>
    <m/>
    <m/>
    <m/>
    <n v="50"/>
    <n v="0"/>
    <s v="BRANDYWINE TRAIL€"/>
    <n v="3"/>
    <x v="4"/>
    <n v="42895.833333333336"/>
    <m/>
    <n v="0"/>
    <x v="6"/>
  </r>
  <r>
    <s v="BC26"/>
    <x v="1078"/>
    <s v="STATION WAY/350N"/>
    <m/>
    <x v="43"/>
    <x v="59"/>
    <n v="3308"/>
    <n v="20"/>
    <s v="AC"/>
    <s v="BC"/>
    <n v="0"/>
    <n v="7"/>
    <n v="7"/>
    <n v="7"/>
    <n v="7"/>
    <n v="6"/>
    <n v="5"/>
    <n v="5"/>
    <n v="5"/>
    <n v="5"/>
    <n v="5"/>
    <n v="2024"/>
    <m/>
    <s v="Y"/>
    <n v="66"/>
    <n v="0"/>
    <s v="STATION WAY/350N"/>
    <n v="4"/>
    <x v="4"/>
    <n v="68916.666666666672"/>
    <n v="1"/>
    <n v="68916.666666666672"/>
    <x v="0"/>
  </r>
  <r>
    <s v=""/>
    <x v="1079"/>
    <s v="BRANDYWINE TRAIL(S)"/>
    <s v="BoMar Manor"/>
    <x v="73"/>
    <x v="167"/>
    <n v="2059"/>
    <n v="26"/>
    <s v="NC"/>
    <s v="BW"/>
    <n v="0"/>
    <n v="6"/>
    <n v="6"/>
    <n v="10"/>
    <n v="9"/>
    <n v="7"/>
    <n v="7"/>
    <n v="7"/>
    <n v="7"/>
    <n v="7"/>
    <n v="7"/>
    <m/>
    <m/>
    <m/>
    <n v="50"/>
    <n v="0"/>
    <s v="BRANDYWINE TRAIL(S)"/>
    <n v="3"/>
    <x v="4"/>
    <n v="42895.833333333336"/>
    <m/>
    <n v="0"/>
    <x v="6"/>
  </r>
  <r>
    <s v=""/>
    <x v="1080"/>
    <s v="STEELEFORD RD/END"/>
    <m/>
    <x v="203"/>
    <x v="215"/>
    <n v="2116"/>
    <n v="20"/>
    <s v="CS"/>
    <s v="C"/>
    <n v="0"/>
    <n v="5"/>
    <n v="6"/>
    <n v="7"/>
    <n v="6"/>
    <n v="7"/>
    <n v="7"/>
    <n v="7"/>
    <n v="7"/>
    <n v="7"/>
    <n v="7"/>
    <m/>
    <m/>
    <m/>
    <n v="50"/>
    <n v="0"/>
    <s v="STEELFORD"/>
    <n v="3"/>
    <x v="0"/>
    <n v="8415.9090909090901"/>
    <m/>
    <n v="0"/>
    <x v="0"/>
  </r>
  <r>
    <s v=""/>
    <x v="1081"/>
    <s v="CENTER ST(PHIL)/VI"/>
    <m/>
    <x v="204"/>
    <x v="150"/>
    <n v="264"/>
    <n v="20"/>
    <s v="AC"/>
    <s v="SC"/>
    <n v="0"/>
    <n v="7"/>
    <n v="6"/>
    <n v="6"/>
    <n v="6"/>
    <n v="6"/>
    <n v="6"/>
    <n v="8"/>
    <n v="8"/>
    <n v="8"/>
    <n v="8"/>
    <m/>
    <m/>
    <m/>
    <n v="50"/>
    <n v="0"/>
    <s v="CENTER ST(PHIL)/VI"/>
    <n v="4"/>
    <x v="4"/>
    <n v="5500"/>
    <m/>
    <n v="0"/>
    <x v="6"/>
  </r>
  <r>
    <s v=""/>
    <x v="1082"/>
    <s v="COUNTRY TRAIL(E)"/>
    <s v="BoMar Manor"/>
    <x v="73"/>
    <x v="167"/>
    <n v="369"/>
    <n v="26"/>
    <s v="NC"/>
    <s v="BW"/>
    <n v="0"/>
    <n v="7"/>
    <n v="7"/>
    <n v="7"/>
    <n v="7"/>
    <n v="7"/>
    <n v="7"/>
    <n v="6"/>
    <n v="6"/>
    <n v="7"/>
    <n v="7"/>
    <m/>
    <m/>
    <m/>
    <n v="50"/>
    <n v="0"/>
    <s v="COUNTRY TRAIL(E)"/>
    <n v="3"/>
    <x v="4"/>
    <n v="7687.5"/>
    <m/>
    <n v="0"/>
    <x v="6"/>
  </r>
  <r>
    <s v="SC14"/>
    <x v="1083"/>
    <s v="STINEMYER RD/550W"/>
    <m/>
    <x v="119"/>
    <x v="34"/>
    <n v="2520"/>
    <n v="20"/>
    <s v="AC"/>
    <s v="SC"/>
    <n v="0"/>
    <n v="8"/>
    <n v="8"/>
    <n v="7"/>
    <n v="7"/>
    <n v="7"/>
    <n v="7"/>
    <n v="7"/>
    <n v="7"/>
    <n v="7"/>
    <n v="7"/>
    <n v="2024"/>
    <n v="2021"/>
    <s v="Y"/>
    <n v="521"/>
    <n v="0.5"/>
    <s v="STINEMEYER RD"/>
    <n v="3.5"/>
    <x v="0"/>
    <n v="10022.727272727272"/>
    <m/>
    <n v="0"/>
    <x v="4"/>
  </r>
  <r>
    <s v="SC13"/>
    <x v="1084"/>
    <s v="STINEMYER RD/600W"/>
    <m/>
    <x v="43"/>
    <x v="216"/>
    <n v="2720"/>
    <n v="20"/>
    <s v="AC"/>
    <s v="SC"/>
    <n v="0"/>
    <n v="8"/>
    <n v="7"/>
    <n v="7"/>
    <n v="7"/>
    <n v="7"/>
    <n v="7"/>
    <n v="8"/>
    <n v="7"/>
    <n v="6"/>
    <n v="7"/>
    <n v="2024"/>
    <n v="2021"/>
    <s v="Y"/>
    <n v="587"/>
    <n v="0.5"/>
    <s v="STINEMEYER RD"/>
    <n v="3.5"/>
    <x v="4"/>
    <n v="56666.666666666664"/>
    <n v="1"/>
    <n v="56666.666666666664"/>
    <x v="3"/>
  </r>
  <r>
    <s v="BW27"/>
    <x v="1085"/>
    <s v="300S/SR9"/>
    <m/>
    <x v="41"/>
    <x v="79"/>
    <n v="5350"/>
    <n v="20"/>
    <s v="AC"/>
    <s v="BW"/>
    <n v="0"/>
    <n v="7"/>
    <n v="7"/>
    <n v="7"/>
    <n v="7"/>
    <n v="7"/>
    <n v="7"/>
    <n v="6"/>
    <n v="6"/>
    <n v="6"/>
    <n v="7"/>
    <n v="2024"/>
    <m/>
    <s v="N"/>
    <n v="975"/>
    <n v="0.5"/>
    <s v="300S"/>
    <n v="3.5"/>
    <x v="3"/>
    <n v="46609.848484848488"/>
    <m/>
    <n v="0"/>
    <x v="6"/>
  </r>
  <r>
    <s v="BC30"/>
    <x v="1086"/>
    <s v="400N/600W"/>
    <m/>
    <x v="33"/>
    <x v="34"/>
    <n v="5390"/>
    <n v="20"/>
    <s v="AC"/>
    <s v="BC"/>
    <n v="0"/>
    <n v="4"/>
    <n v="8"/>
    <n v="8"/>
    <n v="8"/>
    <n v="7"/>
    <n v="7"/>
    <n v="7"/>
    <n v="6"/>
    <n v="6"/>
    <n v="6"/>
    <m/>
    <m/>
    <m/>
    <n v="785"/>
    <n v="0.5"/>
    <s v="400N"/>
    <n v="3.5"/>
    <x v="3"/>
    <n v="46958.333333333336"/>
    <m/>
    <n v="0"/>
    <x v="6"/>
  </r>
  <r>
    <s v="C34"/>
    <x v="1087"/>
    <s v="400N/SR9"/>
    <m/>
    <x v="21"/>
    <x v="45"/>
    <n v="5790"/>
    <n v="20"/>
    <s v="AC"/>
    <s v="C"/>
    <n v="0"/>
    <n v="8"/>
    <n v="7"/>
    <n v="7"/>
    <n v="7"/>
    <n v="7"/>
    <n v="7"/>
    <n v="6"/>
    <n v="6"/>
    <n v="6"/>
    <n v="6"/>
    <n v="2024"/>
    <n v="2021"/>
    <s v="Y"/>
    <n v="677"/>
    <n v="0.5"/>
    <s v="400N"/>
    <n v="3.5"/>
    <x v="3"/>
    <n v="50443.181818181816"/>
    <m/>
    <n v="0"/>
    <x v="6"/>
  </r>
  <r>
    <s v=""/>
    <x v="1088"/>
    <s v="STONE WAY(S)"/>
    <s v="Countryside"/>
    <x v="15"/>
    <x v="154"/>
    <n v="441"/>
    <n v="26"/>
    <s v="NC"/>
    <s v="SC"/>
    <n v="0"/>
    <n v="7"/>
    <n v="8"/>
    <n v="8"/>
    <n v="8"/>
    <n v="8"/>
    <n v="8"/>
    <n v="8"/>
    <n v="7"/>
    <n v="7"/>
    <n v="7"/>
    <m/>
    <m/>
    <m/>
    <n v="515"/>
    <n v="0.5"/>
    <s v="STONE WAY(S)"/>
    <n v="2.5"/>
    <x v="9"/>
    <n v="208.80681818181819"/>
    <m/>
    <n v="0"/>
    <x v="3"/>
  </r>
  <r>
    <s v=""/>
    <x v="1089"/>
    <s v="STONE WAY(W)"/>
    <s v="Countryside"/>
    <x v="15"/>
    <x v="154"/>
    <n v="932"/>
    <n v="26"/>
    <s v="NC"/>
    <s v="SC"/>
    <n v="0"/>
    <n v="7"/>
    <n v="8"/>
    <n v="8"/>
    <n v="8"/>
    <n v="8"/>
    <n v="8"/>
    <n v="8"/>
    <n v="7"/>
    <n v="7"/>
    <n v="7"/>
    <m/>
    <m/>
    <m/>
    <n v="515"/>
    <n v="0.5"/>
    <s v="STONE WAY(W)"/>
    <n v="2.5"/>
    <x v="9"/>
    <n v="441.28787878787881"/>
    <m/>
    <n v="0"/>
    <x v="3"/>
  </r>
  <r>
    <s v=""/>
    <x v="1090"/>
    <s v="STONEHAVEN LANE(W)"/>
    <s v="Countryside"/>
    <x v="15"/>
    <x v="154"/>
    <n v="3775"/>
    <n v="26"/>
    <s v="NC"/>
    <s v="SC"/>
    <n v="0"/>
    <n v="7"/>
    <n v="8"/>
    <n v="7"/>
    <n v="6"/>
    <n v="7"/>
    <n v="8"/>
    <n v="8"/>
    <n v="7"/>
    <n v="7"/>
    <n v="7"/>
    <m/>
    <m/>
    <m/>
    <n v="515"/>
    <n v="0.5"/>
    <s v="STONEHAVEN LANE"/>
    <n v="3.5"/>
    <x v="9"/>
    <n v="1787.405303030303"/>
    <m/>
    <n v="0"/>
    <x v="3"/>
  </r>
  <r>
    <s v=""/>
    <x v="1091"/>
    <s v="STONER"/>
    <s v="Mt. Comfort Commercial Park"/>
    <x v="164"/>
    <x v="217"/>
    <n v="1901"/>
    <n v="26"/>
    <s v="NC"/>
    <s v="BC"/>
    <n v="0"/>
    <n v="7"/>
    <n v="7"/>
    <n v="7"/>
    <n v="7"/>
    <n v="6"/>
    <n v="8"/>
    <n v="8"/>
    <n v="7"/>
    <n v="7"/>
    <n v="7"/>
    <m/>
    <m/>
    <m/>
    <n v="50"/>
    <n v="0"/>
    <s v="STONER"/>
    <n v="4"/>
    <x v="7"/>
    <n v="9000.94696969697"/>
    <m/>
    <n v="0"/>
    <x v="4"/>
  </r>
  <r>
    <s v=""/>
    <x v="1092"/>
    <s v="STONY RIDGE COURT"/>
    <s v="Countryside"/>
    <x v="15"/>
    <x v="154"/>
    <n v="264"/>
    <n v="26"/>
    <s v="NC"/>
    <s v="SC"/>
    <n v="0"/>
    <n v="7"/>
    <n v="8"/>
    <n v="7"/>
    <n v="7"/>
    <n v="7"/>
    <n v="7"/>
    <n v="7"/>
    <n v="7"/>
    <n v="7"/>
    <n v="7"/>
    <m/>
    <m/>
    <m/>
    <n v="515"/>
    <n v="0.5"/>
    <s v="STONY RIDGE COURT"/>
    <n v="3.5"/>
    <x v="9"/>
    <n v="125"/>
    <m/>
    <n v="0"/>
    <x v="3"/>
  </r>
  <r>
    <s v=""/>
    <x v="1093"/>
    <s v="STRAHL DRIVE(N)"/>
    <s v="Cranberry Lake Estates"/>
    <x v="31"/>
    <x v="133"/>
    <n v="1478"/>
    <n v="26"/>
    <s v="NC"/>
    <s v="C"/>
    <n v="0"/>
    <n v="7"/>
    <n v="7"/>
    <n v="7"/>
    <n v="6"/>
    <n v="7"/>
    <n v="7"/>
    <n v="6"/>
    <n v="6"/>
    <n v="6"/>
    <n v="6"/>
    <m/>
    <m/>
    <m/>
    <n v="50"/>
    <n v="0"/>
    <s v="STRAHL DRIVE(N)"/>
    <n v="3"/>
    <x v="3"/>
    <n v="12876.515151515152"/>
    <m/>
    <n v="0"/>
    <x v="0"/>
  </r>
  <r>
    <s v=""/>
    <x v="1094"/>
    <s v="SUGAR BEND RUN (N)"/>
    <s v="Sugar Creek Valley Estates"/>
    <x v="161"/>
    <x v="163"/>
    <n v="1056"/>
    <n v="26"/>
    <s v="NC"/>
    <s v="BC"/>
    <n v="0"/>
    <n v="7"/>
    <n v="7"/>
    <n v="7"/>
    <n v="7"/>
    <n v="7"/>
    <n v="8"/>
    <n v="8"/>
    <n v="7"/>
    <n v="7"/>
    <n v="7"/>
    <m/>
    <m/>
    <m/>
    <n v="50"/>
    <n v="0"/>
    <s v="SUGAR BEND RUN (N)"/>
    <n v="3"/>
    <x v="9"/>
    <n v="8541.8700000000008"/>
    <m/>
    <n v="0"/>
    <x v="3"/>
  </r>
  <r>
    <s v="SC92"/>
    <x v="1095"/>
    <s v="400W/100S"/>
    <m/>
    <x v="62"/>
    <x v="63"/>
    <n v="5340"/>
    <n v="20"/>
    <s v="AC"/>
    <s v="SC"/>
    <n v="0"/>
    <n v="7"/>
    <n v="10"/>
    <n v="9"/>
    <n v="9"/>
    <n v="9"/>
    <n v="8"/>
    <n v="8"/>
    <n v="8"/>
    <n v="7"/>
    <n v="7"/>
    <n v="2023"/>
    <n v="2023"/>
    <s v="Y"/>
    <n v="514"/>
    <n v="0.5"/>
    <s v="400W"/>
    <n v="1.5"/>
    <x v="3"/>
    <n v="46522.727272727272"/>
    <m/>
    <n v="0"/>
    <x v="6"/>
  </r>
  <r>
    <s v=""/>
    <x v="1096"/>
    <s v="SUGAR HILLS CT"/>
    <s v="Sugar Hills"/>
    <x v="157"/>
    <x v="218"/>
    <n v="475"/>
    <n v="26"/>
    <s v="NC"/>
    <s v="C"/>
    <n v="0"/>
    <n v="7"/>
    <n v="7"/>
    <n v="7"/>
    <n v="6"/>
    <n v="6"/>
    <n v="6"/>
    <n v="6"/>
    <n v="6"/>
    <n v="6"/>
    <n v="6"/>
    <m/>
    <m/>
    <m/>
    <n v="50"/>
    <n v="0"/>
    <s v="SUGAR HILLS CT"/>
    <n v="4"/>
    <x v="7"/>
    <n v="2249.0530303030305"/>
    <m/>
    <n v="0"/>
    <x v="4"/>
  </r>
  <r>
    <s v=""/>
    <x v="1097"/>
    <s v="SUGAR HILLS DR"/>
    <s v="Sugar Hills"/>
    <x v="157"/>
    <x v="218"/>
    <n v="4224"/>
    <n v="26"/>
    <s v="NC"/>
    <s v="C"/>
    <n v="0"/>
    <n v="7"/>
    <n v="8"/>
    <n v="8"/>
    <n v="8"/>
    <n v="8"/>
    <n v="7"/>
    <n v="7"/>
    <n v="7"/>
    <n v="7"/>
    <n v="7"/>
    <m/>
    <m/>
    <m/>
    <n v="50"/>
    <n v="0"/>
    <s v="SUGAR HILLS DR"/>
    <n v="2"/>
    <x v="7"/>
    <n v="20000"/>
    <m/>
    <n v="0"/>
    <x v="4"/>
  </r>
  <r>
    <s v=""/>
    <x v="1098"/>
    <s v="SUMMERFIELD DR(N)"/>
    <s v="Summerfield"/>
    <x v="180"/>
    <x v="190"/>
    <n v="1003"/>
    <n v="26"/>
    <s v="NC"/>
    <s v="BC"/>
    <n v="0"/>
    <n v="8"/>
    <n v="8"/>
    <n v="8"/>
    <n v="8"/>
    <n v="7"/>
    <n v="8"/>
    <n v="7"/>
    <n v="7"/>
    <n v="7"/>
    <n v="7"/>
    <m/>
    <m/>
    <m/>
    <n v="50"/>
    <n v="0"/>
    <s v="SUMMERFIELD DR(N)"/>
    <n v="3"/>
    <x v="9"/>
    <n v="8113"/>
    <m/>
    <n v="0"/>
    <x v="3"/>
  </r>
  <r>
    <s v=""/>
    <x v="1099"/>
    <s v="SUMMERHAVEN COURT"/>
    <s v="Summerhaven"/>
    <x v="141"/>
    <x v="139"/>
    <n v="528"/>
    <n v="26"/>
    <s v="NC"/>
    <s v="SC"/>
    <n v="0"/>
    <n v="8"/>
    <n v="8"/>
    <n v="8"/>
    <n v="8"/>
    <n v="8"/>
    <n v="8"/>
    <n v="8"/>
    <n v="8"/>
    <n v="8"/>
    <n v="7"/>
    <m/>
    <m/>
    <m/>
    <n v="2144"/>
    <n v="1"/>
    <s v="SUMMERHAVEN COURT"/>
    <n v="3"/>
    <x v="7"/>
    <n v="2500"/>
    <m/>
    <n v="0"/>
    <x v="4"/>
  </r>
  <r>
    <m/>
    <x v="1100"/>
    <s v="SUMMERHAVEN DRIVE"/>
    <s v="Summerhaven"/>
    <x v="141"/>
    <x v="139"/>
    <n v="1003"/>
    <n v="26"/>
    <s v="NC"/>
    <s v="SC"/>
    <n v="0"/>
    <m/>
    <n v="7"/>
    <n v="7"/>
    <n v="7"/>
    <n v="7"/>
    <n v="7"/>
    <n v="7"/>
    <n v="7"/>
    <n v="7"/>
    <n v="7"/>
    <m/>
    <m/>
    <m/>
    <n v="2144"/>
    <n v="1"/>
    <s v="SUMMERHAVEN DRIVE"/>
    <n v="4"/>
    <x v="7"/>
    <n v="4749.05303030303"/>
    <m/>
    <n v="0"/>
    <x v="4"/>
  </r>
  <r>
    <s v=""/>
    <x v="1101"/>
    <s v="SUN CLOUD DR (W)"/>
    <s v="Willow Grove"/>
    <x v="102"/>
    <x v="172"/>
    <n v="845"/>
    <n v="26"/>
    <s v="NC"/>
    <s v="SC"/>
    <n v="0"/>
    <n v="8"/>
    <n v="7"/>
    <n v="7"/>
    <n v="7"/>
    <n v="7"/>
    <n v="7"/>
    <n v="7"/>
    <n v="7"/>
    <n v="7"/>
    <n v="7"/>
    <m/>
    <m/>
    <m/>
    <n v="888"/>
    <n v="0.5"/>
    <s v="SUN CLOUD DR (W)"/>
    <n v="3.5"/>
    <x v="7"/>
    <n v="4000.9469696969695"/>
    <m/>
    <n v="0"/>
    <x v="5"/>
  </r>
  <r>
    <s v=""/>
    <x v="1102"/>
    <s v="SUN RISE CT"/>
    <s v="Sun Ridge Estates"/>
    <x v="188"/>
    <x v="181"/>
    <n v="739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SUN RISE CT"/>
    <n v="3"/>
    <x v="7"/>
    <n v="3499.0530303030305"/>
    <m/>
    <n v="0"/>
    <x v="4"/>
  </r>
  <r>
    <s v=""/>
    <x v="1103"/>
    <s v="SUN RISE DR"/>
    <s v="Sun Ridge Estates"/>
    <x v="188"/>
    <x v="181"/>
    <n v="2957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SUN RISE DR"/>
    <n v="3"/>
    <x v="7"/>
    <n v="14000.94696969697"/>
    <m/>
    <n v="0"/>
    <x v="4"/>
  </r>
  <r>
    <s v=""/>
    <x v="1104"/>
    <s v="SUNSET COURT"/>
    <s v="Sunset Manor"/>
    <x v="180"/>
    <x v="160"/>
    <n v="211"/>
    <n v="26"/>
    <s v="NC"/>
    <s v="BC"/>
    <n v="0"/>
    <n v="7"/>
    <n v="6"/>
    <n v="6"/>
    <n v="6"/>
    <n v="6"/>
    <n v="8"/>
    <n v="7"/>
    <n v="7"/>
    <n v="7"/>
    <n v="7"/>
    <m/>
    <m/>
    <m/>
    <n v="278"/>
    <n v="0"/>
    <s v="SUNSET COURT"/>
    <n v="4"/>
    <x v="10"/>
    <n v="2997.159090909091"/>
    <m/>
    <n v="0"/>
    <x v="3"/>
  </r>
  <r>
    <s v=""/>
    <x v="1105"/>
    <s v="SUNSET DRIVE NORTH"/>
    <s v="Sunset Manor"/>
    <x v="180"/>
    <x v="160"/>
    <n v="1531"/>
    <n v="26"/>
    <s v="NC"/>
    <s v="BC"/>
    <n v="0"/>
    <n v="7"/>
    <n v="6"/>
    <n v="6"/>
    <n v="6"/>
    <n v="6"/>
    <n v="6"/>
    <n v="6"/>
    <n v="7"/>
    <n v="7"/>
    <n v="7"/>
    <m/>
    <m/>
    <m/>
    <n v="278"/>
    <n v="0"/>
    <s v="SUNSET DRIVE NORTH"/>
    <n v="4"/>
    <x v="10"/>
    <n v="21747.159090909092"/>
    <m/>
    <n v="0"/>
    <x v="3"/>
  </r>
  <r>
    <s v=""/>
    <x v="1106"/>
    <s v="SUNSET DRIVE SOUTH"/>
    <s v="Sunset Manor"/>
    <x v="180"/>
    <x v="160"/>
    <n v="1584"/>
    <n v="26"/>
    <s v="NC"/>
    <s v="BC"/>
    <n v="0"/>
    <n v="7"/>
    <n v="7"/>
    <n v="7"/>
    <n v="7"/>
    <n v="7"/>
    <n v="7"/>
    <n v="7"/>
    <n v="7"/>
    <n v="7"/>
    <n v="7"/>
    <m/>
    <m/>
    <m/>
    <n v="278"/>
    <n v="0"/>
    <s v="SUNSET DRIVE SOUTH"/>
    <n v="3"/>
    <x v="10"/>
    <n v="22500"/>
    <m/>
    <n v="0"/>
    <x v="3"/>
  </r>
  <r>
    <s v=""/>
    <x v="1107"/>
    <s v="SUNSHINE DRIVE"/>
    <s v="Philly Estates"/>
    <x v="172"/>
    <x v="213"/>
    <n v="528"/>
    <n v="26"/>
    <s v="NC"/>
    <s v="SC"/>
    <n v="0"/>
    <n v="7"/>
    <n v="8"/>
    <n v="8"/>
    <n v="7"/>
    <n v="7"/>
    <n v="8"/>
    <n v="7"/>
    <n v="7"/>
    <n v="7"/>
    <n v="7"/>
    <m/>
    <m/>
    <m/>
    <n v="50"/>
    <n v="0"/>
    <s v="SUNSHINE DRIVE"/>
    <n v="3"/>
    <x v="7"/>
    <n v="2500"/>
    <m/>
    <n v="0"/>
    <x v="4"/>
  </r>
  <r>
    <s v=""/>
    <x v="1108"/>
    <s v="SURREY CT WEST"/>
    <s v="Schildmeier Village"/>
    <x v="102"/>
    <x v="152"/>
    <n v="317"/>
    <n v="26"/>
    <s v="NC"/>
    <s v="SC"/>
    <n v="0"/>
    <n v="7"/>
    <n v="8"/>
    <n v="8"/>
    <n v="8"/>
    <n v="8"/>
    <n v="7"/>
    <n v="7"/>
    <n v="8"/>
    <n v="7"/>
    <n v="7"/>
    <m/>
    <m/>
    <m/>
    <n v="1074"/>
    <n v="0.5"/>
    <s v="SURREY CT WEST"/>
    <n v="2.5"/>
    <x v="5"/>
    <n v="4803.030303030303"/>
    <n v="1"/>
    <n v="4803.030303030303"/>
    <x v="3"/>
  </r>
  <r>
    <s v=""/>
    <x v="1109"/>
    <s v="SURREY LANE SOUTH"/>
    <s v="Schildmeier Village"/>
    <x v="102"/>
    <x v="152"/>
    <n v="528"/>
    <n v="26"/>
    <s v="NC"/>
    <s v="SC"/>
    <n v="0"/>
    <n v="7"/>
    <n v="8"/>
    <n v="8"/>
    <n v="8"/>
    <n v="8"/>
    <n v="7"/>
    <n v="7"/>
    <n v="8"/>
    <n v="7"/>
    <n v="7"/>
    <m/>
    <m/>
    <m/>
    <n v="1074"/>
    <n v="0.5"/>
    <s v="SURREY LANE SOUTH"/>
    <n v="2.5"/>
    <x v="5"/>
    <n v="8000"/>
    <n v="1"/>
    <n v="8000"/>
    <x v="3"/>
  </r>
  <r>
    <s v=""/>
    <x v="1110"/>
    <s v="SWEET CREEK DRIVE"/>
    <s v="Sweet Creek Woods"/>
    <x v="171"/>
    <x v="219"/>
    <n v="2746"/>
    <n v="26"/>
    <s v="NC"/>
    <s v="SC"/>
    <n v="0"/>
    <n v="6"/>
    <n v="5"/>
    <n v="5"/>
    <n v="5"/>
    <n v="9"/>
    <n v="8"/>
    <n v="8"/>
    <n v="8"/>
    <n v="7"/>
    <n v="7"/>
    <m/>
    <m/>
    <m/>
    <n v="233"/>
    <n v="0"/>
    <s v="SWEET CREEK DRIVE"/>
    <n v="1"/>
    <x v="7"/>
    <n v="13001.89393939394"/>
    <m/>
    <n v="0"/>
    <x v="4"/>
  </r>
  <r>
    <s v=""/>
    <x v="1111"/>
    <s v="SYCAMORE CT"/>
    <s v="Timberbrook Estates"/>
    <x v="200"/>
    <x v="160"/>
    <n v="528"/>
    <n v="26"/>
    <s v="NC"/>
    <s v="BC"/>
    <n v="0"/>
    <n v="7"/>
    <n v="5"/>
    <n v="10"/>
    <n v="9"/>
    <n v="8"/>
    <n v="7"/>
    <n v="7"/>
    <n v="7"/>
    <n v="7"/>
    <n v="7"/>
    <m/>
    <m/>
    <m/>
    <n v="50"/>
    <n v="0"/>
    <s v="SYCAMORE CT"/>
    <n v="2"/>
    <x v="7"/>
    <n v="2500"/>
    <m/>
    <n v="0"/>
    <x v="4"/>
  </r>
  <r>
    <s v=""/>
    <x v="1112"/>
    <s v="SYCAMORE DRIVE"/>
    <s v="Hamilton Heights"/>
    <x v="161"/>
    <x v="139"/>
    <n v="3221"/>
    <n v="26"/>
    <s v="NC"/>
    <s v="SC"/>
    <n v="0"/>
    <n v="7"/>
    <n v="7"/>
    <n v="7"/>
    <n v="8"/>
    <n v="8"/>
    <n v="7"/>
    <n v="7"/>
    <n v="7"/>
    <n v="7"/>
    <n v="7"/>
    <m/>
    <m/>
    <m/>
    <n v="240"/>
    <n v="0"/>
    <s v="SYCAMORE DRIVE"/>
    <n v="2"/>
    <x v="7"/>
    <n v="15250.94696969697"/>
    <m/>
    <n v="0"/>
    <x v="4"/>
  </r>
  <r>
    <s v="BW37"/>
    <x v="1113"/>
    <s v="100W/400S"/>
    <m/>
    <x v="10"/>
    <x v="91"/>
    <n v="5350"/>
    <n v="20"/>
    <s v="AC"/>
    <s v="BW"/>
    <n v="0"/>
    <n v="8"/>
    <n v="6"/>
    <n v="7"/>
    <n v="7"/>
    <n v="7"/>
    <n v="6"/>
    <n v="6"/>
    <n v="6"/>
    <n v="7"/>
    <n v="7"/>
    <m/>
    <m/>
    <m/>
    <n v="473"/>
    <n v="0"/>
    <s v="100W"/>
    <n v="3"/>
    <x v="3"/>
    <n v="46609.848484848488"/>
    <m/>
    <n v="0"/>
    <x v="6"/>
  </r>
  <r>
    <s v=""/>
    <x v="1114"/>
    <s v="THEODORE LANE"/>
    <s v="New Palestine Village"/>
    <x v="159"/>
    <x v="143"/>
    <n v="264"/>
    <n v="26"/>
    <s v="NC"/>
    <s v="SC"/>
    <n v="0"/>
    <n v="7"/>
    <n v="6"/>
    <n v="6"/>
    <n v="9"/>
    <n v="9"/>
    <n v="8"/>
    <n v="8"/>
    <n v="7"/>
    <n v="7"/>
    <n v="7"/>
    <m/>
    <m/>
    <m/>
    <n v="155"/>
    <n v="0"/>
    <s v="THEODORE LANE"/>
    <n v="1"/>
    <x v="5"/>
    <n v="4000"/>
    <m/>
    <n v="0"/>
    <x v="5"/>
  </r>
  <r>
    <s v=""/>
    <x v="1115"/>
    <s v="THIRD ST(WILL BRA)"/>
    <s v="Willow Branch"/>
    <x v="146"/>
    <x v="210"/>
    <n v="288"/>
    <n v="20"/>
    <s v="AC"/>
    <s v="B"/>
    <n v="0"/>
    <n v="6"/>
    <n v="6"/>
    <n v="6"/>
    <n v="5"/>
    <n v="5"/>
    <n v="9"/>
    <n v="8"/>
    <n v="8"/>
    <n v="7"/>
    <n v="7"/>
    <m/>
    <m/>
    <m/>
    <n v="50"/>
    <n v="0"/>
    <s v="THIRD ST(WILL BRA)"/>
    <n v="5"/>
    <x v="0"/>
    <n v="1145.4545454545455"/>
    <m/>
    <n v="0"/>
    <x v="3"/>
  </r>
  <r>
    <s v="G37"/>
    <x v="1116"/>
    <s v="1000N/500E"/>
    <m/>
    <x v="32"/>
    <x v="73"/>
    <n v="5438"/>
    <n v="20"/>
    <s v="AC"/>
    <s v="G"/>
    <n v="0"/>
    <n v="7"/>
    <n v="7"/>
    <n v="7"/>
    <n v="7"/>
    <n v="7"/>
    <n v="6"/>
    <n v="6"/>
    <n v="6"/>
    <n v="6"/>
    <n v="6"/>
    <n v="2022"/>
    <n v="2022"/>
    <s v="Y"/>
    <n v="324"/>
    <n v="0"/>
    <s v="1000N"/>
    <n v="3"/>
    <x v="3"/>
    <n v="47376.515151515152"/>
    <m/>
    <n v="0"/>
    <x v="6"/>
  </r>
  <r>
    <s v=""/>
    <x v="1117"/>
    <s v="THOMAS COURT"/>
    <s v="Little Brandywine"/>
    <x v="76"/>
    <x v="161"/>
    <n v="419"/>
    <n v="26"/>
    <s v="NC"/>
    <s v="C"/>
    <n v="0"/>
    <n v="7"/>
    <n v="10"/>
    <n v="10"/>
    <n v="9"/>
    <n v="9"/>
    <n v="8"/>
    <n v="8"/>
    <n v="7"/>
    <n v="7"/>
    <n v="7"/>
    <m/>
    <m/>
    <m/>
    <n v="50"/>
    <n v="0"/>
    <s v="THOMAS COURT"/>
    <n v="1"/>
    <x v="7"/>
    <n v="1983.9015151515152"/>
    <m/>
    <n v="0"/>
    <x v="4"/>
  </r>
  <r>
    <s v="B42"/>
    <x v="1118"/>
    <s v="THOMAS RD./SR234"/>
    <m/>
    <x v="7"/>
    <x v="5"/>
    <n v="8725"/>
    <n v="20"/>
    <s v="AC"/>
    <s v="B"/>
    <n v="0"/>
    <n v="6"/>
    <n v="6"/>
    <n v="6"/>
    <n v="5"/>
    <n v="5"/>
    <n v="9"/>
    <n v="8"/>
    <n v="7"/>
    <n v="7"/>
    <n v="7"/>
    <m/>
    <m/>
    <m/>
    <n v="68"/>
    <n v="0"/>
    <s v="THOMAS RD."/>
    <n v="5"/>
    <x v="2"/>
    <n v="52878.78787878788"/>
    <n v="1"/>
    <n v="52878.78787878788"/>
    <x v="3"/>
  </r>
  <r>
    <s v=""/>
    <x v="1119"/>
    <s v="THOMAS ST(WILL BR)"/>
    <s v="Willow Branch"/>
    <x v="205"/>
    <x v="220"/>
    <n v="539"/>
    <n v="20"/>
    <s v="AC"/>
    <s v="B"/>
    <n v="0"/>
    <n v="6"/>
    <n v="6"/>
    <n v="6"/>
    <n v="5"/>
    <n v="5"/>
    <n v="9"/>
    <n v="8"/>
    <n v="8"/>
    <n v="7"/>
    <n v="7"/>
    <m/>
    <m/>
    <m/>
    <n v="50"/>
    <n v="0"/>
    <s v="THOMAS ST."/>
    <n v="5"/>
    <x v="0"/>
    <n v="2143.75"/>
    <m/>
    <n v="0"/>
    <x v="3"/>
  </r>
  <r>
    <s v=""/>
    <x v="1120"/>
    <s v="TIMBER DRIVE"/>
    <s v="Doe Creek Manor"/>
    <x v="102"/>
    <x v="219"/>
    <n v="1267"/>
    <n v="26"/>
    <s v="NC"/>
    <s v="SC"/>
    <n v="0"/>
    <n v="6"/>
    <n v="6"/>
    <n v="6"/>
    <n v="5"/>
    <n v="9"/>
    <n v="8"/>
    <n v="8"/>
    <n v="7"/>
    <n v="7"/>
    <n v="8"/>
    <m/>
    <m/>
    <m/>
    <n v="169"/>
    <n v="0"/>
    <s v="TIMBER DRIVE"/>
    <n v="1"/>
    <x v="7"/>
    <n v="5999.05303030303"/>
    <m/>
    <n v="0"/>
    <x v="4"/>
  </r>
  <r>
    <s v=""/>
    <x v="1121"/>
    <s v="TOMKE DRIVE"/>
    <s v="Glad Acres"/>
    <x v="15"/>
    <x v="17"/>
    <n v="422"/>
    <n v="26"/>
    <s v="NC"/>
    <s v="SC"/>
    <n v="0"/>
    <n v="7"/>
    <n v="8"/>
    <n v="8"/>
    <n v="8"/>
    <n v="8"/>
    <n v="8"/>
    <n v="7"/>
    <n v="7"/>
    <n v="7"/>
    <n v="7"/>
    <m/>
    <m/>
    <m/>
    <n v="114"/>
    <n v="0"/>
    <s v="TOMKE DRIVE"/>
    <n v="2"/>
    <x v="7"/>
    <n v="1998.1060606060605"/>
    <m/>
    <n v="0"/>
    <x v="4"/>
  </r>
  <r>
    <s v="G57"/>
    <x v="1122"/>
    <s v="TROY RD./900N"/>
    <m/>
    <x v="206"/>
    <x v="88"/>
    <n v="5332"/>
    <n v="20"/>
    <s v="CS"/>
    <s v="G"/>
    <n v="0"/>
    <n v="7"/>
    <n v="4"/>
    <n v="8"/>
    <n v="9"/>
    <n v="7"/>
    <n v="7"/>
    <n v="7"/>
    <n v="7"/>
    <n v="7"/>
    <n v="7"/>
    <m/>
    <m/>
    <m/>
    <n v="57"/>
    <n v="0"/>
    <s v="TROY RD."/>
    <n v="3"/>
    <x v="0"/>
    <n v="21206.81818181818"/>
    <m/>
    <n v="0"/>
    <x v="2"/>
  </r>
  <r>
    <s v="G56"/>
    <x v="1123"/>
    <s v="TROY RD./EDEN RD"/>
    <m/>
    <x v="7"/>
    <x v="85"/>
    <n v="725"/>
    <n v="20"/>
    <s v="AC"/>
    <s v="G"/>
    <n v="0"/>
    <n v="8"/>
    <n v="6"/>
    <n v="8"/>
    <n v="7"/>
    <n v="6"/>
    <n v="6"/>
    <n v="6"/>
    <n v="6"/>
    <n v="8"/>
    <n v="8"/>
    <m/>
    <m/>
    <m/>
    <n v="123"/>
    <n v="0"/>
    <s v="TROY RD."/>
    <n v="4"/>
    <x v="0"/>
    <n v="2883.5227272727275"/>
    <m/>
    <n v="0"/>
    <x v="5"/>
  </r>
  <r>
    <s v="G55"/>
    <x v="1124"/>
    <s v="TROY RD./SR234"/>
    <m/>
    <x v="7"/>
    <x v="82"/>
    <n v="5300"/>
    <n v="20"/>
    <s v="P"/>
    <s v="G"/>
    <n v="0"/>
    <n v="4"/>
    <n v="3"/>
    <n v="10"/>
    <n v="9"/>
    <n v="9"/>
    <n v="8"/>
    <n v="8"/>
    <n v="8"/>
    <n v="7"/>
    <n v="7"/>
    <m/>
    <m/>
    <m/>
    <n v="97"/>
    <n v="0"/>
    <s v="TROY RD."/>
    <n v="1"/>
    <x v="0"/>
    <n v="21079.545454545456"/>
    <m/>
    <n v="0"/>
    <x v="5"/>
  </r>
  <r>
    <s v=""/>
    <x v="1125"/>
    <s v="TULIP TREE DRIVE"/>
    <s v="Hickory Woods"/>
    <x v="179"/>
    <x v="189"/>
    <n v="1320"/>
    <n v="26"/>
    <s v="NC"/>
    <s v="BC"/>
    <n v="0"/>
    <n v="7"/>
    <n v="7"/>
    <n v="7"/>
    <n v="6"/>
    <n v="9"/>
    <n v="9"/>
    <n v="8"/>
    <n v="7"/>
    <n v="7"/>
    <n v="7"/>
    <m/>
    <m/>
    <m/>
    <n v="50"/>
    <n v="0"/>
    <s v="TULIP TREE DRIVE"/>
    <n v="1"/>
    <x v="7"/>
    <n v="6250"/>
    <m/>
    <n v="0"/>
    <x v="4"/>
  </r>
  <r>
    <s v=""/>
    <x v="1126"/>
    <s v="TUMBLEWEED COURT(W)"/>
    <s v="Countryside"/>
    <x v="15"/>
    <x v="154"/>
    <n v="438"/>
    <n v="26"/>
    <s v="NC"/>
    <s v="SC"/>
    <n v="0"/>
    <n v="7"/>
    <n v="8"/>
    <n v="8"/>
    <n v="8"/>
    <n v="8"/>
    <n v="8"/>
    <n v="7"/>
    <n v="7"/>
    <n v="7"/>
    <n v="7"/>
    <m/>
    <m/>
    <m/>
    <n v="433"/>
    <n v="0"/>
    <s v="TUMBLEWEED COURT(W)"/>
    <n v="2"/>
    <x v="9"/>
    <n v="207.38636363636363"/>
    <m/>
    <n v="0"/>
    <x v="3"/>
  </r>
  <r>
    <s v=""/>
    <x v="1127"/>
    <s v="TUMBLEWEED DRIVE(S)"/>
    <s v="Countryside"/>
    <x v="15"/>
    <x v="154"/>
    <n v="1320"/>
    <n v="26"/>
    <s v="NC"/>
    <s v="SC"/>
    <n v="0"/>
    <n v="7"/>
    <n v="8"/>
    <n v="8"/>
    <n v="8"/>
    <n v="7"/>
    <n v="7"/>
    <n v="7"/>
    <n v="7"/>
    <n v="7"/>
    <n v="7"/>
    <m/>
    <m/>
    <m/>
    <n v="433"/>
    <n v="0"/>
    <s v="TUMBLEWEED DRIVE(S)"/>
    <n v="3"/>
    <x v="9"/>
    <n v="625"/>
    <m/>
    <n v="0"/>
    <x v="3"/>
  </r>
  <r>
    <s v=""/>
    <x v="1128"/>
    <s v="TWIN OAK BLVD (E)"/>
    <s v="Twin Oaks"/>
    <x v="73"/>
    <x v="142"/>
    <n v="528"/>
    <n v="26"/>
    <s v="NC"/>
    <s v="C"/>
    <n v="0"/>
    <n v="7"/>
    <n v="8"/>
    <n v="8"/>
    <n v="8"/>
    <n v="8"/>
    <n v="8"/>
    <n v="8"/>
    <n v="7"/>
    <n v="6"/>
    <n v="6"/>
    <m/>
    <m/>
    <m/>
    <n v="50"/>
    <n v="0"/>
    <s v="TWIN OAK BLVD (E)"/>
    <n v="2"/>
    <x v="5"/>
    <n v="8000"/>
    <n v="1"/>
    <n v="8000"/>
    <x v="3"/>
  </r>
  <r>
    <s v=""/>
    <x v="1129"/>
    <s v="VALLEY COURT"/>
    <s v="Ridgeview Est."/>
    <x v="157"/>
    <x v="153"/>
    <n v="475"/>
    <n v="26"/>
    <s v="NC"/>
    <s v="C"/>
    <n v="0"/>
    <n v="7"/>
    <n v="7"/>
    <n v="7"/>
    <n v="6"/>
    <n v="9"/>
    <n v="9"/>
    <n v="8"/>
    <n v="8"/>
    <n v="8"/>
    <n v="8"/>
    <m/>
    <m/>
    <m/>
    <n v="50"/>
    <n v="0"/>
    <s v="VALLEY COURT"/>
    <n v="1"/>
    <x v="7"/>
    <n v="2249.0530303030305"/>
    <m/>
    <n v="0"/>
    <x v="4"/>
  </r>
  <r>
    <s v=""/>
    <x v="1130"/>
    <s v="VALLEY LANE"/>
    <s v="Ridgeview Est."/>
    <x v="157"/>
    <x v="153"/>
    <n v="1003"/>
    <n v="26"/>
    <s v="NC"/>
    <s v="C"/>
    <n v="0"/>
    <n v="6"/>
    <n v="5"/>
    <n v="4"/>
    <n v="4"/>
    <n v="9"/>
    <n v="9"/>
    <n v="8"/>
    <n v="8"/>
    <n v="8"/>
    <n v="8"/>
    <m/>
    <m/>
    <m/>
    <n v="50"/>
    <n v="0"/>
    <s v="VALLEY LANE"/>
    <n v="1"/>
    <x v="7"/>
    <n v="4749.05303030303"/>
    <m/>
    <n v="0"/>
    <x v="4"/>
  </r>
  <r>
    <s v=""/>
    <x v="1131"/>
    <s v="VERA DRIVE"/>
    <s v="Brier Creek"/>
    <x v="102"/>
    <x v="139"/>
    <n v="1109"/>
    <n v="26"/>
    <s v="NC"/>
    <s v="SC"/>
    <n v="0"/>
    <n v="7"/>
    <n v="7"/>
    <n v="7"/>
    <n v="7"/>
    <n v="8"/>
    <n v="8"/>
    <n v="8"/>
    <n v="8"/>
    <n v="7"/>
    <n v="7"/>
    <m/>
    <m/>
    <m/>
    <n v="232"/>
    <n v="0"/>
    <s v="VERA DRIVE"/>
    <n v="2"/>
    <x v="7"/>
    <n v="5250.94696969697"/>
    <m/>
    <n v="0"/>
    <x v="4"/>
  </r>
  <r>
    <s v="BR56"/>
    <x v="1132"/>
    <s v="600E/400S"/>
    <m/>
    <x v="24"/>
    <x v="26"/>
    <n v="5300"/>
    <n v="20"/>
    <s v="AC"/>
    <s v="BR"/>
    <n v="0"/>
    <n v="9"/>
    <n v="7"/>
    <n v="7"/>
    <n v="6"/>
    <n v="6"/>
    <n v="6"/>
    <n v="6"/>
    <n v="6"/>
    <n v="7"/>
    <n v="7"/>
    <m/>
    <n v="2020"/>
    <s v="Y"/>
    <n v="320"/>
    <n v="0"/>
    <s v="600E"/>
    <n v="4"/>
    <x v="3"/>
    <n v="46174.242424242424"/>
    <m/>
    <n v="0"/>
    <x v="6"/>
  </r>
  <r>
    <s v=""/>
    <x v="1133"/>
    <s v="VILLAGE DRIVE"/>
    <s v="Schildmeier Village"/>
    <x v="159"/>
    <x v="143"/>
    <n v="1109"/>
    <n v="26"/>
    <s v="NC"/>
    <s v="SC"/>
    <n v="0"/>
    <n v="6"/>
    <n v="6"/>
    <n v="5"/>
    <n v="9"/>
    <n v="9"/>
    <n v="8"/>
    <n v="8"/>
    <n v="7"/>
    <n v="7"/>
    <n v="7"/>
    <m/>
    <m/>
    <m/>
    <n v="155"/>
    <n v="0"/>
    <s v="VILLAGE DRIVE"/>
    <n v="1"/>
    <x v="5"/>
    <n v="16803.030303030304"/>
    <n v="1"/>
    <n v="16803.030303030304"/>
    <x v="3"/>
  </r>
  <r>
    <m/>
    <x v="1134"/>
    <s v="VILLAGE DRIVE (S)"/>
    <s v="New Palestine Village"/>
    <x v="102"/>
    <x v="152"/>
    <n v="1818"/>
    <n v="26"/>
    <s v="NC"/>
    <s v="SC"/>
    <n v="0"/>
    <m/>
    <n v="7"/>
    <n v="7"/>
    <n v="7"/>
    <n v="7"/>
    <n v="7"/>
    <n v="7"/>
    <n v="8"/>
    <n v="7"/>
    <n v="7"/>
    <m/>
    <m/>
    <m/>
    <n v="1074"/>
    <n v="0.5"/>
    <s v="VILLAGE DRIVE (S)"/>
    <n v="3.5"/>
    <x v="5"/>
    <n v="27545.454545454544"/>
    <m/>
    <n v="0"/>
    <x v="4"/>
  </r>
  <r>
    <s v=""/>
    <x v="1135"/>
    <s v="VILLAGE ROW"/>
    <s v="Schildmeier Village"/>
    <x v="102"/>
    <x v="152"/>
    <n v="2006"/>
    <n v="26"/>
    <s v="NC"/>
    <s v="SC"/>
    <n v="0"/>
    <n v="7"/>
    <n v="7"/>
    <n v="9"/>
    <n v="8"/>
    <n v="8"/>
    <n v="7"/>
    <n v="7"/>
    <n v="8"/>
    <n v="7"/>
    <n v="7"/>
    <m/>
    <m/>
    <m/>
    <n v="1074"/>
    <n v="0.5"/>
    <s v="VILLAGE ROW"/>
    <n v="2.5"/>
    <x v="5"/>
    <n v="30393.939393939392"/>
    <n v="1"/>
    <n v="30393.939393939392"/>
    <x v="3"/>
  </r>
  <r>
    <s v=""/>
    <x v="1136"/>
    <s v="VILLAGE WAY WEST"/>
    <s v="Schildmeier Village"/>
    <x v="102"/>
    <x v="152"/>
    <n v="845"/>
    <n v="26"/>
    <s v="NC"/>
    <s v="SC"/>
    <n v="0"/>
    <n v="7"/>
    <n v="6"/>
    <n v="8"/>
    <n v="8"/>
    <n v="8"/>
    <n v="7"/>
    <n v="7"/>
    <n v="8"/>
    <n v="7"/>
    <n v="7"/>
    <m/>
    <m/>
    <m/>
    <n v="1074"/>
    <n v="0.5"/>
    <s v="VILLAGE WAY WEST"/>
    <n v="2.5"/>
    <x v="5"/>
    <n v="12803.030303030304"/>
    <n v="1"/>
    <n v="12803.030303030304"/>
    <x v="3"/>
  </r>
  <r>
    <m/>
    <x v="1137"/>
    <s v="CONGRESS CV (W)"/>
    <s v="Centennial Village"/>
    <x v="117"/>
    <x v="64"/>
    <n v="110"/>
    <n v="26"/>
    <m/>
    <s v="SC"/>
    <n v="0"/>
    <m/>
    <m/>
    <m/>
    <n v="9"/>
    <n v="9"/>
    <n v="8"/>
    <n v="7"/>
    <n v="8"/>
    <n v="8"/>
    <n v="8"/>
    <m/>
    <m/>
    <m/>
    <n v="640"/>
    <m/>
    <s v="W CONGRESS CV"/>
    <n v="1"/>
    <x v="7"/>
    <n v="520.83333333333337"/>
    <m/>
    <n v="0"/>
    <x v="4"/>
  </r>
  <r>
    <m/>
    <x v="1138"/>
    <s v="HARRISBURG CT (W)"/>
    <s v="Centennial Village"/>
    <x v="117"/>
    <x v="64"/>
    <n v="411"/>
    <n v="26"/>
    <m/>
    <s v="SC"/>
    <n v="0"/>
    <m/>
    <m/>
    <m/>
    <n v="9"/>
    <n v="9"/>
    <n v="8"/>
    <n v="7"/>
    <n v="8"/>
    <n v="8"/>
    <n v="8"/>
    <m/>
    <m/>
    <m/>
    <n v="640"/>
    <m/>
    <s v="W HARRISBURG CT"/>
    <n v="1"/>
    <x v="7"/>
    <n v="1946.0227272727273"/>
    <m/>
    <n v="0"/>
    <x v="4"/>
  </r>
  <r>
    <s v=""/>
    <x v="1139"/>
    <s v="WALNUT CT"/>
    <s v="Timberbrook Estates"/>
    <x v="200"/>
    <x v="160"/>
    <n v="739"/>
    <n v="26"/>
    <s v="NC"/>
    <s v="BC"/>
    <n v="0"/>
    <n v="6"/>
    <n v="5"/>
    <n v="5"/>
    <n v="9"/>
    <n v="8"/>
    <n v="7"/>
    <n v="7"/>
    <n v="7"/>
    <n v="7"/>
    <n v="7"/>
    <m/>
    <m/>
    <m/>
    <n v="50"/>
    <n v="0"/>
    <s v="WALNUT CT"/>
    <n v="2"/>
    <x v="7"/>
    <n v="3499.0530303030305"/>
    <m/>
    <n v="0"/>
    <x v="4"/>
  </r>
  <r>
    <s v=""/>
    <x v="1140"/>
    <s v="WALNUT DR(S)"/>
    <s v="Hamilton Heights"/>
    <x v="161"/>
    <x v="139"/>
    <n v="1320"/>
    <n v="26"/>
    <s v="NC"/>
    <s v="SC"/>
    <n v="0"/>
    <n v="7"/>
    <n v="7"/>
    <n v="7"/>
    <n v="8"/>
    <n v="8"/>
    <n v="7"/>
    <n v="7"/>
    <n v="7"/>
    <n v="7"/>
    <n v="7"/>
    <m/>
    <m/>
    <m/>
    <n v="240"/>
    <n v="0"/>
    <s v="WALNUT DR(S)"/>
    <n v="2"/>
    <x v="7"/>
    <n v="6250"/>
    <m/>
    <n v="0"/>
    <x v="4"/>
  </r>
  <r>
    <s v="B34"/>
    <x v="1141"/>
    <s v="1000N/675E"/>
    <m/>
    <x v="207"/>
    <x v="21"/>
    <n v="2798"/>
    <n v="20"/>
    <s v="AC"/>
    <s v="B"/>
    <n v="0"/>
    <n v="8"/>
    <n v="7"/>
    <n v="7"/>
    <n v="7"/>
    <n v="7"/>
    <n v="6"/>
    <n v="6"/>
    <n v="6"/>
    <n v="6"/>
    <n v="6"/>
    <n v="2022"/>
    <n v="2022"/>
    <s v="Y"/>
    <n v="125"/>
    <n v="0"/>
    <s v="1000N"/>
    <n v="3"/>
    <x v="3"/>
    <n v="24376.515151515152"/>
    <m/>
    <n v="0"/>
    <x v="6"/>
  </r>
  <r>
    <s v=""/>
    <x v="1142"/>
    <s v="WASHINGTON (MAX)/E"/>
    <m/>
    <x v="21"/>
    <x v="134"/>
    <n v="614"/>
    <n v="20"/>
    <s v="CS"/>
    <s v="C"/>
    <n v="0"/>
    <n v="7"/>
    <n v="6"/>
    <n v="6"/>
    <n v="6"/>
    <n v="6"/>
    <n v="6"/>
    <n v="6"/>
    <n v="6"/>
    <n v="6"/>
    <n v="6"/>
    <m/>
    <m/>
    <m/>
    <n v="50"/>
    <n v="0"/>
    <s v="WASHINGTON"/>
    <n v="4"/>
    <x v="2"/>
    <n v="3721.212121212121"/>
    <m/>
    <n v="0"/>
    <x v="2"/>
  </r>
  <r>
    <s v=""/>
    <x v="1143"/>
    <s v="WATER WHEEL DRIVE"/>
    <s v="Country Mill"/>
    <x v="73"/>
    <x v="198"/>
    <n v="845"/>
    <n v="26"/>
    <s v="NC"/>
    <s v="C"/>
    <n v="0"/>
    <n v="7"/>
    <n v="8"/>
    <n v="8"/>
    <n v="7"/>
    <n v="8"/>
    <n v="7"/>
    <n v="7"/>
    <n v="7"/>
    <n v="7"/>
    <n v="7"/>
    <m/>
    <m/>
    <m/>
    <n v="50"/>
    <n v="0"/>
    <s v="WATER WHEEL DRIVE"/>
    <n v="2"/>
    <x v="5"/>
    <n v="12803.030303030304"/>
    <n v="1"/>
    <n v="12803.030303030304"/>
    <x v="3"/>
  </r>
  <r>
    <m/>
    <x v="1144"/>
    <s v="WATERS EDGE BLVD"/>
    <s v="Heron Creek"/>
    <x v="171"/>
    <x v="178"/>
    <n v="1072"/>
    <m/>
    <s v="NC"/>
    <s v="BC"/>
    <n v="0"/>
    <m/>
    <n v="10"/>
    <n v="10"/>
    <n v="9"/>
    <n v="8"/>
    <n v="8"/>
    <n v="7"/>
    <n v="7"/>
    <n v="7"/>
    <n v="7"/>
    <m/>
    <m/>
    <m/>
    <m/>
    <n v="0"/>
    <s v="WATERS EDGE BLVD"/>
    <n v="2"/>
    <x v="7"/>
    <n v="5075.757575757576"/>
    <m/>
    <n v="0"/>
    <x v="4"/>
  </r>
  <r>
    <m/>
    <x v="1145"/>
    <s v="WATERS EDGE CT"/>
    <s v="Heron Creek"/>
    <x v="171"/>
    <x v="178"/>
    <n v="393.8"/>
    <m/>
    <s v="NC"/>
    <s v="BC"/>
    <n v="0"/>
    <m/>
    <n v="10"/>
    <n v="10"/>
    <n v="9"/>
    <n v="9"/>
    <n v="9"/>
    <n v="8"/>
    <n v="8"/>
    <n v="8"/>
    <n v="8"/>
    <m/>
    <m/>
    <m/>
    <m/>
    <n v="0"/>
    <s v="WATERS EDGE CT"/>
    <n v="1"/>
    <x v="7"/>
    <n v="1864.5833333333333"/>
    <m/>
    <n v="0"/>
    <x v="4"/>
  </r>
  <r>
    <s v=""/>
    <x v="1146"/>
    <s v="WATERWAY DRIVE"/>
    <s v="Meadow Lake Estates"/>
    <x v="15"/>
    <x v="169"/>
    <n v="158"/>
    <n v="26"/>
    <s v="NC"/>
    <s v="SC"/>
    <n v="0"/>
    <n v="8"/>
    <n v="9"/>
    <n v="9"/>
    <n v="9"/>
    <n v="9"/>
    <n v="8"/>
    <n v="8"/>
    <n v="7"/>
    <n v="7"/>
    <n v="7"/>
    <m/>
    <m/>
    <m/>
    <n v="364"/>
    <n v="0"/>
    <s v="WATERWAY DRIVE"/>
    <n v="1"/>
    <x v="7"/>
    <n v="748.10606060606062"/>
    <m/>
    <n v="0"/>
    <x v="4"/>
  </r>
  <r>
    <s v=""/>
    <x v="1147"/>
    <s v="WAYNE DRIVE"/>
    <s v="Wildwood Estates"/>
    <x v="172"/>
    <x v="160"/>
    <n v="2429"/>
    <n v="26"/>
    <s v="NC"/>
    <s v="BC"/>
    <n v="0"/>
    <n v="6"/>
    <n v="6"/>
    <n v="6"/>
    <n v="6"/>
    <n v="9"/>
    <n v="7"/>
    <n v="6"/>
    <n v="5"/>
    <n v="5"/>
    <n v="6"/>
    <m/>
    <m/>
    <m/>
    <n v="50"/>
    <n v="0"/>
    <s v="WAYNE DRIVE"/>
    <n v="1"/>
    <x v="10"/>
    <n v="34502.840909090912"/>
    <m/>
    <n v="0"/>
    <x v="0"/>
  </r>
  <r>
    <s v=""/>
    <x v="1148"/>
    <s v="WELKER DRIVE"/>
    <s v="Sugar Creek Heights"/>
    <x v="200"/>
    <x v="105"/>
    <n v="1267"/>
    <n v="26"/>
    <s v="NC"/>
    <s v="SC"/>
    <n v="0"/>
    <n v="7"/>
    <n v="5"/>
    <n v="4"/>
    <n v="9"/>
    <n v="9"/>
    <n v="9"/>
    <n v="8"/>
    <n v="8"/>
    <n v="8"/>
    <n v="7"/>
    <m/>
    <m/>
    <m/>
    <n v="50"/>
    <n v="0"/>
    <s v="WELKER DRIVE"/>
    <n v="1"/>
    <x v="7"/>
    <n v="5999.05303030303"/>
    <m/>
    <n v="0"/>
    <x v="4"/>
  </r>
  <r>
    <s v=""/>
    <x v="1149"/>
    <s v="WEST ST(CHAR)/CART"/>
    <m/>
    <x v="23"/>
    <x v="144"/>
    <n v="538"/>
    <n v="20"/>
    <s v="P"/>
    <s v="J"/>
    <n v="0"/>
    <n v="6"/>
    <n v="3"/>
    <n v="3"/>
    <n v="9"/>
    <n v="8"/>
    <n v="7"/>
    <n v="7"/>
    <n v="6"/>
    <n v="6"/>
    <n v="7"/>
    <m/>
    <m/>
    <m/>
    <n v="50"/>
    <n v="0"/>
    <s v="WEST ST(CHAR)/CART"/>
    <n v="2"/>
    <x v="2"/>
    <n v="3260.6060606060605"/>
    <m/>
    <n v="0"/>
    <x v="5"/>
  </r>
  <r>
    <s v=""/>
    <x v="1150"/>
    <s v="WEST ST(FINLY)"/>
    <m/>
    <x v="52"/>
    <x v="196"/>
    <n v="396"/>
    <n v="20"/>
    <s v="AC"/>
    <s v="BW"/>
    <n v="0"/>
    <n v="7"/>
    <n v="7"/>
    <n v="7"/>
    <n v="7"/>
    <n v="7"/>
    <n v="7"/>
    <n v="6"/>
    <n v="6"/>
    <n v="6"/>
    <n v="7"/>
    <m/>
    <m/>
    <m/>
    <n v="50"/>
    <n v="0"/>
    <s v="WEST ST(FINLY)"/>
    <n v="3"/>
    <x v="0"/>
    <n v="1575"/>
    <m/>
    <n v="0"/>
    <x v="2"/>
  </r>
  <r>
    <s v=""/>
    <x v="1151"/>
    <s v="WESTERN CT (W)"/>
    <s v="Willow Grove"/>
    <x v="102"/>
    <x v="172"/>
    <n v="475"/>
    <n v="26"/>
    <s v="NC"/>
    <s v="SC"/>
    <n v="0"/>
    <n v="7"/>
    <n v="7"/>
    <n v="7"/>
    <n v="7"/>
    <n v="7"/>
    <n v="7"/>
    <n v="7"/>
    <n v="7"/>
    <n v="7"/>
    <n v="7"/>
    <m/>
    <m/>
    <m/>
    <n v="888"/>
    <n v="0.5"/>
    <s v="WESTERN CT (W)"/>
    <n v="3.5"/>
    <x v="7"/>
    <n v="2249.0530303030305"/>
    <m/>
    <n v="0"/>
    <x v="4"/>
  </r>
  <r>
    <m/>
    <x v="1152"/>
    <s v="WHISPERING WAY"/>
    <s v="Heron Creek"/>
    <x v="171"/>
    <x v="178"/>
    <n v="400"/>
    <n v="26"/>
    <s v="NC"/>
    <s v="BC"/>
    <n v="0"/>
    <m/>
    <n v="10"/>
    <n v="10"/>
    <n v="9"/>
    <n v="9"/>
    <n v="9"/>
    <n v="8"/>
    <n v="8"/>
    <n v="8"/>
    <n v="8"/>
    <m/>
    <m/>
    <m/>
    <n v="50"/>
    <n v="0"/>
    <s v="WHISPERING WAY"/>
    <n v="1"/>
    <x v="7"/>
    <n v="1893.939393939394"/>
    <m/>
    <n v="0"/>
    <x v="4"/>
  </r>
  <r>
    <s v=""/>
    <x v="1153"/>
    <s v="WHITE OAK DRIVE"/>
    <s v="Schildmeier Village"/>
    <x v="102"/>
    <x v="152"/>
    <n v="1373"/>
    <n v="26"/>
    <s v="NC"/>
    <s v="SC"/>
    <n v="0"/>
    <n v="7"/>
    <n v="7"/>
    <n v="6"/>
    <n v="6"/>
    <n v="6"/>
    <n v="6"/>
    <n v="8"/>
    <n v="8"/>
    <n v="7"/>
    <n v="7"/>
    <m/>
    <m/>
    <m/>
    <n v="1074"/>
    <n v="0.5"/>
    <s v="WHITE OAK DRIVE"/>
    <n v="4.5"/>
    <x v="5"/>
    <n v="20803.030303030304"/>
    <n v="1"/>
    <n v="20803.030303030304"/>
    <x v="3"/>
  </r>
  <r>
    <m/>
    <x v="1154"/>
    <s v="WHITESIDE CT"/>
    <s v="Heron Creek"/>
    <x v="171"/>
    <x v="178"/>
    <n v="371"/>
    <m/>
    <s v="NC"/>
    <s v="BC"/>
    <n v="0"/>
    <m/>
    <n v="10"/>
    <n v="10"/>
    <n v="9"/>
    <n v="9"/>
    <n v="9"/>
    <n v="8"/>
    <n v="8"/>
    <n v="8"/>
    <n v="8"/>
    <m/>
    <m/>
    <m/>
    <m/>
    <n v="0"/>
    <s v="WHITESIDE CT"/>
    <n v="1"/>
    <x v="7"/>
    <n v="1756.628787878788"/>
    <m/>
    <n v="0"/>
    <x v="4"/>
  </r>
  <r>
    <s v=""/>
    <x v="1155"/>
    <s v="WILDFLOWER LN"/>
    <s v="Briarwood Trace"/>
    <x v="102"/>
    <x v="166"/>
    <n v="739"/>
    <n v="26"/>
    <s v="NC"/>
    <s v="SC"/>
    <n v="0"/>
    <n v="7"/>
    <n v="7"/>
    <n v="7"/>
    <n v="7"/>
    <n v="7"/>
    <n v="7"/>
    <n v="7"/>
    <n v="7"/>
    <n v="7"/>
    <n v="7"/>
    <m/>
    <m/>
    <m/>
    <n v="50"/>
    <n v="0"/>
    <s v="WILDFLOWER LN"/>
    <n v="3"/>
    <x v="9"/>
    <n v="8326"/>
    <m/>
    <n v="0"/>
    <x v="3"/>
  </r>
  <r>
    <s v="V60"/>
    <x v="1156"/>
    <s v="MCCORD RD./500W"/>
    <m/>
    <x v="117"/>
    <x v="88"/>
    <n v="2450"/>
    <n v="20"/>
    <s v="AC"/>
    <s v="V"/>
    <n v="0"/>
    <n v="6"/>
    <n v="8"/>
    <n v="8"/>
    <n v="7"/>
    <n v="7"/>
    <n v="7"/>
    <n v="7"/>
    <n v="6"/>
    <n v="5"/>
    <n v="6"/>
    <m/>
    <m/>
    <m/>
    <n v="121"/>
    <n v="0"/>
    <s v="MCCORD RD./500W"/>
    <n v="3"/>
    <x v="3"/>
    <n v="21344.696969696968"/>
    <m/>
    <n v="0"/>
    <x v="6"/>
  </r>
  <r>
    <s v=""/>
    <x v="1157"/>
    <s v="WILLIAMSWOOD DRIVE"/>
    <s v="Schildmeier Village"/>
    <x v="102"/>
    <x v="152"/>
    <n v="1056"/>
    <n v="26"/>
    <s v="NC"/>
    <s v="SC"/>
    <n v="0"/>
    <n v="7"/>
    <n v="8"/>
    <n v="8"/>
    <n v="8"/>
    <n v="8"/>
    <n v="7"/>
    <n v="7"/>
    <n v="8"/>
    <n v="7"/>
    <n v="6"/>
    <m/>
    <m/>
    <m/>
    <n v="1074"/>
    <n v="0.5"/>
    <s v="WILLIAMSWOOD DRIVE"/>
    <n v="2.5"/>
    <x v="5"/>
    <n v="16000"/>
    <n v="1"/>
    <n v="16000"/>
    <x v="3"/>
  </r>
  <r>
    <s v=""/>
    <x v="1158"/>
    <s v="WILLOW GROVE DR (S)"/>
    <s v="Willow Grove"/>
    <x v="102"/>
    <x v="172"/>
    <n v="758"/>
    <n v="26"/>
    <s v="NC"/>
    <s v="SC"/>
    <n v="0"/>
    <n v="7"/>
    <n v="7"/>
    <n v="7"/>
    <n v="7"/>
    <n v="9"/>
    <n v="8"/>
    <n v="8"/>
    <n v="7"/>
    <n v="7"/>
    <n v="7"/>
    <m/>
    <m/>
    <m/>
    <n v="888"/>
    <n v="0.5"/>
    <s v="WILLOW GROVE DR (S)"/>
    <n v="1.5"/>
    <x v="5"/>
    <n v="11484.848484848484"/>
    <m/>
    <n v="0"/>
    <x v="7"/>
  </r>
  <r>
    <s v=""/>
    <x v="1159"/>
    <s v="WILLOW GROVE DR (W)"/>
    <s v="Willow Grove"/>
    <x v="102"/>
    <x v="172"/>
    <n v="2002"/>
    <n v="26"/>
    <s v="NC"/>
    <s v="SC"/>
    <n v="0"/>
    <n v="7"/>
    <n v="7"/>
    <n v="6"/>
    <n v="6"/>
    <n v="9"/>
    <n v="8"/>
    <n v="8"/>
    <n v="7"/>
    <n v="7"/>
    <n v="7"/>
    <m/>
    <m/>
    <m/>
    <n v="888"/>
    <n v="0.5"/>
    <s v="WILLOW GROVE DR (W)"/>
    <n v="1.5"/>
    <x v="7"/>
    <n v="9479.1666666666661"/>
    <m/>
    <n v="0"/>
    <x v="4"/>
  </r>
  <r>
    <m/>
    <x v="1160"/>
    <s v="WILMONT"/>
    <s v="Wilmont"/>
    <x v="208"/>
    <x v="174"/>
    <n v="458"/>
    <n v="26"/>
    <s v="NC"/>
    <s v="SC"/>
    <m/>
    <m/>
    <m/>
    <m/>
    <n v="9"/>
    <n v="9"/>
    <n v="9"/>
    <n v="8"/>
    <n v="8"/>
    <n v="7"/>
    <n v="7"/>
    <m/>
    <m/>
    <m/>
    <n v="76"/>
    <m/>
    <s v="WILMONT"/>
    <n v="1"/>
    <x v="7"/>
    <n v="2168.560606060606"/>
    <m/>
    <n v="0"/>
    <x v="4"/>
  </r>
  <r>
    <m/>
    <x v="1161"/>
    <m/>
    <m/>
    <x v="209"/>
    <x v="221"/>
    <n v="1185"/>
    <n v="20"/>
    <s v="AC"/>
    <s v="B"/>
    <n v="0"/>
    <n v="7"/>
    <n v="8"/>
    <n v="8"/>
    <n v="7"/>
    <n v="7"/>
    <n v="8"/>
    <n v="8"/>
    <n v="8"/>
    <n v="7"/>
    <n v="7"/>
    <m/>
    <n v="2019"/>
    <s v="Y"/>
    <n v="100"/>
    <n v="0"/>
    <s v="E. E ST."/>
    <n v="4"/>
    <x v="3"/>
    <n v="3500"/>
    <m/>
    <n v="0"/>
    <x v="6"/>
  </r>
  <r>
    <s v=""/>
    <x v="1162"/>
    <s v="WINDMILL WAY(W)"/>
    <s v="Countryside"/>
    <x v="15"/>
    <x v="154"/>
    <n v="1003"/>
    <n v="26"/>
    <s v="NC"/>
    <s v="SC"/>
    <n v="0"/>
    <n v="7"/>
    <n v="8"/>
    <n v="8"/>
    <n v="8"/>
    <n v="8"/>
    <n v="7"/>
    <n v="7"/>
    <n v="7"/>
    <n v="7"/>
    <n v="7"/>
    <m/>
    <m/>
    <m/>
    <n v="433"/>
    <n v="0"/>
    <s v="WINDMILL WAY(W)"/>
    <n v="2"/>
    <x v="9"/>
    <n v="474.905303030303"/>
    <m/>
    <n v="0"/>
    <x v="3"/>
  </r>
  <r>
    <s v="C57"/>
    <x v="1163"/>
    <s v="25W/500N"/>
    <m/>
    <x v="1"/>
    <x v="95"/>
    <n v="5600"/>
    <n v="20"/>
    <s v="CS"/>
    <s v="C"/>
    <n v="0"/>
    <n v="7"/>
    <n v="8"/>
    <n v="8"/>
    <n v="7"/>
    <n v="7"/>
    <n v="6"/>
    <n v="6"/>
    <n v="6"/>
    <n v="6"/>
    <n v="5"/>
    <m/>
    <m/>
    <m/>
    <n v="50"/>
    <n v="0"/>
    <s v="25W"/>
    <n v="3"/>
    <x v="3"/>
    <n v="48787.878787878784"/>
    <m/>
    <n v="0"/>
    <x v="6"/>
  </r>
  <r>
    <s v=""/>
    <x v="1164"/>
    <s v="WOLLENWEBER ROAD"/>
    <s v="Doe Creek Estates"/>
    <x v="154"/>
    <x v="143"/>
    <n v="2112"/>
    <n v="26"/>
    <s v="NC"/>
    <s v="SC"/>
    <n v="0"/>
    <n v="8"/>
    <n v="7"/>
    <n v="7"/>
    <n v="7"/>
    <n v="7"/>
    <n v="7"/>
    <n v="7"/>
    <n v="7"/>
    <n v="7"/>
    <n v="7"/>
    <m/>
    <m/>
    <m/>
    <n v="392"/>
    <n v="0"/>
    <s v="WOLLENWEBER ROAD"/>
    <n v="3"/>
    <x v="7"/>
    <n v="10000"/>
    <m/>
    <n v="0"/>
    <x v="4"/>
  </r>
  <r>
    <s v=""/>
    <x v="1165"/>
    <s v="WOODCREST DRIVE"/>
    <s v="Woodcrest"/>
    <x v="102"/>
    <x v="160"/>
    <n v="1267"/>
    <n v="26"/>
    <s v="NC"/>
    <s v="SC"/>
    <n v="0"/>
    <n v="6"/>
    <n v="6"/>
    <n v="5"/>
    <n v="5"/>
    <n v="9"/>
    <n v="9"/>
    <n v="8"/>
    <n v="8"/>
    <n v="8"/>
    <n v="8"/>
    <m/>
    <m/>
    <m/>
    <n v="162"/>
    <n v="0"/>
    <s v="WOODCREST DRIVE"/>
    <n v="1"/>
    <x v="7"/>
    <n v="5999.05303030303"/>
    <m/>
    <n v="0"/>
    <x v="4"/>
  </r>
  <r>
    <s v=""/>
    <x v="1166"/>
    <s v="WOODFIELD DRIVE"/>
    <s v="Schildmeier Village"/>
    <x v="102"/>
    <x v="152"/>
    <n v="634"/>
    <n v="26"/>
    <s v="NC"/>
    <s v="SC"/>
    <n v="0"/>
    <n v="7"/>
    <n v="8"/>
    <n v="8"/>
    <n v="8"/>
    <n v="8"/>
    <n v="7"/>
    <n v="7"/>
    <n v="8"/>
    <n v="7"/>
    <n v="8"/>
    <m/>
    <m/>
    <m/>
    <n v="1074"/>
    <n v="0.5"/>
    <s v="WOODFIELD DRIVE"/>
    <n v="2.5"/>
    <x v="5"/>
    <n v="9606.060606060606"/>
    <n v="1"/>
    <n v="9606.060606060606"/>
    <x v="3"/>
  </r>
  <r>
    <s v=""/>
    <x v="1167"/>
    <s v="WOODGROVE WAY(S)"/>
    <s v="Briarwood Trace"/>
    <x v="102"/>
    <x v="166"/>
    <n v="792"/>
    <n v="26"/>
    <s v="NC"/>
    <s v="SC"/>
    <n v="0"/>
    <n v="8"/>
    <n v="7"/>
    <n v="7"/>
    <n v="7"/>
    <n v="7"/>
    <n v="7"/>
    <n v="7"/>
    <n v="7"/>
    <n v="7"/>
    <n v="7"/>
    <m/>
    <m/>
    <m/>
    <n v="50"/>
    <n v="0"/>
    <s v="WOODGROVE WAY(S)"/>
    <n v="3"/>
    <x v="9"/>
    <n v="8924"/>
    <m/>
    <n v="0"/>
    <x v="3"/>
  </r>
  <r>
    <s v="BC97"/>
    <x v="1168"/>
    <s v="500W"/>
    <m/>
    <x v="210"/>
    <x v="222"/>
    <n v="5000"/>
    <n v="20"/>
    <s v="&lt;Null&gt;"/>
    <s v="BC"/>
    <n v="0"/>
    <n v="8"/>
    <n v="7"/>
    <n v="8"/>
    <n v="8"/>
    <n v="8"/>
    <n v="7"/>
    <n v="7"/>
    <n v="5"/>
    <n v="5"/>
    <m/>
    <m/>
    <m/>
    <m/>
    <n v="50"/>
    <n v="0"/>
    <s v="500W"/>
    <n v="2"/>
    <x v="2"/>
    <n v="30303.030303030304"/>
    <m/>
    <n v="0"/>
    <x v="8"/>
  </r>
  <r>
    <m/>
    <x v="1168"/>
    <m/>
    <m/>
    <x v="170"/>
    <x v="174"/>
    <m/>
    <m/>
    <m/>
    <m/>
    <m/>
    <n v="1.111545979060494"/>
    <n v="1.1887587479500223"/>
    <n v="1.3218950536487677"/>
    <n v="1.252582350422428"/>
    <n v="1.1691491295148184"/>
    <n v="1.0178846097760363"/>
    <n v="0.87494939921664205"/>
    <n v="0.74184383560534117"/>
    <n v="0.5734132839075613"/>
    <n v="0.5222963495084707"/>
    <m/>
    <m/>
    <m/>
    <m/>
    <m/>
    <m/>
    <m/>
    <x v="6"/>
    <m/>
    <m/>
    <m/>
    <x v="1"/>
  </r>
  <r>
    <m/>
    <x v="1168"/>
    <m/>
    <m/>
    <x v="170"/>
    <x v="174"/>
    <m/>
    <m/>
    <m/>
    <m/>
    <m/>
    <n v="6.8884118361166404"/>
    <n v="6.9474949129014343"/>
    <n v="7.3099666463113122"/>
    <n v="7.2339461138571179"/>
    <n v="7.271590235575756"/>
    <n v="7.2311469506365578"/>
    <n v="6.975499797596866"/>
    <n v="6.9189673753424215"/>
    <n v="6.8582936531356298"/>
    <n v="6.902089185398034"/>
    <m/>
    <m/>
    <m/>
    <m/>
    <m/>
    <m/>
    <m/>
    <x v="6"/>
    <n v="1531568.3712121206"/>
    <m/>
    <n v="0"/>
    <x v="1"/>
  </r>
  <r>
    <m/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m/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m/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m/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m/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m/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  <r>
    <m/>
    <x v="1168"/>
    <m/>
    <m/>
    <x v="170"/>
    <x v="174"/>
    <m/>
    <m/>
    <m/>
    <m/>
    <m/>
    <m/>
    <m/>
    <m/>
    <m/>
    <m/>
    <m/>
    <m/>
    <m/>
    <m/>
    <m/>
    <m/>
    <m/>
    <m/>
    <m/>
    <m/>
    <m/>
    <m/>
    <x v="6"/>
    <m/>
    <m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4:D134" firstHeaderRow="1" firstDataRow="1" firstDataCol="3" rowPageCount="2" colPageCount="1"/>
  <pivotFields count="32">
    <pivotField axis="axisRow" outline="0" showAll="0" defaultSubtotal="0">
      <items count="1179">
        <item x="0"/>
        <item x="322"/>
        <item x="2"/>
        <item x="3"/>
        <item x="4"/>
        <item x="5"/>
        <item x="6"/>
        <item x="7"/>
        <item x="8"/>
        <item x="9"/>
        <item x="10"/>
        <item x="328"/>
        <item x="12"/>
        <item x="221"/>
        <item x="1116"/>
        <item x="15"/>
        <item x="16"/>
        <item x="17"/>
        <item x="419"/>
        <item x="1141"/>
        <item x="20"/>
        <item x="21"/>
        <item x="22"/>
        <item x="23"/>
        <item x="24"/>
        <item x="25"/>
        <item x="89"/>
        <item x="90"/>
        <item x="94"/>
        <item x="29"/>
        <item x="206"/>
        <item x="31"/>
        <item x="32"/>
        <item x="33"/>
        <item x="34"/>
        <item x="35"/>
        <item x="36"/>
        <item x="37"/>
        <item x="619"/>
        <item x="39"/>
        <item x="40"/>
        <item x="422"/>
        <item x="54"/>
        <item x="43"/>
        <item x="44"/>
        <item x="45"/>
        <item x="46"/>
        <item x="47"/>
        <item x="48"/>
        <item x="49"/>
        <item x="50"/>
        <item x="51"/>
        <item x="95"/>
        <item x="53"/>
        <item x="641"/>
        <item x="55"/>
        <item x="56"/>
        <item x="215"/>
        <item x="58"/>
        <item x="59"/>
        <item x="60"/>
        <item x="61"/>
        <item x="62"/>
        <item x="63"/>
        <item x="64"/>
        <item x="65"/>
        <item x="431"/>
        <item x="67"/>
        <item x="1113"/>
        <item x="69"/>
        <item x="70"/>
        <item x="71"/>
        <item x="433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41"/>
        <item x="86"/>
        <item x="87"/>
        <item x="88"/>
        <item x="424"/>
        <item x="607"/>
        <item x="428"/>
        <item x="92"/>
        <item x="93"/>
        <item x="395"/>
        <item x="632"/>
        <item x="628"/>
        <item x="401"/>
        <item x="98"/>
        <item x="99"/>
        <item x="453"/>
        <item x="102"/>
        <item m="1" x="1176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455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6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351"/>
        <item x="139"/>
        <item x="140"/>
        <item x="141"/>
        <item x="142"/>
        <item x="143"/>
        <item x="68"/>
        <item x="145"/>
        <item x="146"/>
        <item x="147"/>
        <item x="173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01"/>
        <item x="97"/>
        <item x="100"/>
        <item x="175"/>
        <item x="176"/>
        <item x="177"/>
        <item x="318"/>
        <item x="172"/>
        <item x="180"/>
        <item x="1163"/>
        <item x="457"/>
        <item x="183"/>
        <item x="184"/>
        <item x="185"/>
        <item x="186"/>
        <item x="485"/>
        <item x="188"/>
        <item x="189"/>
        <item x="190"/>
        <item x="353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91"/>
        <item x="956"/>
        <item x="205"/>
        <item x="1013"/>
        <item x="207"/>
        <item x="208"/>
        <item x="209"/>
        <item x="210"/>
        <item x="211"/>
        <item x="212"/>
        <item x="213"/>
        <item x="214"/>
        <item x="52"/>
        <item x="216"/>
        <item x="217"/>
        <item x="218"/>
        <item x="219"/>
        <item x="220"/>
        <item x="114"/>
        <item x="222"/>
        <item x="223"/>
        <item x="72"/>
        <item x="85"/>
        <item x="226"/>
        <item x="227"/>
        <item x="228"/>
        <item x="229"/>
        <item x="230"/>
        <item x="231"/>
        <item x="232"/>
        <item x="1012"/>
        <item x="234"/>
        <item x="235"/>
        <item x="236"/>
        <item x="237"/>
        <item x="238"/>
        <item x="239"/>
        <item x="1085"/>
        <item x="241"/>
        <item x="242"/>
        <item x="430"/>
        <item x="244"/>
        <item x="245"/>
        <item x="246"/>
        <item x="248"/>
        <item x="267"/>
        <item x="348"/>
        <item x="233"/>
        <item x="252"/>
        <item x="253"/>
        <item x="254"/>
        <item x="255"/>
        <item x="256"/>
        <item x="28"/>
        <item x="258"/>
        <item x="259"/>
        <item x="260"/>
        <item x="261"/>
        <item x="262"/>
        <item x="187"/>
        <item x="264"/>
        <item x="265"/>
        <item x="266"/>
        <item x="285"/>
        <item x="268"/>
        <item x="30"/>
        <item x="270"/>
        <item x="271"/>
        <item x="272"/>
        <item x="273"/>
        <item x="274"/>
        <item x="126"/>
        <item x="276"/>
        <item x="277"/>
        <item x="278"/>
        <item x="279"/>
        <item x="280"/>
        <item x="281"/>
        <item x="282"/>
        <item x="286"/>
        <item x="284"/>
        <item x="310"/>
        <item x="409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1086"/>
        <item x="300"/>
        <item x="301"/>
        <item x="302"/>
        <item x="303"/>
        <item x="1087"/>
        <item x="1017"/>
        <item x="634"/>
        <item x="307"/>
        <item x="308"/>
        <item x="309"/>
        <item x="14"/>
        <item x="311"/>
        <item x="638"/>
        <item x="313"/>
        <item x="314"/>
        <item x="315"/>
        <item x="316"/>
        <item x="317"/>
        <item x="182"/>
        <item x="319"/>
        <item x="320"/>
        <item x="243"/>
        <item x="1016"/>
        <item x="1095"/>
        <item x="324"/>
        <item x="325"/>
        <item x="326"/>
        <item x="327"/>
        <item x="224"/>
        <item x="329"/>
        <item x="1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13"/>
        <item x="345"/>
        <item x="346"/>
        <item x="347"/>
        <item x="269"/>
        <item x="349"/>
        <item x="350"/>
        <item x="275"/>
        <item x="352"/>
        <item x="487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81"/>
        <item x="240"/>
        <item x="392"/>
        <item x="393"/>
        <item x="394"/>
        <item x="225"/>
        <item x="396"/>
        <item x="398"/>
        <item x="399"/>
        <item x="400"/>
        <item x="511"/>
        <item x="402"/>
        <item x="403"/>
        <item x="404"/>
        <item x="405"/>
        <item x="179"/>
        <item x="408"/>
        <item x="148"/>
        <item x="410"/>
        <item x="411"/>
        <item x="412"/>
        <item x="413"/>
        <item x="516"/>
        <item x="415"/>
        <item x="416"/>
        <item x="417"/>
        <item x="418"/>
        <item x="520"/>
        <item x="420"/>
        <item x="421"/>
        <item x="257"/>
        <item x="423"/>
        <item x="204"/>
        <item x="425"/>
        <item x="426"/>
        <item x="427"/>
        <item x="321"/>
        <item x="250"/>
        <item x="249"/>
        <item x="263"/>
        <item x="432"/>
        <item x="59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989"/>
        <item x="452"/>
        <item x="1006"/>
        <item x="454"/>
        <item x="138"/>
        <item x="456"/>
        <item x="1132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18"/>
        <item x="486"/>
        <item x="144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1"/>
        <item x="512"/>
        <item x="513"/>
        <item x="514"/>
        <item x="515"/>
        <item x="618"/>
        <item x="517"/>
        <item x="518"/>
        <item x="519"/>
        <item x="323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414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652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6"/>
        <item x="305"/>
        <item x="568"/>
        <item x="569"/>
        <item x="304"/>
        <item x="306"/>
        <item x="572"/>
        <item x="573"/>
        <item x="574"/>
        <item x="575"/>
        <item x="576"/>
        <item x="577"/>
        <item x="578"/>
        <item x="579"/>
        <item x="42"/>
        <item x="581"/>
        <item x="582"/>
        <item x="583"/>
        <item x="584"/>
        <item x="960"/>
        <item x="586"/>
        <item x="587"/>
        <item x="96"/>
        <item x="589"/>
        <item x="590"/>
        <item x="591"/>
        <item x="592"/>
        <item x="53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551"/>
        <item x="608"/>
        <item x="609"/>
        <item x="610"/>
        <item x="611"/>
        <item x="612"/>
        <item x="613"/>
        <item x="614"/>
        <item x="615"/>
        <item x="616"/>
        <item x="617"/>
        <item x="251"/>
        <item x="283"/>
        <item x="620"/>
        <item x="621"/>
        <item x="622"/>
        <item x="623"/>
        <item x="624"/>
        <item x="625"/>
        <item x="626"/>
        <item x="627"/>
        <item x="567"/>
        <item x="629"/>
        <item x="630"/>
        <item x="631"/>
        <item x="570"/>
        <item x="633"/>
        <item x="571"/>
        <item x="635"/>
        <item x="636"/>
        <item x="637"/>
        <item x="429"/>
        <item x="639"/>
        <item x="640"/>
        <item x="330"/>
        <item x="642"/>
        <item x="643"/>
        <item x="644"/>
        <item x="645"/>
        <item x="646"/>
        <item x="647"/>
        <item x="648"/>
        <item x="649"/>
        <item x="1023"/>
        <item x="651"/>
        <item x="390"/>
        <item x="391"/>
        <item x="26"/>
        <item x="655"/>
        <item x="656"/>
        <item x="657"/>
        <item x="658"/>
        <item x="659"/>
        <item x="660"/>
        <item x="661"/>
        <item x="662"/>
        <item x="663"/>
        <item x="650"/>
        <item x="665"/>
        <item x="666"/>
        <item x="667"/>
        <item x="668"/>
        <item x="669"/>
        <item x="670"/>
        <item x="671"/>
        <item x="672"/>
        <item x="673"/>
        <item x="1030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946"/>
        <item x="701"/>
        <item x="702"/>
        <item x="703"/>
        <item x="704"/>
        <item x="705"/>
        <item x="706"/>
        <item x="707"/>
        <item x="1031"/>
        <item x="740"/>
        <item x="710"/>
        <item x="711"/>
        <item x="712"/>
        <item x="713"/>
        <item x="714"/>
        <item x="715"/>
        <item x="732"/>
        <item x="717"/>
        <item x="718"/>
        <item x="719"/>
        <item x="775"/>
        <item x="721"/>
        <item x="722"/>
        <item x="723"/>
        <item x="724"/>
        <item x="725"/>
        <item x="726"/>
        <item x="727"/>
        <item x="709"/>
        <item x="729"/>
        <item x="730"/>
        <item x="731"/>
        <item x="1032"/>
        <item x="1033"/>
        <item x="1054"/>
        <item x="735"/>
        <item x="736"/>
        <item x="737"/>
        <item x="1056"/>
        <item x="1064"/>
        <item x="1077"/>
        <item x="1079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299"/>
        <item x="755"/>
        <item x="756"/>
        <item x="406"/>
        <item x="758"/>
        <item x="759"/>
        <item x="760"/>
        <item x="777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1081"/>
        <item x="776"/>
        <item x="787"/>
        <item x="778"/>
        <item x="779"/>
        <item x="780"/>
        <item x="781"/>
        <item x="782"/>
        <item x="783"/>
        <item x="784"/>
        <item m="1" x="1169"/>
        <item x="786"/>
        <item m="1" x="1171"/>
        <item x="788"/>
        <item x="789"/>
        <item x="790"/>
        <item x="791"/>
        <item x="1082"/>
        <item x="793"/>
        <item x="794"/>
        <item x="795"/>
        <item x="741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754"/>
        <item x="813"/>
        <item x="814"/>
        <item x="792"/>
        <item x="817"/>
        <item x="818"/>
        <item x="819"/>
        <item x="821"/>
        <item x="653"/>
        <item x="823"/>
        <item x="824"/>
        <item x="825"/>
        <item x="826"/>
        <item x="75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738"/>
        <item x="858"/>
        <item x="859"/>
        <item x="860"/>
        <item x="861"/>
        <item x="862"/>
        <item x="344"/>
        <item x="864"/>
        <item x="720"/>
        <item x="866"/>
        <item x="867"/>
        <item x="868"/>
        <item x="869"/>
        <item x="728"/>
        <item x="871"/>
        <item x="872"/>
        <item x="654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580"/>
        <item x="898"/>
        <item x="899"/>
        <item x="900"/>
        <item x="901"/>
        <item m="1" x="1177"/>
        <item x="903"/>
        <item x="904"/>
        <item x="906"/>
        <item m="1" x="1172"/>
        <item x="907"/>
        <item x="908"/>
        <item x="796"/>
        <item x="812"/>
        <item x="911"/>
        <item x="912"/>
        <item x="815"/>
        <item x="816"/>
        <item x="822"/>
        <item x="916"/>
        <item x="917"/>
        <item x="918"/>
        <item x="919"/>
        <item x="920"/>
        <item x="921"/>
        <item x="922"/>
        <item x="733"/>
        <item x="924"/>
        <item x="925"/>
        <item x="827"/>
        <item x="927"/>
        <item x="928"/>
        <item x="929"/>
        <item x="930"/>
        <item x="931"/>
        <item x="761"/>
        <item x="933"/>
        <item x="934"/>
        <item x="935"/>
        <item x="936"/>
        <item x="937"/>
        <item x="857"/>
        <item x="939"/>
        <item x="940"/>
        <item x="941"/>
        <item x="942"/>
        <item x="943"/>
        <item x="944"/>
        <item x="945"/>
        <item x="1156"/>
        <item x="947"/>
        <item x="948"/>
        <item x="949"/>
        <item x="950"/>
        <item x="951"/>
        <item x="863"/>
        <item x="952"/>
        <item x="954"/>
        <item x="955"/>
        <item x="57"/>
        <item x="957"/>
        <item x="958"/>
        <item x="959"/>
        <item x="174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73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865"/>
        <item x="1007"/>
        <item x="1008"/>
        <item x="1009"/>
        <item x="1010"/>
        <item x="1011"/>
        <item x="664"/>
        <item x="674"/>
        <item x="1014"/>
        <item x="1015"/>
        <item x="870"/>
        <item x="873"/>
        <item x="1018"/>
        <item x="1019"/>
        <item x="1020"/>
        <item x="1021"/>
        <item x="1022"/>
        <item x="897"/>
        <item x="1024"/>
        <item x="1025"/>
        <item x="1026"/>
        <item x="1027"/>
        <item x="1028"/>
        <item x="1029"/>
        <item x="909"/>
        <item x="27"/>
        <item x="19"/>
        <item x="910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913"/>
        <item x="1055"/>
        <item x="312"/>
        <item x="1057"/>
        <item x="1060"/>
        <item x="1061"/>
        <item x="1062"/>
        <item x="1063"/>
        <item x="585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914"/>
        <item x="1078"/>
        <item x="915"/>
        <item x="1080"/>
        <item x="588"/>
        <item x="716"/>
        <item x="1083"/>
        <item x="1084"/>
        <item x="191"/>
        <item x="203"/>
        <item x="178"/>
        <item x="1088"/>
        <item x="1089"/>
        <item x="1090"/>
        <item m="1" x="1174"/>
        <item x="1092"/>
        <item x="1093"/>
        <item x="1094"/>
        <item x="923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734"/>
        <item x="1114"/>
        <item x="1115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932"/>
        <item x="1133"/>
        <item x="1134"/>
        <item x="1135"/>
        <item x="1136"/>
        <item x="1139"/>
        <item x="1140"/>
        <item x="938"/>
        <item x="1142"/>
        <item x="1143"/>
        <item x="1146"/>
        <item x="1147"/>
        <item x="1148"/>
        <item x="1149"/>
        <item x="1150"/>
        <item x="1151"/>
        <item x="1152"/>
        <item x="1153"/>
        <item x="1155"/>
        <item x="953"/>
        <item x="1157"/>
        <item x="1158"/>
        <item x="1159"/>
        <item x="700"/>
        <item x="1162"/>
        <item x="708"/>
        <item x="1164"/>
        <item x="1165"/>
        <item x="1166"/>
        <item x="1167"/>
        <item x="1168"/>
        <item x="1058"/>
        <item x="1059"/>
        <item m="1" x="1175"/>
        <item x="1137"/>
        <item x="820"/>
        <item m="1" x="1173"/>
        <item x="1160"/>
        <item m="1" x="1170"/>
        <item x="1138"/>
        <item x="785"/>
        <item x="905"/>
        <item x="1091"/>
        <item x="926"/>
        <item x="804"/>
        <item x="1144"/>
        <item x="1145"/>
        <item x="1154"/>
        <item x="1053"/>
        <item x="247"/>
        <item x="407"/>
        <item x="902"/>
        <item x="451"/>
        <item x="1161"/>
        <item x="38"/>
        <item x="961"/>
        <item x="753"/>
        <item x="556"/>
        <item m="1" x="1178"/>
        <item x="397"/>
      </items>
    </pivotField>
    <pivotField showAll="0"/>
    <pivotField showAll="0"/>
    <pivotField axis="axisRow" outline="0" showAll="0" defaultSubtotal="0">
      <items count="213">
        <item x="153"/>
        <item x="199"/>
        <item x="157"/>
        <item x="8"/>
        <item x="60"/>
        <item x="41"/>
        <item x="44"/>
        <item x="71"/>
        <item x="25"/>
        <item x="67"/>
        <item x="88"/>
        <item x="104"/>
        <item x="105"/>
        <item x="103"/>
        <item x="173"/>
        <item x="140"/>
        <item x="9"/>
        <item x="197"/>
        <item x="178"/>
        <item x="55"/>
        <item x="138"/>
        <item x="26"/>
        <item x="31"/>
        <item x="179"/>
        <item x="192"/>
        <item x="172"/>
        <item x="109"/>
        <item x="35"/>
        <item x="62"/>
        <item x="27"/>
        <item x="121"/>
        <item x="195"/>
        <item x="183"/>
        <item x="116"/>
        <item x="56"/>
        <item x="128"/>
        <item x="42"/>
        <item x="54"/>
        <item x="108"/>
        <item x="161"/>
        <item x="94"/>
        <item x="193"/>
        <item x="174"/>
        <item x="188"/>
        <item x="200"/>
        <item x="85"/>
        <item x="50"/>
        <item x="63"/>
        <item x="28"/>
        <item x="57"/>
        <item x="180"/>
        <item x="2"/>
        <item x="82"/>
        <item x="29"/>
        <item x="86"/>
        <item x="177"/>
        <item x="143"/>
        <item x="155"/>
        <item x="30"/>
        <item x="3"/>
        <item x="10"/>
        <item x="11"/>
        <item x="162"/>
        <item x="163"/>
        <item x="53"/>
        <item x="176"/>
        <item x="141"/>
        <item x="152"/>
        <item x="100"/>
        <item x="58"/>
        <item x="137"/>
        <item x="92"/>
        <item x="186"/>
        <item x="130"/>
        <item x="168"/>
        <item x="15"/>
        <item x="32"/>
        <item x="1"/>
        <item x="210"/>
        <item x="24"/>
        <item x="117"/>
        <item x="89"/>
        <item x="135"/>
        <item x="12"/>
        <item x="185"/>
        <item x="90"/>
        <item x="68"/>
        <item x="159"/>
        <item x="13"/>
        <item x="6"/>
        <item x="106"/>
        <item x="119"/>
        <item x="160"/>
        <item x="156"/>
        <item x="181"/>
        <item x="110"/>
        <item x="201"/>
        <item x="175"/>
        <item x="164"/>
        <item x="14"/>
        <item x="77"/>
        <item x="72"/>
        <item x="43"/>
        <item x="187"/>
        <item x="154"/>
        <item x="207"/>
        <item x="79"/>
        <item x="184"/>
        <item x="171"/>
        <item x="99"/>
        <item x="83"/>
        <item x="165"/>
        <item x="22"/>
        <item x="87"/>
        <item x="167"/>
        <item x="102"/>
        <item x="37"/>
        <item x="65"/>
        <item x="33"/>
        <item x="125"/>
        <item x="158"/>
        <item x="45"/>
        <item x="113"/>
        <item x="36"/>
        <item x="46"/>
        <item x="166"/>
        <item x="38"/>
        <item x="51"/>
        <item x="101"/>
        <item x="40"/>
        <item x="95"/>
        <item x="126"/>
        <item x="0"/>
        <item x="70"/>
        <item x="5"/>
        <item x="97"/>
        <item x="66"/>
        <item x="16"/>
        <item x="17"/>
        <item x="136"/>
        <item x="93"/>
        <item x="39"/>
        <item x="69"/>
        <item x="198"/>
        <item x="133"/>
        <item x="203"/>
        <item x="61"/>
        <item x="139"/>
        <item x="47"/>
        <item x="129"/>
        <item x="144"/>
        <item x="147"/>
        <item x="206"/>
        <item x="96"/>
        <item x="98"/>
        <item x="91"/>
        <item x="78"/>
        <item x="74"/>
        <item x="80"/>
        <item x="148"/>
        <item x="84"/>
        <item x="115"/>
        <item x="149"/>
        <item x="48"/>
        <item x="75"/>
        <item x="132"/>
        <item x="146"/>
        <item x="118"/>
        <item x="111"/>
        <item x="18"/>
        <item x="49"/>
        <item sd="0" x="76"/>
        <item x="202"/>
        <item x="191"/>
        <item x="19"/>
        <item x="194"/>
        <item x="112"/>
        <item x="142"/>
        <item x="151"/>
        <item x="64"/>
        <item x="120"/>
        <item x="205"/>
        <item x="169"/>
        <item x="190"/>
        <item x="73"/>
        <item x="20"/>
        <item x="7"/>
        <item x="34"/>
        <item m="1" x="212"/>
        <item x="122"/>
        <item x="81"/>
        <item x="21"/>
        <item x="123"/>
        <item x="189"/>
        <item x="114"/>
        <item x="127"/>
        <item x="131"/>
        <item x="107"/>
        <item x="134"/>
        <item x="59"/>
        <item x="4"/>
        <item x="23"/>
        <item x="52"/>
        <item x="204"/>
        <item x="150"/>
        <item x="145"/>
        <item x="170"/>
        <item x="208"/>
        <item x="196"/>
        <item x="182"/>
        <item x="209"/>
        <item x="124"/>
        <item m="1" x="211"/>
      </items>
    </pivotField>
    <pivotField axis="axisRow" outline="0" showAll="0" defaultSubtotal="0">
      <items count="224">
        <item x="163"/>
        <item x="139"/>
        <item x="0"/>
        <item x="102"/>
        <item x="61"/>
        <item x="75"/>
        <item x="70"/>
        <item x="63"/>
        <item x="37"/>
        <item x="192"/>
        <item x="86"/>
        <item x="120"/>
        <item x="9"/>
        <item x="62"/>
        <item x="125"/>
        <item x="188"/>
        <item x="109"/>
        <item x="168"/>
        <item x="13"/>
        <item x="179"/>
        <item x="202"/>
        <item x="178"/>
        <item x="161"/>
        <item x="55"/>
        <item x="138"/>
        <item x="27"/>
        <item x="206"/>
        <item x="197"/>
        <item x="153"/>
        <item x="158"/>
        <item x="185"/>
        <item x="114"/>
        <item x="51"/>
        <item x="64"/>
        <item x="28"/>
        <item x="166"/>
        <item x="124"/>
        <item x="207"/>
        <item x="213"/>
        <item x="189"/>
        <item x="167"/>
        <item x="121"/>
        <item x="56"/>
        <item x="129"/>
        <item x="43"/>
        <item x="57"/>
        <item x="113"/>
        <item x="211"/>
        <item x="72"/>
        <item x="190"/>
        <item x="93"/>
        <item x="143"/>
        <item x="104"/>
        <item x="36"/>
        <item x="11"/>
        <item x="29"/>
        <item x="180"/>
        <item x="165"/>
        <item x="17"/>
        <item x="58"/>
        <item x="187"/>
        <item x="133"/>
        <item x="172"/>
        <item x="59"/>
        <item x="89"/>
        <item x="30"/>
        <item x="217"/>
        <item x="154"/>
        <item x="94"/>
        <item x="184"/>
        <item x="212"/>
        <item x="208"/>
        <item x="175"/>
        <item x="152"/>
        <item x="73"/>
        <item x="2"/>
        <item x="26"/>
        <item x="31"/>
        <item x="108"/>
        <item x="76"/>
        <item x="219"/>
        <item x="65"/>
        <item x="60"/>
        <item x="130"/>
        <item x="12"/>
        <item x="186"/>
        <item x="176"/>
        <item x="198"/>
        <item x="33"/>
        <item x="132"/>
        <item x="160"/>
        <item x="193"/>
        <item x="177"/>
        <item x="14"/>
        <item x="3"/>
        <item x="91"/>
        <item x="46"/>
        <item x="45"/>
        <item x="137"/>
        <item x="20"/>
        <item x="164"/>
        <item x="106"/>
        <item x="32"/>
        <item x="218"/>
        <item x="15"/>
        <item x="4"/>
        <item x="111"/>
        <item x="123"/>
        <item x="162"/>
        <item x="142"/>
        <item x="159"/>
        <item x="115"/>
        <item x="169"/>
        <item x="156"/>
        <item x="199"/>
        <item x="200"/>
        <item x="24"/>
        <item x="1"/>
        <item x="54"/>
        <item x="34"/>
        <item x="119"/>
        <item x="84"/>
        <item x="5"/>
        <item x="216"/>
        <item x="21"/>
        <item x="92"/>
        <item x="182"/>
        <item x="68"/>
        <item x="82"/>
        <item x="48"/>
        <item x="126"/>
        <item x="204"/>
        <item x="50"/>
        <item x="117"/>
        <item x="181"/>
        <item x="22"/>
        <item x="38"/>
        <item x="74"/>
        <item x="39"/>
        <item x="98"/>
        <item x="209"/>
        <item x="122"/>
        <item x="107"/>
        <item x="77"/>
        <item x="88"/>
        <item x="99"/>
        <item x="194"/>
        <item x="103"/>
        <item x="222"/>
        <item x="23"/>
        <item x="150"/>
        <item x="96"/>
        <item x="136"/>
        <item x="97"/>
        <item x="47"/>
        <item x="144"/>
        <item x="214"/>
        <item x="145"/>
        <item x="87"/>
        <item x="141"/>
        <item x="191"/>
        <item x="173"/>
        <item x="69"/>
        <item x="134"/>
        <item x="85"/>
        <item x="25"/>
        <item x="101"/>
        <item x="10"/>
        <item x="95"/>
        <item x="81"/>
        <item x="41"/>
        <item x="196"/>
        <item x="49"/>
        <item x="35"/>
        <item x="53"/>
        <item x="147"/>
        <item x="44"/>
        <item x="148"/>
        <item x="135"/>
        <item x="146"/>
        <item x="16"/>
        <item x="78"/>
        <item x="18"/>
        <item x="42"/>
        <item x="203"/>
        <item x="66"/>
        <item x="128"/>
        <item x="205"/>
        <item x="110"/>
        <item x="149"/>
        <item x="140"/>
        <item x="170"/>
        <item x="79"/>
        <item x="8"/>
        <item x="6"/>
        <item x="201"/>
        <item x="52"/>
        <item x="100"/>
        <item x="171"/>
        <item x="19"/>
        <item x="90"/>
        <item x="215"/>
        <item x="157"/>
        <item x="67"/>
        <item x="220"/>
        <item x="127"/>
        <item x="210"/>
        <item x="131"/>
        <item x="7"/>
        <item x="112"/>
        <item x="80"/>
        <item x="105"/>
        <item sd="0" x="155"/>
        <item x="83"/>
        <item x="71"/>
        <item x="40"/>
        <item x="151"/>
        <item x="195"/>
        <item x="174"/>
        <item x="183"/>
        <item x="118"/>
        <item x="221"/>
        <item x="116"/>
        <item m="1" x="223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outline="0" multipleItemSelectionAllowed="1" showAll="0" defaultSubtotal="0">
      <items count="13">
        <item x="1"/>
        <item x="0"/>
        <item x="2"/>
        <item x="9"/>
        <item x="8"/>
        <item x="5"/>
        <item x="7"/>
        <item x="4"/>
        <item x="3"/>
        <item x="6"/>
        <item x="10"/>
        <item m="1" x="12"/>
        <item m="1" x="11"/>
      </items>
    </pivotField>
    <pivotField showAll="0"/>
    <pivotField showAll="0"/>
    <pivotField showAll="0"/>
    <pivotField axis="axisPage" showAll="0">
      <items count="16">
        <item sd="0" m="1" x="11"/>
        <item sd="0" m="1" x="14"/>
        <item sd="0" m="1" x="10"/>
        <item sd="0" m="1" x="13"/>
        <item sd="0" m="1" x="9"/>
        <item sd="0" m="1" x="12"/>
        <item sd="0" x="2"/>
        <item sd="0" x="3"/>
        <item sd="0" x="1"/>
        <item x="0"/>
        <item x="6"/>
        <item x="4"/>
        <item x="5"/>
        <item x="8"/>
        <item x="7"/>
        <item t="default" sd="0"/>
      </items>
    </pivotField>
  </pivotFields>
  <rowFields count="3">
    <field x="0"/>
    <field x="3"/>
    <field x="4"/>
  </rowFields>
  <rowItems count="130">
    <i>
      <x v="2"/>
      <x v="51"/>
      <x v="75"/>
    </i>
    <i>
      <x v="5"/>
      <x v="200"/>
      <x v="122"/>
    </i>
    <i>
      <x v="25"/>
      <x v="191"/>
      <x v="149"/>
    </i>
    <i>
      <x v="37"/>
      <x v="58"/>
      <x v="93"/>
    </i>
    <i>
      <x v="40"/>
      <x v="118"/>
      <x v="119"/>
    </i>
    <i>
      <x v="56"/>
      <x v="102"/>
      <x v="129"/>
    </i>
    <i>
      <x v="58"/>
      <x v="121"/>
      <x v="124"/>
    </i>
    <i>
      <x v="59"/>
      <x v="124"/>
      <x v="132"/>
    </i>
    <i>
      <x v="60"/>
      <x v="129"/>
      <x v="135"/>
    </i>
    <i>
      <x v="64"/>
      <x v="16"/>
      <x v="76"/>
    </i>
    <i>
      <x v="69"/>
      <x v="79"/>
      <x v="196"/>
    </i>
    <i>
      <x v="84"/>
      <x v="83"/>
      <x v="167"/>
    </i>
    <i>
      <x v="88"/>
      <x v="146"/>
      <x v="122"/>
    </i>
    <i>
      <x v="92"/>
      <x v="179"/>
      <x v="165"/>
    </i>
    <i>
      <x v="99"/>
      <x v="136"/>
      <x v="4"/>
    </i>
    <i>
      <x v="103"/>
      <x v="9"/>
      <x v="170"/>
    </i>
    <i>
      <x v="106"/>
      <x v="126"/>
      <x v="127"/>
    </i>
    <i>
      <x v="108"/>
      <x v="133"/>
      <x v="138"/>
    </i>
    <i>
      <x v="109"/>
      <x v="201"/>
      <x v="6"/>
    </i>
    <i>
      <x v="113"/>
      <x v="101"/>
      <x v="214"/>
    </i>
    <i>
      <x v="122"/>
      <x v="86"/>
      <x v="119"/>
    </i>
    <i>
      <x v="137"/>
      <x v="64"/>
      <x v="96"/>
    </i>
    <i>
      <x v="143"/>
      <x v="112"/>
      <x v="127"/>
    </i>
    <i>
      <x v="145"/>
      <x v="116"/>
      <x v="132"/>
    </i>
    <i>
      <x v="151"/>
      <x v="6"/>
      <x v="210"/>
    </i>
    <i>
      <x v="160"/>
      <x v="100"/>
      <x v="94"/>
    </i>
    <i>
      <x v="184"/>
      <x v="47"/>
      <x v="200"/>
    </i>
    <i>
      <x v="190"/>
      <x v="79"/>
      <x v="118"/>
    </i>
    <i>
      <x v="200"/>
      <x v="45"/>
      <x v="68"/>
    </i>
    <i>
      <x v="201"/>
      <x v="54"/>
      <x v="74"/>
    </i>
    <i>
      <x v="235"/>
      <x v="126"/>
      <x v="143"/>
    </i>
    <i>
      <x v="236"/>
      <x v="116"/>
      <x v="153"/>
    </i>
    <i>
      <x v="247"/>
      <x v="77"/>
      <x v="75"/>
    </i>
    <i>
      <x v="252"/>
      <x v="153"/>
      <x v="118"/>
    </i>
    <i>
      <x v="254"/>
      <x v="117"/>
      <x v="194"/>
    </i>
    <i>
      <x v="267"/>
      <x v="100"/>
      <x v="128"/>
    </i>
    <i>
      <x v="287"/>
      <x v="8"/>
      <x v="34"/>
    </i>
    <i>
      <x v="295"/>
      <x v="81"/>
      <x v="168"/>
    </i>
    <i>
      <x v="296"/>
      <x v="68"/>
      <x v="101"/>
    </i>
    <i>
      <x v="300"/>
      <x v="116"/>
      <x v="136"/>
    </i>
    <i>
      <x v="307"/>
      <x v="45"/>
      <x v="192"/>
    </i>
    <i>
      <x v="316"/>
      <x v="140"/>
      <x v="136"/>
    </i>
    <i>
      <x v="328"/>
      <x v="60"/>
      <x v="196"/>
    </i>
    <i>
      <x v="330"/>
      <x v="100"/>
      <x v="94"/>
    </i>
    <i>
      <x v="334"/>
      <x v="117"/>
      <x v="194"/>
    </i>
    <i>
      <x v="342"/>
      <x v="126"/>
      <x v="143"/>
    </i>
    <i>
      <x v="345"/>
      <x v="186"/>
      <x v="128"/>
    </i>
    <i>
      <x v="346"/>
      <x v="134"/>
      <x v="4"/>
    </i>
    <i>
      <x v="348"/>
      <x v="28"/>
      <x v="7"/>
    </i>
    <i>
      <x v="349"/>
      <x v="12"/>
      <x v="4"/>
    </i>
    <i>
      <x v="353"/>
      <x v="46"/>
      <x v="174"/>
    </i>
    <i>
      <x v="361"/>
      <x v="34"/>
      <x v="174"/>
    </i>
    <i>
      <x v="368"/>
      <x v="155"/>
      <x v="46"/>
    </i>
    <i>
      <x v="376"/>
      <x v="118"/>
      <x v="119"/>
    </i>
    <i>
      <x v="388"/>
      <x v="58"/>
      <x v="93"/>
    </i>
    <i>
      <x v="391"/>
      <x v="76"/>
      <x v="111"/>
    </i>
    <i>
      <x v="395"/>
      <x v="5"/>
      <x v="192"/>
    </i>
    <i>
      <x v="402"/>
      <x v="100"/>
      <x v="128"/>
    </i>
    <i>
      <x v="405"/>
      <x v="27"/>
      <x v="174"/>
    </i>
    <i>
      <x v="412"/>
      <x v="59"/>
      <x v="94"/>
    </i>
    <i>
      <x v="417"/>
      <x v="124"/>
      <x v="138"/>
    </i>
    <i>
      <x v="418"/>
      <x v="148"/>
      <x v="138"/>
    </i>
    <i>
      <x v="422"/>
      <x v="60"/>
      <x v="54"/>
    </i>
    <i>
      <x v="423"/>
      <x v="79"/>
      <x v="76"/>
    </i>
    <i>
      <x v="431"/>
      <x v="199"/>
      <x v="6"/>
    </i>
    <i>
      <x v="433"/>
      <x v="4"/>
      <x v="144"/>
    </i>
    <i>
      <x v="437"/>
      <x v="76"/>
      <x v="74"/>
    </i>
    <i>
      <x v="439"/>
      <x v="126"/>
      <x v="143"/>
    </i>
    <i>
      <x v="441"/>
      <x v="194"/>
      <x v="214"/>
    </i>
    <i>
      <x v="480"/>
      <x v="129"/>
      <x v="141"/>
    </i>
    <i>
      <x v="499"/>
      <x v="28"/>
      <x v="7"/>
    </i>
    <i>
      <x v="509"/>
      <x v="194"/>
      <x v="118"/>
    </i>
    <i>
      <x v="510"/>
      <x v="7"/>
      <x v="213"/>
    </i>
    <i>
      <x v="511"/>
      <x v="211"/>
      <x v="203"/>
    </i>
    <i>
      <x v="519"/>
      <x v="76"/>
      <x v="74"/>
    </i>
    <i>
      <x v="546"/>
      <x v="46"/>
      <x v="75"/>
    </i>
    <i>
      <x v="565"/>
      <x v="124"/>
      <x v="143"/>
    </i>
    <i>
      <x v="573"/>
      <x v="6"/>
      <x v="23"/>
    </i>
    <i>
      <x v="574"/>
      <x v="19"/>
      <x v="32"/>
    </i>
    <i>
      <x v="575"/>
      <x v="28"/>
      <x v="54"/>
    </i>
    <i>
      <x v="578"/>
      <x v="46"/>
      <x v="63"/>
    </i>
    <i>
      <x v="579"/>
      <x v="51"/>
      <x v="75"/>
    </i>
    <i>
      <x v="580"/>
      <x v="165"/>
      <x v="94"/>
    </i>
    <i>
      <x v="582"/>
      <x v="59"/>
      <x v="178"/>
    </i>
    <i>
      <x v="585"/>
      <x v="186"/>
      <x v="122"/>
    </i>
    <i>
      <x v="593"/>
      <x v="82"/>
      <x v="7"/>
    </i>
    <i>
      <x v="601"/>
      <x v="161"/>
      <x v="53"/>
    </i>
    <i>
      <x v="605"/>
      <x v="79"/>
      <x v="83"/>
    </i>
    <i>
      <x v="607"/>
      <x v="90"/>
      <x v="95"/>
    </i>
    <i>
      <x v="611"/>
      <x v="60"/>
      <x v="152"/>
    </i>
    <i>
      <x v="620"/>
      <x v="100"/>
      <x v="94"/>
    </i>
    <i>
      <x v="622"/>
      <x v="199"/>
      <x v="213"/>
    </i>
    <i>
      <x v="623"/>
      <x v="155"/>
      <x v="99"/>
    </i>
    <i>
      <x v="625"/>
      <x v="100"/>
      <x v="122"/>
    </i>
    <i>
      <x v="626"/>
      <x v="28"/>
      <x v="24"/>
    </i>
    <i>
      <x v="645"/>
      <x v="76"/>
      <x v="74"/>
    </i>
    <i>
      <x v="647"/>
      <x v="83"/>
      <x v="168"/>
    </i>
    <i>
      <x v="653"/>
      <x v="138"/>
      <x v="199"/>
    </i>
    <i>
      <x v="655"/>
      <x v="169"/>
      <x v="99"/>
    </i>
    <i>
      <x v="657"/>
      <x v="177"/>
      <x v="182"/>
    </i>
    <i>
      <x v="662"/>
      <x v="29"/>
      <x v="55"/>
    </i>
    <i>
      <x v="663"/>
      <x v="16"/>
      <x v="168"/>
    </i>
    <i>
      <x v="664"/>
      <x v="83"/>
      <x v="18"/>
    </i>
    <i>
      <x v="665"/>
      <x v="112"/>
      <x v="135"/>
    </i>
    <i>
      <x v="671"/>
      <x v="4"/>
      <x v="144"/>
    </i>
    <i>
      <x v="672"/>
      <x v="12"/>
      <x v="4"/>
    </i>
    <i>
      <x v="768"/>
      <x v="159"/>
      <x v="8"/>
    </i>
    <i>
      <x v="769"/>
      <x v="182"/>
      <x v="177"/>
    </i>
    <i>
      <x v="812"/>
      <x v="77"/>
      <x v="165"/>
    </i>
    <i>
      <x v="816"/>
      <x v="33"/>
      <x v="207"/>
    </i>
    <i>
      <x v="825"/>
      <x v="61"/>
      <x v="55"/>
    </i>
    <i>
      <x v="852"/>
      <x v="51"/>
      <x v="53"/>
    </i>
    <i>
      <x v="858"/>
      <x v="202"/>
      <x v="8"/>
    </i>
    <i>
      <x v="899"/>
      <x v="7"/>
      <x v="33"/>
    </i>
    <i>
      <x v="935"/>
      <x v="201"/>
      <x v="45"/>
    </i>
    <i>
      <x v="936"/>
      <x v="202"/>
      <x v="171"/>
    </i>
    <i>
      <x v="951"/>
      <x v="47"/>
      <x v="33"/>
    </i>
    <i>
      <x v="954"/>
      <x v="189"/>
      <x v="95"/>
    </i>
    <i>
      <x v="956"/>
      <x v="186"/>
      <x v="128"/>
    </i>
    <i>
      <x v="974"/>
      <x v="28"/>
      <x v="54"/>
    </i>
    <i>
      <x v="975"/>
      <x v="47"/>
      <x v="76"/>
    </i>
    <i>
      <x v="976"/>
      <x v="60"/>
      <x v="95"/>
    </i>
    <i>
      <x v="994"/>
      <x v="175"/>
      <x v="187"/>
    </i>
    <i>
      <x v="1062"/>
      <x v="172"/>
      <x v="165"/>
    </i>
    <i>
      <x v="1064"/>
      <x v="46"/>
      <x v="165"/>
    </i>
    <i>
      <x v="1109"/>
      <x v="152"/>
      <x v="144"/>
    </i>
    <i>
      <x v="1127"/>
      <x v="191"/>
      <x v="163"/>
    </i>
    <i>
      <x v="1133"/>
      <x v="202"/>
      <x v="171"/>
    </i>
    <i>
      <x v="1174"/>
      <x v="55"/>
      <x v="75"/>
    </i>
    <i t="grand">
      <x/>
    </i>
  </rowItems>
  <colItems count="1">
    <i/>
  </colItems>
  <pageFields count="2">
    <pageField fld="31" item="6" hier="-1"/>
    <pageField fld="27" hier="-1"/>
  </pageFields>
  <dataFields count="1">
    <dataField name="Sum of Length" fld="5" baseField="0" baseItem="105" numFmtId="16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3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N525" firstHeaderRow="1" firstDataRow="2" firstDataCol="3" rowPageCount="1" colPageCount="1"/>
  <pivotFields count="33">
    <pivotField showAll="0"/>
    <pivotField axis="axisRow" outline="0" showAll="0" defaultSubtotal="0">
      <items count="1180">
        <item x="0"/>
        <item x="322"/>
        <item x="2"/>
        <item x="3"/>
        <item x="4"/>
        <item x="5"/>
        <item x="6"/>
        <item x="7"/>
        <item x="8"/>
        <item x="9"/>
        <item x="10"/>
        <item x="328"/>
        <item x="12"/>
        <item x="221"/>
        <item x="1116"/>
        <item x="15"/>
        <item x="16"/>
        <item x="17"/>
        <item x="419"/>
        <item x="1141"/>
        <item x="20"/>
        <item x="21"/>
        <item x="22"/>
        <item x="23"/>
        <item x="24"/>
        <item x="25"/>
        <item x="89"/>
        <item x="90"/>
        <item x="94"/>
        <item x="29"/>
        <item x="206"/>
        <item x="31"/>
        <item x="32"/>
        <item x="33"/>
        <item x="34"/>
        <item x="35"/>
        <item x="36"/>
        <item x="37"/>
        <item x="619"/>
        <item x="39"/>
        <item x="40"/>
        <item x="422"/>
        <item x="54"/>
        <item x="43"/>
        <item x="44"/>
        <item x="45"/>
        <item x="46"/>
        <item x="47"/>
        <item x="48"/>
        <item x="49"/>
        <item x="50"/>
        <item x="51"/>
        <item x="95"/>
        <item x="53"/>
        <item x="641"/>
        <item x="55"/>
        <item x="56"/>
        <item x="215"/>
        <item x="58"/>
        <item x="59"/>
        <item x="60"/>
        <item x="61"/>
        <item x="62"/>
        <item x="63"/>
        <item x="64"/>
        <item x="65"/>
        <item x="431"/>
        <item x="67"/>
        <item x="1113"/>
        <item x="69"/>
        <item x="70"/>
        <item x="71"/>
        <item x="433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41"/>
        <item x="86"/>
        <item x="87"/>
        <item x="88"/>
        <item x="424"/>
        <item x="607"/>
        <item x="428"/>
        <item x="92"/>
        <item x="93"/>
        <item x="395"/>
        <item x="632"/>
        <item x="628"/>
        <item x="401"/>
        <item x="98"/>
        <item x="99"/>
        <item x="453"/>
        <item x="102"/>
        <item m="1" x="1177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455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6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351"/>
        <item x="139"/>
        <item x="140"/>
        <item x="141"/>
        <item x="142"/>
        <item x="143"/>
        <item x="68"/>
        <item x="145"/>
        <item x="146"/>
        <item x="147"/>
        <item x="173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01"/>
        <item x="97"/>
        <item x="100"/>
        <item x="175"/>
        <item x="176"/>
        <item x="177"/>
        <item x="318"/>
        <item x="172"/>
        <item x="180"/>
        <item x="1163"/>
        <item x="457"/>
        <item x="183"/>
        <item x="184"/>
        <item x="185"/>
        <item x="186"/>
        <item x="485"/>
        <item x="188"/>
        <item x="189"/>
        <item x="190"/>
        <item x="353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91"/>
        <item x="956"/>
        <item x="205"/>
        <item x="1013"/>
        <item x="207"/>
        <item x="208"/>
        <item x="209"/>
        <item x="210"/>
        <item x="211"/>
        <item x="212"/>
        <item x="213"/>
        <item x="214"/>
        <item x="52"/>
        <item x="216"/>
        <item x="217"/>
        <item x="218"/>
        <item x="219"/>
        <item x="220"/>
        <item x="114"/>
        <item x="222"/>
        <item x="223"/>
        <item x="72"/>
        <item x="85"/>
        <item x="226"/>
        <item x="227"/>
        <item x="228"/>
        <item x="229"/>
        <item x="230"/>
        <item x="231"/>
        <item x="232"/>
        <item x="1012"/>
        <item x="234"/>
        <item x="235"/>
        <item x="236"/>
        <item x="237"/>
        <item x="238"/>
        <item x="239"/>
        <item x="1085"/>
        <item x="241"/>
        <item x="242"/>
        <item x="430"/>
        <item x="244"/>
        <item x="245"/>
        <item x="246"/>
        <item x="248"/>
        <item x="267"/>
        <item x="348"/>
        <item x="233"/>
        <item x="252"/>
        <item x="253"/>
        <item x="254"/>
        <item x="255"/>
        <item x="256"/>
        <item x="28"/>
        <item x="258"/>
        <item x="259"/>
        <item x="260"/>
        <item x="261"/>
        <item x="262"/>
        <item x="187"/>
        <item x="264"/>
        <item x="265"/>
        <item x="266"/>
        <item x="285"/>
        <item x="268"/>
        <item x="30"/>
        <item x="270"/>
        <item x="271"/>
        <item x="272"/>
        <item x="273"/>
        <item x="274"/>
        <item x="126"/>
        <item x="276"/>
        <item x="277"/>
        <item x="278"/>
        <item x="279"/>
        <item x="280"/>
        <item x="281"/>
        <item x="282"/>
        <item x="286"/>
        <item x="284"/>
        <item x="310"/>
        <item x="409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1086"/>
        <item x="300"/>
        <item x="301"/>
        <item x="302"/>
        <item x="303"/>
        <item x="1087"/>
        <item x="1017"/>
        <item x="634"/>
        <item x="307"/>
        <item x="308"/>
        <item x="309"/>
        <item x="14"/>
        <item x="311"/>
        <item x="638"/>
        <item x="313"/>
        <item x="314"/>
        <item x="315"/>
        <item x="316"/>
        <item x="317"/>
        <item x="182"/>
        <item x="319"/>
        <item x="320"/>
        <item x="243"/>
        <item x="1016"/>
        <item x="1095"/>
        <item x="324"/>
        <item x="325"/>
        <item x="326"/>
        <item x="327"/>
        <item x="224"/>
        <item x="329"/>
        <item x="11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13"/>
        <item x="345"/>
        <item x="346"/>
        <item x="347"/>
        <item x="269"/>
        <item x="349"/>
        <item x="350"/>
        <item x="275"/>
        <item x="352"/>
        <item x="487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181"/>
        <item x="240"/>
        <item x="392"/>
        <item x="393"/>
        <item x="394"/>
        <item x="225"/>
        <item x="396"/>
        <item x="398"/>
        <item x="399"/>
        <item x="400"/>
        <item x="511"/>
        <item x="402"/>
        <item x="403"/>
        <item x="404"/>
        <item x="405"/>
        <item x="179"/>
        <item x="408"/>
        <item x="148"/>
        <item x="410"/>
        <item x="411"/>
        <item x="412"/>
        <item x="413"/>
        <item x="516"/>
        <item x="415"/>
        <item x="416"/>
        <item x="417"/>
        <item x="418"/>
        <item x="520"/>
        <item x="420"/>
        <item x="421"/>
        <item x="257"/>
        <item x="423"/>
        <item x="204"/>
        <item x="425"/>
        <item x="426"/>
        <item x="427"/>
        <item x="321"/>
        <item x="250"/>
        <item x="249"/>
        <item x="263"/>
        <item x="432"/>
        <item x="59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989"/>
        <item x="452"/>
        <item x="1006"/>
        <item x="454"/>
        <item x="138"/>
        <item x="456"/>
        <item x="1132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18"/>
        <item x="486"/>
        <item x="144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1"/>
        <item x="512"/>
        <item x="513"/>
        <item x="514"/>
        <item x="515"/>
        <item x="618"/>
        <item x="517"/>
        <item x="518"/>
        <item x="519"/>
        <item x="323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414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652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6"/>
        <item x="305"/>
        <item x="568"/>
        <item x="569"/>
        <item x="304"/>
        <item x="306"/>
        <item x="572"/>
        <item x="573"/>
        <item x="574"/>
        <item x="575"/>
        <item x="576"/>
        <item x="577"/>
        <item x="578"/>
        <item x="579"/>
        <item x="42"/>
        <item x="581"/>
        <item x="582"/>
        <item x="583"/>
        <item x="584"/>
        <item x="960"/>
        <item x="586"/>
        <item x="587"/>
        <item x="96"/>
        <item x="589"/>
        <item x="590"/>
        <item x="591"/>
        <item x="592"/>
        <item x="53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551"/>
        <item x="608"/>
        <item x="609"/>
        <item x="610"/>
        <item x="611"/>
        <item x="612"/>
        <item x="613"/>
        <item x="614"/>
        <item x="615"/>
        <item x="616"/>
        <item x="617"/>
        <item x="251"/>
        <item x="283"/>
        <item x="620"/>
        <item x="621"/>
        <item x="622"/>
        <item x="623"/>
        <item x="624"/>
        <item x="625"/>
        <item x="626"/>
        <item x="627"/>
        <item x="567"/>
        <item x="629"/>
        <item x="630"/>
        <item x="631"/>
        <item x="570"/>
        <item x="633"/>
        <item x="571"/>
        <item x="635"/>
        <item x="636"/>
        <item x="637"/>
        <item x="429"/>
        <item x="639"/>
        <item x="640"/>
        <item x="330"/>
        <item x="642"/>
        <item x="643"/>
        <item x="644"/>
        <item x="645"/>
        <item x="646"/>
        <item x="647"/>
        <item x="648"/>
        <item x="649"/>
        <item x="1023"/>
        <item x="651"/>
        <item x="390"/>
        <item x="391"/>
        <item x="26"/>
        <item x="655"/>
        <item x="656"/>
        <item x="657"/>
        <item x="658"/>
        <item x="659"/>
        <item x="660"/>
        <item x="661"/>
        <item x="662"/>
        <item x="663"/>
        <item x="650"/>
        <item x="665"/>
        <item x="666"/>
        <item x="667"/>
        <item x="668"/>
        <item x="669"/>
        <item x="670"/>
        <item x="671"/>
        <item x="672"/>
        <item x="673"/>
        <item x="1030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946"/>
        <item x="701"/>
        <item x="702"/>
        <item x="703"/>
        <item x="704"/>
        <item x="705"/>
        <item x="706"/>
        <item x="707"/>
        <item x="1031"/>
        <item x="740"/>
        <item x="710"/>
        <item x="711"/>
        <item x="712"/>
        <item x="713"/>
        <item x="714"/>
        <item x="715"/>
        <item x="732"/>
        <item x="717"/>
        <item x="718"/>
        <item x="719"/>
        <item x="775"/>
        <item x="721"/>
        <item x="722"/>
        <item x="723"/>
        <item x="724"/>
        <item x="725"/>
        <item x="726"/>
        <item x="727"/>
        <item x="709"/>
        <item x="729"/>
        <item x="730"/>
        <item x="731"/>
        <item x="1032"/>
        <item x="1033"/>
        <item x="1054"/>
        <item x="735"/>
        <item x="736"/>
        <item x="737"/>
        <item x="1056"/>
        <item x="1064"/>
        <item x="1077"/>
        <item x="1079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299"/>
        <item x="755"/>
        <item x="756"/>
        <item x="406"/>
        <item x="758"/>
        <item x="759"/>
        <item x="760"/>
        <item x="777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1081"/>
        <item x="776"/>
        <item x="787"/>
        <item x="778"/>
        <item x="779"/>
        <item x="780"/>
        <item x="781"/>
        <item x="782"/>
        <item x="783"/>
        <item x="784"/>
        <item m="1" x="1169"/>
        <item x="786"/>
        <item m="1" x="1171"/>
        <item x="788"/>
        <item x="789"/>
        <item x="790"/>
        <item x="791"/>
        <item x="1082"/>
        <item x="793"/>
        <item x="794"/>
        <item x="795"/>
        <item x="741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754"/>
        <item x="813"/>
        <item x="814"/>
        <item x="792"/>
        <item x="817"/>
        <item x="818"/>
        <item x="819"/>
        <item x="821"/>
        <item x="653"/>
        <item x="823"/>
        <item x="824"/>
        <item x="825"/>
        <item x="826"/>
        <item x="75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738"/>
        <item x="858"/>
        <item x="859"/>
        <item x="860"/>
        <item x="861"/>
        <item x="862"/>
        <item x="344"/>
        <item x="864"/>
        <item x="720"/>
        <item x="866"/>
        <item x="867"/>
        <item x="868"/>
        <item x="869"/>
        <item x="728"/>
        <item x="871"/>
        <item x="872"/>
        <item x="654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580"/>
        <item x="898"/>
        <item x="899"/>
        <item x="900"/>
        <item x="901"/>
        <item m="1" x="1178"/>
        <item x="903"/>
        <item x="904"/>
        <item x="906"/>
        <item m="1" x="1172"/>
        <item x="907"/>
        <item x="908"/>
        <item x="796"/>
        <item x="812"/>
        <item x="911"/>
        <item x="912"/>
        <item x="815"/>
        <item x="816"/>
        <item x="822"/>
        <item x="916"/>
        <item x="917"/>
        <item x="918"/>
        <item x="919"/>
        <item x="920"/>
        <item x="921"/>
        <item x="922"/>
        <item x="733"/>
        <item x="924"/>
        <item x="925"/>
        <item x="827"/>
        <item x="927"/>
        <item x="928"/>
        <item x="929"/>
        <item x="930"/>
        <item x="931"/>
        <item x="761"/>
        <item x="933"/>
        <item x="934"/>
        <item x="935"/>
        <item x="936"/>
        <item x="937"/>
        <item x="857"/>
        <item x="939"/>
        <item x="940"/>
        <item x="941"/>
        <item x="942"/>
        <item x="943"/>
        <item x="944"/>
        <item x="945"/>
        <item x="1156"/>
        <item x="947"/>
        <item x="948"/>
        <item x="949"/>
        <item x="950"/>
        <item x="951"/>
        <item x="863"/>
        <item x="952"/>
        <item x="954"/>
        <item x="955"/>
        <item x="57"/>
        <item x="957"/>
        <item x="958"/>
        <item x="959"/>
        <item x="174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73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865"/>
        <item x="1007"/>
        <item x="1008"/>
        <item x="1009"/>
        <item x="1010"/>
        <item x="1011"/>
        <item x="664"/>
        <item x="674"/>
        <item x="1014"/>
        <item x="1015"/>
        <item x="870"/>
        <item x="873"/>
        <item x="1018"/>
        <item x="1019"/>
        <item x="1020"/>
        <item x="1021"/>
        <item x="1022"/>
        <item x="897"/>
        <item x="1024"/>
        <item x="1025"/>
        <item x="1026"/>
        <item x="1027"/>
        <item x="1028"/>
        <item x="1029"/>
        <item x="909"/>
        <item x="27"/>
        <item x="19"/>
        <item x="910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913"/>
        <item x="1055"/>
        <item x="312"/>
        <item x="1057"/>
        <item x="1060"/>
        <item x="1061"/>
        <item x="1062"/>
        <item x="1063"/>
        <item x="585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914"/>
        <item x="1078"/>
        <item x="915"/>
        <item x="1080"/>
        <item x="588"/>
        <item x="716"/>
        <item x="1083"/>
        <item x="1084"/>
        <item x="191"/>
        <item x="203"/>
        <item x="178"/>
        <item x="1088"/>
        <item x="1089"/>
        <item x="1090"/>
        <item m="1" x="1175"/>
        <item x="1092"/>
        <item x="1093"/>
        <item x="1094"/>
        <item x="923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734"/>
        <item x="1114"/>
        <item x="1115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932"/>
        <item x="1133"/>
        <item x="1134"/>
        <item x="1135"/>
        <item x="1136"/>
        <item x="1139"/>
        <item x="1140"/>
        <item x="938"/>
        <item x="1142"/>
        <item x="1143"/>
        <item x="1146"/>
        <item x="1147"/>
        <item x="1148"/>
        <item x="1149"/>
        <item x="1150"/>
        <item x="1151"/>
        <item x="1152"/>
        <item x="1153"/>
        <item x="1155"/>
        <item x="953"/>
        <item x="1157"/>
        <item x="1158"/>
        <item x="1159"/>
        <item x="700"/>
        <item x="1162"/>
        <item x="708"/>
        <item x="1164"/>
        <item x="1165"/>
        <item x="1166"/>
        <item x="1167"/>
        <item x="1168"/>
        <item x="1058"/>
        <item x="1059"/>
        <item m="1" x="1176"/>
        <item x="1137"/>
        <item x="820"/>
        <item m="1" x="1173"/>
        <item x="1160"/>
        <item m="1" x="1170"/>
        <item x="1138"/>
        <item x="785"/>
        <item x="905"/>
        <item x="1091"/>
        <item x="926"/>
        <item x="804"/>
        <item x="1144"/>
        <item x="1145"/>
        <item x="1154"/>
        <item x="1053"/>
        <item x="247"/>
        <item x="961"/>
        <item x="451"/>
        <item x="753"/>
        <item x="407"/>
        <item x="1161"/>
        <item m="1" x="1174"/>
        <item x="902"/>
        <item x="38"/>
        <item x="556"/>
        <item m="1" x="1179"/>
        <item x="397"/>
      </items>
    </pivotField>
    <pivotField showAll="0"/>
    <pivotField showAll="0"/>
    <pivotField axis="axisRow" outline="0" showAll="0" defaultSubtotal="0">
      <items count="213">
        <item x="153"/>
        <item x="199"/>
        <item x="157"/>
        <item x="8"/>
        <item x="60"/>
        <item x="41"/>
        <item x="44"/>
        <item x="71"/>
        <item x="25"/>
        <item x="67"/>
        <item x="88"/>
        <item x="104"/>
        <item x="105"/>
        <item x="103"/>
        <item x="173"/>
        <item x="140"/>
        <item x="9"/>
        <item x="197"/>
        <item x="178"/>
        <item x="55"/>
        <item x="138"/>
        <item x="26"/>
        <item x="31"/>
        <item x="179"/>
        <item x="192"/>
        <item x="172"/>
        <item x="109"/>
        <item x="35"/>
        <item x="62"/>
        <item x="27"/>
        <item x="121"/>
        <item x="195"/>
        <item x="183"/>
        <item x="116"/>
        <item x="56"/>
        <item x="128"/>
        <item x="42"/>
        <item x="54"/>
        <item x="108"/>
        <item x="161"/>
        <item x="94"/>
        <item x="193"/>
        <item x="174"/>
        <item x="188"/>
        <item x="200"/>
        <item x="85"/>
        <item x="50"/>
        <item x="63"/>
        <item x="28"/>
        <item x="57"/>
        <item x="180"/>
        <item x="2"/>
        <item x="82"/>
        <item x="29"/>
        <item x="86"/>
        <item x="177"/>
        <item x="143"/>
        <item x="155"/>
        <item x="30"/>
        <item x="3"/>
        <item x="10"/>
        <item x="11"/>
        <item x="162"/>
        <item x="163"/>
        <item x="53"/>
        <item x="176"/>
        <item x="141"/>
        <item x="152"/>
        <item x="100"/>
        <item x="58"/>
        <item x="137"/>
        <item x="92"/>
        <item x="186"/>
        <item x="130"/>
        <item x="168"/>
        <item x="15"/>
        <item x="32"/>
        <item x="1"/>
        <item x="210"/>
        <item x="24"/>
        <item x="117"/>
        <item x="89"/>
        <item x="135"/>
        <item x="12"/>
        <item x="185"/>
        <item x="90"/>
        <item x="68"/>
        <item x="159"/>
        <item x="13"/>
        <item x="6"/>
        <item x="106"/>
        <item x="119"/>
        <item x="160"/>
        <item x="156"/>
        <item x="181"/>
        <item x="110"/>
        <item x="201"/>
        <item x="175"/>
        <item x="164"/>
        <item x="14"/>
        <item x="77"/>
        <item x="72"/>
        <item x="43"/>
        <item x="187"/>
        <item x="154"/>
        <item x="207"/>
        <item x="79"/>
        <item x="184"/>
        <item x="171"/>
        <item x="99"/>
        <item x="83"/>
        <item x="165"/>
        <item x="22"/>
        <item x="87"/>
        <item x="167"/>
        <item x="102"/>
        <item x="37"/>
        <item x="65"/>
        <item x="33"/>
        <item x="125"/>
        <item x="158"/>
        <item x="45"/>
        <item x="113"/>
        <item x="36"/>
        <item x="46"/>
        <item x="166"/>
        <item x="38"/>
        <item x="51"/>
        <item x="101"/>
        <item x="40"/>
        <item x="95"/>
        <item x="126"/>
        <item x="0"/>
        <item x="70"/>
        <item x="5"/>
        <item x="97"/>
        <item x="66"/>
        <item x="16"/>
        <item x="17"/>
        <item x="136"/>
        <item x="93"/>
        <item x="39"/>
        <item x="69"/>
        <item x="198"/>
        <item x="133"/>
        <item x="203"/>
        <item x="61"/>
        <item x="139"/>
        <item x="47"/>
        <item x="129"/>
        <item x="144"/>
        <item x="147"/>
        <item x="206"/>
        <item x="96"/>
        <item x="98"/>
        <item x="91"/>
        <item x="78"/>
        <item x="74"/>
        <item x="80"/>
        <item x="148"/>
        <item x="84"/>
        <item x="115"/>
        <item x="149"/>
        <item x="48"/>
        <item x="75"/>
        <item x="132"/>
        <item x="146"/>
        <item x="118"/>
        <item x="111"/>
        <item x="18"/>
        <item x="49"/>
        <item x="76"/>
        <item x="202"/>
        <item x="191"/>
        <item x="19"/>
        <item x="194"/>
        <item x="112"/>
        <item x="142"/>
        <item x="151"/>
        <item x="64"/>
        <item x="120"/>
        <item x="205"/>
        <item x="169"/>
        <item x="190"/>
        <item x="73"/>
        <item x="20"/>
        <item x="7"/>
        <item x="34"/>
        <item m="1" x="212"/>
        <item x="122"/>
        <item x="81"/>
        <item x="21"/>
        <item x="123"/>
        <item x="189"/>
        <item x="114"/>
        <item x="127"/>
        <item x="131"/>
        <item x="107"/>
        <item x="134"/>
        <item x="59"/>
        <item x="4"/>
        <item x="23"/>
        <item x="52"/>
        <item x="204"/>
        <item x="150"/>
        <item x="145"/>
        <item x="170"/>
        <item x="208"/>
        <item x="196"/>
        <item x="209"/>
        <item x="182"/>
        <item x="124"/>
        <item m="1" x="211"/>
      </items>
    </pivotField>
    <pivotField axis="axisRow" outline="0" showAll="0" defaultSubtotal="0">
      <items count="226">
        <item x="163"/>
        <item x="139"/>
        <item x="0"/>
        <item x="102"/>
        <item x="61"/>
        <item x="75"/>
        <item x="70"/>
        <item x="63"/>
        <item x="37"/>
        <item x="192"/>
        <item x="86"/>
        <item x="120"/>
        <item x="9"/>
        <item x="62"/>
        <item x="125"/>
        <item x="188"/>
        <item x="109"/>
        <item x="168"/>
        <item x="13"/>
        <item x="179"/>
        <item x="202"/>
        <item x="178"/>
        <item x="161"/>
        <item x="55"/>
        <item x="138"/>
        <item x="27"/>
        <item x="206"/>
        <item x="197"/>
        <item x="153"/>
        <item x="158"/>
        <item x="185"/>
        <item x="114"/>
        <item x="51"/>
        <item x="64"/>
        <item x="28"/>
        <item x="166"/>
        <item x="124"/>
        <item x="207"/>
        <item x="213"/>
        <item x="189"/>
        <item x="167"/>
        <item x="121"/>
        <item x="56"/>
        <item x="129"/>
        <item x="43"/>
        <item x="57"/>
        <item x="113"/>
        <item x="211"/>
        <item x="72"/>
        <item x="190"/>
        <item x="93"/>
        <item x="143"/>
        <item x="104"/>
        <item x="36"/>
        <item x="11"/>
        <item x="29"/>
        <item x="180"/>
        <item x="165"/>
        <item x="17"/>
        <item x="58"/>
        <item x="187"/>
        <item x="133"/>
        <item x="172"/>
        <item x="59"/>
        <item x="89"/>
        <item x="30"/>
        <item x="217"/>
        <item x="154"/>
        <item x="94"/>
        <item x="184"/>
        <item x="212"/>
        <item x="208"/>
        <item x="175"/>
        <item x="152"/>
        <item x="73"/>
        <item x="2"/>
        <item x="26"/>
        <item x="31"/>
        <item x="108"/>
        <item x="76"/>
        <item x="219"/>
        <item x="65"/>
        <item x="60"/>
        <item x="130"/>
        <item x="12"/>
        <item x="186"/>
        <item x="176"/>
        <item x="198"/>
        <item x="33"/>
        <item x="132"/>
        <item x="160"/>
        <item x="193"/>
        <item x="177"/>
        <item x="14"/>
        <item x="3"/>
        <item x="91"/>
        <item x="46"/>
        <item x="45"/>
        <item x="137"/>
        <item x="20"/>
        <item x="164"/>
        <item x="106"/>
        <item x="32"/>
        <item x="218"/>
        <item x="15"/>
        <item x="4"/>
        <item x="111"/>
        <item x="123"/>
        <item x="162"/>
        <item x="142"/>
        <item x="159"/>
        <item x="115"/>
        <item x="169"/>
        <item x="156"/>
        <item x="199"/>
        <item x="200"/>
        <item x="24"/>
        <item x="1"/>
        <item x="54"/>
        <item x="34"/>
        <item x="119"/>
        <item x="84"/>
        <item x="5"/>
        <item x="216"/>
        <item x="21"/>
        <item x="92"/>
        <item x="182"/>
        <item x="68"/>
        <item x="82"/>
        <item x="48"/>
        <item x="126"/>
        <item x="204"/>
        <item x="50"/>
        <item x="117"/>
        <item x="181"/>
        <item x="22"/>
        <item x="38"/>
        <item x="74"/>
        <item x="39"/>
        <item x="98"/>
        <item x="209"/>
        <item x="122"/>
        <item x="107"/>
        <item x="77"/>
        <item x="88"/>
        <item x="99"/>
        <item x="194"/>
        <item x="103"/>
        <item x="222"/>
        <item x="23"/>
        <item x="150"/>
        <item x="96"/>
        <item x="136"/>
        <item x="97"/>
        <item x="47"/>
        <item x="144"/>
        <item x="214"/>
        <item x="145"/>
        <item x="87"/>
        <item x="141"/>
        <item x="191"/>
        <item x="173"/>
        <item x="69"/>
        <item x="134"/>
        <item x="85"/>
        <item x="25"/>
        <item x="101"/>
        <item x="10"/>
        <item x="95"/>
        <item x="81"/>
        <item x="41"/>
        <item x="196"/>
        <item x="49"/>
        <item x="35"/>
        <item x="53"/>
        <item x="147"/>
        <item x="44"/>
        <item x="148"/>
        <item x="135"/>
        <item x="146"/>
        <item x="16"/>
        <item x="78"/>
        <item x="18"/>
        <item x="42"/>
        <item x="203"/>
        <item x="66"/>
        <item x="128"/>
        <item x="205"/>
        <item x="110"/>
        <item x="149"/>
        <item x="140"/>
        <item x="170"/>
        <item x="79"/>
        <item x="8"/>
        <item x="6"/>
        <item x="201"/>
        <item x="52"/>
        <item x="100"/>
        <item x="171"/>
        <item x="19"/>
        <item x="90"/>
        <item x="215"/>
        <item x="157"/>
        <item x="67"/>
        <item x="220"/>
        <item x="127"/>
        <item x="210"/>
        <item x="131"/>
        <item x="7"/>
        <item x="112"/>
        <item x="80"/>
        <item x="105"/>
        <item x="155"/>
        <item x="83"/>
        <item x="71"/>
        <item x="40"/>
        <item x="151"/>
        <item x="195"/>
        <item x="174"/>
        <item x="183"/>
        <item x="118"/>
        <item x="221"/>
        <item m="1" x="224"/>
        <item m="1" x="225"/>
        <item x="116"/>
        <item m="1" x="223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axis="axisCol" showAll="0">
      <items count="14">
        <item x="1"/>
        <item x="0"/>
        <item x="2"/>
        <item x="9"/>
        <item x="8"/>
        <item x="5"/>
        <item x="7"/>
        <item x="4"/>
        <item x="3"/>
        <item x="6"/>
        <item x="10"/>
        <item m="1" x="12"/>
        <item m="1" x="11"/>
        <item t="default"/>
      </items>
    </pivotField>
    <pivotField dataField="1" showAll="0"/>
    <pivotField showAll="0"/>
    <pivotField showAll="0" defaultSubtotal="0"/>
    <pivotField axis="axisPage" multipleItemSelectionAllowed="1" showAll="0">
      <items count="16">
        <item m="1" x="11"/>
        <item m="1" x="14"/>
        <item h="1" m="1" x="10"/>
        <item h="1" m="1" x="13"/>
        <item m="1" x="9"/>
        <item h="1" m="1" x="12"/>
        <item h="1" x="2"/>
        <item h="1" x="3"/>
        <item h="1" x="1"/>
        <item h="1" x="0"/>
        <item x="6"/>
        <item x="4"/>
        <item h="1" x="8"/>
        <item h="1" x="5"/>
        <item h="1" x="7"/>
        <item t="default"/>
      </items>
    </pivotField>
  </pivotFields>
  <rowFields count="3">
    <field x="1"/>
    <field x="4"/>
    <field x="5"/>
  </rowFields>
  <rowItems count="521">
    <i>
      <x v="1"/>
      <x v="4"/>
      <x v="13"/>
    </i>
    <i>
      <x v="4"/>
      <x v="77"/>
      <x v="105"/>
    </i>
    <i>
      <x v="7"/>
      <x v="89"/>
      <x v="208"/>
    </i>
    <i>
      <x v="8"/>
      <x v="186"/>
      <x v="193"/>
    </i>
    <i>
      <x v="11"/>
      <x v="11"/>
      <x v="16"/>
    </i>
    <i>
      <x v="12"/>
      <x v="16"/>
      <x v="167"/>
    </i>
    <i>
      <x v="13"/>
      <x v="58"/>
      <x v="151"/>
    </i>
    <i>
      <x v="14"/>
      <x v="76"/>
      <x v="74"/>
    </i>
    <i>
      <x v="15"/>
      <x v="83"/>
      <x v="18"/>
    </i>
    <i>
      <x v="17"/>
      <x v="99"/>
      <x v="104"/>
    </i>
    <i>
      <x v="18"/>
      <x v="99"/>
      <x v="120"/>
    </i>
    <i>
      <x v="19"/>
      <x v="105"/>
      <x v="124"/>
    </i>
    <i>
      <x v="20"/>
      <x v="137"/>
      <x v="182"/>
    </i>
    <i>
      <x v="21"/>
      <x v="138"/>
      <x v="199"/>
    </i>
    <i>
      <x v="22"/>
      <x v="169"/>
      <x v="99"/>
    </i>
    <i>
      <x v="24"/>
      <x v="185"/>
      <x v="135"/>
    </i>
    <i>
      <x v="26"/>
      <x v="28"/>
      <x v="7"/>
    </i>
    <i>
      <x v="27"/>
      <x v="47"/>
      <x v="33"/>
    </i>
    <i>
      <x v="28"/>
      <x v="60"/>
      <x v="54"/>
    </i>
    <i>
      <x v="30"/>
      <x v="148"/>
      <x v="95"/>
    </i>
    <i>
      <x v="38"/>
      <x v="86"/>
      <x v="119"/>
    </i>
    <i>
      <x v="41"/>
      <x v="116"/>
      <x v="116"/>
    </i>
    <i>
      <x v="42"/>
      <x v="118"/>
      <x v="154"/>
    </i>
    <i>
      <x v="45"/>
      <x v="126"/>
      <x v="138"/>
    </i>
    <i>
      <x v="52"/>
      <x v="58"/>
      <x v="185"/>
    </i>
    <i>
      <x v="54"/>
      <x v="76"/>
      <x v="74"/>
    </i>
    <i>
      <x v="57"/>
      <x v="112"/>
      <x v="116"/>
    </i>
    <i>
      <x v="66"/>
      <x v="161"/>
      <x v="53"/>
    </i>
    <i>
      <x v="67"/>
      <x v="46"/>
      <x v="75"/>
    </i>
    <i>
      <x v="68"/>
      <x v="60"/>
      <x v="95"/>
    </i>
    <i>
      <x v="71"/>
      <x v="202"/>
      <x v="118"/>
    </i>
    <i>
      <x v="72"/>
      <x v="185"/>
      <x v="122"/>
    </i>
    <i>
      <x v="85"/>
      <x v="187"/>
      <x v="173"/>
    </i>
    <i>
      <x v="87"/>
      <x v="4"/>
      <x v="13"/>
    </i>
    <i>
      <x v="89"/>
      <x v="109"/>
      <x v="128"/>
    </i>
    <i>
      <x v="90"/>
      <x v="186"/>
      <x v="144"/>
    </i>
    <i>
      <x v="91"/>
      <x v="117"/>
      <x v="194"/>
    </i>
    <i>
      <x v="94"/>
      <x v="4"/>
      <x v="13"/>
    </i>
    <i>
      <x v="95"/>
      <x v="147"/>
      <x v="122"/>
    </i>
    <i>
      <x v="96"/>
      <x v="109"/>
      <x v="128"/>
    </i>
    <i>
      <x v="97"/>
      <x v="186"/>
      <x v="144"/>
    </i>
    <i>
      <x v="100"/>
      <x v="46"/>
      <x v="174"/>
    </i>
    <i>
      <x v="104"/>
      <x v="86"/>
      <x v="77"/>
    </i>
    <i>
      <x v="114"/>
      <x v="79"/>
      <x v="118"/>
    </i>
    <i>
      <x v="119"/>
      <x v="157"/>
      <x v="74"/>
    </i>
    <i>
      <x v="124"/>
      <x v="102"/>
      <x v="129"/>
    </i>
    <i>
      <x v="125"/>
      <x v="116"/>
      <x v="116"/>
    </i>
    <i>
      <x v="126"/>
      <x v="118"/>
      <x v="154"/>
    </i>
    <i>
      <x v="128"/>
      <x v="9"/>
      <x v="162"/>
    </i>
    <i>
      <x v="130"/>
      <x v="170"/>
      <x v="5"/>
    </i>
    <i>
      <x v="131"/>
      <x v="29"/>
      <x v="25"/>
    </i>
    <i>
      <x v="132"/>
      <x v="36"/>
      <x v="34"/>
    </i>
    <i>
      <x v="133"/>
      <x v="36"/>
      <x v="55"/>
    </i>
    <i>
      <x v="134"/>
      <x v="164"/>
      <x v="55"/>
    </i>
    <i>
      <x v="136"/>
      <x v="61"/>
      <x v="79"/>
    </i>
    <i>
      <x v="138"/>
      <x v="58"/>
      <x v="93"/>
    </i>
    <i>
      <x v="141"/>
      <x v="118"/>
      <x v="119"/>
    </i>
    <i>
      <x v="144"/>
      <x v="127"/>
      <x v="129"/>
    </i>
    <i>
      <x v="148"/>
      <x v="61"/>
      <x v="176"/>
    </i>
    <i>
      <x v="149"/>
      <x v="21"/>
      <x v="183"/>
    </i>
    <i>
      <x v="153"/>
      <x v="27"/>
      <x v="6"/>
    </i>
    <i>
      <x v="155"/>
      <x v="46"/>
      <x v="32"/>
    </i>
    <i>
      <x v="157"/>
      <x v="59"/>
      <x v="53"/>
    </i>
    <i>
      <x v="170"/>
      <x v="158"/>
      <x v="10"/>
    </i>
    <i>
      <x v="171"/>
      <x v="76"/>
      <x v="116"/>
    </i>
    <i>
      <x v="172"/>
      <x v="99"/>
      <x v="127"/>
    </i>
    <i>
      <x v="173"/>
      <x v="116"/>
      <x v="136"/>
    </i>
    <i>
      <x v="174"/>
      <x v="126"/>
      <x v="138"/>
    </i>
    <i>
      <x v="175"/>
      <x v="129"/>
      <x v="170"/>
    </i>
    <i>
      <x v="178"/>
      <x v="47"/>
      <x v="33"/>
    </i>
    <i>
      <x v="179"/>
      <x v="7"/>
      <x v="213"/>
    </i>
    <i>
      <x v="181"/>
      <x v="77"/>
      <x v="168"/>
    </i>
    <i>
      <x v="182"/>
      <x v="100"/>
      <x v="94"/>
    </i>
    <i>
      <x v="187"/>
      <x v="59"/>
      <x v="53"/>
    </i>
    <i>
      <x v="191"/>
      <x v="100"/>
      <x v="94"/>
    </i>
    <i>
      <x v="194"/>
      <x v="27"/>
      <x v="174"/>
    </i>
    <i>
      <x v="195"/>
      <x v="8"/>
      <x v="18"/>
    </i>
    <i>
      <x v="202"/>
      <x v="61"/>
      <x v="96"/>
    </i>
    <i>
      <x v="203"/>
      <x v="58"/>
      <x v="81"/>
    </i>
    <i>
      <x v="204"/>
      <x v="80"/>
      <x v="119"/>
    </i>
    <i>
      <x v="205"/>
      <x v="81"/>
      <x v="168"/>
    </i>
    <i>
      <x v="206"/>
      <x v="68"/>
      <x v="101"/>
    </i>
    <i>
      <x v="210"/>
      <x v="118"/>
      <x v="137"/>
    </i>
    <i>
      <x v="215"/>
      <x v="191"/>
      <x v="97"/>
    </i>
    <i>
      <x v="221"/>
      <x v="184"/>
      <x v="48"/>
    </i>
    <i>
      <x v="223"/>
      <x v="171"/>
      <x v="74"/>
    </i>
    <i>
      <x v="224"/>
      <x v="64"/>
      <x v="77"/>
    </i>
    <i>
      <x v="225"/>
      <x v="64"/>
      <x v="84"/>
    </i>
    <i>
      <x v="227"/>
      <x v="58"/>
      <x v="93"/>
    </i>
    <i>
      <x v="230"/>
      <x v="76"/>
      <x v="116"/>
    </i>
    <i>
      <x v="233"/>
      <x v="127"/>
      <x v="129"/>
    </i>
    <i>
      <x v="234"/>
      <x v="140"/>
      <x v="136"/>
    </i>
    <i>
      <x v="237"/>
      <x v="61"/>
      <x v="176"/>
    </i>
    <i>
      <x v="239"/>
      <x v="40"/>
      <x v="185"/>
    </i>
    <i>
      <x v="240"/>
      <x v="5"/>
      <x v="192"/>
    </i>
    <i>
      <x v="243"/>
      <x v="28"/>
      <x v="54"/>
    </i>
    <i>
      <x v="244"/>
      <x v="46"/>
      <x v="174"/>
    </i>
    <i>
      <x v="248"/>
      <x v="100"/>
      <x v="94"/>
    </i>
    <i>
      <x v="249"/>
      <x v="100"/>
      <x v="128"/>
    </i>
    <i>
      <x v="250"/>
      <x v="186"/>
      <x v="144"/>
    </i>
    <i>
      <x v="253"/>
      <x v="27"/>
      <x v="165"/>
    </i>
    <i>
      <x v="256"/>
      <x v="201"/>
      <x v="165"/>
    </i>
    <i>
      <x v="258"/>
      <x v="9"/>
      <x v="162"/>
    </i>
    <i>
      <x v="262"/>
      <x v="118"/>
      <x v="137"/>
    </i>
    <i>
      <x v="266"/>
      <x v="27"/>
      <x v="6"/>
    </i>
    <i>
      <x v="268"/>
      <x v="201"/>
      <x v="165"/>
    </i>
    <i>
      <x v="269"/>
      <x v="46"/>
      <x v="75"/>
    </i>
    <i>
      <x v="272"/>
      <x v="7"/>
      <x v="33"/>
    </i>
    <i>
      <x v="274"/>
      <x v="6"/>
      <x v="32"/>
    </i>
    <i>
      <x v="275"/>
      <x v="28"/>
      <x v="54"/>
    </i>
    <i>
      <x v="280"/>
      <x v="77"/>
      <x v="117"/>
    </i>
    <i>
      <x v="282"/>
      <x v="109"/>
      <x v="128"/>
    </i>
    <i>
      <x v="284"/>
      <x v="117"/>
      <x v="194"/>
    </i>
    <i>
      <x v="285"/>
      <x v="7"/>
      <x v="213"/>
    </i>
    <i>
      <x v="290"/>
      <x v="61"/>
      <x v="55"/>
    </i>
    <i>
      <x v="291"/>
      <x v="45"/>
      <x v="68"/>
    </i>
    <i>
      <x v="292"/>
      <x v="54"/>
      <x v="74"/>
    </i>
    <i>
      <x v="298"/>
      <x v="118"/>
      <x v="119"/>
    </i>
    <i>
      <x v="303"/>
      <x v="191"/>
      <x v="97"/>
    </i>
    <i>
      <x v="304"/>
      <x v="5"/>
      <x v="183"/>
    </i>
    <i>
      <x v="305"/>
      <x v="8"/>
      <x v="34"/>
    </i>
    <i>
      <x v="306"/>
      <x v="29"/>
      <x v="55"/>
    </i>
    <i>
      <x v="308"/>
      <x v="48"/>
      <x v="77"/>
    </i>
    <i>
      <x v="309"/>
      <x v="61"/>
      <x v="84"/>
    </i>
    <i>
      <x v="311"/>
      <x v="83"/>
      <x v="8"/>
    </i>
    <i>
      <x v="317"/>
      <x v="170"/>
      <x v="99"/>
    </i>
    <i>
      <x v="319"/>
      <x v="184"/>
      <x v="5"/>
    </i>
    <i>
      <x v="320"/>
      <x v="190"/>
      <x v="4"/>
    </i>
    <i>
      <x v="321"/>
      <x v="6"/>
      <x v="191"/>
    </i>
    <i>
      <x v="322"/>
      <x v="28"/>
      <x v="7"/>
    </i>
    <i>
      <x v="325"/>
      <x v="27"/>
      <x v="53"/>
    </i>
    <i>
      <x v="327"/>
      <x v="59"/>
      <x v="53"/>
    </i>
    <i>
      <x v="329"/>
      <x v="59"/>
      <x v="94"/>
    </i>
    <i>
      <x v="333"/>
      <x v="153"/>
      <x v="118"/>
    </i>
    <i>
      <x v="336"/>
      <x v="7"/>
      <x v="213"/>
    </i>
    <i>
      <x v="337"/>
      <x v="202"/>
      <x v="166"/>
    </i>
    <i>
      <x v="343"/>
      <x v="60"/>
      <x v="54"/>
    </i>
    <i>
      <x v="347"/>
      <x v="201"/>
      <x v="6"/>
    </i>
    <i>
      <x v="350"/>
      <x v="6"/>
      <x v="32"/>
    </i>
    <i>
      <x v="351"/>
      <x v="47"/>
      <x v="33"/>
    </i>
    <i>
      <x v="352"/>
      <x v="27"/>
      <x v="42"/>
    </i>
    <i>
      <x v="354"/>
      <x v="60"/>
      <x v="54"/>
    </i>
    <i>
      <x v="355"/>
      <x v="79"/>
      <x v="76"/>
    </i>
    <i>
      <x v="365"/>
      <x v="133"/>
      <x v="3"/>
    </i>
    <i>
      <x v="370"/>
      <x v="48"/>
      <x v="77"/>
    </i>
    <i>
      <x v="372"/>
      <x v="61"/>
      <x v="96"/>
    </i>
    <i>
      <x v="373"/>
      <x v="102"/>
      <x v="96"/>
    </i>
    <i>
      <x v="380"/>
      <x v="126"/>
      <x v="138"/>
    </i>
    <i>
      <x v="381"/>
      <x v="129"/>
      <x v="143"/>
    </i>
    <i>
      <x v="382"/>
      <x v="29"/>
      <x v="168"/>
    </i>
    <i>
      <x v="385"/>
      <x v="184"/>
      <x v="31"/>
    </i>
    <i>
      <x v="386"/>
      <x v="26"/>
      <x v="52"/>
    </i>
    <i>
      <x v="387"/>
      <x v="45"/>
      <x v="74"/>
    </i>
    <i>
      <x v="389"/>
      <x v="171"/>
      <x v="93"/>
    </i>
    <i>
      <x v="390"/>
      <x v="8"/>
      <x v="99"/>
    </i>
    <i>
      <x v="392"/>
      <x v="95"/>
      <x v="116"/>
    </i>
    <i>
      <x v="394"/>
      <x v="83"/>
      <x v="183"/>
    </i>
    <i>
      <x v="399"/>
      <x v="46"/>
      <x v="174"/>
    </i>
    <i>
      <x v="404"/>
      <x v="190"/>
      <x v="144"/>
    </i>
    <i>
      <x v="406"/>
      <x v="134"/>
      <x v="181"/>
    </i>
    <i>
      <x v="407"/>
      <x v="176"/>
      <x v="118"/>
    </i>
    <i>
      <x v="411"/>
      <x v="59"/>
      <x v="53"/>
    </i>
    <i>
      <x v="416"/>
      <x v="122"/>
      <x v="194"/>
    </i>
    <i>
      <x v="419"/>
      <x v="136"/>
      <x v="4"/>
    </i>
    <i>
      <x v="421"/>
      <x v="10"/>
      <x v="13"/>
    </i>
    <i>
      <x v="425"/>
      <x v="117"/>
      <x v="117"/>
    </i>
    <i>
      <x v="426"/>
      <x v="186"/>
      <x v="139"/>
    </i>
    <i>
      <x v="427"/>
      <x v="130"/>
      <x v="144"/>
    </i>
    <i>
      <x v="428"/>
      <x v="134"/>
      <x v="147"/>
    </i>
    <i>
      <x v="429"/>
      <x v="186"/>
      <x v="128"/>
    </i>
    <i>
      <x v="430"/>
      <x v="46"/>
      <x v="75"/>
    </i>
    <i>
      <x v="432"/>
      <x v="6"/>
      <x v="32"/>
    </i>
    <i>
      <x v="442"/>
      <x v="79"/>
      <x v="106"/>
    </i>
    <i>
      <x v="443"/>
      <x v="90"/>
      <x v="118"/>
    </i>
    <i>
      <x v="446"/>
      <x v="28"/>
      <x v="7"/>
    </i>
    <i>
      <x v="448"/>
      <x v="28"/>
      <x v="43"/>
    </i>
    <i>
      <x v="450"/>
      <x v="35"/>
      <x v="54"/>
    </i>
    <i>
      <x v="452"/>
      <x v="60"/>
      <x v="54"/>
    </i>
    <i>
      <x v="454"/>
      <x v="79"/>
      <x v="76"/>
    </i>
    <i>
      <x v="477"/>
      <x v="167"/>
      <x v="127"/>
    </i>
    <i>
      <x v="479"/>
      <x v="126"/>
      <x v="138"/>
    </i>
    <i>
      <x v="482"/>
      <x v="99"/>
      <x v="180"/>
    </i>
    <i>
      <x v="484"/>
      <x v="21"/>
      <x v="8"/>
    </i>
    <i>
      <x v="486"/>
      <x v="26"/>
      <x v="52"/>
    </i>
    <i>
      <x v="491"/>
      <x v="58"/>
      <x v="93"/>
    </i>
    <i>
      <x v="496"/>
      <x v="126"/>
      <x v="111"/>
    </i>
    <i>
      <x v="497"/>
      <x v="133"/>
      <x v="136"/>
    </i>
    <i>
      <x v="498"/>
      <x v="180"/>
      <x v="6"/>
    </i>
    <i>
      <x v="500"/>
      <x v="6"/>
      <x v="32"/>
    </i>
    <i>
      <x v="502"/>
      <x v="27"/>
      <x v="36"/>
    </i>
    <i>
      <x v="503"/>
      <x v="30"/>
      <x v="53"/>
    </i>
    <i>
      <x v="513"/>
      <x v="45"/>
      <x v="41"/>
    </i>
    <i>
      <x v="517"/>
      <x v="13"/>
      <x v="16"/>
    </i>
    <i>
      <x v="521"/>
      <x v="110"/>
      <x v="129"/>
    </i>
    <i>
      <x v="530"/>
      <x v="194"/>
      <x v="214"/>
    </i>
    <i>
      <x v="532"/>
      <x v="7"/>
      <x v="33"/>
    </i>
    <i>
      <x v="548"/>
      <x v="59"/>
      <x v="94"/>
    </i>
    <i>
      <x v="549"/>
      <x v="100"/>
      <x v="94"/>
    </i>
    <i>
      <x v="554"/>
      <x v="45"/>
      <x v="41"/>
    </i>
    <i>
      <x v="559"/>
      <x v="73"/>
      <x v="96"/>
    </i>
    <i>
      <x v="561"/>
      <x v="102"/>
      <x v="96"/>
    </i>
    <i>
      <x v="563"/>
      <x v="83"/>
      <x v="168"/>
    </i>
    <i>
      <x v="566"/>
      <x v="155"/>
      <x v="34"/>
    </i>
    <i>
      <x v="567"/>
      <x v="169"/>
      <x v="99"/>
    </i>
    <i>
      <x v="568"/>
      <x v="133"/>
      <x v="193"/>
    </i>
    <i>
      <x v="572"/>
      <x v="7"/>
      <x v="33"/>
    </i>
    <i>
      <x v="576"/>
      <x v="27"/>
      <x v="53"/>
    </i>
    <i>
      <x v="581"/>
      <x v="77"/>
      <x v="117"/>
    </i>
    <i>
      <x v="583"/>
      <x v="201"/>
      <x v="7"/>
    </i>
    <i>
      <x v="584"/>
      <x v="202"/>
      <x v="203"/>
    </i>
    <i>
      <x v="589"/>
      <x v="81"/>
      <x v="97"/>
    </i>
    <i>
      <x v="590"/>
      <x v="191"/>
      <x v="97"/>
    </i>
    <i>
      <x v="594"/>
      <x v="117"/>
      <x v="122"/>
    </i>
    <i>
      <x v="597"/>
      <x v="201"/>
      <x v="6"/>
    </i>
    <i>
      <x v="603"/>
      <x v="46"/>
      <x v="75"/>
    </i>
    <i>
      <x v="608"/>
      <x v="101"/>
      <x v="106"/>
    </i>
    <i>
      <x v="614"/>
      <x v="6"/>
      <x v="42"/>
    </i>
    <i>
      <x v="615"/>
      <x v="34"/>
      <x v="53"/>
    </i>
    <i>
      <x v="621"/>
      <x v="82"/>
      <x v="210"/>
    </i>
    <i>
      <x v="624"/>
      <x v="80"/>
      <x v="165"/>
    </i>
    <i>
      <x v="628"/>
      <x v="60"/>
      <x v="54"/>
    </i>
    <i>
      <x v="630"/>
      <x v="79"/>
      <x v="83"/>
    </i>
    <i>
      <x v="632"/>
      <x v="90"/>
      <x v="95"/>
    </i>
    <i>
      <x v="633"/>
      <x v="101"/>
      <x v="106"/>
    </i>
    <i>
      <x v="634"/>
      <x v="109"/>
      <x v="128"/>
    </i>
    <i>
      <x v="636"/>
      <x v="117"/>
      <x v="194"/>
    </i>
    <i>
      <x v="637"/>
      <x v="185"/>
      <x v="3"/>
    </i>
    <i>
      <x v="639"/>
      <x v="13"/>
      <x v="12"/>
    </i>
    <i>
      <x v="640"/>
      <x v="15"/>
      <x v="14"/>
    </i>
    <i>
      <x v="646"/>
      <x v="80"/>
      <x v="181"/>
    </i>
    <i>
      <x v="648"/>
      <x v="88"/>
      <x v="93"/>
    </i>
    <i>
      <x v="649"/>
      <x v="99"/>
      <x v="104"/>
    </i>
    <i>
      <x v="650"/>
      <x v="112"/>
      <x v="116"/>
    </i>
    <i>
      <x v="652"/>
      <x v="137"/>
      <x v="190"/>
    </i>
    <i>
      <x v="660"/>
      <x v="196"/>
      <x v="151"/>
    </i>
    <i>
      <x v="666"/>
      <x v="118"/>
      <x v="6"/>
    </i>
    <i>
      <x v="667"/>
      <x v="22"/>
      <x v="88"/>
    </i>
    <i>
      <x v="668"/>
      <x v="102"/>
      <x v="165"/>
    </i>
    <i>
      <x v="670"/>
      <x v="25"/>
      <x v="90"/>
    </i>
    <i>
      <x v="675"/>
      <x v="150"/>
      <x v="10"/>
    </i>
    <i>
      <x v="676"/>
      <x v="205"/>
      <x v="155"/>
    </i>
    <i>
      <x v="677"/>
      <x v="144"/>
      <x v="157"/>
    </i>
    <i>
      <x v="690"/>
      <x v="29"/>
      <x v="189"/>
    </i>
    <i>
      <x v="694"/>
      <x v="118"/>
      <x v="6"/>
    </i>
    <i>
      <x v="695"/>
      <x v="115"/>
      <x v="73"/>
    </i>
    <i>
      <x v="696"/>
      <x v="25"/>
      <x v="90"/>
    </i>
    <i>
      <x v="697"/>
      <x v="115"/>
      <x v="73"/>
    </i>
    <i>
      <x v="698"/>
      <x v="67"/>
      <x v="73"/>
    </i>
    <i>
      <x v="701"/>
      <x v="104"/>
      <x v="212"/>
    </i>
    <i>
      <x v="702"/>
      <x v="57"/>
      <x v="113"/>
    </i>
    <i>
      <x v="703"/>
      <x v="57"/>
      <x v="113"/>
    </i>
    <i>
      <x v="704"/>
      <x v="184"/>
      <x v="40"/>
    </i>
    <i>
      <x v="705"/>
      <x v="111"/>
      <x v="113"/>
    </i>
    <i>
      <x v="709"/>
      <x v="134"/>
      <x v="4"/>
    </i>
    <i>
      <x v="710"/>
      <x v="4"/>
      <x v="13"/>
    </i>
    <i>
      <x v="712"/>
      <x v="93"/>
      <x v="202"/>
    </i>
    <i>
      <x v="715"/>
      <x v="87"/>
      <x v="110"/>
    </i>
    <i>
      <x v="716"/>
      <x v="114"/>
      <x v="113"/>
    </i>
    <i>
      <x v="717"/>
      <x v="87"/>
      <x v="54"/>
    </i>
    <i>
      <x v="720"/>
      <x v="115"/>
      <x v="90"/>
    </i>
    <i>
      <x v="723"/>
      <x v="67"/>
      <x v="108"/>
    </i>
    <i>
      <x v="724"/>
      <x v="93"/>
      <x v="202"/>
    </i>
    <i>
      <x v="725"/>
      <x v="92"/>
      <x v="1"/>
    </i>
    <i>
      <x v="728"/>
      <x v="184"/>
      <x v="40"/>
    </i>
    <i>
      <x v="729"/>
      <x v="184"/>
      <x v="40"/>
    </i>
    <i>
      <x v="730"/>
      <x v="184"/>
      <x v="40"/>
    </i>
    <i>
      <x v="731"/>
      <x v="98"/>
      <x v="51"/>
    </i>
    <i>
      <x v="732"/>
      <x v="98"/>
      <x v="51"/>
    </i>
    <i>
      <x v="733"/>
      <x v="98"/>
      <x v="51"/>
    </i>
    <i>
      <x v="734"/>
      <x v="184"/>
      <x v="40"/>
    </i>
    <i>
      <x v="735"/>
      <x v="184"/>
      <x v="40"/>
    </i>
    <i>
      <x v="736"/>
      <x v="184"/>
      <x v="40"/>
    </i>
    <i>
      <x v="737"/>
      <x v="184"/>
      <x v="40"/>
    </i>
    <i>
      <x v="740"/>
      <x v="115"/>
      <x v="1"/>
    </i>
    <i>
      <x v="741"/>
      <x v="115"/>
      <x v="1"/>
    </i>
    <i>
      <x v="742"/>
      <x v="125"/>
      <x v="40"/>
    </i>
    <i>
      <x v="746"/>
      <x v="92"/>
      <x v="212"/>
    </i>
    <i>
      <x v="747"/>
      <x v="75"/>
      <x v="112"/>
    </i>
    <i>
      <x v="748"/>
      <x v="115"/>
      <x/>
    </i>
    <i>
      <x v="749"/>
      <x v="6"/>
      <x v="174"/>
    </i>
    <i>
      <x v="752"/>
      <x v="46"/>
      <x v="32"/>
    </i>
    <i>
      <x v="755"/>
      <x v="104"/>
      <x v="51"/>
    </i>
    <i>
      <x v="756"/>
      <x v="114"/>
      <x v="113"/>
    </i>
    <i>
      <x v="760"/>
      <x v="98"/>
      <x v="62"/>
    </i>
    <i>
      <x v="761"/>
      <x v="75"/>
      <x v="108"/>
    </i>
    <i>
      <x v="762"/>
      <x v="115"/>
      <x v="73"/>
    </i>
    <i>
      <x v="765"/>
      <x v="74"/>
      <x v="1"/>
    </i>
    <i>
      <x v="766"/>
      <x v="74"/>
      <x v="1"/>
    </i>
    <i>
      <x v="767"/>
      <x v="74"/>
      <x v="1"/>
    </i>
    <i>
      <x v="770"/>
      <x v="203"/>
      <x v="150"/>
    </i>
    <i>
      <x v="772"/>
      <x v="114"/>
      <x v="113"/>
    </i>
    <i>
      <x v="775"/>
      <x v="115"/>
      <x v="73"/>
    </i>
    <i>
      <x v="776"/>
      <x v="57"/>
      <x v="113"/>
    </i>
    <i>
      <x v="777"/>
      <x v="115"/>
      <x v="90"/>
    </i>
    <i>
      <x v="778"/>
      <x v="206"/>
      <x v="218"/>
    </i>
    <i>
      <x v="779"/>
      <x v="206"/>
      <x v="218"/>
    </i>
    <i>
      <x v="781"/>
      <x v="67"/>
      <x v="73"/>
    </i>
    <i>
      <x v="784"/>
      <x v="25"/>
      <x v="211"/>
    </i>
    <i>
      <x v="785"/>
      <x v="7"/>
      <x v="77"/>
    </i>
    <i>
      <x v="787"/>
      <x v="184"/>
      <x v="40"/>
    </i>
    <i>
      <x v="791"/>
      <x v="22"/>
      <x v="61"/>
    </i>
    <i>
      <x v="792"/>
      <x v="22"/>
      <x v="92"/>
    </i>
    <i>
      <x v="794"/>
      <x v="115"/>
      <x v="73"/>
    </i>
    <i>
      <x v="795"/>
      <x v="39"/>
      <x/>
    </i>
    <i>
      <x v="796"/>
      <x v="39"/>
      <x/>
    </i>
    <i>
      <x v="797"/>
      <x v="115"/>
      <x v="73"/>
    </i>
    <i>
      <x v="799"/>
      <x v="115"/>
      <x v="62"/>
    </i>
    <i>
      <x v="800"/>
      <x v="115"/>
      <x v="19"/>
    </i>
    <i>
      <x v="802"/>
      <x v="14"/>
      <x v="56"/>
    </i>
    <i>
      <x v="804"/>
      <x v="98"/>
      <x v="62"/>
    </i>
    <i>
      <x v="805"/>
      <x v="42"/>
      <x v="134"/>
    </i>
    <i>
      <x v="806"/>
      <x v="114"/>
      <x v="113"/>
    </i>
    <i>
      <x v="807"/>
      <x v="39"/>
      <x/>
    </i>
    <i>
      <x v="808"/>
      <x v="39"/>
      <x/>
    </i>
    <i>
      <x v="809"/>
      <x v="114"/>
      <x v="113"/>
    </i>
    <i>
      <x v="813"/>
      <x v="65"/>
      <x v="1"/>
    </i>
    <i>
      <x v="814"/>
      <x v="66"/>
      <x v="1"/>
    </i>
    <i>
      <x v="817"/>
      <x v="98"/>
      <x v="62"/>
    </i>
    <i>
      <x v="819"/>
      <x v="111"/>
      <x v="113"/>
    </i>
    <i>
      <x v="820"/>
      <x v="171"/>
      <x v="1"/>
    </i>
    <i>
      <x v="821"/>
      <x v="171"/>
      <x v="1"/>
    </i>
    <i>
      <x v="822"/>
      <x v="171"/>
      <x v="1"/>
    </i>
    <i>
      <x v="823"/>
      <x v="98"/>
      <x v="62"/>
    </i>
    <i>
      <x v="826"/>
      <x v="87"/>
      <x v="51"/>
    </i>
    <i>
      <x v="827"/>
      <x v="22"/>
      <x v="61"/>
    </i>
    <i>
      <x v="841"/>
      <x v="120"/>
      <x v="29"/>
    </i>
    <i>
      <x v="843"/>
      <x v="120"/>
      <x v="29"/>
    </i>
    <i>
      <x v="844"/>
      <x v="42"/>
      <x v="134"/>
    </i>
    <i>
      <x v="845"/>
      <x v="115"/>
      <x v="19"/>
    </i>
    <i>
      <x v="846"/>
      <x v="115"/>
      <x v="1"/>
    </i>
    <i>
      <x v="847"/>
      <x v="115"/>
      <x v="19"/>
    </i>
    <i>
      <x v="848"/>
      <x v="18"/>
      <x v="22"/>
    </i>
    <i>
      <x v="849"/>
      <x v="8"/>
      <x v="34"/>
    </i>
    <i>
      <x v="850"/>
      <x v="115"/>
      <x/>
    </i>
    <i>
      <x v="854"/>
      <x v="6"/>
      <x v="23"/>
    </i>
    <i>
      <x v="855"/>
      <x v="19"/>
      <x v="42"/>
    </i>
    <i>
      <x v="857"/>
      <x v="93"/>
      <x v="202"/>
    </i>
    <i>
      <x v="862"/>
      <x v="93"/>
      <x v="202"/>
    </i>
    <i>
      <x v="864"/>
      <x v="65"/>
      <x v="1"/>
    </i>
    <i>
      <x v="865"/>
      <x v="66"/>
      <x v="1"/>
    </i>
    <i>
      <x v="867"/>
      <x v="115"/>
      <x v="73"/>
    </i>
    <i>
      <x v="868"/>
      <x v="115"/>
      <x v="73"/>
    </i>
    <i>
      <x v="869"/>
      <x v="22"/>
      <x v="60"/>
    </i>
    <i>
      <x v="870"/>
      <x v="22"/>
      <x v="60"/>
    </i>
    <i>
      <x v="871"/>
      <x v="22"/>
      <x v="60"/>
    </i>
    <i>
      <x v="872"/>
      <x v="22"/>
      <x v="60"/>
    </i>
    <i>
      <x v="873"/>
      <x v="75"/>
      <x v="15"/>
    </i>
    <i>
      <x v="874"/>
      <x v="75"/>
      <x v="15"/>
    </i>
    <i>
      <x v="875"/>
      <x v="75"/>
      <x v="15"/>
    </i>
    <i>
      <x v="876"/>
      <x v="75"/>
      <x v="15"/>
    </i>
    <i>
      <x v="877"/>
      <x v="23"/>
      <x v="39"/>
    </i>
    <i>
      <x v="878"/>
      <x v="170"/>
      <x v="22"/>
    </i>
    <i>
      <x v="879"/>
      <x v="23"/>
      <x v="39"/>
    </i>
    <i>
      <x v="881"/>
      <x v="94"/>
      <x v="51"/>
    </i>
    <i>
      <x v="882"/>
      <x v="94"/>
      <x v="51"/>
    </i>
    <i>
      <x v="883"/>
      <x v="94"/>
      <x v="51"/>
    </i>
    <i>
      <x v="884"/>
      <x v="94"/>
      <x v="51"/>
    </i>
    <i>
      <x v="885"/>
      <x v="94"/>
      <x v="51"/>
    </i>
    <i>
      <x v="886"/>
      <x v="23"/>
      <x v="39"/>
    </i>
    <i>
      <x v="887"/>
      <x v="125"/>
      <x v="40"/>
    </i>
    <i>
      <x v="888"/>
      <x v="104"/>
      <x v="51"/>
    </i>
    <i>
      <x v="889"/>
      <x v="22"/>
      <x v="61"/>
    </i>
    <i>
      <x v="890"/>
      <x v="104"/>
      <x v="51"/>
    </i>
    <i>
      <x v="892"/>
      <x v="18"/>
      <x v="22"/>
    </i>
    <i>
      <x v="895"/>
      <x v="32"/>
      <x v="126"/>
    </i>
    <i>
      <x v="896"/>
      <x v="32"/>
      <x v="126"/>
    </i>
    <i>
      <x v="900"/>
      <x v="28"/>
      <x v="54"/>
    </i>
    <i>
      <x v="901"/>
      <x v="114"/>
      <x v="113"/>
    </i>
    <i>
      <x v="902"/>
      <x v="97"/>
      <x v="126"/>
    </i>
    <i>
      <x v="905"/>
      <x v="97"/>
      <x v="126"/>
    </i>
    <i>
      <x v="906"/>
      <x v="114"/>
      <x v="113"/>
    </i>
    <i>
      <x v="907"/>
      <x v="114"/>
      <x v="113"/>
    </i>
    <i>
      <x v="908"/>
      <x v="115"/>
      <x/>
    </i>
    <i>
      <x v="909"/>
      <x v="115"/>
      <x/>
    </i>
    <i>
      <x v="910"/>
      <x v="115"/>
      <x/>
    </i>
    <i>
      <x v="911"/>
      <x v="102"/>
      <x v="54"/>
    </i>
    <i>
      <x v="912"/>
      <x v="102"/>
      <x v="54"/>
    </i>
    <i>
      <x v="913"/>
      <x v="98"/>
      <x v="91"/>
    </i>
    <i>
      <x v="915"/>
      <x v="62"/>
      <x v="57"/>
    </i>
    <i>
      <x v="916"/>
      <x v="170"/>
      <x v="146"/>
    </i>
    <i>
      <x v="917"/>
      <x v="170"/>
      <x v="146"/>
    </i>
    <i>
      <x v="918"/>
      <x v="114"/>
      <x v="113"/>
    </i>
    <i>
      <x v="920"/>
      <x v="22"/>
      <x v="61"/>
    </i>
    <i>
      <x v="922"/>
      <x v="115"/>
      <x v="1"/>
    </i>
    <i>
      <x v="923"/>
      <x v="115"/>
      <x v="1"/>
    </i>
    <i>
      <x v="924"/>
      <x v="127"/>
      <x v="129"/>
    </i>
    <i>
      <x v="925"/>
      <x v="75"/>
      <x v="58"/>
    </i>
    <i>
      <x v="926"/>
      <x v="75"/>
      <x v="58"/>
    </i>
    <i>
      <x v="928"/>
      <x v="115"/>
      <x v="73"/>
    </i>
    <i>
      <x v="929"/>
      <x v="18"/>
      <x v="22"/>
    </i>
    <i>
      <x v="930"/>
      <x v="114"/>
      <x v="113"/>
    </i>
    <i>
      <x v="932"/>
      <x v="118"/>
      <x v="6"/>
    </i>
    <i>
      <x v="933"/>
      <x v="115"/>
      <x/>
    </i>
    <i>
      <x v="937"/>
      <x v="109"/>
      <x v="117"/>
    </i>
    <i>
      <x v="938"/>
      <x v="80"/>
      <x v="144"/>
    </i>
    <i>
      <x v="939"/>
      <x v="75"/>
      <x v="112"/>
    </i>
    <i>
      <x v="940"/>
      <x v="75"/>
      <x v="112"/>
    </i>
    <i>
      <x v="941"/>
      <x v="115"/>
      <x/>
    </i>
    <i>
      <x v="942"/>
      <x v="115"/>
      <x/>
    </i>
    <i>
      <x v="944"/>
      <x v="111"/>
      <x v="113"/>
    </i>
    <i>
      <x v="945"/>
      <x v="25"/>
      <x v="90"/>
    </i>
    <i>
      <x v="946"/>
      <x v="98"/>
      <x v="27"/>
    </i>
    <i>
      <x v="948"/>
      <x v="6"/>
      <x v="172"/>
    </i>
    <i>
      <x v="952"/>
      <x v="60"/>
      <x v="54"/>
    </i>
    <i>
      <x v="953"/>
      <x v="79"/>
      <x v="76"/>
    </i>
    <i>
      <x v="961"/>
      <x v="115"/>
      <x v="35"/>
    </i>
    <i>
      <x v="964"/>
      <x v="72"/>
      <x v="114"/>
    </i>
    <i>
      <x v="965"/>
      <x v="72"/>
      <x v="114"/>
    </i>
    <i>
      <x v="970"/>
      <x v="18"/>
      <x v="22"/>
    </i>
    <i>
      <x v="971"/>
      <x v="18"/>
      <x v="22"/>
    </i>
    <i>
      <x v="972"/>
      <x v="193"/>
      <x v="33"/>
    </i>
    <i>
      <x v="980"/>
      <x v="93"/>
      <x v="202"/>
    </i>
    <i>
      <x v="989"/>
      <x v="75"/>
      <x v="22"/>
    </i>
    <i>
      <x v="990"/>
      <x v="39"/>
      <x v="1"/>
    </i>
    <i>
      <x v="991"/>
      <x v="24"/>
      <x v="131"/>
    </i>
    <i>
      <x v="992"/>
      <x v="24"/>
      <x v="131"/>
    </i>
    <i>
      <x v="996"/>
      <x v="134"/>
      <x v="182"/>
    </i>
    <i>
      <x v="997"/>
      <x v="132"/>
      <x v="30"/>
    </i>
    <i>
      <x v="998"/>
      <x v="25"/>
      <x v="90"/>
    </i>
    <i>
      <x v="1002"/>
      <x v="125"/>
      <x v="40"/>
    </i>
    <i>
      <x v="1003"/>
      <x v="66"/>
      <x v="1"/>
    </i>
    <i>
      <x v="1004"/>
      <x v="66"/>
      <x v="1"/>
    </i>
    <i>
      <x v="1007"/>
      <x v="114"/>
      <x v="113"/>
    </i>
    <i>
      <x v="1008"/>
      <x v="114"/>
      <x v="113"/>
    </i>
    <i>
      <x v="1010"/>
      <x v="115"/>
      <x v="90"/>
    </i>
    <i>
      <x v="1012"/>
      <x v="25"/>
      <x v="26"/>
    </i>
    <i>
      <x v="1014"/>
      <x v="114"/>
      <x v="113"/>
    </i>
    <i>
      <x v="1015"/>
      <x v="98"/>
      <x/>
    </i>
    <i>
      <x v="1016"/>
      <x v="98"/>
      <x v="91"/>
    </i>
    <i>
      <x v="1018"/>
      <x v="104"/>
      <x v="51"/>
    </i>
    <i>
      <x v="1019"/>
      <x v="75"/>
      <x v="15"/>
    </i>
    <i>
      <x v="1020"/>
      <x v="75"/>
      <x v="15"/>
    </i>
    <i>
      <x v="1021"/>
      <x v="114"/>
      <x v="113"/>
    </i>
    <i>
      <x v="1022"/>
      <x v="75"/>
      <x v="58"/>
    </i>
    <i>
      <x v="1023"/>
      <x v="75"/>
      <x v="58"/>
    </i>
    <i>
      <x v="1024"/>
      <x v="114"/>
      <x v="113"/>
    </i>
    <i>
      <x v="1025"/>
      <x v="50"/>
      <x v="90"/>
    </i>
    <i>
      <x v="1026"/>
      <x v="50"/>
      <x v="90"/>
    </i>
    <i>
      <x v="1027"/>
      <x v="65"/>
      <x v="1"/>
    </i>
    <i>
      <x v="1031"/>
      <x v="115"/>
      <x v="73"/>
    </i>
    <i>
      <x v="1033"/>
      <x v="98"/>
      <x v="37"/>
    </i>
    <i>
      <x v="1034"/>
      <x v="206"/>
      <x v="71"/>
    </i>
    <i>
      <x v="1035"/>
      <x v="98"/>
      <x v="37"/>
    </i>
    <i>
      <x v="1036"/>
      <x v="98"/>
      <x v="37"/>
    </i>
    <i>
      <x v="1037"/>
      <x v="98"/>
      <x v="37"/>
    </i>
    <i>
      <x v="1038"/>
      <x v="98"/>
      <x v="37"/>
    </i>
    <i>
      <x v="1042"/>
      <x v="31"/>
      <x v="21"/>
    </i>
    <i>
      <x v="1044"/>
      <x v="111"/>
      <x v="113"/>
    </i>
    <i>
      <x v="1046"/>
      <x v="115"/>
      <x v="78"/>
    </i>
    <i>
      <x v="1047"/>
      <x v="115"/>
      <x v="62"/>
    </i>
    <i>
      <x v="1048"/>
      <x v="115"/>
      <x/>
    </i>
    <i>
      <x v="1049"/>
      <x v="67"/>
      <x v="73"/>
    </i>
    <i>
      <x v="1052"/>
      <x v="144"/>
      <x v="163"/>
    </i>
    <i>
      <x v="1054"/>
      <x v="17"/>
      <x v="29"/>
    </i>
    <i>
      <x v="1055"/>
      <x v="143"/>
      <x v="47"/>
    </i>
    <i>
      <x v="1057"/>
      <x v="44"/>
      <x v="38"/>
    </i>
    <i>
      <x v="1063"/>
      <x v="115"/>
      <x v="62"/>
    </i>
    <i>
      <x v="1065"/>
      <x v="114"/>
      <x v="113"/>
    </i>
    <i>
      <x v="1067"/>
      <x v="107"/>
      <x v="9"/>
    </i>
    <i>
      <x v="1069"/>
      <x v="198"/>
      <x v="185"/>
    </i>
    <i>
      <x v="1070"/>
      <x v="93"/>
      <x v="202"/>
    </i>
    <i>
      <x v="1071"/>
      <x v="91"/>
      <x v="119"/>
    </i>
    <i>
      <x v="1073"/>
      <x v="110"/>
      <x v="125"/>
    </i>
    <i>
      <x v="1074"/>
      <x v="113"/>
      <x v="129"/>
    </i>
    <i>
      <x v="1075"/>
      <x v="118"/>
      <x v="158"/>
    </i>
    <i>
      <x v="1083"/>
      <x v="18"/>
      <x v="28"/>
    </i>
    <i>
      <x v="1084"/>
      <x v="2"/>
      <x v="103"/>
    </i>
    <i>
      <x v="1085"/>
      <x v="2"/>
      <x v="103"/>
    </i>
    <i>
      <x v="1087"/>
      <x v="66"/>
      <x v="1"/>
    </i>
    <i>
      <x v="1088"/>
      <x v="66"/>
      <x v="1"/>
    </i>
    <i>
      <x v="1090"/>
      <x v="43"/>
      <x v="134"/>
    </i>
    <i>
      <x v="1091"/>
      <x v="43"/>
      <x v="134"/>
    </i>
    <i>
      <x v="1095"/>
      <x v="25"/>
      <x v="38"/>
    </i>
    <i>
      <x v="1098"/>
      <x v="108"/>
      <x v="80"/>
    </i>
    <i>
      <x v="1099"/>
      <x v="44"/>
      <x v="90"/>
    </i>
    <i>
      <x v="1100"/>
      <x v="39"/>
      <x v="1"/>
    </i>
    <i>
      <x v="1101"/>
      <x v="63"/>
      <x v="51"/>
    </i>
    <i>
      <x v="1104"/>
      <x v="171"/>
      <x v="22"/>
    </i>
    <i>
      <x v="1107"/>
      <x v="115"/>
      <x v="80"/>
    </i>
    <i>
      <x v="1108"/>
      <x v="75"/>
      <x v="58"/>
    </i>
    <i>
      <x v="1112"/>
      <x v="23"/>
      <x v="39"/>
    </i>
    <i>
      <x v="1116"/>
      <x v="2"/>
      <x v="28"/>
    </i>
    <i>
      <x v="1117"/>
      <x v="2"/>
      <x v="28"/>
    </i>
    <i>
      <x v="1118"/>
      <x v="115"/>
      <x v="1"/>
    </i>
    <i>
      <x v="1119"/>
      <x v="132"/>
      <x v="30"/>
    </i>
    <i>
      <x v="1121"/>
      <x v="115"/>
      <x v="73"/>
    </i>
    <i>
      <x v="1124"/>
      <x v="44"/>
      <x v="90"/>
    </i>
    <i>
      <x v="1125"/>
      <x v="39"/>
      <x v="1"/>
    </i>
    <i>
      <x v="1126"/>
      <x v="36"/>
      <x v="213"/>
    </i>
    <i>
      <x v="1129"/>
      <x v="75"/>
      <x v="112"/>
    </i>
    <i>
      <x v="1131"/>
      <x v="44"/>
      <x v="211"/>
    </i>
    <i>
      <x v="1134"/>
      <x v="115"/>
      <x v="62"/>
    </i>
    <i>
      <x v="1135"/>
      <x v="108"/>
      <x v="21"/>
    </i>
    <i>
      <x v="1138"/>
      <x v="25"/>
      <x v="90"/>
    </i>
    <i>
      <x v="1141"/>
      <x v="115"/>
      <x v="62"/>
    </i>
    <i>
      <x v="1142"/>
      <x v="66"/>
      <x v="1"/>
    </i>
    <i>
      <x v="1144"/>
      <x v="66"/>
      <x v="1"/>
    </i>
    <i>
      <x v="1145"/>
      <x v="104"/>
      <x v="51"/>
    </i>
    <i>
      <x v="1146"/>
      <x v="115"/>
      <x v="90"/>
    </i>
    <i>
      <x v="1150"/>
      <x v="80"/>
      <x v="33"/>
    </i>
    <i>
      <x v="1151"/>
      <x v="80"/>
      <x v="33"/>
    </i>
    <i>
      <x v="1153"/>
      <x v="80"/>
      <x v="33"/>
    </i>
    <i>
      <x v="1154"/>
      <x v="201"/>
      <x v="219"/>
    </i>
    <i>
      <x v="1156"/>
      <x v="207"/>
      <x v="218"/>
    </i>
    <i>
      <x v="1158"/>
      <x v="80"/>
      <x v="33"/>
    </i>
    <i>
      <x v="1159"/>
      <x v="108"/>
      <x v="72"/>
    </i>
    <i>
      <x v="1160"/>
      <x v="22"/>
      <x v="88"/>
    </i>
    <i>
      <x v="1161"/>
      <x v="98"/>
      <x v="66"/>
    </i>
    <i>
      <x v="1162"/>
      <x v="59"/>
      <x v="136"/>
    </i>
    <i>
      <x v="1163"/>
      <x v="108"/>
      <x v="21"/>
    </i>
    <i>
      <x v="1164"/>
      <x v="108"/>
      <x v="21"/>
    </i>
    <i>
      <x v="1165"/>
      <x v="108"/>
      <x v="21"/>
    </i>
    <i>
      <x v="1166"/>
      <x v="108"/>
      <x v="21"/>
    </i>
    <i>
      <x v="1167"/>
      <x v="208"/>
      <x v="51"/>
    </i>
    <i>
      <x v="1170"/>
      <x v="27"/>
      <x v="174"/>
    </i>
    <i>
      <x v="1171"/>
      <x v="19"/>
      <x v="174"/>
    </i>
    <i>
      <x v="1172"/>
      <x v="46"/>
      <x v="220"/>
    </i>
    <i>
      <x v="1173"/>
      <x v="209"/>
      <x v="221"/>
    </i>
    <i>
      <x v="1175"/>
      <x v="210"/>
      <x v="165"/>
    </i>
    <i>
      <x v="1176"/>
      <x v="22"/>
      <x v="88"/>
    </i>
    <i t="grand">
      <x/>
    </i>
  </rowItems>
  <colFields count="1">
    <field x="28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 t="grand">
      <x/>
    </i>
  </colItems>
  <pageFields count="1">
    <pageField fld="32" hier="-1"/>
  </pageFields>
  <dataFields count="1">
    <dataField name="Sum of COST" fld="29" baseField="1" baseItem="3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1:B9" firstHeaderRow="1" firstDataRow="1" firstDataCol="1"/>
  <pivotFields count="9">
    <pivotField showAll="0"/>
    <pivotField showAll="0">
      <items count="101">
        <item x="73"/>
        <item x="2"/>
        <item x="10"/>
        <item x="16"/>
        <item x="21"/>
        <item x="11"/>
        <item x="25"/>
        <item x="26"/>
        <item x="27"/>
        <item x="28"/>
        <item x="30"/>
        <item x="1"/>
        <item x="36"/>
        <item x="19"/>
        <item x="7"/>
        <item x="41"/>
        <item x="8"/>
        <item x="33"/>
        <item x="39"/>
        <item x="44"/>
        <item x="34"/>
        <item x="29"/>
        <item x="32"/>
        <item x="96"/>
        <item x="13"/>
        <item x="12"/>
        <item x="48"/>
        <item x="14"/>
        <item x="24"/>
        <item x="63"/>
        <item x="51"/>
        <item x="68"/>
        <item x="52"/>
        <item x="42"/>
        <item x="54"/>
        <item x="56"/>
        <item x="58"/>
        <item x="9"/>
        <item x="45"/>
        <item x="50"/>
        <item x="59"/>
        <item x="69"/>
        <item x="95"/>
        <item x="83"/>
        <item x="31"/>
        <item x="46"/>
        <item x="55"/>
        <item x="66"/>
        <item x="49"/>
        <item x="38"/>
        <item x="67"/>
        <item x="18"/>
        <item x="71"/>
        <item x="70"/>
        <item x="92"/>
        <item x="60"/>
        <item x="76"/>
        <item x="86"/>
        <item x="77"/>
        <item x="78"/>
        <item x="79"/>
        <item x="97"/>
        <item x="20"/>
        <item x="82"/>
        <item x="72"/>
        <item x="6"/>
        <item x="84"/>
        <item x="40"/>
        <item x="65"/>
        <item x="35"/>
        <item x="53"/>
        <item x="17"/>
        <item x="15"/>
        <item x="85"/>
        <item x="98"/>
        <item x="23"/>
        <item x="5"/>
        <item x="88"/>
        <item x="57"/>
        <item x="89"/>
        <item x="90"/>
        <item x="91"/>
        <item x="93"/>
        <item x="61"/>
        <item x="94"/>
        <item x="64"/>
        <item x="3"/>
        <item x="87"/>
        <item x="75"/>
        <item x="62"/>
        <item x="37"/>
        <item x="81"/>
        <item x="4"/>
        <item x="74"/>
        <item x="43"/>
        <item x="47"/>
        <item x="22"/>
        <item x="80"/>
        <item x="99"/>
        <item x="0"/>
        <item t="default"/>
      </items>
    </pivotField>
    <pivotField showAll="0"/>
    <pivotField showAll="0"/>
    <pivotField dataField="1" showAll="0"/>
    <pivotField showAll="0"/>
    <pivotField axis="axisRow" showAll="0">
      <items count="8">
        <item x="4"/>
        <item x="1"/>
        <item x="6"/>
        <item x="0"/>
        <item x="2"/>
        <item x="5"/>
        <item x="3"/>
        <item t="default"/>
      </items>
    </pivotField>
    <pivotField showAll="0">
      <items count="11">
        <item x="0"/>
        <item x="6"/>
        <item x="8"/>
        <item x="5"/>
        <item x="4"/>
        <item x="3"/>
        <item x="1"/>
        <item x="7"/>
        <item x="2"/>
        <item x="9"/>
        <item t="default"/>
      </items>
    </pivotField>
    <pivotField showAll="0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 of Length ft" fld="4" baseField="7" baseItem="2"/>
  </data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6" type="button" dataOnly="0" labelOnly="1" outline="0" axis="axisRow" fieldPosition="0"/>
    </format>
    <format dxfId="9">
      <pivotArea dataOnly="0" labelOnly="1" outline="0" axis="axisValues" fieldPosition="0"/>
    </format>
    <format dxfId="8">
      <pivotArea dataOnly="0" labelOnly="1" fieldPosition="0">
        <references count="1">
          <reference field="6" count="0"/>
        </references>
      </pivotArea>
    </format>
    <format dxfId="7">
      <pivotArea grandRow="1" outline="0" collapsedLevelsAreSubtotals="1" fieldPosition="0"/>
    </format>
    <format dxfId="6">
      <pivotArea dataOnly="0" labelOnly="1" grandRow="1" outline="0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6" type="button" dataOnly="0" labelOnly="1" outline="0" axis="axisRow" fieldPosition="0"/>
    </format>
    <format dxfId="2">
      <pivotArea dataOnly="0" labelOnly="1" outline="0" axis="axisValues" fieldPosition="0"/>
    </format>
    <format dxfId="1">
      <pivotArea dataOnly="0" labelOnly="1" fieldPosition="0">
        <references count="1">
          <reference field="6" count="0"/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6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B3:D13" firstHeaderRow="0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axis="axisRow" showAll="0">
      <items count="10">
        <item x="0"/>
        <item x="4"/>
        <item x="5"/>
        <item x="6"/>
        <item x="1"/>
        <item x="2"/>
        <item x="3"/>
        <item x="8"/>
        <item x="7"/>
        <item t="default"/>
      </items>
    </pivotField>
    <pivotField showAll="0"/>
    <pivotField dataField="1" showAll="0"/>
    <pivotField dataField="1" showAll="0"/>
    <pivotField showAll="0"/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RSL Add" fld="21" baseField="0" baseItem="0"/>
    <dataField name="Count of RSL Loss" fld="2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CY1179"/>
  <sheetViews>
    <sheetView topLeftCell="B1" zoomScale="73" zoomScaleNormal="73" workbookViewId="0">
      <pane ySplit="1" topLeftCell="A3" activePane="bottomLeft" state="frozen"/>
      <selection pane="bottomLeft" activeCell="B59" sqref="B59"/>
    </sheetView>
  </sheetViews>
  <sheetFormatPr defaultColWidth="10.42578125" defaultRowHeight="15.75" x14ac:dyDescent="0.25"/>
  <cols>
    <col min="1" max="1" width="12.85546875" style="167" hidden="1" customWidth="1"/>
    <col min="2" max="2" width="33" style="168" bestFit="1" customWidth="1"/>
    <col min="3" max="3" width="33" style="169" customWidth="1"/>
    <col min="4" max="4" width="28.85546875" style="168" customWidth="1"/>
    <col min="5" max="5" width="21.28515625" style="169" customWidth="1"/>
    <col min="6" max="6" width="21.42578125" style="169" customWidth="1"/>
    <col min="7" max="7" width="11.42578125" style="169" customWidth="1"/>
    <col min="8" max="8" width="10.85546875" style="169" customWidth="1"/>
    <col min="9" max="9" width="13.42578125" style="169" customWidth="1"/>
    <col min="10" max="10" width="15.5703125" style="169" customWidth="1"/>
    <col min="11" max="11" width="18" style="169" customWidth="1"/>
    <col min="12" max="21" width="16" style="165" customWidth="1"/>
    <col min="22" max="22" width="16.140625" style="165" customWidth="1"/>
    <col min="23" max="23" width="21.7109375" style="165" customWidth="1"/>
    <col min="24" max="24" width="19.7109375" style="165" customWidth="1"/>
    <col min="25" max="25" width="9.85546875" style="169" customWidth="1"/>
    <col min="26" max="26" width="16.140625" style="169" customWidth="1"/>
    <col min="27" max="27" width="31" style="169" customWidth="1"/>
    <col min="28" max="28" width="10.85546875" style="169" customWidth="1"/>
    <col min="29" max="29" width="12.85546875" style="169" bestFit="1" customWidth="1"/>
    <col min="30" max="30" width="16.140625" style="170" customWidth="1"/>
    <col min="31" max="31" width="19.28515625" style="171" customWidth="1"/>
    <col min="32" max="32" width="23.85546875" style="172" customWidth="1"/>
    <col min="33" max="33" width="9.5703125" style="169" bestFit="1" customWidth="1"/>
    <col min="34" max="34" width="25.7109375" style="169" hidden="1" customWidth="1"/>
    <col min="35" max="35" width="29.5703125" style="169" hidden="1" customWidth="1"/>
    <col min="36" max="36" width="25.7109375" style="169" hidden="1" customWidth="1"/>
    <col min="37" max="37" width="29.140625" style="169" hidden="1" customWidth="1"/>
    <col min="38" max="39" width="25.7109375" style="169" hidden="1" customWidth="1"/>
    <col min="40" max="40" width="29.140625" style="169" hidden="1" customWidth="1"/>
    <col min="41" max="42" width="25.7109375" style="169" hidden="1" customWidth="1"/>
    <col min="43" max="43" width="14.5703125" style="173" hidden="1" customWidth="1"/>
    <col min="44" max="44" width="11.42578125" style="174" hidden="1" customWidth="1"/>
    <col min="45" max="48" width="12.28515625" style="174" hidden="1" customWidth="1"/>
    <col min="49" max="49" width="12.7109375" style="174" hidden="1" customWidth="1"/>
    <col min="50" max="50" width="21.42578125" style="174" hidden="1" customWidth="1"/>
    <col min="51" max="51" width="16.42578125" style="174" hidden="1" customWidth="1"/>
    <col min="52" max="53" width="12.85546875" style="174" hidden="1" customWidth="1"/>
    <col min="54" max="54" width="17.5703125" style="206" hidden="1" customWidth="1"/>
    <col min="55" max="55" width="11.85546875" style="174" hidden="1" customWidth="1"/>
    <col min="56" max="60" width="12.28515625" style="174" hidden="1" customWidth="1"/>
    <col min="61" max="61" width="104" style="175" customWidth="1"/>
    <col min="62" max="62" width="82.5703125" style="166" customWidth="1"/>
    <col min="63" max="63" width="13.7109375" style="166" customWidth="1"/>
    <col min="64" max="64" width="13" style="166" customWidth="1"/>
    <col min="65" max="65" width="9.5703125" style="166" customWidth="1"/>
    <col min="66" max="66" width="9" style="90" customWidth="1"/>
    <col min="67" max="67" width="8.140625" style="166" customWidth="1"/>
    <col min="68" max="68" width="10.28515625" style="166" customWidth="1"/>
    <col min="69" max="69" width="8.7109375" style="166" customWidth="1"/>
    <col min="70" max="70" width="10.28515625" style="166" customWidth="1"/>
    <col min="71" max="71" width="8.7109375" style="166" customWidth="1"/>
    <col min="72" max="72" width="9.5703125" style="166" customWidth="1"/>
    <col min="73" max="73" width="21.28515625" style="166" customWidth="1"/>
    <col min="74" max="75" width="10.42578125" style="166" customWidth="1"/>
    <col min="76" max="76" width="12.28515625" style="166" customWidth="1"/>
    <col min="77" max="77" width="10.140625" style="166" customWidth="1"/>
    <col min="78" max="78" width="14.28515625" style="166" customWidth="1"/>
    <col min="79" max="79" width="28.85546875" style="166" customWidth="1"/>
    <col min="80" max="80" width="6.5703125" style="166" customWidth="1"/>
    <col min="81" max="81" width="10.85546875" style="166" customWidth="1"/>
    <col min="82" max="82" width="4.85546875" style="166" customWidth="1"/>
    <col min="83" max="83" width="7" style="166" customWidth="1"/>
    <col min="84" max="84" width="5" style="176" customWidth="1"/>
    <col min="85" max="104" width="10.42578125" style="176" customWidth="1"/>
    <col min="105" max="16384" width="10.42578125" style="176"/>
  </cols>
  <sheetData>
    <row r="1" spans="1:103" s="112" customFormat="1" x14ac:dyDescent="0.25">
      <c r="A1" s="31" t="s">
        <v>2386</v>
      </c>
      <c r="B1" s="223" t="s">
        <v>2387</v>
      </c>
      <c r="C1" s="106" t="s">
        <v>2092</v>
      </c>
      <c r="D1" s="116" t="s">
        <v>2349</v>
      </c>
      <c r="E1" s="106" t="s">
        <v>2094</v>
      </c>
      <c r="F1" s="106" t="s">
        <v>2095</v>
      </c>
      <c r="G1" s="106" t="s">
        <v>2101</v>
      </c>
      <c r="H1" s="106" t="s">
        <v>2110</v>
      </c>
      <c r="I1" s="106" t="s">
        <v>2093</v>
      </c>
      <c r="J1" s="106" t="s">
        <v>0</v>
      </c>
      <c r="K1" s="106" t="s">
        <v>2096</v>
      </c>
      <c r="L1" s="106" t="s">
        <v>2200</v>
      </c>
      <c r="M1" s="106" t="s">
        <v>2201</v>
      </c>
      <c r="N1" s="106" t="s">
        <v>2404</v>
      </c>
      <c r="O1" s="106" t="s">
        <v>2426</v>
      </c>
      <c r="P1" s="106" t="s">
        <v>2472</v>
      </c>
      <c r="Q1" s="106" t="s">
        <v>2528</v>
      </c>
      <c r="R1" s="106" t="s">
        <v>2604</v>
      </c>
      <c r="S1" s="106" t="s">
        <v>2609</v>
      </c>
      <c r="T1" s="106" t="s">
        <v>2613</v>
      </c>
      <c r="U1" s="106" t="s">
        <v>2620</v>
      </c>
      <c r="V1" s="106" t="s">
        <v>2405</v>
      </c>
      <c r="W1" s="106" t="s">
        <v>2506</v>
      </c>
      <c r="X1" s="106" t="s">
        <v>2611</v>
      </c>
      <c r="Y1" s="106" t="s">
        <v>2097</v>
      </c>
      <c r="Z1" s="106" t="s">
        <v>2064</v>
      </c>
      <c r="AA1" s="106" t="s">
        <v>2</v>
      </c>
      <c r="AB1" s="106" t="s">
        <v>2065</v>
      </c>
      <c r="AC1" s="106" t="s">
        <v>2066</v>
      </c>
      <c r="AD1" s="107" t="s">
        <v>2068</v>
      </c>
      <c r="AE1" s="198" t="s">
        <v>2618</v>
      </c>
      <c r="AF1" s="113" t="s">
        <v>2488</v>
      </c>
      <c r="AG1" s="106" t="s">
        <v>2067</v>
      </c>
      <c r="AH1" s="106">
        <v>2022</v>
      </c>
      <c r="AI1" s="106">
        <v>2023</v>
      </c>
      <c r="AJ1" s="106">
        <v>2024</v>
      </c>
      <c r="AK1" s="106">
        <v>2025</v>
      </c>
      <c r="AL1" s="106">
        <v>2026</v>
      </c>
      <c r="AM1" s="106">
        <v>2027</v>
      </c>
      <c r="AN1" s="106"/>
      <c r="AO1" s="106">
        <v>2021</v>
      </c>
      <c r="AP1" s="106">
        <v>2022</v>
      </c>
      <c r="AQ1" s="67" t="s">
        <v>2395</v>
      </c>
      <c r="AR1" s="49" t="s">
        <v>2394</v>
      </c>
      <c r="AS1" s="49" t="s">
        <v>2494</v>
      </c>
      <c r="AT1" s="49" t="s">
        <v>2495</v>
      </c>
      <c r="AU1" s="49" t="s">
        <v>2496</v>
      </c>
      <c r="AV1" s="49" t="s">
        <v>2498</v>
      </c>
      <c r="AW1" s="49" t="s">
        <v>2497</v>
      </c>
      <c r="AX1" s="49" t="s">
        <v>2399</v>
      </c>
      <c r="AY1" s="49" t="s">
        <v>2459</v>
      </c>
      <c r="AZ1" s="49" t="s">
        <v>2458</v>
      </c>
      <c r="BA1" s="49"/>
      <c r="BB1" s="202" t="s">
        <v>2540</v>
      </c>
      <c r="BC1" s="49" t="s">
        <v>2499</v>
      </c>
      <c r="BD1" s="202">
        <v>7934</v>
      </c>
      <c r="BE1" s="202">
        <v>8042</v>
      </c>
      <c r="BF1" s="202">
        <v>8043</v>
      </c>
      <c r="BG1" s="202">
        <v>8302</v>
      </c>
      <c r="BH1" s="202">
        <v>8346</v>
      </c>
      <c r="BI1" s="33" t="s">
        <v>2203</v>
      </c>
      <c r="BJ1" s="2" t="s">
        <v>2388</v>
      </c>
      <c r="BK1" s="2" t="s">
        <v>2380</v>
      </c>
      <c r="BL1" s="2" t="s">
        <v>2383</v>
      </c>
      <c r="BM1" s="2" t="s">
        <v>2112</v>
      </c>
      <c r="BN1" s="2" t="s">
        <v>2381</v>
      </c>
      <c r="BO1" s="2" t="s">
        <v>2113</v>
      </c>
      <c r="BP1" s="2" t="s">
        <v>2382</v>
      </c>
      <c r="BQ1" s="2" t="s">
        <v>2111</v>
      </c>
      <c r="BR1" s="2" t="s">
        <v>2384</v>
      </c>
      <c r="BS1" s="2" t="s">
        <v>2385</v>
      </c>
      <c r="BT1" s="2" t="s">
        <v>2408</v>
      </c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</row>
    <row r="2" spans="1:103" s="112" customFormat="1" hidden="1" x14ac:dyDescent="0.25">
      <c r="A2" s="16" t="s">
        <v>16</v>
      </c>
      <c r="B2" s="108" t="s">
        <v>12</v>
      </c>
      <c r="C2" s="106" t="s">
        <v>12</v>
      </c>
      <c r="D2" s="106"/>
      <c r="E2" s="106" t="s">
        <v>14</v>
      </c>
      <c r="F2" s="106" t="s">
        <v>15</v>
      </c>
      <c r="G2" s="109">
        <v>5333</v>
      </c>
      <c r="H2" s="109">
        <f t="shared" ref="H2:H33" si="0">IF(I2="NC",26,20)</f>
        <v>20</v>
      </c>
      <c r="I2" s="106" t="s">
        <v>13</v>
      </c>
      <c r="J2" s="106" t="s">
        <v>17</v>
      </c>
      <c r="K2" s="106">
        <f t="shared" ref="K2:K32" si="1">VLOOKUP(J2,TOWNSHIPS,2,FALSE)</f>
        <v>0</v>
      </c>
      <c r="L2" s="110">
        <v>5</v>
      </c>
      <c r="M2" s="110">
        <v>5</v>
      </c>
      <c r="N2" s="110">
        <v>5</v>
      </c>
      <c r="O2" s="110">
        <v>5</v>
      </c>
      <c r="P2" s="110">
        <v>9</v>
      </c>
      <c r="Q2" s="110">
        <v>9</v>
      </c>
      <c r="R2" s="110">
        <v>8</v>
      </c>
      <c r="S2" s="110">
        <v>8</v>
      </c>
      <c r="T2" s="110">
        <v>8</v>
      </c>
      <c r="U2" s="110">
        <v>8</v>
      </c>
      <c r="V2" s="110"/>
      <c r="W2" s="110"/>
      <c r="X2" s="110"/>
      <c r="Y2" s="106">
        <v>1045</v>
      </c>
      <c r="Z2" s="106">
        <f t="shared" ref="Z2:Z33" si="2">VLOOKUP(Y2,AADT,2)</f>
        <v>0.5</v>
      </c>
      <c r="AA2" s="106" t="s">
        <v>18</v>
      </c>
      <c r="AB2" s="111">
        <f t="shared" ref="AB2:AB65" si="3">(10-P2)+Z2+K2</f>
        <v>1.5</v>
      </c>
      <c r="AC2" s="106" t="s">
        <v>13</v>
      </c>
      <c r="AD2" s="107">
        <f t="shared" ref="AD2:AD49" si="4">VLOOKUP(AC2,Cost,2,FALSE)*G2/5280</f>
        <v>21210.795454545456</v>
      </c>
      <c r="AE2" s="198">
        <v>1</v>
      </c>
      <c r="AF2" s="113">
        <f t="shared" ref="AF2:AF33" si="5">AD2*AE2</f>
        <v>21210.795454545456</v>
      </c>
      <c r="AG2" s="26">
        <v>2023</v>
      </c>
      <c r="AH2" s="26" t="str">
        <f t="shared" ref="AH2:AM11" si="6">IF($AG2=AH$1,VLOOKUP($AC2,RSL,3,FALSE),"")</f>
        <v/>
      </c>
      <c r="AI2" s="26" t="str">
        <f t="shared" si="6"/>
        <v>Chip Seal and Fog</v>
      </c>
      <c r="AJ2" s="26" t="str">
        <f t="shared" si="6"/>
        <v/>
      </c>
      <c r="AK2" s="26" t="str">
        <f t="shared" si="6"/>
        <v/>
      </c>
      <c r="AL2" s="26" t="str">
        <f t="shared" si="6"/>
        <v/>
      </c>
      <c r="AM2" s="26" t="str">
        <f t="shared" si="6"/>
        <v/>
      </c>
      <c r="AN2" s="26" t="str">
        <f t="shared" ref="AN2:AN65" si="7">VLOOKUP($AC2,RSL,3,FALSE)</f>
        <v>Chip Seal and Fog</v>
      </c>
      <c r="AO2" s="26" t="str">
        <f t="shared" ref="AO2:AO48" si="8">IF(AY2=AO$1,VLOOKUP(AZ2,RSL,3,FALSE),"")</f>
        <v/>
      </c>
      <c r="AP2" s="26" t="str">
        <f t="shared" ref="AP2:AP65" si="9">IF(AY2=AP$1,VLOOKUP(AZ2,RSL,3,FALSE),"")</f>
        <v/>
      </c>
      <c r="AQ2" s="68">
        <f t="shared" ref="AQ2:AQ33" si="10">VLOOKUP(O2,RSLrem,2,FALSE)</f>
        <v>6</v>
      </c>
      <c r="AR2" s="68">
        <f t="shared" ref="AR2:AR33" si="11">VLOOKUP(AC2,RSL,5,FALSE)</f>
        <v>6</v>
      </c>
      <c r="AS2" s="68">
        <f t="shared" ref="AS2:AS65" si="12">IF(L2 &lt;&gt; "",VLOOKUP(L2,RSLloss,3,FALSE),0)</f>
        <v>1.25</v>
      </c>
      <c r="AT2" s="68">
        <f t="shared" ref="AT2:AT65" si="13">IF(M2 &lt;&gt; "",VLOOKUP(M2,RSLloss,3,FALSE),0)</f>
        <v>1.25</v>
      </c>
      <c r="AU2" s="68">
        <f t="shared" ref="AU2:AU65" si="14">IF(N2 &lt;&gt; "",VLOOKUP(N2,RSLloss,3,FALSE),0)</f>
        <v>1.25</v>
      </c>
      <c r="AV2" s="68">
        <f t="shared" ref="AV2:AV65" si="15">IF(O2 &lt;&gt; "",VLOOKUP(O2,RSLloss,3,FALSE),0)</f>
        <v>1.25</v>
      </c>
      <c r="AW2" s="68">
        <f t="shared" ref="AW2:AW65" si="16">IF(P2 &lt;&gt; "",VLOOKUP(P2,RSLloss,3,FALSE),0)</f>
        <v>1</v>
      </c>
      <c r="AX2" s="68">
        <f t="shared" ref="AX2:AX33" ca="1" si="17">AU2*(AG2-YEAR(TODAY()))</f>
        <v>-1.25</v>
      </c>
      <c r="AY2" s="106">
        <v>2023</v>
      </c>
      <c r="AZ2" s="106" t="s">
        <v>13</v>
      </c>
      <c r="BA2" s="106" t="str">
        <f t="shared" ref="BA2:BA65" si="18">IF(AY2=2018,AZ2,"")</f>
        <v/>
      </c>
      <c r="BB2" s="177"/>
      <c r="BC2" s="177">
        <v>1</v>
      </c>
      <c r="BD2" s="177"/>
      <c r="BE2" s="177"/>
      <c r="BF2" s="177"/>
      <c r="BG2" s="177"/>
      <c r="BH2" s="177"/>
      <c r="BI2" s="33"/>
      <c r="BJ2" s="2"/>
      <c r="BK2" s="48">
        <f>$G2/5280*VLOOKUP($AC2,'Cost and Score'!$B$27:$O$40,6,0)</f>
        <v>0.20200757575757577</v>
      </c>
      <c r="BL2" s="48">
        <f>$G2/5280*VLOOKUP($AC2,'Cost and Score'!$B$27:$O$40,7,0)</f>
        <v>22.220833333333331</v>
      </c>
      <c r="BM2" s="48">
        <f>$G2/5280*VLOOKUP($AC2,'Cost and Score'!$B$27:$O$40,8,0)</f>
        <v>0</v>
      </c>
      <c r="BN2" s="48">
        <f>$G2/5280*VLOOKUP($AC2,'Cost and Score'!$B$27:$O$40,9,0)</f>
        <v>4545.170454545454</v>
      </c>
      <c r="BO2" s="48">
        <f>$G2/5280*VLOOKUP($AC2,'Cost and Score'!$B$27:$O$40,10,0)</f>
        <v>1010.0378787878788</v>
      </c>
      <c r="BP2" s="48">
        <f>$G2/5280*VLOOKUP($AC2,'Cost and Score'!$B$27:$O$40,11,0)</f>
        <v>0</v>
      </c>
      <c r="BQ2" s="48">
        <f>$G2/5280*VLOOKUP($AC2,'Cost and Score'!$B$27:$O$40,12,0)</f>
        <v>101.00378787878788</v>
      </c>
      <c r="BR2" s="48">
        <f>$G2/5280*VLOOKUP($AC2,'Cost and Score'!$B$27:$O$40,13,0)</f>
        <v>121.20454545454545</v>
      </c>
      <c r="BS2" s="48">
        <f>$G2/5280*VLOOKUP($AC2,'Cost and Score'!$B$27:$O$40,14,0)</f>
        <v>0</v>
      </c>
      <c r="BT2" s="220">
        <f t="shared" ref="BT2:BT65" si="19">G2/5280</f>
        <v>1.0100378787878788</v>
      </c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W2" s="2"/>
      <c r="CX2" s="2"/>
      <c r="CY2" s="2"/>
    </row>
    <row r="3" spans="1:103" s="2" customFormat="1" ht="14.45" customHeight="1" x14ac:dyDescent="0.25">
      <c r="A3" s="36" t="s">
        <v>1092</v>
      </c>
      <c r="B3" s="34" t="s">
        <v>1091</v>
      </c>
      <c r="C3" s="26" t="s">
        <v>1091</v>
      </c>
      <c r="D3" s="82"/>
      <c r="E3" s="82" t="s">
        <v>28</v>
      </c>
      <c r="F3" s="82" t="s">
        <v>9</v>
      </c>
      <c r="G3" s="29">
        <v>5110</v>
      </c>
      <c r="H3" s="29">
        <f t="shared" si="0"/>
        <v>20</v>
      </c>
      <c r="I3" s="26" t="s">
        <v>8</v>
      </c>
      <c r="J3" s="26" t="s">
        <v>125</v>
      </c>
      <c r="K3" s="26">
        <f t="shared" si="1"/>
        <v>0</v>
      </c>
      <c r="L3" s="42">
        <v>7</v>
      </c>
      <c r="M3" s="42">
        <v>7</v>
      </c>
      <c r="N3" s="42"/>
      <c r="O3" s="83"/>
      <c r="P3" s="110">
        <v>7</v>
      </c>
      <c r="Q3" s="110"/>
      <c r="R3" s="110"/>
      <c r="S3" s="110"/>
      <c r="T3" s="110"/>
      <c r="U3" s="110"/>
      <c r="V3" s="42"/>
      <c r="W3" s="42"/>
      <c r="X3" s="42" t="s">
        <v>2612</v>
      </c>
      <c r="Y3" s="26">
        <v>9003</v>
      </c>
      <c r="Z3" s="26">
        <f t="shared" si="2"/>
        <v>1.5</v>
      </c>
      <c r="AA3" s="82" t="s">
        <v>135</v>
      </c>
      <c r="AB3" s="111">
        <f t="shared" si="3"/>
        <v>4.5</v>
      </c>
      <c r="AC3" s="85" t="s">
        <v>2075</v>
      </c>
      <c r="AD3" s="84">
        <f t="shared" si="4"/>
        <v>5226.136363636364</v>
      </c>
      <c r="AE3" s="140"/>
      <c r="AF3" s="113">
        <f t="shared" si="5"/>
        <v>0</v>
      </c>
      <c r="AG3" s="106"/>
      <c r="AH3" s="26" t="str">
        <f t="shared" si="6"/>
        <v/>
      </c>
      <c r="AI3" s="26" t="str">
        <f t="shared" si="6"/>
        <v/>
      </c>
      <c r="AJ3" s="26" t="str">
        <f t="shared" si="6"/>
        <v/>
      </c>
      <c r="AK3" s="26" t="str">
        <f t="shared" si="6"/>
        <v/>
      </c>
      <c r="AL3" s="26" t="str">
        <f t="shared" si="6"/>
        <v/>
      </c>
      <c r="AM3" s="26" t="str">
        <f t="shared" si="6"/>
        <v/>
      </c>
      <c r="AN3" s="26" t="str">
        <f t="shared" si="7"/>
        <v>Crack Seal</v>
      </c>
      <c r="AO3" s="26" t="str">
        <f t="shared" si="8"/>
        <v/>
      </c>
      <c r="AP3" s="26" t="str">
        <f t="shared" si="9"/>
        <v/>
      </c>
      <c r="AQ3" s="68" t="e">
        <f t="shared" si="10"/>
        <v>#N/A</v>
      </c>
      <c r="AR3" s="68">
        <f t="shared" si="11"/>
        <v>3</v>
      </c>
      <c r="AS3" s="68">
        <f t="shared" si="12"/>
        <v>1.05</v>
      </c>
      <c r="AT3" s="68">
        <f t="shared" si="13"/>
        <v>1.05</v>
      </c>
      <c r="AU3" s="68">
        <f t="shared" si="14"/>
        <v>0</v>
      </c>
      <c r="AV3" s="68">
        <f t="shared" si="15"/>
        <v>0</v>
      </c>
      <c r="AW3" s="68">
        <f t="shared" si="16"/>
        <v>1.05</v>
      </c>
      <c r="AX3" s="68">
        <f t="shared" ca="1" si="17"/>
        <v>0</v>
      </c>
      <c r="AY3" s="68">
        <v>2015</v>
      </c>
      <c r="AZ3" s="68" t="s">
        <v>2075</v>
      </c>
      <c r="BA3" s="106" t="str">
        <f t="shared" si="18"/>
        <v/>
      </c>
      <c r="BB3" s="178"/>
      <c r="BC3" s="178">
        <v>2</v>
      </c>
      <c r="BD3" s="178"/>
      <c r="BE3" s="178"/>
      <c r="BF3" s="178"/>
      <c r="BG3" s="178"/>
      <c r="BH3" s="178"/>
      <c r="BI3" s="33"/>
      <c r="BK3" s="48">
        <f>$G3/5280*VLOOKUP($AC3,'Cost and Score'!$B$27:$O$40,6,0)</f>
        <v>0.96780303030303028</v>
      </c>
      <c r="BL3" s="48">
        <f>$G3/5280*VLOOKUP($AC3,'Cost and Score'!$B$27:$O$40,7,0)</f>
        <v>0</v>
      </c>
      <c r="BM3" s="48">
        <f>$G3/5280*VLOOKUP($AC3,'Cost and Score'!$B$27:$O$40,8,0)</f>
        <v>0</v>
      </c>
      <c r="BN3" s="48">
        <f>$G3/5280*VLOOKUP($AC3,'Cost and Score'!$B$27:$O$40,9,0)</f>
        <v>0</v>
      </c>
      <c r="BO3" s="48">
        <f>$G3/5280*VLOOKUP($AC3,'Cost and Score'!$B$27:$O$40,10,0)</f>
        <v>0</v>
      </c>
      <c r="BP3" s="48">
        <f>$G3/5280*VLOOKUP($AC3,'Cost and Score'!$B$27:$O$40,11,0)</f>
        <v>0</v>
      </c>
      <c r="BQ3" s="48">
        <f>$G3/5280*VLOOKUP($AC3,'Cost and Score'!$B$27:$O$40,12,0)</f>
        <v>0</v>
      </c>
      <c r="BR3" s="48">
        <f>$G3/5280*VLOOKUP($AC3,'Cost and Score'!$B$27:$O$40,13,0)</f>
        <v>0</v>
      </c>
      <c r="BS3" s="48">
        <f>$G3/5280*VLOOKUP($AC3,'Cost and Score'!$B$27:$O$40,14,0)</f>
        <v>0</v>
      </c>
      <c r="BT3" s="220">
        <f t="shared" si="19"/>
        <v>0.96780303030303028</v>
      </c>
      <c r="CS3" s="112"/>
      <c r="CT3" s="112"/>
      <c r="CU3" s="112"/>
      <c r="CV3" s="112"/>
      <c r="CW3" s="112"/>
      <c r="CX3" s="112"/>
      <c r="CY3" s="112"/>
    </row>
    <row r="4" spans="1:103" s="2" customFormat="1" ht="14.45" hidden="1" customHeight="1" x14ac:dyDescent="0.25">
      <c r="A4" s="16" t="s">
        <v>32</v>
      </c>
      <c r="B4" s="34" t="s">
        <v>23</v>
      </c>
      <c r="C4" s="26" t="s">
        <v>2412</v>
      </c>
      <c r="D4" s="26"/>
      <c r="E4" s="26" t="s">
        <v>24</v>
      </c>
      <c r="F4" s="26" t="s">
        <v>25</v>
      </c>
      <c r="G4" s="29">
        <v>2647</v>
      </c>
      <c r="H4" s="29">
        <f t="shared" si="0"/>
        <v>20</v>
      </c>
      <c r="I4" s="26" t="s">
        <v>13</v>
      </c>
      <c r="J4" s="26" t="s">
        <v>26</v>
      </c>
      <c r="K4" s="26">
        <f t="shared" si="1"/>
        <v>0</v>
      </c>
      <c r="L4" s="42">
        <v>7</v>
      </c>
      <c r="M4" s="42">
        <v>5</v>
      </c>
      <c r="N4" s="42">
        <v>8</v>
      </c>
      <c r="O4" s="42">
        <v>8</v>
      </c>
      <c r="P4" s="42">
        <v>7</v>
      </c>
      <c r="Q4" s="42">
        <v>7</v>
      </c>
      <c r="R4" s="42">
        <v>7</v>
      </c>
      <c r="S4" s="42">
        <v>7</v>
      </c>
      <c r="T4" s="42">
        <v>6</v>
      </c>
      <c r="U4" s="42">
        <v>7</v>
      </c>
      <c r="V4" s="42"/>
      <c r="W4" s="42"/>
      <c r="X4" s="42"/>
      <c r="Y4" s="26">
        <v>50</v>
      </c>
      <c r="Z4" s="26">
        <f t="shared" si="2"/>
        <v>0</v>
      </c>
      <c r="AA4" s="26" t="s">
        <v>18</v>
      </c>
      <c r="AB4" s="111">
        <f t="shared" si="3"/>
        <v>3</v>
      </c>
      <c r="AC4" s="26" t="s">
        <v>13</v>
      </c>
      <c r="AD4" s="47">
        <f t="shared" si="4"/>
        <v>10527.84090909091</v>
      </c>
      <c r="AE4" s="140"/>
      <c r="AF4" s="113">
        <f t="shared" si="5"/>
        <v>0</v>
      </c>
      <c r="AG4" s="26">
        <v>2022</v>
      </c>
      <c r="AH4" s="26" t="str">
        <f t="shared" si="6"/>
        <v>Chip Seal and Fog</v>
      </c>
      <c r="AI4" s="26" t="str">
        <f t="shared" si="6"/>
        <v/>
      </c>
      <c r="AJ4" s="26" t="str">
        <f t="shared" si="6"/>
        <v/>
      </c>
      <c r="AK4" s="26" t="str">
        <f t="shared" si="6"/>
        <v/>
      </c>
      <c r="AL4" s="26" t="str">
        <f t="shared" si="6"/>
        <v/>
      </c>
      <c r="AM4" s="26" t="str">
        <f t="shared" si="6"/>
        <v/>
      </c>
      <c r="AN4" s="26" t="str">
        <f t="shared" si="7"/>
        <v>Chip Seal and Fog</v>
      </c>
      <c r="AO4" s="26" t="str">
        <f t="shared" si="8"/>
        <v/>
      </c>
      <c r="AP4" s="26" t="str">
        <f t="shared" si="9"/>
        <v>Chip Seal and Fog</v>
      </c>
      <c r="AQ4" s="68">
        <f t="shared" si="10"/>
        <v>12</v>
      </c>
      <c r="AR4" s="68">
        <f t="shared" si="11"/>
        <v>6</v>
      </c>
      <c r="AS4" s="68">
        <f t="shared" si="12"/>
        <v>1.05</v>
      </c>
      <c r="AT4" s="68">
        <f t="shared" si="13"/>
        <v>1.25</v>
      </c>
      <c r="AU4" s="68">
        <f t="shared" si="14"/>
        <v>1</v>
      </c>
      <c r="AV4" s="68">
        <f t="shared" si="15"/>
        <v>1</v>
      </c>
      <c r="AW4" s="68">
        <f t="shared" si="16"/>
        <v>1.05</v>
      </c>
      <c r="AX4" s="68">
        <f t="shared" ca="1" si="17"/>
        <v>-2</v>
      </c>
      <c r="AY4" s="106">
        <v>2022</v>
      </c>
      <c r="AZ4" s="106" t="s">
        <v>13</v>
      </c>
      <c r="BA4" s="106" t="str">
        <f t="shared" si="18"/>
        <v/>
      </c>
      <c r="BB4" s="177"/>
      <c r="BC4" s="177">
        <v>5</v>
      </c>
      <c r="BD4" s="177"/>
      <c r="BE4" s="177"/>
      <c r="BF4" s="177"/>
      <c r="BG4" s="177"/>
      <c r="BH4" s="177"/>
      <c r="BI4" s="33"/>
      <c r="BK4" s="48">
        <f>$G4/5280*VLOOKUP($AC4,'Cost and Score'!$B$27:$O$40,6,0)</f>
        <v>0.10026515151515153</v>
      </c>
      <c r="BL4" s="48">
        <f>$G4/5280*VLOOKUP($AC4,'Cost and Score'!$B$27:$O$40,7,0)</f>
        <v>11.029166666666667</v>
      </c>
      <c r="BM4" s="48">
        <f>$G4/5280*VLOOKUP($AC4,'Cost and Score'!$B$27:$O$40,8,0)</f>
        <v>0</v>
      </c>
      <c r="BN4" s="48">
        <f>$G4/5280*VLOOKUP($AC4,'Cost and Score'!$B$27:$O$40,9,0)</f>
        <v>2255.965909090909</v>
      </c>
      <c r="BO4" s="48">
        <f>$G4/5280*VLOOKUP($AC4,'Cost and Score'!$B$27:$O$40,10,0)</f>
        <v>501.32575757575756</v>
      </c>
      <c r="BP4" s="48">
        <f>$G4/5280*VLOOKUP($AC4,'Cost and Score'!$B$27:$O$40,11,0)</f>
        <v>0</v>
      </c>
      <c r="BQ4" s="48">
        <f>$G4/5280*VLOOKUP($AC4,'Cost and Score'!$B$27:$O$40,12,0)</f>
        <v>50.132575757575758</v>
      </c>
      <c r="BR4" s="48">
        <f>$G4/5280*VLOOKUP($AC4,'Cost and Score'!$B$27:$O$40,13,0)</f>
        <v>60.159090909090914</v>
      </c>
      <c r="BS4" s="48">
        <f>$G4/5280*VLOOKUP($AC4,'Cost and Score'!$B$27:$O$40,14,0)</f>
        <v>0</v>
      </c>
      <c r="BT4" s="220">
        <f t="shared" si="19"/>
        <v>0.50132575757575759</v>
      </c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</row>
    <row r="5" spans="1:103" s="2" customFormat="1" ht="14.45" hidden="1" customHeight="1" x14ac:dyDescent="0.25">
      <c r="A5" s="16" t="s">
        <v>29</v>
      </c>
      <c r="B5" s="34" t="s">
        <v>27</v>
      </c>
      <c r="C5" s="26" t="s">
        <v>27</v>
      </c>
      <c r="D5" s="26"/>
      <c r="E5" s="26" t="s">
        <v>25</v>
      </c>
      <c r="F5" s="26" t="s">
        <v>28</v>
      </c>
      <c r="G5" s="29">
        <v>5320</v>
      </c>
      <c r="H5" s="29">
        <f t="shared" si="0"/>
        <v>20</v>
      </c>
      <c r="I5" s="26" t="s">
        <v>13</v>
      </c>
      <c r="J5" s="26" t="s">
        <v>26</v>
      </c>
      <c r="K5" s="26">
        <f t="shared" si="1"/>
        <v>0</v>
      </c>
      <c r="L5" s="42">
        <v>7</v>
      </c>
      <c r="M5" s="42">
        <v>8</v>
      </c>
      <c r="N5" s="42">
        <v>8</v>
      </c>
      <c r="O5" s="42">
        <v>8</v>
      </c>
      <c r="P5" s="42">
        <v>8</v>
      </c>
      <c r="Q5" s="42">
        <v>7</v>
      </c>
      <c r="R5" s="42">
        <v>7</v>
      </c>
      <c r="S5" s="42">
        <v>7</v>
      </c>
      <c r="T5" s="42">
        <v>7</v>
      </c>
      <c r="U5" s="42">
        <v>7</v>
      </c>
      <c r="V5" s="42"/>
      <c r="W5" s="42"/>
      <c r="X5" s="42"/>
      <c r="Y5" s="26">
        <v>24</v>
      </c>
      <c r="Z5" s="26">
        <f t="shared" si="2"/>
        <v>0</v>
      </c>
      <c r="AA5" s="26" t="s">
        <v>18</v>
      </c>
      <c r="AB5" s="111">
        <f t="shared" si="3"/>
        <v>2</v>
      </c>
      <c r="AC5" s="26" t="s">
        <v>2073</v>
      </c>
      <c r="AD5" s="47">
        <f t="shared" si="4"/>
        <v>32242.424242424244</v>
      </c>
      <c r="AE5" s="140">
        <v>1</v>
      </c>
      <c r="AF5" s="113">
        <f t="shared" si="5"/>
        <v>32242.424242424244</v>
      </c>
      <c r="AG5" s="26">
        <v>2024</v>
      </c>
      <c r="AH5" s="26" t="str">
        <f t="shared" si="6"/>
        <v/>
      </c>
      <c r="AI5" s="26" t="str">
        <f t="shared" si="6"/>
        <v/>
      </c>
      <c r="AJ5" s="26" t="str">
        <f t="shared" si="6"/>
        <v>Chip Seal - Double and Fog</v>
      </c>
      <c r="AK5" s="26" t="str">
        <f t="shared" si="6"/>
        <v/>
      </c>
      <c r="AL5" s="26" t="str">
        <f t="shared" si="6"/>
        <v/>
      </c>
      <c r="AM5" s="26" t="str">
        <f t="shared" si="6"/>
        <v/>
      </c>
      <c r="AN5" s="26" t="str">
        <f t="shared" si="7"/>
        <v>Chip Seal - Double and Fog</v>
      </c>
      <c r="AO5" s="26" t="str">
        <f t="shared" si="8"/>
        <v/>
      </c>
      <c r="AP5" s="26" t="str">
        <f t="shared" si="9"/>
        <v/>
      </c>
      <c r="AQ5" s="68">
        <f t="shared" si="10"/>
        <v>12</v>
      </c>
      <c r="AR5" s="68">
        <f t="shared" si="11"/>
        <v>6</v>
      </c>
      <c r="AS5" s="68">
        <f t="shared" si="12"/>
        <v>1.05</v>
      </c>
      <c r="AT5" s="68">
        <f t="shared" si="13"/>
        <v>1</v>
      </c>
      <c r="AU5" s="68">
        <f t="shared" si="14"/>
        <v>1</v>
      </c>
      <c r="AV5" s="68">
        <f t="shared" si="15"/>
        <v>1</v>
      </c>
      <c r="AW5" s="68">
        <f t="shared" si="16"/>
        <v>1</v>
      </c>
      <c r="AX5" s="68">
        <f t="shared" ca="1" si="17"/>
        <v>0</v>
      </c>
      <c r="AY5" s="106">
        <v>2014</v>
      </c>
      <c r="AZ5" s="111" t="s">
        <v>2073</v>
      </c>
      <c r="BA5" s="106" t="str">
        <f t="shared" si="18"/>
        <v/>
      </c>
      <c r="BB5" s="110"/>
      <c r="BC5" s="110">
        <v>5</v>
      </c>
      <c r="BD5" s="110"/>
      <c r="BE5" s="110"/>
      <c r="BF5" s="110"/>
      <c r="BG5" s="110"/>
      <c r="BH5" s="110"/>
      <c r="BI5" s="33"/>
      <c r="BK5" s="48">
        <f>$G5/5280*VLOOKUP($AC5,'Cost and Score'!$B$27:$O$40,6,0)</f>
        <v>0.50378787878787878</v>
      </c>
      <c r="BL5" s="48">
        <f>$G5/5280*VLOOKUP($AC5,'Cost and Score'!$B$27:$O$40,7,0)</f>
        <v>50.378787878787875</v>
      </c>
      <c r="BM5" s="48">
        <f>$G5/5280*VLOOKUP($AC5,'Cost and Score'!$B$27:$O$40,8,0)</f>
        <v>0</v>
      </c>
      <c r="BN5" s="48">
        <f>$G5/5280*VLOOKUP($AC5,'Cost and Score'!$B$27:$O$40,9,0)</f>
        <v>9571.9696969696961</v>
      </c>
      <c r="BO5" s="48">
        <f>$G5/5280*VLOOKUP($AC5,'Cost and Score'!$B$27:$O$40,10,0)</f>
        <v>1007.5757575757576</v>
      </c>
      <c r="BP5" s="48">
        <f>$G5/5280*VLOOKUP($AC5,'Cost and Score'!$B$27:$O$40,11,0)</f>
        <v>0</v>
      </c>
      <c r="BQ5" s="48">
        <f>$G5/5280*VLOOKUP($AC5,'Cost and Score'!$B$27:$O$40,12,0)</f>
        <v>201.5151515151515</v>
      </c>
      <c r="BR5" s="48">
        <f>$G5/5280*VLOOKUP($AC5,'Cost and Score'!$B$27:$O$40,13,0)</f>
        <v>181.36363636363637</v>
      </c>
      <c r="BS5" s="48">
        <f>$G5/5280*VLOOKUP($AC5,'Cost and Score'!$B$27:$O$40,14,0)</f>
        <v>241.81818181818181</v>
      </c>
      <c r="BT5" s="220">
        <f t="shared" si="19"/>
        <v>1.0075757575757576</v>
      </c>
      <c r="CR5" s="112"/>
    </row>
    <row r="6" spans="1:103" s="2" customFormat="1" ht="14.45" hidden="1" customHeight="1" x14ac:dyDescent="0.25">
      <c r="A6" s="16" t="s">
        <v>32</v>
      </c>
      <c r="B6" s="34" t="s">
        <v>30</v>
      </c>
      <c r="C6" s="26" t="s">
        <v>30</v>
      </c>
      <c r="D6" s="82"/>
      <c r="E6" s="82" t="s">
        <v>28</v>
      </c>
      <c r="F6" s="82" t="s">
        <v>31</v>
      </c>
      <c r="G6" s="29">
        <v>2693</v>
      </c>
      <c r="H6" s="29">
        <f t="shared" si="0"/>
        <v>20</v>
      </c>
      <c r="I6" s="26" t="s">
        <v>8</v>
      </c>
      <c r="J6" s="26" t="s">
        <v>26</v>
      </c>
      <c r="K6" s="26">
        <f t="shared" si="1"/>
        <v>0</v>
      </c>
      <c r="L6" s="42">
        <v>7</v>
      </c>
      <c r="M6" s="42">
        <v>6</v>
      </c>
      <c r="N6" s="42">
        <v>6</v>
      </c>
      <c r="O6" s="83">
        <v>5</v>
      </c>
      <c r="P6" s="83">
        <v>7</v>
      </c>
      <c r="Q6" s="83">
        <v>7</v>
      </c>
      <c r="R6" s="83">
        <v>7</v>
      </c>
      <c r="S6" s="83">
        <v>7</v>
      </c>
      <c r="T6" s="83">
        <v>7</v>
      </c>
      <c r="U6" s="83">
        <v>7</v>
      </c>
      <c r="V6" s="42"/>
      <c r="W6" s="42"/>
      <c r="X6" s="42"/>
      <c r="Y6" s="26">
        <v>34</v>
      </c>
      <c r="Z6" s="26">
        <f t="shared" si="2"/>
        <v>0</v>
      </c>
      <c r="AA6" s="82" t="s">
        <v>18</v>
      </c>
      <c r="AB6" s="111">
        <f t="shared" si="3"/>
        <v>3</v>
      </c>
      <c r="AC6" s="85" t="s">
        <v>2073</v>
      </c>
      <c r="AD6" s="84">
        <f t="shared" si="4"/>
        <v>16321.212121212122</v>
      </c>
      <c r="AE6" s="140"/>
      <c r="AF6" s="113">
        <f t="shared" si="5"/>
        <v>0</v>
      </c>
      <c r="AG6" s="26">
        <v>2026</v>
      </c>
      <c r="AH6" s="26" t="str">
        <f t="shared" si="6"/>
        <v/>
      </c>
      <c r="AI6" s="26" t="str">
        <f t="shared" si="6"/>
        <v/>
      </c>
      <c r="AJ6" s="26" t="str">
        <f t="shared" si="6"/>
        <v/>
      </c>
      <c r="AK6" s="26" t="str">
        <f t="shared" si="6"/>
        <v/>
      </c>
      <c r="AL6" s="26" t="str">
        <f t="shared" si="6"/>
        <v>Chip Seal - Double and Fog</v>
      </c>
      <c r="AM6" s="26" t="str">
        <f t="shared" si="6"/>
        <v/>
      </c>
      <c r="AN6" s="26" t="str">
        <f t="shared" si="7"/>
        <v>Chip Seal - Double and Fog</v>
      </c>
      <c r="AO6" s="26" t="str">
        <f t="shared" si="8"/>
        <v/>
      </c>
      <c r="AP6" s="26" t="str">
        <f t="shared" si="9"/>
        <v/>
      </c>
      <c r="AQ6" s="68">
        <f t="shared" si="10"/>
        <v>6</v>
      </c>
      <c r="AR6" s="68">
        <f t="shared" si="11"/>
        <v>6</v>
      </c>
      <c r="AS6" s="68">
        <f t="shared" si="12"/>
        <v>1.05</v>
      </c>
      <c r="AT6" s="68">
        <f t="shared" si="13"/>
        <v>1.1000000000000001</v>
      </c>
      <c r="AU6" s="68">
        <f t="shared" si="14"/>
        <v>1.1000000000000001</v>
      </c>
      <c r="AV6" s="68">
        <f t="shared" si="15"/>
        <v>1.25</v>
      </c>
      <c r="AW6" s="68">
        <f t="shared" si="16"/>
        <v>1.05</v>
      </c>
      <c r="AX6" s="68">
        <f t="shared" ca="1" si="17"/>
        <v>2.2000000000000002</v>
      </c>
      <c r="AY6" s="106">
        <v>2018</v>
      </c>
      <c r="AZ6" s="106" t="s">
        <v>13</v>
      </c>
      <c r="BA6" s="106" t="str">
        <f t="shared" si="18"/>
        <v>CS</v>
      </c>
      <c r="BB6" s="177"/>
      <c r="BC6" s="177">
        <v>5</v>
      </c>
      <c r="BD6" s="177"/>
      <c r="BE6" s="177"/>
      <c r="BF6" s="177"/>
      <c r="BG6" s="177"/>
      <c r="BH6" s="177"/>
      <c r="BI6" s="33"/>
      <c r="BK6" s="48">
        <f>$G6/5280*VLOOKUP($AC6,'Cost and Score'!$B$27:$O$40,6,0)</f>
        <v>0.25501893939393938</v>
      </c>
      <c r="BL6" s="48">
        <f>$G6/5280*VLOOKUP($AC6,'Cost and Score'!$B$27:$O$40,7,0)</f>
        <v>25.501893939393938</v>
      </c>
      <c r="BM6" s="48">
        <f>$G6/5280*VLOOKUP($AC6,'Cost and Score'!$B$27:$O$40,8,0)</f>
        <v>0</v>
      </c>
      <c r="BN6" s="48">
        <f>$G6/5280*VLOOKUP($AC6,'Cost and Score'!$B$27:$O$40,9,0)</f>
        <v>4845.359848484848</v>
      </c>
      <c r="BO6" s="48">
        <f>$G6/5280*VLOOKUP($AC6,'Cost and Score'!$B$27:$O$40,10,0)</f>
        <v>510.03787878787875</v>
      </c>
      <c r="BP6" s="48">
        <f>$G6/5280*VLOOKUP($AC6,'Cost and Score'!$B$27:$O$40,11,0)</f>
        <v>0</v>
      </c>
      <c r="BQ6" s="48">
        <f>$G6/5280*VLOOKUP($AC6,'Cost and Score'!$B$27:$O$40,12,0)</f>
        <v>102.00757575757575</v>
      </c>
      <c r="BR6" s="48">
        <f>$G6/5280*VLOOKUP($AC6,'Cost and Score'!$B$27:$O$40,13,0)</f>
        <v>91.806818181818173</v>
      </c>
      <c r="BS6" s="48">
        <f>$G6/5280*VLOOKUP($AC6,'Cost and Score'!$B$27:$O$40,14,0)</f>
        <v>122.40909090909091</v>
      </c>
      <c r="BT6" s="220">
        <f t="shared" si="19"/>
        <v>0.51003787878787876</v>
      </c>
      <c r="BX6" s="2" t="s">
        <v>2061</v>
      </c>
      <c r="BY6" s="2" t="s">
        <v>17</v>
      </c>
      <c r="BZ6" s="2">
        <v>0</v>
      </c>
      <c r="CC6" s="2">
        <v>500</v>
      </c>
      <c r="CD6" s="2">
        <v>0.5</v>
      </c>
      <c r="CR6" s="112"/>
      <c r="CS6" s="112"/>
      <c r="CT6" s="112"/>
      <c r="CU6" s="112"/>
    </row>
    <row r="7" spans="1:103" s="2" customFormat="1" ht="14.45" hidden="1" customHeight="1" x14ac:dyDescent="0.25">
      <c r="A7" s="16" t="s">
        <v>36</v>
      </c>
      <c r="B7" s="34" t="s">
        <v>33</v>
      </c>
      <c r="C7" s="26" t="s">
        <v>33</v>
      </c>
      <c r="D7" s="26"/>
      <c r="E7" s="26" t="s">
        <v>34</v>
      </c>
      <c r="F7" s="26" t="s">
        <v>35</v>
      </c>
      <c r="G7" s="29">
        <v>2910</v>
      </c>
      <c r="H7" s="29">
        <f t="shared" si="0"/>
        <v>20</v>
      </c>
      <c r="I7" s="26" t="s">
        <v>13</v>
      </c>
      <c r="J7" s="26" t="s">
        <v>17</v>
      </c>
      <c r="K7" s="26">
        <f t="shared" si="1"/>
        <v>0</v>
      </c>
      <c r="L7" s="42">
        <v>7</v>
      </c>
      <c r="M7" s="42">
        <v>7</v>
      </c>
      <c r="N7" s="42">
        <v>7</v>
      </c>
      <c r="O7" s="42">
        <v>7</v>
      </c>
      <c r="P7" s="42">
        <v>6</v>
      </c>
      <c r="Q7" s="42">
        <v>6</v>
      </c>
      <c r="R7" s="42">
        <v>5</v>
      </c>
      <c r="S7" s="42">
        <v>5</v>
      </c>
      <c r="T7" s="42">
        <v>5</v>
      </c>
      <c r="U7" s="42">
        <v>8</v>
      </c>
      <c r="V7" s="42"/>
      <c r="W7" s="42"/>
      <c r="X7" s="42"/>
      <c r="Y7" s="26">
        <v>25</v>
      </c>
      <c r="Z7" s="26">
        <f t="shared" si="2"/>
        <v>0</v>
      </c>
      <c r="AA7" s="26" t="s">
        <v>18</v>
      </c>
      <c r="AB7" s="111">
        <f t="shared" si="3"/>
        <v>4</v>
      </c>
      <c r="AC7" s="26" t="s">
        <v>13</v>
      </c>
      <c r="AD7" s="47">
        <f t="shared" si="4"/>
        <v>11573.863636363636</v>
      </c>
      <c r="AE7" s="140"/>
      <c r="AF7" s="113">
        <f t="shared" si="5"/>
        <v>0</v>
      </c>
      <c r="AG7" s="26">
        <v>2022</v>
      </c>
      <c r="AH7" s="26" t="str">
        <f t="shared" si="6"/>
        <v>Chip Seal and Fog</v>
      </c>
      <c r="AI7" s="26" t="str">
        <f t="shared" si="6"/>
        <v/>
      </c>
      <c r="AJ7" s="26" t="str">
        <f t="shared" si="6"/>
        <v/>
      </c>
      <c r="AK7" s="26" t="str">
        <f t="shared" si="6"/>
        <v/>
      </c>
      <c r="AL7" s="26" t="str">
        <f t="shared" si="6"/>
        <v/>
      </c>
      <c r="AM7" s="26" t="str">
        <f t="shared" si="6"/>
        <v/>
      </c>
      <c r="AN7" s="26" t="str">
        <f t="shared" si="7"/>
        <v>Chip Seal and Fog</v>
      </c>
      <c r="AO7" s="26" t="str">
        <f t="shared" si="8"/>
        <v/>
      </c>
      <c r="AP7" s="26" t="str">
        <f t="shared" si="9"/>
        <v>Chip Seal and Fog</v>
      </c>
      <c r="AQ7" s="68">
        <f t="shared" si="10"/>
        <v>10</v>
      </c>
      <c r="AR7" s="68">
        <f t="shared" si="11"/>
        <v>6</v>
      </c>
      <c r="AS7" s="68">
        <f t="shared" si="12"/>
        <v>1.05</v>
      </c>
      <c r="AT7" s="68">
        <f t="shared" si="13"/>
        <v>1.05</v>
      </c>
      <c r="AU7" s="68">
        <f t="shared" si="14"/>
        <v>1.05</v>
      </c>
      <c r="AV7" s="68">
        <f t="shared" si="15"/>
        <v>1.05</v>
      </c>
      <c r="AW7" s="68">
        <f t="shared" si="16"/>
        <v>1.1000000000000001</v>
      </c>
      <c r="AX7" s="68">
        <f t="shared" ca="1" si="17"/>
        <v>-2.1</v>
      </c>
      <c r="AY7" s="106">
        <v>2022</v>
      </c>
      <c r="AZ7" s="106" t="s">
        <v>13</v>
      </c>
      <c r="BA7" s="106" t="str">
        <f t="shared" si="18"/>
        <v/>
      </c>
      <c r="BB7" s="177"/>
      <c r="BC7" s="177">
        <v>5</v>
      </c>
      <c r="BD7" s="177"/>
      <c r="BE7" s="177"/>
      <c r="BF7" s="177"/>
      <c r="BG7" s="177"/>
      <c r="BH7" s="177"/>
      <c r="BI7" s="33"/>
      <c r="BK7" s="48">
        <f>$G7/5280*VLOOKUP($AC7,'Cost and Score'!$B$27:$O$40,6,0)</f>
        <v>0.11022727272727273</v>
      </c>
      <c r="BL7" s="48">
        <f>$G7/5280*VLOOKUP($AC7,'Cost and Score'!$B$27:$O$40,7,0)</f>
        <v>12.125</v>
      </c>
      <c r="BM7" s="48">
        <f>$G7/5280*VLOOKUP($AC7,'Cost and Score'!$B$27:$O$40,8,0)</f>
        <v>0</v>
      </c>
      <c r="BN7" s="48">
        <f>$G7/5280*VLOOKUP($AC7,'Cost and Score'!$B$27:$O$40,9,0)</f>
        <v>2480.1136363636365</v>
      </c>
      <c r="BO7" s="48">
        <f>$G7/5280*VLOOKUP($AC7,'Cost and Score'!$B$27:$O$40,10,0)</f>
        <v>551.13636363636363</v>
      </c>
      <c r="BP7" s="48">
        <f>$G7/5280*VLOOKUP($AC7,'Cost and Score'!$B$27:$O$40,11,0)</f>
        <v>0</v>
      </c>
      <c r="BQ7" s="48">
        <f>$G7/5280*VLOOKUP($AC7,'Cost and Score'!$B$27:$O$40,12,0)</f>
        <v>55.113636363636367</v>
      </c>
      <c r="BR7" s="48">
        <f>$G7/5280*VLOOKUP($AC7,'Cost and Score'!$B$27:$O$40,13,0)</f>
        <v>66.13636363636364</v>
      </c>
      <c r="BS7" s="48">
        <f>$G7/5280*VLOOKUP($AC7,'Cost and Score'!$B$27:$O$40,14,0)</f>
        <v>0</v>
      </c>
      <c r="BT7" s="220">
        <f t="shared" si="19"/>
        <v>0.55113636363636365</v>
      </c>
      <c r="CG7" s="112"/>
      <c r="CH7" s="112"/>
      <c r="CI7" s="112"/>
      <c r="CJ7" s="112"/>
      <c r="CK7" s="112"/>
      <c r="CL7" s="112"/>
      <c r="CM7" s="112"/>
      <c r="CS7" s="112"/>
      <c r="CT7" s="112"/>
      <c r="CU7" s="112"/>
    </row>
    <row r="8" spans="1:103" s="2" customFormat="1" ht="14.45" hidden="1" customHeight="1" x14ac:dyDescent="0.25">
      <c r="A8" s="16" t="s">
        <v>40</v>
      </c>
      <c r="B8" s="34" t="s">
        <v>37</v>
      </c>
      <c r="C8" s="26" t="s">
        <v>37</v>
      </c>
      <c r="D8" s="82"/>
      <c r="E8" s="82" t="s">
        <v>38</v>
      </c>
      <c r="F8" s="82" t="s">
        <v>39</v>
      </c>
      <c r="G8" s="29">
        <v>5290</v>
      </c>
      <c r="H8" s="29">
        <f t="shared" si="0"/>
        <v>20</v>
      </c>
      <c r="I8" s="26" t="s">
        <v>13</v>
      </c>
      <c r="J8" s="26" t="s">
        <v>17</v>
      </c>
      <c r="K8" s="26">
        <f t="shared" si="1"/>
        <v>0</v>
      </c>
      <c r="L8" s="42">
        <v>5</v>
      </c>
      <c r="M8" s="42">
        <v>5</v>
      </c>
      <c r="N8" s="42">
        <v>5</v>
      </c>
      <c r="O8" s="83">
        <v>5</v>
      </c>
      <c r="P8" s="83">
        <v>4</v>
      </c>
      <c r="Q8" s="83">
        <v>9</v>
      </c>
      <c r="R8" s="83">
        <v>8</v>
      </c>
      <c r="S8" s="83">
        <v>8</v>
      </c>
      <c r="T8" s="83">
        <v>8</v>
      </c>
      <c r="U8" s="83">
        <v>8</v>
      </c>
      <c r="V8" s="42"/>
      <c r="W8" s="42"/>
      <c r="X8" s="42"/>
      <c r="Y8" s="26">
        <v>175</v>
      </c>
      <c r="Z8" s="26">
        <f t="shared" si="2"/>
        <v>0</v>
      </c>
      <c r="AA8" s="82" t="s">
        <v>18</v>
      </c>
      <c r="AB8" s="111">
        <f t="shared" si="3"/>
        <v>6</v>
      </c>
      <c r="AC8" s="85" t="s">
        <v>13</v>
      </c>
      <c r="AD8" s="84">
        <f t="shared" si="4"/>
        <v>21039.772727272728</v>
      </c>
      <c r="AE8" s="140">
        <v>1</v>
      </c>
      <c r="AF8" s="113">
        <f t="shared" si="5"/>
        <v>21039.772727272728</v>
      </c>
      <c r="AG8" s="26">
        <v>2024</v>
      </c>
      <c r="AH8" s="26" t="str">
        <f t="shared" si="6"/>
        <v/>
      </c>
      <c r="AI8" s="26" t="str">
        <f t="shared" si="6"/>
        <v/>
      </c>
      <c r="AJ8" s="26" t="str">
        <f t="shared" si="6"/>
        <v>Chip Seal and Fog</v>
      </c>
      <c r="AK8" s="26" t="str">
        <f t="shared" si="6"/>
        <v/>
      </c>
      <c r="AL8" s="26" t="str">
        <f t="shared" si="6"/>
        <v/>
      </c>
      <c r="AM8" s="26" t="str">
        <f t="shared" si="6"/>
        <v/>
      </c>
      <c r="AN8" s="26" t="str">
        <f t="shared" si="7"/>
        <v>Chip Seal and Fog</v>
      </c>
      <c r="AO8" s="26" t="str">
        <f t="shared" si="8"/>
        <v/>
      </c>
      <c r="AP8" s="26" t="str">
        <f t="shared" si="9"/>
        <v/>
      </c>
      <c r="AQ8" s="68">
        <f t="shared" si="10"/>
        <v>6</v>
      </c>
      <c r="AR8" s="68">
        <f t="shared" si="11"/>
        <v>6</v>
      </c>
      <c r="AS8" s="68">
        <f t="shared" si="12"/>
        <v>1.25</v>
      </c>
      <c r="AT8" s="68">
        <f t="shared" si="13"/>
        <v>1.25</v>
      </c>
      <c r="AU8" s="68">
        <f t="shared" si="14"/>
        <v>1.25</v>
      </c>
      <c r="AV8" s="68">
        <f t="shared" si="15"/>
        <v>1.25</v>
      </c>
      <c r="AW8" s="68">
        <f t="shared" si="16"/>
        <v>1.5</v>
      </c>
      <c r="AX8" s="68">
        <f t="shared" ca="1" si="17"/>
        <v>0</v>
      </c>
      <c r="AY8" s="106">
        <v>2018</v>
      </c>
      <c r="AZ8" s="106" t="s">
        <v>2072</v>
      </c>
      <c r="BA8" s="106" t="str">
        <f t="shared" si="18"/>
        <v>SP/CS</v>
      </c>
      <c r="BB8" s="177"/>
      <c r="BC8" s="177">
        <v>1</v>
      </c>
      <c r="BD8" s="177"/>
      <c r="BE8" s="177"/>
      <c r="BF8" s="177"/>
      <c r="BG8" s="177"/>
      <c r="BH8" s="177"/>
      <c r="BI8" s="33"/>
      <c r="BK8" s="48">
        <f>$G8/5280*VLOOKUP($AC8,'Cost and Score'!$B$27:$O$40,6,0)</f>
        <v>0.20037878787878791</v>
      </c>
      <c r="BL8" s="48">
        <f>$G8/5280*VLOOKUP($AC8,'Cost and Score'!$B$27:$O$40,7,0)</f>
        <v>22.041666666666668</v>
      </c>
      <c r="BM8" s="48">
        <f>$G8/5280*VLOOKUP($AC8,'Cost and Score'!$B$27:$O$40,8,0)</f>
        <v>0</v>
      </c>
      <c r="BN8" s="48">
        <f>$G8/5280*VLOOKUP($AC8,'Cost and Score'!$B$27:$O$40,9,0)</f>
        <v>4508.5227272727279</v>
      </c>
      <c r="BO8" s="48">
        <f>$G8/5280*VLOOKUP($AC8,'Cost and Score'!$B$27:$O$40,10,0)</f>
        <v>1001.8939393939395</v>
      </c>
      <c r="BP8" s="48">
        <f>$G8/5280*VLOOKUP($AC8,'Cost and Score'!$B$27:$O$40,11,0)</f>
        <v>0</v>
      </c>
      <c r="BQ8" s="48">
        <f>$G8/5280*VLOOKUP($AC8,'Cost and Score'!$B$27:$O$40,12,0)</f>
        <v>100.18939393939394</v>
      </c>
      <c r="BR8" s="48">
        <f>$G8/5280*VLOOKUP($AC8,'Cost and Score'!$B$27:$O$40,13,0)</f>
        <v>120.22727272727273</v>
      </c>
      <c r="BS8" s="48">
        <f>$G8/5280*VLOOKUP($AC8,'Cost and Score'!$B$27:$O$40,14,0)</f>
        <v>0</v>
      </c>
      <c r="BT8" s="220">
        <f t="shared" si="19"/>
        <v>1.0018939393939394</v>
      </c>
      <c r="BX8" s="2" t="s">
        <v>2063</v>
      </c>
      <c r="BY8" s="2" t="s">
        <v>125</v>
      </c>
      <c r="BZ8" s="2">
        <v>0</v>
      </c>
      <c r="CC8" s="2">
        <v>500</v>
      </c>
      <c r="CD8" s="2">
        <v>0.5</v>
      </c>
      <c r="CW8" s="112"/>
      <c r="CX8" s="112"/>
      <c r="CY8" s="112"/>
    </row>
    <row r="9" spans="1:103" s="2" customFormat="1" ht="14.45" hidden="1" customHeight="1" x14ac:dyDescent="0.25">
      <c r="A9" s="18" t="s">
        <v>2355</v>
      </c>
      <c r="B9" s="34" t="s">
        <v>41</v>
      </c>
      <c r="C9" s="26" t="s">
        <v>41</v>
      </c>
      <c r="D9" s="82"/>
      <c r="E9" s="82" t="s">
        <v>31</v>
      </c>
      <c r="F9" s="82" t="s">
        <v>42</v>
      </c>
      <c r="G9" s="29">
        <v>2640</v>
      </c>
      <c r="H9" s="29">
        <f t="shared" si="0"/>
        <v>20</v>
      </c>
      <c r="I9" s="26" t="s">
        <v>8</v>
      </c>
      <c r="J9" s="26" t="s">
        <v>26</v>
      </c>
      <c r="K9" s="26">
        <f t="shared" si="1"/>
        <v>0</v>
      </c>
      <c r="L9" s="42">
        <v>6</v>
      </c>
      <c r="M9" s="42">
        <v>6</v>
      </c>
      <c r="N9" s="42">
        <v>6</v>
      </c>
      <c r="O9" s="83">
        <v>5</v>
      </c>
      <c r="P9" s="83">
        <v>5</v>
      </c>
      <c r="Q9" s="83">
        <v>5</v>
      </c>
      <c r="R9" s="83">
        <v>6</v>
      </c>
      <c r="S9" s="83">
        <v>6</v>
      </c>
      <c r="T9" s="83">
        <v>6</v>
      </c>
      <c r="U9" s="83">
        <v>7</v>
      </c>
      <c r="V9" s="42"/>
      <c r="W9" s="42"/>
      <c r="X9" s="42"/>
      <c r="Y9" s="26">
        <v>78</v>
      </c>
      <c r="Z9" s="26">
        <f t="shared" si="2"/>
        <v>0</v>
      </c>
      <c r="AA9" s="82" t="s">
        <v>18</v>
      </c>
      <c r="AB9" s="111">
        <f t="shared" si="3"/>
        <v>5</v>
      </c>
      <c r="AC9" s="82" t="s">
        <v>2073</v>
      </c>
      <c r="AD9" s="84">
        <f t="shared" si="4"/>
        <v>16000</v>
      </c>
      <c r="AE9" s="140"/>
      <c r="AF9" s="113">
        <f t="shared" si="5"/>
        <v>0</v>
      </c>
      <c r="AG9" s="82">
        <v>2026</v>
      </c>
      <c r="AH9" s="26" t="str">
        <f t="shared" si="6"/>
        <v/>
      </c>
      <c r="AI9" s="26" t="str">
        <f t="shared" si="6"/>
        <v/>
      </c>
      <c r="AJ9" s="26" t="str">
        <f t="shared" si="6"/>
        <v/>
      </c>
      <c r="AK9" s="26" t="str">
        <f t="shared" si="6"/>
        <v/>
      </c>
      <c r="AL9" s="26" t="str">
        <f t="shared" si="6"/>
        <v>Chip Seal - Double and Fog</v>
      </c>
      <c r="AM9" s="26" t="str">
        <f t="shared" si="6"/>
        <v/>
      </c>
      <c r="AN9" s="26" t="str">
        <f t="shared" si="7"/>
        <v>Chip Seal - Double and Fog</v>
      </c>
      <c r="AO9" s="26" t="str">
        <f t="shared" si="8"/>
        <v/>
      </c>
      <c r="AP9" s="26" t="str">
        <f t="shared" si="9"/>
        <v/>
      </c>
      <c r="AQ9" s="68">
        <f t="shared" si="10"/>
        <v>6</v>
      </c>
      <c r="AR9" s="68">
        <f t="shared" si="11"/>
        <v>6</v>
      </c>
      <c r="AS9" s="68">
        <f t="shared" si="12"/>
        <v>1.1000000000000001</v>
      </c>
      <c r="AT9" s="68">
        <f t="shared" si="13"/>
        <v>1.1000000000000001</v>
      </c>
      <c r="AU9" s="68">
        <f t="shared" si="14"/>
        <v>1.1000000000000001</v>
      </c>
      <c r="AV9" s="68">
        <f t="shared" si="15"/>
        <v>1.25</v>
      </c>
      <c r="AW9" s="68">
        <f t="shared" si="16"/>
        <v>1.25</v>
      </c>
      <c r="AX9" s="68">
        <f t="shared" ca="1" si="17"/>
        <v>2.2000000000000002</v>
      </c>
      <c r="AY9" s="106">
        <v>2018</v>
      </c>
      <c r="AZ9" s="106" t="s">
        <v>2073</v>
      </c>
      <c r="BA9" s="106" t="str">
        <f t="shared" si="18"/>
        <v>DS</v>
      </c>
      <c r="BB9" s="177">
        <v>85</v>
      </c>
      <c r="BC9" s="177"/>
      <c r="BD9" s="177"/>
      <c r="BE9" s="177"/>
      <c r="BF9" s="177"/>
      <c r="BG9" s="177"/>
      <c r="BH9" s="177"/>
      <c r="BI9" s="33"/>
      <c r="BK9" s="48">
        <f>$G9/5280*VLOOKUP($AC9,'Cost and Score'!$B$27:$O$40,6,0)</f>
        <v>0.25</v>
      </c>
      <c r="BL9" s="48">
        <f>$G9/5280*VLOOKUP($AC9,'Cost and Score'!$B$27:$O$40,7,0)</f>
        <v>25</v>
      </c>
      <c r="BM9" s="48">
        <f>$G9/5280*VLOOKUP($AC9,'Cost and Score'!$B$27:$O$40,8,0)</f>
        <v>0</v>
      </c>
      <c r="BN9" s="48">
        <f>$G9/5280*VLOOKUP($AC9,'Cost and Score'!$B$27:$O$40,9,0)</f>
        <v>4750</v>
      </c>
      <c r="BO9" s="48">
        <f>$G9/5280*VLOOKUP($AC9,'Cost and Score'!$B$27:$O$40,10,0)</f>
        <v>500</v>
      </c>
      <c r="BP9" s="48">
        <f>$G9/5280*VLOOKUP($AC9,'Cost and Score'!$B$27:$O$40,11,0)</f>
        <v>0</v>
      </c>
      <c r="BQ9" s="48">
        <f>$G9/5280*VLOOKUP($AC9,'Cost and Score'!$B$27:$O$40,12,0)</f>
        <v>100</v>
      </c>
      <c r="BR9" s="48">
        <f>$G9/5280*VLOOKUP($AC9,'Cost and Score'!$B$27:$O$40,13,0)</f>
        <v>90</v>
      </c>
      <c r="BS9" s="48">
        <f>$G9/5280*VLOOKUP($AC9,'Cost and Score'!$B$27:$O$40,14,0)</f>
        <v>120</v>
      </c>
      <c r="BT9" s="220">
        <f t="shared" si="19"/>
        <v>0.5</v>
      </c>
      <c r="BX9" s="2" t="s">
        <v>2060</v>
      </c>
      <c r="BY9" s="2" t="s">
        <v>101</v>
      </c>
      <c r="BZ9" s="2">
        <v>0</v>
      </c>
    </row>
    <row r="10" spans="1:103" s="2" customFormat="1" ht="14.45" hidden="1" customHeight="1" x14ac:dyDescent="0.25">
      <c r="A10" s="16" t="s">
        <v>45</v>
      </c>
      <c r="B10" s="34" t="s">
        <v>43</v>
      </c>
      <c r="C10" s="26" t="s">
        <v>43</v>
      </c>
      <c r="D10" s="82"/>
      <c r="E10" s="82" t="s">
        <v>39</v>
      </c>
      <c r="F10" s="82" t="s">
        <v>44</v>
      </c>
      <c r="G10" s="29">
        <v>3854</v>
      </c>
      <c r="H10" s="29">
        <f t="shared" si="0"/>
        <v>20</v>
      </c>
      <c r="I10" s="26" t="s">
        <v>8</v>
      </c>
      <c r="J10" s="26" t="s">
        <v>17</v>
      </c>
      <c r="K10" s="26">
        <f t="shared" si="1"/>
        <v>0</v>
      </c>
      <c r="L10" s="42">
        <v>10</v>
      </c>
      <c r="M10" s="42">
        <v>10</v>
      </c>
      <c r="N10" s="42">
        <v>10</v>
      </c>
      <c r="O10" s="83">
        <v>9</v>
      </c>
      <c r="P10" s="83">
        <v>8</v>
      </c>
      <c r="Q10" s="83">
        <v>8</v>
      </c>
      <c r="R10" s="83">
        <v>8</v>
      </c>
      <c r="S10" s="83">
        <v>7</v>
      </c>
      <c r="T10" s="83">
        <v>7</v>
      </c>
      <c r="U10" s="83">
        <v>7</v>
      </c>
      <c r="V10" s="42"/>
      <c r="W10" s="42"/>
      <c r="X10" s="42"/>
      <c r="Y10" s="26">
        <v>175</v>
      </c>
      <c r="Z10" s="26">
        <f t="shared" si="2"/>
        <v>0</v>
      </c>
      <c r="AA10" s="82" t="s">
        <v>18</v>
      </c>
      <c r="AB10" s="111">
        <f t="shared" si="3"/>
        <v>2</v>
      </c>
      <c r="AC10" s="85" t="s">
        <v>13</v>
      </c>
      <c r="AD10" s="84">
        <f t="shared" si="4"/>
        <v>15328.40909090909</v>
      </c>
      <c r="AE10" s="140"/>
      <c r="AF10" s="113">
        <f t="shared" si="5"/>
        <v>0</v>
      </c>
      <c r="AG10" s="85">
        <v>2026</v>
      </c>
      <c r="AH10" s="26" t="str">
        <f t="shared" si="6"/>
        <v/>
      </c>
      <c r="AI10" s="26" t="str">
        <f t="shared" si="6"/>
        <v/>
      </c>
      <c r="AJ10" s="26" t="str">
        <f t="shared" si="6"/>
        <v/>
      </c>
      <c r="AK10" s="26" t="str">
        <f t="shared" si="6"/>
        <v/>
      </c>
      <c r="AL10" s="26" t="str">
        <f t="shared" si="6"/>
        <v>Chip Seal and Fog</v>
      </c>
      <c r="AM10" s="26" t="str">
        <f t="shared" si="6"/>
        <v/>
      </c>
      <c r="AN10" s="26" t="str">
        <f t="shared" si="7"/>
        <v>Chip Seal and Fog</v>
      </c>
      <c r="AO10" s="26" t="str">
        <f t="shared" si="8"/>
        <v/>
      </c>
      <c r="AP10" s="26" t="str">
        <f t="shared" si="9"/>
        <v/>
      </c>
      <c r="AQ10" s="68">
        <f t="shared" si="10"/>
        <v>14</v>
      </c>
      <c r="AR10" s="68">
        <f t="shared" si="11"/>
        <v>6</v>
      </c>
      <c r="AS10" s="68">
        <f t="shared" si="12"/>
        <v>1</v>
      </c>
      <c r="AT10" s="68">
        <f t="shared" si="13"/>
        <v>1</v>
      </c>
      <c r="AU10" s="68">
        <f t="shared" si="14"/>
        <v>1</v>
      </c>
      <c r="AV10" s="68">
        <f t="shared" si="15"/>
        <v>1</v>
      </c>
      <c r="AW10" s="68">
        <f t="shared" si="16"/>
        <v>1</v>
      </c>
      <c r="AX10" s="68">
        <f t="shared" ca="1" si="17"/>
        <v>2</v>
      </c>
      <c r="AY10" s="106">
        <v>2020</v>
      </c>
      <c r="AZ10" s="106" t="s">
        <v>2075</v>
      </c>
      <c r="BA10" s="106" t="str">
        <f t="shared" si="18"/>
        <v/>
      </c>
      <c r="BB10" s="177"/>
      <c r="BC10" s="177">
        <v>5</v>
      </c>
      <c r="BD10" s="177"/>
      <c r="BE10" s="177"/>
      <c r="BF10" s="177"/>
      <c r="BG10" s="177"/>
      <c r="BH10" s="177"/>
      <c r="BI10" s="33" t="s">
        <v>2100</v>
      </c>
      <c r="BK10" s="48">
        <f>$G10/5280*VLOOKUP($AC10,'Cost and Score'!$B$27:$O$40,6,0)</f>
        <v>0.1459848484848485</v>
      </c>
      <c r="BL10" s="48">
        <f>$G10/5280*VLOOKUP($AC10,'Cost and Score'!$B$27:$O$40,7,0)</f>
        <v>16.058333333333334</v>
      </c>
      <c r="BM10" s="48">
        <f>$G10/5280*VLOOKUP($AC10,'Cost and Score'!$B$27:$O$40,8,0)</f>
        <v>0</v>
      </c>
      <c r="BN10" s="48">
        <f>$G10/5280*VLOOKUP($AC10,'Cost and Score'!$B$27:$O$40,9,0)</f>
        <v>3284.659090909091</v>
      </c>
      <c r="BO10" s="48">
        <f>$G10/5280*VLOOKUP($AC10,'Cost and Score'!$B$27:$O$40,10,0)</f>
        <v>729.92424242424249</v>
      </c>
      <c r="BP10" s="48">
        <f>$G10/5280*VLOOKUP($AC10,'Cost and Score'!$B$27:$O$40,11,0)</f>
        <v>0</v>
      </c>
      <c r="BQ10" s="48">
        <f>$G10/5280*VLOOKUP($AC10,'Cost and Score'!$B$27:$O$40,12,0)</f>
        <v>72.992424242424249</v>
      </c>
      <c r="BR10" s="48">
        <f>$G10/5280*VLOOKUP($AC10,'Cost and Score'!$B$27:$O$40,13,0)</f>
        <v>87.590909090909093</v>
      </c>
      <c r="BS10" s="48">
        <f>$G10/5280*VLOOKUP($AC10,'Cost and Score'!$B$27:$O$40,14,0)</f>
        <v>0</v>
      </c>
      <c r="BT10" s="220">
        <f t="shared" si="19"/>
        <v>0.72992424242424248</v>
      </c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W10" s="112"/>
      <c r="CX10" s="112"/>
      <c r="CY10" s="112"/>
    </row>
    <row r="11" spans="1:103" s="112" customFormat="1" ht="14.45" hidden="1" customHeight="1" x14ac:dyDescent="0.25">
      <c r="A11" s="16" t="s">
        <v>47</v>
      </c>
      <c r="B11" s="108" t="s">
        <v>46</v>
      </c>
      <c r="C11" s="106" t="s">
        <v>46</v>
      </c>
      <c r="D11" s="106"/>
      <c r="E11" s="106" t="s">
        <v>18</v>
      </c>
      <c r="F11" s="106" t="s">
        <v>44</v>
      </c>
      <c r="G11" s="109">
        <v>5320</v>
      </c>
      <c r="H11" s="109">
        <f t="shared" si="0"/>
        <v>20</v>
      </c>
      <c r="I11" s="106" t="s">
        <v>13</v>
      </c>
      <c r="J11" s="106" t="s">
        <v>17</v>
      </c>
      <c r="K11" s="106">
        <f t="shared" si="1"/>
        <v>0</v>
      </c>
      <c r="L11" s="110">
        <v>6</v>
      </c>
      <c r="M11" s="110">
        <v>6</v>
      </c>
      <c r="N11" s="110">
        <v>6</v>
      </c>
      <c r="O11" s="110">
        <v>6</v>
      </c>
      <c r="P11" s="110">
        <v>9</v>
      </c>
      <c r="Q11" s="110">
        <v>8</v>
      </c>
      <c r="R11" s="110">
        <v>7</v>
      </c>
      <c r="S11" s="110">
        <v>7</v>
      </c>
      <c r="T11" s="110">
        <v>7</v>
      </c>
      <c r="U11" s="110">
        <v>7</v>
      </c>
      <c r="V11" s="110"/>
      <c r="W11" s="110"/>
      <c r="X11" s="110"/>
      <c r="Y11" s="106"/>
      <c r="Z11" s="106">
        <f t="shared" si="2"/>
        <v>0</v>
      </c>
      <c r="AA11" s="106" t="s">
        <v>20</v>
      </c>
      <c r="AB11" s="111">
        <f t="shared" si="3"/>
        <v>1</v>
      </c>
      <c r="AC11" s="106" t="s">
        <v>13</v>
      </c>
      <c r="AD11" s="107">
        <f t="shared" si="4"/>
        <v>21159.090909090908</v>
      </c>
      <c r="AE11" s="198">
        <v>1</v>
      </c>
      <c r="AF11" s="113">
        <f t="shared" si="5"/>
        <v>21159.090909090908</v>
      </c>
      <c r="AG11" s="26">
        <v>2023</v>
      </c>
      <c r="AH11" s="26" t="str">
        <f t="shared" si="6"/>
        <v/>
      </c>
      <c r="AI11" s="26" t="str">
        <f t="shared" si="6"/>
        <v>Chip Seal and Fog</v>
      </c>
      <c r="AJ11" s="26" t="str">
        <f t="shared" si="6"/>
        <v/>
      </c>
      <c r="AK11" s="26" t="str">
        <f t="shared" si="6"/>
        <v/>
      </c>
      <c r="AL11" s="26" t="str">
        <f t="shared" si="6"/>
        <v/>
      </c>
      <c r="AM11" s="26" t="str">
        <f t="shared" si="6"/>
        <v/>
      </c>
      <c r="AN11" s="26" t="str">
        <f t="shared" si="7"/>
        <v>Chip Seal and Fog</v>
      </c>
      <c r="AO11" s="26" t="str">
        <f t="shared" si="8"/>
        <v/>
      </c>
      <c r="AP11" s="26" t="str">
        <f t="shared" si="9"/>
        <v/>
      </c>
      <c r="AQ11" s="68">
        <f t="shared" si="10"/>
        <v>8</v>
      </c>
      <c r="AR11" s="68">
        <f t="shared" si="11"/>
        <v>6</v>
      </c>
      <c r="AS11" s="68">
        <f t="shared" si="12"/>
        <v>1.1000000000000001</v>
      </c>
      <c r="AT11" s="68">
        <f t="shared" si="13"/>
        <v>1.1000000000000001</v>
      </c>
      <c r="AU11" s="68">
        <f t="shared" si="14"/>
        <v>1.1000000000000001</v>
      </c>
      <c r="AV11" s="68">
        <f t="shared" si="15"/>
        <v>1.1000000000000001</v>
      </c>
      <c r="AW11" s="68">
        <f t="shared" si="16"/>
        <v>1</v>
      </c>
      <c r="AX11" s="68">
        <f t="shared" ca="1" si="17"/>
        <v>-1.1000000000000001</v>
      </c>
      <c r="AY11" s="106">
        <v>2023</v>
      </c>
      <c r="AZ11" s="106" t="s">
        <v>13</v>
      </c>
      <c r="BA11" s="106" t="str">
        <f t="shared" si="18"/>
        <v/>
      </c>
      <c r="BB11" s="177"/>
      <c r="BC11" s="177">
        <v>1</v>
      </c>
      <c r="BD11" s="177"/>
      <c r="BE11" s="177"/>
      <c r="BF11" s="177"/>
      <c r="BG11" s="177"/>
      <c r="BH11" s="177"/>
      <c r="BI11" s="33"/>
      <c r="BJ11" s="2"/>
      <c r="BK11" s="48">
        <f>$G11/5280*VLOOKUP($AC11,'Cost and Score'!$B$27:$O$40,6,0)</f>
        <v>0.20151515151515154</v>
      </c>
      <c r="BL11" s="48">
        <f>$G11/5280*VLOOKUP($AC11,'Cost and Score'!$B$27:$O$40,7,0)</f>
        <v>22.166666666666668</v>
      </c>
      <c r="BM11" s="48">
        <f>$G11/5280*VLOOKUP($AC11,'Cost and Score'!$B$27:$O$40,8,0)</f>
        <v>0</v>
      </c>
      <c r="BN11" s="48">
        <f>$G11/5280*VLOOKUP($AC11,'Cost and Score'!$B$27:$O$40,9,0)</f>
        <v>4534.090909090909</v>
      </c>
      <c r="BO11" s="48">
        <f>$G11/5280*VLOOKUP($AC11,'Cost and Score'!$B$27:$O$40,10,0)</f>
        <v>1007.5757575757576</v>
      </c>
      <c r="BP11" s="48">
        <f>$G11/5280*VLOOKUP($AC11,'Cost and Score'!$B$27:$O$40,11,0)</f>
        <v>0</v>
      </c>
      <c r="BQ11" s="48">
        <f>$G11/5280*VLOOKUP($AC11,'Cost and Score'!$B$27:$O$40,12,0)</f>
        <v>100.75757575757575</v>
      </c>
      <c r="BR11" s="48">
        <f>$G11/5280*VLOOKUP($AC11,'Cost and Score'!$B$27:$O$40,13,0)</f>
        <v>120.90909090909091</v>
      </c>
      <c r="BS11" s="48">
        <f>$G11/5280*VLOOKUP($AC11,'Cost and Score'!$B$27:$O$40,14,0)</f>
        <v>0</v>
      </c>
      <c r="BT11" s="220">
        <f t="shared" si="19"/>
        <v>1.0075757575757576</v>
      </c>
      <c r="BU11" s="2"/>
      <c r="BV11" s="2"/>
      <c r="BW11" s="2"/>
      <c r="BX11" s="2" t="s">
        <v>2448</v>
      </c>
      <c r="BY11" s="2" t="s">
        <v>26</v>
      </c>
      <c r="BZ11" s="2">
        <v>0</v>
      </c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</row>
    <row r="12" spans="1:103" s="2" customFormat="1" ht="14.45" hidden="1" customHeight="1" x14ac:dyDescent="0.25">
      <c r="A12" s="16" t="s">
        <v>50</v>
      </c>
      <c r="B12" s="34" t="s">
        <v>48</v>
      </c>
      <c r="C12" s="26" t="s">
        <v>48</v>
      </c>
      <c r="D12" s="82"/>
      <c r="E12" s="82" t="s">
        <v>18</v>
      </c>
      <c r="F12" s="82" t="s">
        <v>49</v>
      </c>
      <c r="G12" s="29">
        <v>5470</v>
      </c>
      <c r="H12" s="29">
        <f t="shared" si="0"/>
        <v>20</v>
      </c>
      <c r="I12" s="26" t="s">
        <v>8</v>
      </c>
      <c r="J12" s="26" t="s">
        <v>17</v>
      </c>
      <c r="K12" s="26">
        <f t="shared" si="1"/>
        <v>0</v>
      </c>
      <c r="L12" s="42">
        <v>7</v>
      </c>
      <c r="M12" s="42">
        <v>8</v>
      </c>
      <c r="N12" s="42">
        <v>8</v>
      </c>
      <c r="O12" s="83">
        <v>8</v>
      </c>
      <c r="P12" s="83">
        <v>7</v>
      </c>
      <c r="Q12" s="83">
        <v>6</v>
      </c>
      <c r="R12" s="83">
        <v>6</v>
      </c>
      <c r="S12" s="83">
        <v>6</v>
      </c>
      <c r="T12" s="83">
        <v>7</v>
      </c>
      <c r="U12" s="83">
        <v>7</v>
      </c>
      <c r="V12" s="42"/>
      <c r="W12" s="42"/>
      <c r="X12" s="42"/>
      <c r="Y12" s="26">
        <v>178</v>
      </c>
      <c r="Z12" s="26">
        <f t="shared" si="2"/>
        <v>0</v>
      </c>
      <c r="AA12" s="82" t="s">
        <v>20</v>
      </c>
      <c r="AB12" s="111">
        <f t="shared" si="3"/>
        <v>3</v>
      </c>
      <c r="AC12" s="82" t="s">
        <v>2072</v>
      </c>
      <c r="AD12" s="84">
        <f t="shared" si="4"/>
        <v>47655.303030303032</v>
      </c>
      <c r="AE12" s="140"/>
      <c r="AF12" s="113">
        <f t="shared" si="5"/>
        <v>0</v>
      </c>
      <c r="AG12" s="26">
        <v>2027</v>
      </c>
      <c r="AH12" s="26" t="str">
        <f t="shared" ref="AH12:AM21" si="20">IF($AG12=AH$1,VLOOKUP($AC12,RSL,3,FALSE),"")</f>
        <v/>
      </c>
      <c r="AI12" s="26" t="str">
        <f t="shared" si="20"/>
        <v/>
      </c>
      <c r="AJ12" s="26" t="str">
        <f t="shared" si="20"/>
        <v/>
      </c>
      <c r="AK12" s="26" t="str">
        <f t="shared" si="20"/>
        <v/>
      </c>
      <c r="AL12" s="26" t="str">
        <f t="shared" si="20"/>
        <v/>
      </c>
      <c r="AM12" s="26" t="str">
        <f t="shared" si="20"/>
        <v>Chip Seal - Triple</v>
      </c>
      <c r="AN12" s="26" t="str">
        <f t="shared" si="7"/>
        <v>Chip Seal - Triple</v>
      </c>
      <c r="AO12" s="26" t="str">
        <f t="shared" si="8"/>
        <v>Chip Seal and Fog</v>
      </c>
      <c r="AP12" s="26" t="str">
        <f t="shared" si="9"/>
        <v/>
      </c>
      <c r="AQ12" s="68">
        <f t="shared" si="10"/>
        <v>12</v>
      </c>
      <c r="AR12" s="68">
        <f t="shared" si="11"/>
        <v>8</v>
      </c>
      <c r="AS12" s="68">
        <f t="shared" si="12"/>
        <v>1.05</v>
      </c>
      <c r="AT12" s="68">
        <f t="shared" si="13"/>
        <v>1</v>
      </c>
      <c r="AU12" s="68">
        <f t="shared" si="14"/>
        <v>1</v>
      </c>
      <c r="AV12" s="68">
        <f t="shared" si="15"/>
        <v>1</v>
      </c>
      <c r="AW12" s="68">
        <f t="shared" si="16"/>
        <v>1.05</v>
      </c>
      <c r="AX12" s="68">
        <f t="shared" ca="1" si="17"/>
        <v>3</v>
      </c>
      <c r="AY12" s="106">
        <v>2021</v>
      </c>
      <c r="AZ12" s="106" t="s">
        <v>13</v>
      </c>
      <c r="BA12" s="106" t="str">
        <f t="shared" si="18"/>
        <v/>
      </c>
      <c r="BB12" s="177">
        <v>87</v>
      </c>
      <c r="BC12" s="177">
        <v>1</v>
      </c>
      <c r="BD12" s="177"/>
      <c r="BE12" s="177"/>
      <c r="BF12" s="177"/>
      <c r="BG12" s="177"/>
      <c r="BH12" s="177"/>
      <c r="BI12" s="33"/>
      <c r="BK12" s="48">
        <f>$G12/5280*VLOOKUP($AC12,'Cost and Score'!$B$27:$O$40,6,0)</f>
        <v>0.62159090909090897</v>
      </c>
      <c r="BL12" s="48">
        <f>$G12/5280*VLOOKUP($AC12,'Cost and Score'!$B$27:$O$40,7,0)</f>
        <v>129.49810606060606</v>
      </c>
      <c r="BM12" s="48">
        <f>$G12/5280*VLOOKUP($AC12,'Cost and Score'!$B$27:$O$40,8,0)</f>
        <v>207.19696969696969</v>
      </c>
      <c r="BN12" s="48">
        <f>$G12/5280*VLOOKUP($AC12,'Cost and Score'!$B$27:$O$40,9,0)</f>
        <v>2071.969696969697</v>
      </c>
      <c r="BO12" s="48">
        <f>$G12/5280*VLOOKUP($AC12,'Cost and Score'!$B$27:$O$40,10,0)</f>
        <v>517.99242424242425</v>
      </c>
      <c r="BP12" s="48">
        <f>$G12/5280*VLOOKUP($AC12,'Cost and Score'!$B$27:$O$40,11,0)</f>
        <v>103.59848484848484</v>
      </c>
      <c r="BQ12" s="48">
        <f>$G12/5280*VLOOKUP($AC12,'Cost and Score'!$B$27:$O$40,12,0)</f>
        <v>828.78787878787875</v>
      </c>
      <c r="BR12" s="48">
        <f>$G12/5280*VLOOKUP($AC12,'Cost and Score'!$B$27:$O$40,13,0)</f>
        <v>82.878787878787875</v>
      </c>
      <c r="BS12" s="48">
        <f>$G12/5280*VLOOKUP($AC12,'Cost and Score'!$B$27:$O$40,14,0)</f>
        <v>0</v>
      </c>
      <c r="BT12" s="220">
        <f t="shared" si="19"/>
        <v>1.0359848484848484</v>
      </c>
      <c r="BX12" s="2" t="s">
        <v>2062</v>
      </c>
      <c r="BY12" s="2" t="s">
        <v>160</v>
      </c>
      <c r="BZ12" s="2">
        <v>0</v>
      </c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</row>
    <row r="13" spans="1:103" s="2" customFormat="1" ht="14.45" customHeight="1" x14ac:dyDescent="0.25">
      <c r="A13" s="15" t="s">
        <v>760</v>
      </c>
      <c r="B13" s="108" t="s">
        <v>759</v>
      </c>
      <c r="C13" s="106" t="s">
        <v>759</v>
      </c>
      <c r="D13" s="106"/>
      <c r="E13" s="106" t="s">
        <v>25</v>
      </c>
      <c r="F13" s="106" t="s">
        <v>28</v>
      </c>
      <c r="G13" s="109">
        <v>5290</v>
      </c>
      <c r="H13" s="109">
        <f t="shared" si="0"/>
        <v>20</v>
      </c>
      <c r="I13" s="106" t="s">
        <v>751</v>
      </c>
      <c r="J13" s="106" t="s">
        <v>125</v>
      </c>
      <c r="K13" s="106">
        <f t="shared" si="1"/>
        <v>0</v>
      </c>
      <c r="L13" s="110">
        <v>7</v>
      </c>
      <c r="M13" s="110">
        <v>6</v>
      </c>
      <c r="N13" s="110">
        <v>5</v>
      </c>
      <c r="O13" s="110">
        <v>5</v>
      </c>
      <c r="P13" s="110">
        <v>9</v>
      </c>
      <c r="Q13" s="110">
        <v>9</v>
      </c>
      <c r="R13" s="110">
        <v>8</v>
      </c>
      <c r="S13" s="110">
        <v>8</v>
      </c>
      <c r="T13" s="110">
        <v>8</v>
      </c>
      <c r="U13" s="110">
        <v>8</v>
      </c>
      <c r="V13" s="110"/>
      <c r="W13" s="110"/>
      <c r="X13" s="110"/>
      <c r="Y13" s="106">
        <v>984</v>
      </c>
      <c r="Z13" s="106">
        <f t="shared" si="2"/>
        <v>0.5</v>
      </c>
      <c r="AA13" s="106" t="s">
        <v>129</v>
      </c>
      <c r="AB13" s="111">
        <f t="shared" si="3"/>
        <v>1.5</v>
      </c>
      <c r="AC13" s="85" t="s">
        <v>2075</v>
      </c>
      <c r="AD13" s="107">
        <f t="shared" si="4"/>
        <v>5410.227272727273</v>
      </c>
      <c r="AE13" s="198"/>
      <c r="AF13" s="113">
        <f t="shared" si="5"/>
        <v>0</v>
      </c>
      <c r="AG13" s="106">
        <v>2025</v>
      </c>
      <c r="AH13" s="26" t="str">
        <f t="shared" si="20"/>
        <v/>
      </c>
      <c r="AI13" s="26" t="str">
        <f t="shared" si="20"/>
        <v/>
      </c>
      <c r="AJ13" s="26" t="str">
        <f t="shared" si="20"/>
        <v/>
      </c>
      <c r="AK13" s="26" t="str">
        <f t="shared" si="20"/>
        <v>Crack Seal</v>
      </c>
      <c r="AL13" s="26" t="str">
        <f t="shared" si="20"/>
        <v/>
      </c>
      <c r="AM13" s="26" t="str">
        <f t="shared" si="20"/>
        <v/>
      </c>
      <c r="AN13" s="26" t="str">
        <f t="shared" si="7"/>
        <v>Crack Seal</v>
      </c>
      <c r="AO13" s="26" t="str">
        <f t="shared" si="8"/>
        <v/>
      </c>
      <c r="AP13" s="26" t="str">
        <f t="shared" si="9"/>
        <v/>
      </c>
      <c r="AQ13" s="68">
        <f t="shared" si="10"/>
        <v>6</v>
      </c>
      <c r="AR13" s="68">
        <f t="shared" si="11"/>
        <v>3</v>
      </c>
      <c r="AS13" s="68">
        <f t="shared" si="12"/>
        <v>1.05</v>
      </c>
      <c r="AT13" s="68">
        <f t="shared" si="13"/>
        <v>1.1000000000000001</v>
      </c>
      <c r="AU13" s="68">
        <f t="shared" si="14"/>
        <v>1.25</v>
      </c>
      <c r="AV13" s="68">
        <f t="shared" si="15"/>
        <v>1.25</v>
      </c>
      <c r="AW13" s="68">
        <f t="shared" si="16"/>
        <v>1</v>
      </c>
      <c r="AX13" s="68">
        <f t="shared" ca="1" si="17"/>
        <v>1.25</v>
      </c>
      <c r="AY13" s="106">
        <v>2017</v>
      </c>
      <c r="AZ13" s="106" t="s">
        <v>751</v>
      </c>
      <c r="BA13" s="106" t="str">
        <f t="shared" si="18"/>
        <v/>
      </c>
      <c r="BB13" s="177"/>
      <c r="BC13" s="177">
        <v>2</v>
      </c>
      <c r="BD13" s="177"/>
      <c r="BE13" s="177"/>
      <c r="BF13" s="177"/>
      <c r="BG13" s="177"/>
      <c r="BH13" s="177"/>
      <c r="BI13" s="33"/>
      <c r="BK13" s="48">
        <f>$G13/5280*VLOOKUP($AC13,'Cost and Score'!$B$27:$O$40,6,0)</f>
        <v>1.0018939393939394</v>
      </c>
      <c r="BL13" s="48">
        <f>$G13/5280*VLOOKUP($AC13,'Cost and Score'!$B$27:$O$40,7,0)</f>
        <v>0</v>
      </c>
      <c r="BM13" s="48">
        <f>$G13/5280*VLOOKUP($AC13,'Cost and Score'!$B$27:$O$40,8,0)</f>
        <v>0</v>
      </c>
      <c r="BN13" s="48">
        <f>$G13/5280*VLOOKUP($AC13,'Cost and Score'!$B$27:$O$40,9,0)</f>
        <v>0</v>
      </c>
      <c r="BO13" s="48">
        <f>$G13/5280*VLOOKUP($AC13,'Cost and Score'!$B$27:$O$40,10,0)</f>
        <v>0</v>
      </c>
      <c r="BP13" s="48">
        <f>$G13/5280*VLOOKUP($AC13,'Cost and Score'!$B$27:$O$40,11,0)</f>
        <v>0</v>
      </c>
      <c r="BQ13" s="48">
        <f>$G13/5280*VLOOKUP($AC13,'Cost and Score'!$B$27:$O$40,12,0)</f>
        <v>0</v>
      </c>
      <c r="BR13" s="48">
        <f>$G13/5280*VLOOKUP($AC13,'Cost and Score'!$B$27:$O$40,13,0)</f>
        <v>0</v>
      </c>
      <c r="BS13" s="48">
        <f>$G13/5280*VLOOKUP($AC13,'Cost and Score'!$B$27:$O$40,14,0)</f>
        <v>0</v>
      </c>
      <c r="BT13" s="220">
        <f t="shared" si="19"/>
        <v>1.0018939393939394</v>
      </c>
      <c r="CW13" s="112"/>
      <c r="CX13" s="112"/>
      <c r="CY13" s="112"/>
    </row>
    <row r="14" spans="1:103" s="2" customFormat="1" ht="14.45" hidden="1" customHeight="1" x14ac:dyDescent="0.25">
      <c r="A14" s="16" t="s">
        <v>57</v>
      </c>
      <c r="B14" s="34" t="s">
        <v>54</v>
      </c>
      <c r="C14" s="26" t="s">
        <v>54</v>
      </c>
      <c r="D14" s="82"/>
      <c r="E14" s="82" t="s">
        <v>55</v>
      </c>
      <c r="F14" s="82" t="s">
        <v>56</v>
      </c>
      <c r="G14" s="29">
        <v>2650</v>
      </c>
      <c r="H14" s="29">
        <f t="shared" si="0"/>
        <v>20</v>
      </c>
      <c r="I14" s="26" t="s">
        <v>13</v>
      </c>
      <c r="J14" s="26" t="s">
        <v>11</v>
      </c>
      <c r="K14" s="26">
        <f t="shared" si="1"/>
        <v>0</v>
      </c>
      <c r="L14" s="42">
        <v>7</v>
      </c>
      <c r="M14" s="42">
        <v>7</v>
      </c>
      <c r="N14" s="42">
        <v>8</v>
      </c>
      <c r="O14" s="83">
        <v>7</v>
      </c>
      <c r="P14" s="83">
        <v>7</v>
      </c>
      <c r="Q14" s="83">
        <v>8</v>
      </c>
      <c r="R14" s="83">
        <v>8</v>
      </c>
      <c r="S14" s="83">
        <v>8</v>
      </c>
      <c r="T14" s="83">
        <v>8</v>
      </c>
      <c r="U14" s="83">
        <v>8</v>
      </c>
      <c r="V14" s="42">
        <v>2024</v>
      </c>
      <c r="W14" s="42">
        <v>2023</v>
      </c>
      <c r="X14" s="42" t="s">
        <v>2612</v>
      </c>
      <c r="Y14" s="26">
        <v>1365</v>
      </c>
      <c r="Z14" s="26">
        <f t="shared" si="2"/>
        <v>0.5</v>
      </c>
      <c r="AA14" s="82" t="s">
        <v>20</v>
      </c>
      <c r="AB14" s="111">
        <f t="shared" si="3"/>
        <v>3.5</v>
      </c>
      <c r="AC14" s="82" t="s">
        <v>2073</v>
      </c>
      <c r="AD14" s="84">
        <f t="shared" si="4"/>
        <v>16060.60606060606</v>
      </c>
      <c r="AE14" s="140"/>
      <c r="AF14" s="113">
        <f t="shared" si="5"/>
        <v>0</v>
      </c>
      <c r="AG14" s="82">
        <v>2026</v>
      </c>
      <c r="AH14" s="26" t="str">
        <f t="shared" si="20"/>
        <v/>
      </c>
      <c r="AI14" s="26" t="str">
        <f t="shared" si="20"/>
        <v/>
      </c>
      <c r="AJ14" s="26" t="str">
        <f t="shared" si="20"/>
        <v/>
      </c>
      <c r="AK14" s="26" t="str">
        <f t="shared" si="20"/>
        <v/>
      </c>
      <c r="AL14" s="26" t="str">
        <f t="shared" si="20"/>
        <v>Chip Seal - Double and Fog</v>
      </c>
      <c r="AM14" s="26" t="str">
        <f t="shared" si="20"/>
        <v/>
      </c>
      <c r="AN14" s="26" t="str">
        <f t="shared" si="7"/>
        <v>Chip Seal - Double and Fog</v>
      </c>
      <c r="AO14" s="26" t="str">
        <f t="shared" si="8"/>
        <v/>
      </c>
      <c r="AP14" s="26" t="str">
        <f t="shared" si="9"/>
        <v/>
      </c>
      <c r="AQ14" s="68">
        <f t="shared" si="10"/>
        <v>10</v>
      </c>
      <c r="AR14" s="68">
        <f t="shared" si="11"/>
        <v>6</v>
      </c>
      <c r="AS14" s="68">
        <f t="shared" si="12"/>
        <v>1.05</v>
      </c>
      <c r="AT14" s="68">
        <f t="shared" si="13"/>
        <v>1.05</v>
      </c>
      <c r="AU14" s="68">
        <f t="shared" si="14"/>
        <v>1</v>
      </c>
      <c r="AV14" s="68">
        <f t="shared" si="15"/>
        <v>1.05</v>
      </c>
      <c r="AW14" s="68">
        <f t="shared" si="16"/>
        <v>1.05</v>
      </c>
      <c r="AX14" s="68">
        <f t="shared" ca="1" si="17"/>
        <v>2</v>
      </c>
      <c r="AY14" s="106">
        <v>2018</v>
      </c>
      <c r="AZ14" s="106" t="s">
        <v>2073</v>
      </c>
      <c r="BA14" s="106" t="str">
        <f t="shared" si="18"/>
        <v>DS</v>
      </c>
      <c r="BB14" s="177"/>
      <c r="BC14" s="177">
        <v>4</v>
      </c>
      <c r="BD14" s="177"/>
      <c r="BE14" s="177"/>
      <c r="BF14" s="177"/>
      <c r="BG14" s="177"/>
      <c r="BH14" s="177"/>
      <c r="BI14" s="33"/>
      <c r="BK14" s="48">
        <f>$G14/5280*VLOOKUP($AC14,'Cost and Score'!$B$27:$O$40,6,0)</f>
        <v>0.25094696969696972</v>
      </c>
      <c r="BL14" s="48">
        <f>$G14/5280*VLOOKUP($AC14,'Cost and Score'!$B$27:$O$40,7,0)</f>
        <v>25.094696969696972</v>
      </c>
      <c r="BM14" s="48">
        <f>$G14/5280*VLOOKUP($AC14,'Cost and Score'!$B$27:$O$40,8,0)</f>
        <v>0</v>
      </c>
      <c r="BN14" s="48">
        <f>$G14/5280*VLOOKUP($AC14,'Cost and Score'!$B$27:$O$40,9,0)</f>
        <v>4767.9924242424249</v>
      </c>
      <c r="BO14" s="48">
        <f>$G14/5280*VLOOKUP($AC14,'Cost and Score'!$B$27:$O$40,10,0)</f>
        <v>501.89393939393943</v>
      </c>
      <c r="BP14" s="48">
        <f>$G14/5280*VLOOKUP($AC14,'Cost and Score'!$B$27:$O$40,11,0)</f>
        <v>0</v>
      </c>
      <c r="BQ14" s="48">
        <f>$G14/5280*VLOOKUP($AC14,'Cost and Score'!$B$27:$O$40,12,0)</f>
        <v>100.37878787878789</v>
      </c>
      <c r="BR14" s="48">
        <f>$G14/5280*VLOOKUP($AC14,'Cost and Score'!$B$27:$O$40,13,0)</f>
        <v>90.340909090909093</v>
      </c>
      <c r="BS14" s="48">
        <f>$G14/5280*VLOOKUP($AC14,'Cost and Score'!$B$27:$O$40,14,0)</f>
        <v>120.45454545454547</v>
      </c>
      <c r="BT14" s="220">
        <f t="shared" si="19"/>
        <v>0.50189393939393945</v>
      </c>
      <c r="CW14" s="112"/>
      <c r="CX14" s="112"/>
      <c r="CY14" s="112"/>
    </row>
    <row r="15" spans="1:103" s="2" customFormat="1" ht="14.45" customHeight="1" x14ac:dyDescent="0.25">
      <c r="A15" s="15" t="s">
        <v>789</v>
      </c>
      <c r="B15" s="34" t="s">
        <v>788</v>
      </c>
      <c r="C15" s="26" t="s">
        <v>788</v>
      </c>
      <c r="D15" s="26"/>
      <c r="E15" s="26" t="s">
        <v>107</v>
      </c>
      <c r="F15" s="26" t="s">
        <v>104</v>
      </c>
      <c r="G15" s="29">
        <v>1660</v>
      </c>
      <c r="H15" s="29">
        <f t="shared" si="0"/>
        <v>20</v>
      </c>
      <c r="I15" s="26" t="s">
        <v>8</v>
      </c>
      <c r="J15" s="26" t="s">
        <v>160</v>
      </c>
      <c r="K15" s="26">
        <f t="shared" si="1"/>
        <v>0</v>
      </c>
      <c r="L15" s="42">
        <v>10</v>
      </c>
      <c r="M15" s="42">
        <v>7</v>
      </c>
      <c r="N15" s="42">
        <v>7</v>
      </c>
      <c r="O15" s="42">
        <v>7</v>
      </c>
      <c r="P15" s="42">
        <v>7</v>
      </c>
      <c r="Q15" s="42">
        <v>7</v>
      </c>
      <c r="R15" s="42">
        <v>7</v>
      </c>
      <c r="S15" s="42">
        <v>7</v>
      </c>
      <c r="T15" s="42">
        <v>7</v>
      </c>
      <c r="U15" s="42">
        <v>7</v>
      </c>
      <c r="V15" s="42"/>
      <c r="W15" s="42"/>
      <c r="X15" s="42"/>
      <c r="Y15" s="26">
        <v>912</v>
      </c>
      <c r="Z15" s="26">
        <f t="shared" si="2"/>
        <v>0.5</v>
      </c>
      <c r="AA15" s="26" t="s">
        <v>546</v>
      </c>
      <c r="AB15" s="111">
        <f t="shared" si="3"/>
        <v>3.5</v>
      </c>
      <c r="AC15" s="85" t="s">
        <v>2075</v>
      </c>
      <c r="AD15" s="47">
        <f t="shared" si="4"/>
        <v>1697.7272727272727</v>
      </c>
      <c r="AE15" s="140"/>
      <c r="AF15" s="113">
        <f t="shared" si="5"/>
        <v>0</v>
      </c>
      <c r="AG15" s="106">
        <v>2025</v>
      </c>
      <c r="AH15" s="26" t="str">
        <f t="shared" si="20"/>
        <v/>
      </c>
      <c r="AI15" s="26" t="str">
        <f t="shared" si="20"/>
        <v/>
      </c>
      <c r="AJ15" s="26" t="str">
        <f t="shared" si="20"/>
        <v/>
      </c>
      <c r="AK15" s="26" t="str">
        <f t="shared" si="20"/>
        <v>Crack Seal</v>
      </c>
      <c r="AL15" s="26" t="str">
        <f t="shared" si="20"/>
        <v/>
      </c>
      <c r="AM15" s="26" t="str">
        <f t="shared" si="20"/>
        <v/>
      </c>
      <c r="AN15" s="26" t="str">
        <f t="shared" si="7"/>
        <v>Crack Seal</v>
      </c>
      <c r="AO15" s="26" t="str">
        <f t="shared" si="8"/>
        <v/>
      </c>
      <c r="AP15" s="26" t="str">
        <f t="shared" si="9"/>
        <v/>
      </c>
      <c r="AQ15" s="68">
        <f t="shared" si="10"/>
        <v>10</v>
      </c>
      <c r="AR15" s="68">
        <f t="shared" si="11"/>
        <v>3</v>
      </c>
      <c r="AS15" s="68">
        <f t="shared" si="12"/>
        <v>1</v>
      </c>
      <c r="AT15" s="68">
        <f t="shared" si="13"/>
        <v>1.05</v>
      </c>
      <c r="AU15" s="68">
        <f t="shared" si="14"/>
        <v>1.05</v>
      </c>
      <c r="AV15" s="68">
        <f t="shared" si="15"/>
        <v>1.05</v>
      </c>
      <c r="AW15" s="68">
        <f t="shared" si="16"/>
        <v>1.05</v>
      </c>
      <c r="AX15" s="68">
        <f t="shared" ca="1" si="17"/>
        <v>1.05</v>
      </c>
      <c r="AY15" s="68"/>
      <c r="AZ15" s="68"/>
      <c r="BA15" s="106" t="str">
        <f t="shared" si="18"/>
        <v/>
      </c>
      <c r="BB15" s="178"/>
      <c r="BC15" s="178">
        <v>8</v>
      </c>
      <c r="BD15" s="178"/>
      <c r="BE15" s="178"/>
      <c r="BF15" s="178"/>
      <c r="BG15" s="178"/>
      <c r="BH15" s="178"/>
      <c r="BI15" s="33"/>
      <c r="BK15" s="48">
        <f>$G15/5280*VLOOKUP($AC15,'Cost and Score'!$B$27:$O$40,6,0)</f>
        <v>0.31439393939393939</v>
      </c>
      <c r="BL15" s="48">
        <f>$G15/5280*VLOOKUP($AC15,'Cost and Score'!$B$27:$O$40,7,0)</f>
        <v>0</v>
      </c>
      <c r="BM15" s="48">
        <f>$G15/5280*VLOOKUP($AC15,'Cost and Score'!$B$27:$O$40,8,0)</f>
        <v>0</v>
      </c>
      <c r="BN15" s="48">
        <f>$G15/5280*VLOOKUP($AC15,'Cost and Score'!$B$27:$O$40,9,0)</f>
        <v>0</v>
      </c>
      <c r="BO15" s="48">
        <f>$G15/5280*VLOOKUP($AC15,'Cost and Score'!$B$27:$O$40,10,0)</f>
        <v>0</v>
      </c>
      <c r="BP15" s="48">
        <f>$G15/5280*VLOOKUP($AC15,'Cost and Score'!$B$27:$O$40,11,0)</f>
        <v>0</v>
      </c>
      <c r="BQ15" s="48">
        <f>$G15/5280*VLOOKUP($AC15,'Cost and Score'!$B$27:$O$40,12,0)</f>
        <v>0</v>
      </c>
      <c r="BR15" s="48">
        <f>$G15/5280*VLOOKUP($AC15,'Cost and Score'!$B$27:$O$40,13,0)</f>
        <v>0</v>
      </c>
      <c r="BS15" s="48">
        <f>$G15/5280*VLOOKUP($AC15,'Cost and Score'!$B$27:$O$40,14,0)</f>
        <v>0</v>
      </c>
      <c r="BT15" s="220">
        <f t="shared" si="19"/>
        <v>0.31439393939393939</v>
      </c>
      <c r="BY15" s="2" t="s">
        <v>2077</v>
      </c>
      <c r="BZ15" s="27">
        <v>15000</v>
      </c>
      <c r="CA15" s="2" t="s">
        <v>2090</v>
      </c>
    </row>
    <row r="16" spans="1:103" s="2" customFormat="1" ht="14.45" customHeight="1" x14ac:dyDescent="0.25">
      <c r="A16" s="15" t="s">
        <v>718</v>
      </c>
      <c r="B16" s="34" t="s">
        <v>717</v>
      </c>
      <c r="C16" s="26" t="s">
        <v>717</v>
      </c>
      <c r="D16" s="26"/>
      <c r="E16" s="26" t="s">
        <v>129</v>
      </c>
      <c r="F16" s="26" t="s">
        <v>546</v>
      </c>
      <c r="G16" s="29">
        <v>2715</v>
      </c>
      <c r="H16" s="29">
        <f t="shared" si="0"/>
        <v>20</v>
      </c>
      <c r="I16" s="26" t="s">
        <v>13</v>
      </c>
      <c r="J16" s="26" t="s">
        <v>160</v>
      </c>
      <c r="K16" s="26">
        <f t="shared" si="1"/>
        <v>0</v>
      </c>
      <c r="L16" s="42">
        <v>10</v>
      </c>
      <c r="M16" s="42">
        <v>9</v>
      </c>
      <c r="N16" s="42">
        <v>8</v>
      </c>
      <c r="O16" s="42">
        <v>8</v>
      </c>
      <c r="P16" s="42">
        <v>8</v>
      </c>
      <c r="Q16" s="42">
        <v>8</v>
      </c>
      <c r="R16" s="42">
        <v>8</v>
      </c>
      <c r="S16" s="42">
        <v>8</v>
      </c>
      <c r="T16" s="42">
        <v>7</v>
      </c>
      <c r="U16" s="42">
        <v>7</v>
      </c>
      <c r="V16" s="42">
        <v>2024</v>
      </c>
      <c r="W16" s="42">
        <v>2016</v>
      </c>
      <c r="X16" s="42" t="s">
        <v>2612</v>
      </c>
      <c r="Y16" s="26">
        <v>478</v>
      </c>
      <c r="Z16" s="26">
        <f t="shared" si="2"/>
        <v>0</v>
      </c>
      <c r="AA16" s="26" t="s">
        <v>107</v>
      </c>
      <c r="AB16" s="111">
        <f t="shared" si="3"/>
        <v>2</v>
      </c>
      <c r="AC16" s="85" t="s">
        <v>2075</v>
      </c>
      <c r="AD16" s="47">
        <f t="shared" si="4"/>
        <v>2776.7045454545455</v>
      </c>
      <c r="AE16" s="140"/>
      <c r="AF16" s="113">
        <f t="shared" si="5"/>
        <v>0</v>
      </c>
      <c r="AG16" s="106">
        <v>2025</v>
      </c>
      <c r="AH16" s="26" t="str">
        <f t="shared" si="20"/>
        <v/>
      </c>
      <c r="AI16" s="26" t="str">
        <f t="shared" si="20"/>
        <v/>
      </c>
      <c r="AJ16" s="26" t="str">
        <f t="shared" si="20"/>
        <v/>
      </c>
      <c r="AK16" s="26" t="str">
        <f t="shared" si="20"/>
        <v>Crack Seal</v>
      </c>
      <c r="AL16" s="26" t="str">
        <f t="shared" si="20"/>
        <v/>
      </c>
      <c r="AM16" s="26" t="str">
        <f t="shared" si="20"/>
        <v/>
      </c>
      <c r="AN16" s="26" t="str">
        <f t="shared" si="7"/>
        <v>Crack Seal</v>
      </c>
      <c r="AO16" s="26" t="str">
        <f t="shared" si="8"/>
        <v/>
      </c>
      <c r="AP16" s="26" t="str">
        <f t="shared" si="9"/>
        <v/>
      </c>
      <c r="AQ16" s="68">
        <f t="shared" si="10"/>
        <v>12</v>
      </c>
      <c r="AR16" s="68">
        <f t="shared" si="11"/>
        <v>3</v>
      </c>
      <c r="AS16" s="68">
        <f t="shared" si="12"/>
        <v>1</v>
      </c>
      <c r="AT16" s="68">
        <f t="shared" si="13"/>
        <v>1</v>
      </c>
      <c r="AU16" s="68">
        <f t="shared" si="14"/>
        <v>1</v>
      </c>
      <c r="AV16" s="68">
        <f t="shared" si="15"/>
        <v>1</v>
      </c>
      <c r="AW16" s="68">
        <f t="shared" si="16"/>
        <v>1</v>
      </c>
      <c r="AX16" s="68">
        <f t="shared" ca="1" si="17"/>
        <v>1</v>
      </c>
      <c r="AY16" s="68"/>
      <c r="AZ16" s="68"/>
      <c r="BA16" s="106" t="str">
        <f t="shared" si="18"/>
        <v/>
      </c>
      <c r="BB16" s="178"/>
      <c r="BC16" s="178">
        <v>8</v>
      </c>
      <c r="BD16" s="178"/>
      <c r="BE16" s="178"/>
      <c r="BF16" s="178"/>
      <c r="BG16" s="178"/>
      <c r="BH16" s="178"/>
      <c r="BI16" s="33"/>
      <c r="BK16" s="48">
        <f>$G16/5280*VLOOKUP($AC16,'Cost and Score'!$B$27:$O$40,6,0)</f>
        <v>0.51420454545454541</v>
      </c>
      <c r="BL16" s="48">
        <f>$G16/5280*VLOOKUP($AC16,'Cost and Score'!$B$27:$O$40,7,0)</f>
        <v>0</v>
      </c>
      <c r="BM16" s="48">
        <f>$G16/5280*VLOOKUP($AC16,'Cost and Score'!$B$27:$O$40,8,0)</f>
        <v>0</v>
      </c>
      <c r="BN16" s="48">
        <f>$G16/5280*VLOOKUP($AC16,'Cost and Score'!$B$27:$O$40,9,0)</f>
        <v>0</v>
      </c>
      <c r="BO16" s="48">
        <f>$G16/5280*VLOOKUP($AC16,'Cost and Score'!$B$27:$O$40,10,0)</f>
        <v>0</v>
      </c>
      <c r="BP16" s="48">
        <f>$G16/5280*VLOOKUP($AC16,'Cost and Score'!$B$27:$O$40,11,0)</f>
        <v>0</v>
      </c>
      <c r="BQ16" s="48">
        <f>$G16/5280*VLOOKUP($AC16,'Cost and Score'!$B$27:$O$40,12,0)</f>
        <v>0</v>
      </c>
      <c r="BR16" s="48">
        <f>$G16/5280*VLOOKUP($AC16,'Cost and Score'!$B$27:$O$40,13,0)</f>
        <v>0</v>
      </c>
      <c r="BS16" s="48">
        <f>$G16/5280*VLOOKUP($AC16,'Cost and Score'!$B$27:$O$40,14,0)</f>
        <v>0</v>
      </c>
      <c r="BT16" s="220">
        <f t="shared" si="19"/>
        <v>0.51420454545454541</v>
      </c>
    </row>
    <row r="17" spans="1:103" s="2" customFormat="1" ht="13.9" hidden="1" customHeight="1" x14ac:dyDescent="0.25">
      <c r="A17" s="16" t="s">
        <v>68</v>
      </c>
      <c r="B17" s="34" t="s">
        <v>66</v>
      </c>
      <c r="C17" s="26" t="s">
        <v>66</v>
      </c>
      <c r="D17" s="82"/>
      <c r="E17" s="82" t="s">
        <v>67</v>
      </c>
      <c r="F17" s="82" t="s">
        <v>55</v>
      </c>
      <c r="G17" s="29">
        <v>4013</v>
      </c>
      <c r="H17" s="29">
        <f t="shared" si="0"/>
        <v>20</v>
      </c>
      <c r="I17" s="26" t="s">
        <v>13</v>
      </c>
      <c r="J17" s="26" t="s">
        <v>11</v>
      </c>
      <c r="K17" s="26">
        <f t="shared" si="1"/>
        <v>0</v>
      </c>
      <c r="L17" s="42">
        <v>7</v>
      </c>
      <c r="M17" s="42">
        <v>7</v>
      </c>
      <c r="N17" s="42">
        <v>6</v>
      </c>
      <c r="O17" s="83">
        <v>6</v>
      </c>
      <c r="P17" s="83">
        <v>6</v>
      </c>
      <c r="Q17" s="83">
        <v>8</v>
      </c>
      <c r="R17" s="83">
        <v>8</v>
      </c>
      <c r="S17" s="83">
        <v>8</v>
      </c>
      <c r="T17" s="83">
        <v>8</v>
      </c>
      <c r="U17" s="83">
        <v>8</v>
      </c>
      <c r="V17" s="42">
        <v>2024</v>
      </c>
      <c r="W17" s="42">
        <v>2023</v>
      </c>
      <c r="X17" s="42" t="s">
        <v>2612</v>
      </c>
      <c r="Y17" s="26">
        <v>954</v>
      </c>
      <c r="Z17" s="26">
        <f t="shared" si="2"/>
        <v>0.5</v>
      </c>
      <c r="AA17" s="82" t="s">
        <v>20</v>
      </c>
      <c r="AB17" s="111">
        <f t="shared" si="3"/>
        <v>4.5</v>
      </c>
      <c r="AC17" s="82" t="s">
        <v>2073</v>
      </c>
      <c r="AD17" s="84">
        <f t="shared" si="4"/>
        <v>24321.21212121212</v>
      </c>
      <c r="AE17" s="140"/>
      <c r="AF17" s="113">
        <f t="shared" si="5"/>
        <v>0</v>
      </c>
      <c r="AG17" s="82">
        <v>2026</v>
      </c>
      <c r="AH17" s="26" t="str">
        <f t="shared" si="20"/>
        <v/>
      </c>
      <c r="AI17" s="26" t="str">
        <f t="shared" si="20"/>
        <v/>
      </c>
      <c r="AJ17" s="26" t="str">
        <f t="shared" si="20"/>
        <v/>
      </c>
      <c r="AK17" s="26" t="str">
        <f t="shared" si="20"/>
        <v/>
      </c>
      <c r="AL17" s="26" t="str">
        <f t="shared" si="20"/>
        <v>Chip Seal - Double and Fog</v>
      </c>
      <c r="AM17" s="26" t="str">
        <f t="shared" si="20"/>
        <v/>
      </c>
      <c r="AN17" s="26" t="str">
        <f t="shared" si="7"/>
        <v>Chip Seal - Double and Fog</v>
      </c>
      <c r="AO17" s="26" t="str">
        <f t="shared" si="8"/>
        <v/>
      </c>
      <c r="AP17" s="26" t="str">
        <f t="shared" si="9"/>
        <v/>
      </c>
      <c r="AQ17" s="68">
        <f t="shared" si="10"/>
        <v>8</v>
      </c>
      <c r="AR17" s="68">
        <f t="shared" si="11"/>
        <v>6</v>
      </c>
      <c r="AS17" s="68">
        <f t="shared" si="12"/>
        <v>1.05</v>
      </c>
      <c r="AT17" s="68">
        <f t="shared" si="13"/>
        <v>1.05</v>
      </c>
      <c r="AU17" s="68">
        <f t="shared" si="14"/>
        <v>1.1000000000000001</v>
      </c>
      <c r="AV17" s="68">
        <f t="shared" si="15"/>
        <v>1.1000000000000001</v>
      </c>
      <c r="AW17" s="68">
        <f t="shared" si="16"/>
        <v>1.1000000000000001</v>
      </c>
      <c r="AX17" s="68">
        <f t="shared" ca="1" si="17"/>
        <v>2.2000000000000002</v>
      </c>
      <c r="AY17" s="106">
        <v>2018</v>
      </c>
      <c r="AZ17" s="106" t="s">
        <v>2073</v>
      </c>
      <c r="BA17" s="106" t="str">
        <f t="shared" si="18"/>
        <v>DS</v>
      </c>
      <c r="BB17" s="177"/>
      <c r="BC17" s="177">
        <v>4</v>
      </c>
      <c r="BD17" s="177"/>
      <c r="BE17" s="177"/>
      <c r="BF17" s="177"/>
      <c r="BG17" s="177"/>
      <c r="BH17" s="177"/>
      <c r="BI17" s="33"/>
      <c r="BK17" s="48">
        <f>$G17/5280*VLOOKUP($AC17,'Cost and Score'!$B$27:$O$40,6,0)</f>
        <v>0.38001893939393938</v>
      </c>
      <c r="BL17" s="48">
        <f>$G17/5280*VLOOKUP($AC17,'Cost and Score'!$B$27:$O$40,7,0)</f>
        <v>38.001893939393938</v>
      </c>
      <c r="BM17" s="48">
        <f>$G17/5280*VLOOKUP($AC17,'Cost and Score'!$B$27:$O$40,8,0)</f>
        <v>0</v>
      </c>
      <c r="BN17" s="48">
        <f>$G17/5280*VLOOKUP($AC17,'Cost and Score'!$B$27:$O$40,9,0)</f>
        <v>7220.359848484848</v>
      </c>
      <c r="BO17" s="48">
        <f>$G17/5280*VLOOKUP($AC17,'Cost and Score'!$B$27:$O$40,10,0)</f>
        <v>760.03787878787875</v>
      </c>
      <c r="BP17" s="48">
        <f>$G17/5280*VLOOKUP($AC17,'Cost and Score'!$B$27:$O$40,11,0)</f>
        <v>0</v>
      </c>
      <c r="BQ17" s="48">
        <f>$G17/5280*VLOOKUP($AC17,'Cost and Score'!$B$27:$O$40,12,0)</f>
        <v>152.00757575757575</v>
      </c>
      <c r="BR17" s="48">
        <f>$G17/5280*VLOOKUP($AC17,'Cost and Score'!$B$27:$O$40,13,0)</f>
        <v>136.80681818181819</v>
      </c>
      <c r="BS17" s="48">
        <f>$G17/5280*VLOOKUP($AC17,'Cost and Score'!$B$27:$O$40,14,0)</f>
        <v>182.40909090909091</v>
      </c>
      <c r="BT17" s="220">
        <f t="shared" si="19"/>
        <v>0.76003787878787876</v>
      </c>
    </row>
    <row r="18" spans="1:103" s="2" customFormat="1" ht="14.45" hidden="1" customHeight="1" x14ac:dyDescent="0.25">
      <c r="A18" s="15" t="s">
        <v>71</v>
      </c>
      <c r="B18" s="34" t="s">
        <v>69</v>
      </c>
      <c r="C18" s="26" t="s">
        <v>69</v>
      </c>
      <c r="D18" s="82"/>
      <c r="E18" s="82" t="s">
        <v>70</v>
      </c>
      <c r="F18" s="82" t="s">
        <v>64</v>
      </c>
      <c r="G18" s="29">
        <v>2693</v>
      </c>
      <c r="H18" s="29">
        <f t="shared" si="0"/>
        <v>20</v>
      </c>
      <c r="I18" s="26" t="s">
        <v>8</v>
      </c>
      <c r="J18" s="26" t="s">
        <v>62</v>
      </c>
      <c r="K18" s="26">
        <f t="shared" si="1"/>
        <v>0</v>
      </c>
      <c r="L18" s="42">
        <v>7</v>
      </c>
      <c r="M18" s="42">
        <v>7</v>
      </c>
      <c r="N18" s="42">
        <v>7</v>
      </c>
      <c r="O18" s="83">
        <v>7</v>
      </c>
      <c r="P18" s="83">
        <v>6</v>
      </c>
      <c r="Q18" s="83">
        <v>6</v>
      </c>
      <c r="R18" s="83">
        <v>6</v>
      </c>
      <c r="S18" s="83">
        <v>6</v>
      </c>
      <c r="T18" s="83">
        <v>6</v>
      </c>
      <c r="U18" s="83">
        <v>6</v>
      </c>
      <c r="V18" s="42">
        <v>2023</v>
      </c>
      <c r="W18" s="42">
        <v>2023</v>
      </c>
      <c r="X18" s="42" t="s">
        <v>2612</v>
      </c>
      <c r="Y18" s="26">
        <v>98</v>
      </c>
      <c r="Z18" s="26">
        <f t="shared" si="2"/>
        <v>0</v>
      </c>
      <c r="AA18" s="82" t="s">
        <v>20</v>
      </c>
      <c r="AB18" s="111">
        <f t="shared" si="3"/>
        <v>4</v>
      </c>
      <c r="AC18" s="82" t="s">
        <v>2072</v>
      </c>
      <c r="AD18" s="84">
        <f t="shared" si="4"/>
        <v>23461.742424242424</v>
      </c>
      <c r="AE18" s="140"/>
      <c r="AF18" s="113">
        <f t="shared" si="5"/>
        <v>0</v>
      </c>
      <c r="AG18" s="26">
        <v>2027</v>
      </c>
      <c r="AH18" s="26" t="str">
        <f t="shared" si="20"/>
        <v/>
      </c>
      <c r="AI18" s="26" t="str">
        <f t="shared" si="20"/>
        <v/>
      </c>
      <c r="AJ18" s="26" t="str">
        <f t="shared" si="20"/>
        <v/>
      </c>
      <c r="AK18" s="26" t="str">
        <f t="shared" si="20"/>
        <v/>
      </c>
      <c r="AL18" s="26" t="str">
        <f t="shared" si="20"/>
        <v/>
      </c>
      <c r="AM18" s="26" t="str">
        <f t="shared" si="20"/>
        <v>Chip Seal - Triple</v>
      </c>
      <c r="AN18" s="26" t="str">
        <f t="shared" si="7"/>
        <v>Chip Seal - Triple</v>
      </c>
      <c r="AO18" s="26" t="str">
        <f t="shared" si="8"/>
        <v>Chip Seal and Fog</v>
      </c>
      <c r="AP18" s="26" t="str">
        <f t="shared" si="9"/>
        <v/>
      </c>
      <c r="AQ18" s="68">
        <f t="shared" si="10"/>
        <v>10</v>
      </c>
      <c r="AR18" s="68">
        <f t="shared" si="11"/>
        <v>8</v>
      </c>
      <c r="AS18" s="68">
        <f t="shared" si="12"/>
        <v>1.05</v>
      </c>
      <c r="AT18" s="68">
        <f t="shared" si="13"/>
        <v>1.05</v>
      </c>
      <c r="AU18" s="68">
        <f t="shared" si="14"/>
        <v>1.05</v>
      </c>
      <c r="AV18" s="68">
        <f t="shared" si="15"/>
        <v>1.05</v>
      </c>
      <c r="AW18" s="68">
        <f t="shared" si="16"/>
        <v>1.1000000000000001</v>
      </c>
      <c r="AX18" s="68">
        <f t="shared" ca="1" si="17"/>
        <v>3.1500000000000004</v>
      </c>
      <c r="AY18" s="106">
        <v>2021</v>
      </c>
      <c r="AZ18" s="106" t="s">
        <v>13</v>
      </c>
      <c r="BA18" s="106" t="str">
        <f t="shared" si="18"/>
        <v/>
      </c>
      <c r="BB18" s="177">
        <v>86</v>
      </c>
      <c r="BC18" s="177">
        <v>1</v>
      </c>
      <c r="BD18" s="177"/>
      <c r="BE18" s="177"/>
      <c r="BF18" s="177"/>
      <c r="BG18" s="177"/>
      <c r="BH18" s="177"/>
      <c r="BI18" s="33"/>
      <c r="BK18" s="48">
        <f>$G18/5280*VLOOKUP($AC18,'Cost and Score'!$B$27:$O$40,6,0)</f>
        <v>0.30602272727272722</v>
      </c>
      <c r="BL18" s="48">
        <f>$G18/5280*VLOOKUP($AC18,'Cost and Score'!$B$27:$O$40,7,0)</f>
        <v>63.754734848484844</v>
      </c>
      <c r="BM18" s="48">
        <f>$G18/5280*VLOOKUP($AC18,'Cost and Score'!$B$27:$O$40,8,0)</f>
        <v>102.00757575757575</v>
      </c>
      <c r="BN18" s="48">
        <f>$G18/5280*VLOOKUP($AC18,'Cost and Score'!$B$27:$O$40,9,0)</f>
        <v>1020.0757575757575</v>
      </c>
      <c r="BO18" s="48">
        <f>$G18/5280*VLOOKUP($AC18,'Cost and Score'!$B$27:$O$40,10,0)</f>
        <v>255.01893939393938</v>
      </c>
      <c r="BP18" s="48">
        <f>$G18/5280*VLOOKUP($AC18,'Cost and Score'!$B$27:$O$40,11,0)</f>
        <v>51.003787878787875</v>
      </c>
      <c r="BQ18" s="48">
        <f>$G18/5280*VLOOKUP($AC18,'Cost and Score'!$B$27:$O$40,12,0)</f>
        <v>408.030303030303</v>
      </c>
      <c r="BR18" s="48">
        <f>$G18/5280*VLOOKUP($AC18,'Cost and Score'!$B$27:$O$40,13,0)</f>
        <v>40.803030303030297</v>
      </c>
      <c r="BS18" s="48">
        <f>$G18/5280*VLOOKUP($AC18,'Cost and Score'!$B$27:$O$40,14,0)</f>
        <v>0</v>
      </c>
      <c r="BT18" s="220">
        <f t="shared" si="19"/>
        <v>0.51003787878787876</v>
      </c>
    </row>
    <row r="19" spans="1:103" s="2" customFormat="1" ht="14.45" hidden="1" customHeight="1" x14ac:dyDescent="0.25">
      <c r="A19" s="15" t="s">
        <v>74</v>
      </c>
      <c r="B19" s="34" t="s">
        <v>72</v>
      </c>
      <c r="C19" s="26" t="s">
        <v>72</v>
      </c>
      <c r="D19" s="82"/>
      <c r="E19" s="82" t="s">
        <v>73</v>
      </c>
      <c r="F19" s="82" t="s">
        <v>70</v>
      </c>
      <c r="G19" s="29">
        <v>2638</v>
      </c>
      <c r="H19" s="29">
        <f t="shared" si="0"/>
        <v>20</v>
      </c>
      <c r="I19" s="26" t="s">
        <v>8</v>
      </c>
      <c r="J19" s="26" t="s">
        <v>62</v>
      </c>
      <c r="K19" s="26">
        <f t="shared" si="1"/>
        <v>0</v>
      </c>
      <c r="L19" s="42">
        <v>6</v>
      </c>
      <c r="M19" s="42">
        <v>6</v>
      </c>
      <c r="N19" s="42">
        <v>6</v>
      </c>
      <c r="O19" s="83">
        <v>6</v>
      </c>
      <c r="P19" s="83">
        <v>6</v>
      </c>
      <c r="Q19" s="83">
        <v>6</v>
      </c>
      <c r="R19" s="83">
        <v>6</v>
      </c>
      <c r="S19" s="83">
        <v>7</v>
      </c>
      <c r="T19" s="83">
        <v>7</v>
      </c>
      <c r="U19" s="83">
        <v>7</v>
      </c>
      <c r="V19" s="42">
        <v>2023</v>
      </c>
      <c r="W19" s="42">
        <v>2023</v>
      </c>
      <c r="X19" s="42" t="s">
        <v>2612</v>
      </c>
      <c r="Y19" s="26">
        <v>100</v>
      </c>
      <c r="Z19" s="26">
        <f t="shared" si="2"/>
        <v>0</v>
      </c>
      <c r="AA19" s="82" t="s">
        <v>20</v>
      </c>
      <c r="AB19" s="111">
        <f t="shared" si="3"/>
        <v>4</v>
      </c>
      <c r="AC19" s="82" t="s">
        <v>2073</v>
      </c>
      <c r="AD19" s="84">
        <f t="shared" si="4"/>
        <v>15987.878787878788</v>
      </c>
      <c r="AE19" s="140"/>
      <c r="AF19" s="113">
        <f t="shared" si="5"/>
        <v>0</v>
      </c>
      <c r="AG19" s="85">
        <v>2026</v>
      </c>
      <c r="AH19" s="26" t="str">
        <f t="shared" si="20"/>
        <v/>
      </c>
      <c r="AI19" s="26" t="str">
        <f t="shared" si="20"/>
        <v/>
      </c>
      <c r="AJ19" s="26" t="str">
        <f t="shared" si="20"/>
        <v/>
      </c>
      <c r="AK19" s="26" t="str">
        <f t="shared" si="20"/>
        <v/>
      </c>
      <c r="AL19" s="26" t="str">
        <f t="shared" si="20"/>
        <v>Chip Seal - Double and Fog</v>
      </c>
      <c r="AM19" s="26" t="str">
        <f t="shared" si="20"/>
        <v/>
      </c>
      <c r="AN19" s="26" t="str">
        <f t="shared" si="7"/>
        <v>Chip Seal - Double and Fog</v>
      </c>
      <c r="AO19" s="26" t="str">
        <f t="shared" si="8"/>
        <v/>
      </c>
      <c r="AP19" s="26" t="str">
        <f t="shared" si="9"/>
        <v/>
      </c>
      <c r="AQ19" s="68">
        <f t="shared" si="10"/>
        <v>8</v>
      </c>
      <c r="AR19" s="68">
        <f t="shared" si="11"/>
        <v>6</v>
      </c>
      <c r="AS19" s="68">
        <f t="shared" si="12"/>
        <v>1.1000000000000001</v>
      </c>
      <c r="AT19" s="68">
        <f t="shared" si="13"/>
        <v>1.1000000000000001</v>
      </c>
      <c r="AU19" s="68">
        <f t="shared" si="14"/>
        <v>1.1000000000000001</v>
      </c>
      <c r="AV19" s="68">
        <f t="shared" si="15"/>
        <v>1.1000000000000001</v>
      </c>
      <c r="AW19" s="68">
        <f t="shared" si="16"/>
        <v>1.1000000000000001</v>
      </c>
      <c r="AX19" s="68">
        <f t="shared" ca="1" si="17"/>
        <v>2.2000000000000002</v>
      </c>
      <c r="AY19" s="106">
        <v>2020</v>
      </c>
      <c r="AZ19" s="106" t="s">
        <v>2073</v>
      </c>
      <c r="BA19" s="106" t="str">
        <f t="shared" si="18"/>
        <v/>
      </c>
      <c r="BB19" s="177"/>
      <c r="BC19" s="177">
        <v>1</v>
      </c>
      <c r="BD19" s="177"/>
      <c r="BE19" s="177"/>
      <c r="BF19" s="177"/>
      <c r="BG19" s="177"/>
      <c r="BH19" s="177"/>
      <c r="BI19" s="33"/>
      <c r="BK19" s="48">
        <f>$G19/5280*VLOOKUP($AC19,'Cost and Score'!$B$27:$O$40,6,0)</f>
        <v>0.24981060606060607</v>
      </c>
      <c r="BL19" s="48">
        <f>$G19/5280*VLOOKUP($AC19,'Cost and Score'!$B$27:$O$40,7,0)</f>
        <v>24.981060606060606</v>
      </c>
      <c r="BM19" s="48">
        <f>$G19/5280*VLOOKUP($AC19,'Cost and Score'!$B$27:$O$40,8,0)</f>
        <v>0</v>
      </c>
      <c r="BN19" s="48">
        <f>$G19/5280*VLOOKUP($AC19,'Cost and Score'!$B$27:$O$40,9,0)</f>
        <v>4746.401515151515</v>
      </c>
      <c r="BO19" s="48">
        <f>$G19/5280*VLOOKUP($AC19,'Cost and Score'!$B$27:$O$40,10,0)</f>
        <v>499.62121212121212</v>
      </c>
      <c r="BP19" s="48">
        <f>$G19/5280*VLOOKUP($AC19,'Cost and Score'!$B$27:$O$40,11,0)</f>
        <v>0</v>
      </c>
      <c r="BQ19" s="48">
        <f>$G19/5280*VLOOKUP($AC19,'Cost and Score'!$B$27:$O$40,12,0)</f>
        <v>99.924242424242422</v>
      </c>
      <c r="BR19" s="48">
        <f>$G19/5280*VLOOKUP($AC19,'Cost and Score'!$B$27:$O$40,13,0)</f>
        <v>89.931818181818187</v>
      </c>
      <c r="BS19" s="48">
        <f>$G19/5280*VLOOKUP($AC19,'Cost and Score'!$B$27:$O$40,14,0)</f>
        <v>119.90909090909091</v>
      </c>
      <c r="BT19" s="220">
        <f t="shared" si="19"/>
        <v>0.49962121212121213</v>
      </c>
      <c r="BY19" s="2" t="s">
        <v>1</v>
      </c>
      <c r="CW19" s="112"/>
      <c r="CX19" s="112"/>
      <c r="CY19" s="112"/>
    </row>
    <row r="20" spans="1:103" s="2" customFormat="1" ht="14.45" customHeight="1" x14ac:dyDescent="0.25">
      <c r="A20" s="38" t="s">
        <v>2163</v>
      </c>
      <c r="B20" s="34" t="s">
        <v>1053</v>
      </c>
      <c r="C20" s="26" t="s">
        <v>1053</v>
      </c>
      <c r="D20" s="26"/>
      <c r="E20" s="26" t="s">
        <v>73</v>
      </c>
      <c r="F20" s="26" t="s">
        <v>1047</v>
      </c>
      <c r="G20" s="29">
        <v>1620</v>
      </c>
      <c r="H20" s="29">
        <f t="shared" si="0"/>
        <v>20</v>
      </c>
      <c r="I20" s="26" t="s">
        <v>8</v>
      </c>
      <c r="J20" s="26" t="s">
        <v>17</v>
      </c>
      <c r="K20" s="26">
        <f t="shared" si="1"/>
        <v>0</v>
      </c>
      <c r="L20" s="42">
        <v>5</v>
      </c>
      <c r="M20" s="42">
        <v>5</v>
      </c>
      <c r="N20" s="42">
        <v>9</v>
      </c>
      <c r="O20" s="42">
        <v>10</v>
      </c>
      <c r="P20" s="42">
        <v>9</v>
      </c>
      <c r="Q20" s="42">
        <v>9</v>
      </c>
      <c r="R20" s="42">
        <v>8</v>
      </c>
      <c r="S20" s="42">
        <v>8</v>
      </c>
      <c r="T20" s="42">
        <v>7</v>
      </c>
      <c r="U20" s="42">
        <v>7</v>
      </c>
      <c r="V20" s="42"/>
      <c r="W20" s="42">
        <v>2018</v>
      </c>
      <c r="X20" s="42" t="s">
        <v>2612</v>
      </c>
      <c r="Y20" s="26">
        <v>333</v>
      </c>
      <c r="Z20" s="26">
        <f t="shared" si="2"/>
        <v>0</v>
      </c>
      <c r="AA20" s="26" t="s">
        <v>9</v>
      </c>
      <c r="AB20" s="111">
        <f t="shared" si="3"/>
        <v>1</v>
      </c>
      <c r="AC20" s="85" t="s">
        <v>2075</v>
      </c>
      <c r="AD20" s="47">
        <f t="shared" si="4"/>
        <v>1656.8181818181818</v>
      </c>
      <c r="AE20" s="140"/>
      <c r="AF20" s="113">
        <f t="shared" si="5"/>
        <v>0</v>
      </c>
      <c r="AG20" s="106">
        <v>2025</v>
      </c>
      <c r="AH20" s="26" t="str">
        <f t="shared" si="20"/>
        <v/>
      </c>
      <c r="AI20" s="26" t="str">
        <f t="shared" si="20"/>
        <v/>
      </c>
      <c r="AJ20" s="26" t="str">
        <f t="shared" si="20"/>
        <v/>
      </c>
      <c r="AK20" s="26" t="str">
        <f t="shared" si="20"/>
        <v>Crack Seal</v>
      </c>
      <c r="AL20" s="26" t="str">
        <f t="shared" si="20"/>
        <v/>
      </c>
      <c r="AM20" s="26" t="str">
        <f t="shared" si="20"/>
        <v/>
      </c>
      <c r="AN20" s="26" t="str">
        <f t="shared" si="7"/>
        <v>Crack Seal</v>
      </c>
      <c r="AO20" s="26" t="str">
        <f t="shared" si="8"/>
        <v/>
      </c>
      <c r="AP20" s="26" t="str">
        <f t="shared" si="9"/>
        <v/>
      </c>
      <c r="AQ20" s="68">
        <f t="shared" si="10"/>
        <v>16</v>
      </c>
      <c r="AR20" s="68">
        <f t="shared" si="11"/>
        <v>3</v>
      </c>
      <c r="AS20" s="68">
        <f t="shared" si="12"/>
        <v>1.25</v>
      </c>
      <c r="AT20" s="68">
        <f t="shared" si="13"/>
        <v>1.25</v>
      </c>
      <c r="AU20" s="68">
        <f t="shared" si="14"/>
        <v>1</v>
      </c>
      <c r="AV20" s="68">
        <f t="shared" si="15"/>
        <v>1</v>
      </c>
      <c r="AW20" s="68">
        <f t="shared" si="16"/>
        <v>1</v>
      </c>
      <c r="AX20" s="68">
        <f t="shared" ca="1" si="17"/>
        <v>1</v>
      </c>
      <c r="AY20" s="68">
        <v>2015</v>
      </c>
      <c r="AZ20" s="68" t="s">
        <v>2072</v>
      </c>
      <c r="BA20" s="106" t="str">
        <f t="shared" si="18"/>
        <v/>
      </c>
      <c r="BB20" s="178"/>
      <c r="BC20" s="178">
        <v>5</v>
      </c>
      <c r="BD20" s="178"/>
      <c r="BE20" s="178"/>
      <c r="BF20" s="178"/>
      <c r="BG20" s="178"/>
      <c r="BH20" s="178"/>
      <c r="BI20" s="33"/>
      <c r="BK20" s="48">
        <f>$G20/5280*VLOOKUP($AC20,'Cost and Score'!$B$27:$O$40,6,0)</f>
        <v>0.30681818181818182</v>
      </c>
      <c r="BL20" s="48">
        <f>$G20/5280*VLOOKUP($AC20,'Cost and Score'!$B$27:$O$40,7,0)</f>
        <v>0</v>
      </c>
      <c r="BM20" s="48">
        <f>$G20/5280*VLOOKUP($AC20,'Cost and Score'!$B$27:$O$40,8,0)</f>
        <v>0</v>
      </c>
      <c r="BN20" s="48">
        <f>$G20/5280*VLOOKUP($AC20,'Cost and Score'!$B$27:$O$40,9,0)</f>
        <v>0</v>
      </c>
      <c r="BO20" s="48">
        <f>$G20/5280*VLOOKUP($AC20,'Cost and Score'!$B$27:$O$40,10,0)</f>
        <v>0</v>
      </c>
      <c r="BP20" s="48">
        <f>$G20/5280*VLOOKUP($AC20,'Cost and Score'!$B$27:$O$40,11,0)</f>
        <v>0</v>
      </c>
      <c r="BQ20" s="48">
        <f>$G20/5280*VLOOKUP($AC20,'Cost and Score'!$B$27:$O$40,12,0)</f>
        <v>0</v>
      </c>
      <c r="BR20" s="48">
        <f>$G20/5280*VLOOKUP($AC20,'Cost and Score'!$B$27:$O$40,13,0)</f>
        <v>0</v>
      </c>
      <c r="BS20" s="48">
        <f>$G20/5280*VLOOKUP($AC20,'Cost and Score'!$B$27:$O$40,14,0)</f>
        <v>0</v>
      </c>
      <c r="BT20" s="220">
        <f t="shared" si="19"/>
        <v>0.30681818181818182</v>
      </c>
      <c r="CG20" s="112"/>
      <c r="CH20" s="112"/>
      <c r="CI20" s="112"/>
      <c r="CJ20" s="112"/>
      <c r="CK20" s="112"/>
      <c r="CL20" s="112"/>
      <c r="CM20" s="112"/>
      <c r="CS20" s="112"/>
      <c r="CT20" s="112"/>
      <c r="CU20" s="112"/>
    </row>
    <row r="21" spans="1:103" s="2" customFormat="1" x14ac:dyDescent="0.25">
      <c r="A21" s="31" t="s">
        <v>2102</v>
      </c>
      <c r="B21" s="45" t="s">
        <v>1891</v>
      </c>
      <c r="C21" s="26" t="s">
        <v>1891</v>
      </c>
      <c r="D21" s="36" t="s">
        <v>2272</v>
      </c>
      <c r="E21" s="26" t="s">
        <v>1458</v>
      </c>
      <c r="F21" s="26" t="s">
        <v>1757</v>
      </c>
      <c r="G21" s="29">
        <v>581</v>
      </c>
      <c r="H21" s="29">
        <f t="shared" si="0"/>
        <v>26</v>
      </c>
      <c r="I21" s="26" t="s">
        <v>2098</v>
      </c>
      <c r="J21" s="26" t="s">
        <v>160</v>
      </c>
      <c r="K21" s="26">
        <f t="shared" si="1"/>
        <v>0</v>
      </c>
      <c r="L21" s="42">
        <v>4</v>
      </c>
      <c r="M21" s="42">
        <v>10</v>
      </c>
      <c r="N21" s="42">
        <v>10</v>
      </c>
      <c r="O21" s="42">
        <v>9</v>
      </c>
      <c r="P21" s="42">
        <v>9</v>
      </c>
      <c r="Q21" s="42">
        <v>8</v>
      </c>
      <c r="R21" s="42">
        <v>8</v>
      </c>
      <c r="S21" s="42">
        <v>8</v>
      </c>
      <c r="T21" s="42">
        <v>8</v>
      </c>
      <c r="U21" s="42">
        <v>8</v>
      </c>
      <c r="V21" s="42"/>
      <c r="W21" s="42"/>
      <c r="X21" s="42"/>
      <c r="Y21" s="26">
        <v>115</v>
      </c>
      <c r="Z21" s="26">
        <f t="shared" si="2"/>
        <v>0</v>
      </c>
      <c r="AA21" s="26" t="s">
        <v>1891</v>
      </c>
      <c r="AB21" s="111">
        <f t="shared" si="3"/>
        <v>1</v>
      </c>
      <c r="AC21" s="85" t="s">
        <v>2075</v>
      </c>
      <c r="AD21" s="47">
        <f t="shared" si="4"/>
        <v>594.2045454545455</v>
      </c>
      <c r="AE21" s="140"/>
      <c r="AF21" s="113">
        <f t="shared" si="5"/>
        <v>0</v>
      </c>
      <c r="AG21" s="106">
        <v>2025</v>
      </c>
      <c r="AH21" s="26" t="str">
        <f t="shared" si="20"/>
        <v/>
      </c>
      <c r="AI21" s="26" t="str">
        <f t="shared" si="20"/>
        <v/>
      </c>
      <c r="AJ21" s="26" t="str">
        <f t="shared" si="20"/>
        <v/>
      </c>
      <c r="AK21" s="26" t="str">
        <f t="shared" si="20"/>
        <v>Crack Seal</v>
      </c>
      <c r="AL21" s="26" t="str">
        <f t="shared" si="20"/>
        <v/>
      </c>
      <c r="AM21" s="26" t="str">
        <f t="shared" si="20"/>
        <v/>
      </c>
      <c r="AN21" s="26" t="str">
        <f t="shared" si="7"/>
        <v>Crack Seal</v>
      </c>
      <c r="AO21" s="26" t="str">
        <f t="shared" si="8"/>
        <v/>
      </c>
      <c r="AP21" s="26" t="str">
        <f t="shared" si="9"/>
        <v/>
      </c>
      <c r="AQ21" s="68">
        <f t="shared" si="10"/>
        <v>14</v>
      </c>
      <c r="AR21" s="68">
        <f t="shared" si="11"/>
        <v>3</v>
      </c>
      <c r="AS21" s="68">
        <f t="shared" si="12"/>
        <v>1.5</v>
      </c>
      <c r="AT21" s="68">
        <f t="shared" si="13"/>
        <v>1</v>
      </c>
      <c r="AU21" s="68">
        <f t="shared" si="14"/>
        <v>1</v>
      </c>
      <c r="AV21" s="68">
        <f t="shared" si="15"/>
        <v>1</v>
      </c>
      <c r="AW21" s="68">
        <f t="shared" si="16"/>
        <v>1</v>
      </c>
      <c r="AX21" s="68">
        <f t="shared" ca="1" si="17"/>
        <v>1</v>
      </c>
      <c r="AY21" s="68">
        <v>2015</v>
      </c>
      <c r="AZ21" s="68" t="s">
        <v>2075</v>
      </c>
      <c r="BA21" s="106" t="str">
        <f t="shared" si="18"/>
        <v/>
      </c>
      <c r="BB21" s="178"/>
      <c r="BC21" s="178"/>
      <c r="BD21" s="178"/>
      <c r="BE21" s="178"/>
      <c r="BF21" s="178">
        <v>3</v>
      </c>
      <c r="BG21" s="178"/>
      <c r="BH21" s="178"/>
      <c r="BI21" s="33"/>
      <c r="BK21" s="48">
        <f>$G21/5280*VLOOKUP($AC21,'Cost and Score'!$B$27:$O$40,6,0)</f>
        <v>0.11003787878787878</v>
      </c>
      <c r="BL21" s="48">
        <f>$G21/5280*VLOOKUP($AC21,'Cost and Score'!$B$27:$O$40,7,0)</f>
        <v>0</v>
      </c>
      <c r="BM21" s="48">
        <f>$G21/5280*VLOOKUP($AC21,'Cost and Score'!$B$27:$O$40,8,0)</f>
        <v>0</v>
      </c>
      <c r="BN21" s="48">
        <f>$G21/5280*VLOOKUP($AC21,'Cost and Score'!$B$27:$O$40,9,0)</f>
        <v>0</v>
      </c>
      <c r="BO21" s="48">
        <f>$G21/5280*VLOOKUP($AC21,'Cost and Score'!$B$27:$O$40,10,0)</f>
        <v>0</v>
      </c>
      <c r="BP21" s="48">
        <f>$G21/5280*VLOOKUP($AC21,'Cost and Score'!$B$27:$O$40,11,0)</f>
        <v>0</v>
      </c>
      <c r="BQ21" s="48">
        <f>$G21/5280*VLOOKUP($AC21,'Cost and Score'!$B$27:$O$40,12,0)</f>
        <v>0</v>
      </c>
      <c r="BR21" s="48">
        <f>$G21/5280*VLOOKUP($AC21,'Cost and Score'!$B$27:$O$40,13,0)</f>
        <v>0</v>
      </c>
      <c r="BS21" s="48">
        <f>$G21/5280*VLOOKUP($AC21,'Cost and Score'!$B$27:$O$40,14,0)</f>
        <v>0</v>
      </c>
      <c r="BT21" s="220">
        <f t="shared" si="19"/>
        <v>0.11003787878787878</v>
      </c>
      <c r="CN21" s="112"/>
      <c r="CO21" s="112"/>
      <c r="CP21" s="112"/>
      <c r="CQ21" s="112"/>
      <c r="CV21" s="112"/>
    </row>
    <row r="22" spans="1:103" s="2" customFormat="1" ht="14.45" hidden="1" customHeight="1" x14ac:dyDescent="0.25">
      <c r="A22" s="36" t="s">
        <v>84</v>
      </c>
      <c r="B22" s="34" t="s">
        <v>81</v>
      </c>
      <c r="C22" s="26" t="s">
        <v>81</v>
      </c>
      <c r="D22" s="26"/>
      <c r="E22" s="26" t="s">
        <v>82</v>
      </c>
      <c r="F22" s="26" t="s">
        <v>83</v>
      </c>
      <c r="G22" s="29">
        <v>6758</v>
      </c>
      <c r="H22" s="29">
        <f t="shared" si="0"/>
        <v>20</v>
      </c>
      <c r="I22" s="26" t="s">
        <v>8</v>
      </c>
      <c r="J22" s="26" t="s">
        <v>62</v>
      </c>
      <c r="K22" s="26">
        <f t="shared" si="1"/>
        <v>0</v>
      </c>
      <c r="L22" s="42">
        <v>6</v>
      </c>
      <c r="M22" s="42">
        <v>6</v>
      </c>
      <c r="N22" s="42">
        <v>4</v>
      </c>
      <c r="O22" s="42">
        <v>7</v>
      </c>
      <c r="P22" s="42">
        <v>6</v>
      </c>
      <c r="Q22" s="42">
        <v>6</v>
      </c>
      <c r="R22" s="42">
        <v>6</v>
      </c>
      <c r="S22" s="42">
        <v>7</v>
      </c>
      <c r="T22" s="42">
        <v>7</v>
      </c>
      <c r="U22" s="42">
        <v>7</v>
      </c>
      <c r="V22" s="42">
        <v>2024</v>
      </c>
      <c r="W22" s="42">
        <v>2023</v>
      </c>
      <c r="X22" s="42" t="s">
        <v>2612</v>
      </c>
      <c r="Y22" s="26">
        <v>857</v>
      </c>
      <c r="Z22" s="26">
        <f t="shared" si="2"/>
        <v>0.5</v>
      </c>
      <c r="AA22" s="26" t="s">
        <v>20</v>
      </c>
      <c r="AB22" s="111">
        <f t="shared" si="3"/>
        <v>4.5</v>
      </c>
      <c r="AC22" s="26" t="s">
        <v>13</v>
      </c>
      <c r="AD22" s="47">
        <f t="shared" si="4"/>
        <v>26878.409090909092</v>
      </c>
      <c r="AE22" s="140"/>
      <c r="AF22" s="113">
        <f t="shared" si="5"/>
        <v>0</v>
      </c>
      <c r="AG22" s="26">
        <v>2026</v>
      </c>
      <c r="AH22" s="26" t="str">
        <f t="shared" ref="AH22:AM31" si="21">IF($AG22=AH$1,VLOOKUP($AC22,RSL,3,FALSE),"")</f>
        <v/>
      </c>
      <c r="AI22" s="26" t="str">
        <f t="shared" si="21"/>
        <v/>
      </c>
      <c r="AJ22" s="26" t="str">
        <f t="shared" si="21"/>
        <v/>
      </c>
      <c r="AK22" s="26" t="str">
        <f t="shared" si="21"/>
        <v/>
      </c>
      <c r="AL22" s="26" t="str">
        <f t="shared" si="21"/>
        <v>Chip Seal and Fog</v>
      </c>
      <c r="AM22" s="26" t="str">
        <f t="shared" si="21"/>
        <v/>
      </c>
      <c r="AN22" s="26" t="str">
        <f t="shared" si="7"/>
        <v>Chip Seal and Fog</v>
      </c>
      <c r="AO22" s="26" t="str">
        <f t="shared" si="8"/>
        <v/>
      </c>
      <c r="AP22" s="26" t="str">
        <f t="shared" si="9"/>
        <v/>
      </c>
      <c r="AQ22" s="68">
        <f t="shared" si="10"/>
        <v>10</v>
      </c>
      <c r="AR22" s="68">
        <f t="shared" si="11"/>
        <v>6</v>
      </c>
      <c r="AS22" s="68">
        <f t="shared" si="12"/>
        <v>1.1000000000000001</v>
      </c>
      <c r="AT22" s="68">
        <f t="shared" si="13"/>
        <v>1.1000000000000001</v>
      </c>
      <c r="AU22" s="68">
        <f t="shared" si="14"/>
        <v>1.5</v>
      </c>
      <c r="AV22" s="68">
        <f t="shared" si="15"/>
        <v>1.05</v>
      </c>
      <c r="AW22" s="68">
        <f t="shared" si="16"/>
        <v>1.1000000000000001</v>
      </c>
      <c r="AX22" s="68">
        <f t="shared" ca="1" si="17"/>
        <v>3</v>
      </c>
      <c r="AY22" s="106">
        <v>2015</v>
      </c>
      <c r="AZ22" s="106" t="s">
        <v>2073</v>
      </c>
      <c r="BA22" s="106" t="str">
        <f t="shared" si="18"/>
        <v/>
      </c>
      <c r="BB22" s="177"/>
      <c r="BC22" s="177">
        <v>4</v>
      </c>
      <c r="BD22" s="177"/>
      <c r="BE22" s="177"/>
      <c r="BF22" s="177"/>
      <c r="BG22" s="177"/>
      <c r="BH22" s="177"/>
      <c r="BI22" s="33"/>
      <c r="BK22" s="48">
        <f>$G22/5280*VLOOKUP($AC22,'Cost and Score'!$B$27:$O$40,6,0)</f>
        <v>0.25598484848484854</v>
      </c>
      <c r="BL22" s="48">
        <f>$G22/5280*VLOOKUP($AC22,'Cost and Score'!$B$27:$O$40,7,0)</f>
        <v>28.158333333333335</v>
      </c>
      <c r="BM22" s="48">
        <f>$G22/5280*VLOOKUP($AC22,'Cost and Score'!$B$27:$O$40,8,0)</f>
        <v>0</v>
      </c>
      <c r="BN22" s="48">
        <f>$G22/5280*VLOOKUP($AC22,'Cost and Score'!$B$27:$O$40,9,0)</f>
        <v>5759.659090909091</v>
      </c>
      <c r="BO22" s="48">
        <f>$G22/5280*VLOOKUP($AC22,'Cost and Score'!$B$27:$O$40,10,0)</f>
        <v>1279.9242424242425</v>
      </c>
      <c r="BP22" s="48">
        <f>$G22/5280*VLOOKUP($AC22,'Cost and Score'!$B$27:$O$40,11,0)</f>
        <v>0</v>
      </c>
      <c r="BQ22" s="48">
        <f>$G22/5280*VLOOKUP($AC22,'Cost and Score'!$B$27:$O$40,12,0)</f>
        <v>127.99242424242425</v>
      </c>
      <c r="BR22" s="48">
        <f>$G22/5280*VLOOKUP($AC22,'Cost and Score'!$B$27:$O$40,13,0)</f>
        <v>153.59090909090909</v>
      </c>
      <c r="BS22" s="48">
        <f>$G22/5280*VLOOKUP($AC22,'Cost and Score'!$B$27:$O$40,14,0)</f>
        <v>0</v>
      </c>
      <c r="BT22" s="220">
        <f t="shared" si="19"/>
        <v>1.2799242424242425</v>
      </c>
      <c r="BY22" s="2">
        <v>4</v>
      </c>
      <c r="BZ22" s="2" t="s">
        <v>2072</v>
      </c>
      <c r="CB22" s="2">
        <v>4</v>
      </c>
      <c r="CC22" s="2" t="s">
        <v>2072</v>
      </c>
      <c r="CE22" s="2">
        <v>4</v>
      </c>
      <c r="CF22" s="2" t="s">
        <v>2076</v>
      </c>
    </row>
    <row r="23" spans="1:103" s="2" customFormat="1" hidden="1" x14ac:dyDescent="0.25">
      <c r="A23" s="36" t="s">
        <v>87</v>
      </c>
      <c r="B23" s="34" t="s">
        <v>85</v>
      </c>
      <c r="C23" s="26" t="s">
        <v>85</v>
      </c>
      <c r="D23" s="82"/>
      <c r="E23" s="82" t="s">
        <v>60</v>
      </c>
      <c r="F23" s="82" t="s">
        <v>86</v>
      </c>
      <c r="G23" s="29">
        <v>4963</v>
      </c>
      <c r="H23" s="29">
        <f t="shared" si="0"/>
        <v>20</v>
      </c>
      <c r="I23" s="26" t="s">
        <v>8</v>
      </c>
      <c r="J23" s="26" t="s">
        <v>62</v>
      </c>
      <c r="K23" s="26">
        <f t="shared" si="1"/>
        <v>0</v>
      </c>
      <c r="L23" s="42">
        <v>8</v>
      </c>
      <c r="M23" s="42">
        <v>8</v>
      </c>
      <c r="N23" s="42">
        <v>8</v>
      </c>
      <c r="O23" s="83">
        <v>8</v>
      </c>
      <c r="P23" s="83">
        <v>8</v>
      </c>
      <c r="Q23" s="83">
        <v>8</v>
      </c>
      <c r="R23" s="83">
        <v>8</v>
      </c>
      <c r="S23" s="83">
        <v>8</v>
      </c>
      <c r="T23" s="83">
        <v>7</v>
      </c>
      <c r="U23" s="83">
        <v>7</v>
      </c>
      <c r="V23" s="42">
        <v>2023</v>
      </c>
      <c r="W23" s="42">
        <v>2023</v>
      </c>
      <c r="X23" s="42" t="s">
        <v>2612</v>
      </c>
      <c r="Y23" s="26">
        <v>623</v>
      </c>
      <c r="Z23" s="26">
        <f t="shared" si="2"/>
        <v>0.5</v>
      </c>
      <c r="AA23" s="82" t="s">
        <v>20</v>
      </c>
      <c r="AB23" s="111">
        <f t="shared" si="3"/>
        <v>2.5</v>
      </c>
      <c r="AC23" s="85" t="s">
        <v>2073</v>
      </c>
      <c r="AD23" s="84">
        <f t="shared" si="4"/>
        <v>30078.78787878788</v>
      </c>
      <c r="AE23" s="140"/>
      <c r="AF23" s="113">
        <f t="shared" si="5"/>
        <v>0</v>
      </c>
      <c r="AG23" s="85">
        <v>2026</v>
      </c>
      <c r="AH23" s="26" t="str">
        <f t="shared" si="21"/>
        <v/>
      </c>
      <c r="AI23" s="26" t="str">
        <f t="shared" si="21"/>
        <v/>
      </c>
      <c r="AJ23" s="26" t="str">
        <f t="shared" si="21"/>
        <v/>
      </c>
      <c r="AK23" s="26" t="str">
        <f t="shared" si="21"/>
        <v/>
      </c>
      <c r="AL23" s="26" t="str">
        <f t="shared" si="21"/>
        <v>Chip Seal - Double and Fog</v>
      </c>
      <c r="AM23" s="26" t="str">
        <f t="shared" si="21"/>
        <v/>
      </c>
      <c r="AN23" s="26" t="str">
        <f t="shared" si="7"/>
        <v>Chip Seal - Double and Fog</v>
      </c>
      <c r="AO23" s="26" t="str">
        <f t="shared" si="8"/>
        <v/>
      </c>
      <c r="AP23" s="26" t="str">
        <f t="shared" si="9"/>
        <v/>
      </c>
      <c r="AQ23" s="68">
        <f t="shared" si="10"/>
        <v>12</v>
      </c>
      <c r="AR23" s="68">
        <f t="shared" si="11"/>
        <v>6</v>
      </c>
      <c r="AS23" s="68">
        <f t="shared" si="12"/>
        <v>1</v>
      </c>
      <c r="AT23" s="68">
        <f t="shared" si="13"/>
        <v>1</v>
      </c>
      <c r="AU23" s="68">
        <f t="shared" si="14"/>
        <v>1</v>
      </c>
      <c r="AV23" s="68">
        <f t="shared" si="15"/>
        <v>1</v>
      </c>
      <c r="AW23" s="68">
        <f t="shared" si="16"/>
        <v>1</v>
      </c>
      <c r="AX23" s="68">
        <f t="shared" ca="1" si="17"/>
        <v>2</v>
      </c>
      <c r="AY23" s="106">
        <v>2020</v>
      </c>
      <c r="AZ23" s="106" t="s">
        <v>2075</v>
      </c>
      <c r="BA23" s="106" t="str">
        <f t="shared" si="18"/>
        <v/>
      </c>
      <c r="BB23" s="177"/>
      <c r="BC23" s="177">
        <v>1</v>
      </c>
      <c r="BD23" s="177"/>
      <c r="BE23" s="177"/>
      <c r="BF23" s="177"/>
      <c r="BG23" s="177"/>
      <c r="BH23" s="177"/>
      <c r="BI23" s="33" t="s">
        <v>2100</v>
      </c>
      <c r="BK23" s="48">
        <f>$G23/5280*VLOOKUP($AC23,'Cost and Score'!$B$27:$O$40,6,0)</f>
        <v>0.4699810606060606</v>
      </c>
      <c r="BL23" s="48">
        <f>$G23/5280*VLOOKUP($AC23,'Cost and Score'!$B$27:$O$40,7,0)</f>
        <v>46.998106060606062</v>
      </c>
      <c r="BM23" s="48">
        <f>$G23/5280*VLOOKUP($AC23,'Cost and Score'!$B$27:$O$40,8,0)</f>
        <v>0</v>
      </c>
      <c r="BN23" s="48">
        <f>$G23/5280*VLOOKUP($AC23,'Cost and Score'!$B$27:$O$40,9,0)</f>
        <v>8929.640151515152</v>
      </c>
      <c r="BO23" s="48">
        <f>$G23/5280*VLOOKUP($AC23,'Cost and Score'!$B$27:$O$40,10,0)</f>
        <v>939.96212121212125</v>
      </c>
      <c r="BP23" s="48">
        <f>$G23/5280*VLOOKUP($AC23,'Cost and Score'!$B$27:$O$40,11,0)</f>
        <v>0</v>
      </c>
      <c r="BQ23" s="48">
        <f>$G23/5280*VLOOKUP($AC23,'Cost and Score'!$B$27:$O$40,12,0)</f>
        <v>187.99242424242425</v>
      </c>
      <c r="BR23" s="48">
        <f>$G23/5280*VLOOKUP($AC23,'Cost and Score'!$B$27:$O$40,13,0)</f>
        <v>169.19318181818181</v>
      </c>
      <c r="BS23" s="48">
        <f>$G23/5280*VLOOKUP($AC23,'Cost and Score'!$B$27:$O$40,14,0)</f>
        <v>225.59090909090909</v>
      </c>
      <c r="BT23" s="220">
        <f t="shared" si="19"/>
        <v>0.93996212121212119</v>
      </c>
      <c r="BY23" s="2">
        <v>6</v>
      </c>
      <c r="BZ23" s="2" t="s">
        <v>2073</v>
      </c>
      <c r="CB23" s="2">
        <v>6</v>
      </c>
      <c r="CC23" s="2" t="s">
        <v>2073</v>
      </c>
      <c r="CE23" s="2">
        <v>6</v>
      </c>
      <c r="CF23" s="2" t="s">
        <v>2076</v>
      </c>
    </row>
    <row r="24" spans="1:103" s="2" customFormat="1" ht="14.45" hidden="1" customHeight="1" x14ac:dyDescent="0.25">
      <c r="A24" s="15" t="s">
        <v>89</v>
      </c>
      <c r="B24" s="34" t="s">
        <v>88</v>
      </c>
      <c r="C24" s="26" t="s">
        <v>88</v>
      </c>
      <c r="D24" s="82"/>
      <c r="E24" s="82" t="s">
        <v>83</v>
      </c>
      <c r="F24" s="82" t="s">
        <v>67</v>
      </c>
      <c r="G24" s="29">
        <v>2693</v>
      </c>
      <c r="H24" s="29">
        <f t="shared" si="0"/>
        <v>20</v>
      </c>
      <c r="I24" s="26" t="s">
        <v>8</v>
      </c>
      <c r="J24" s="26" t="s">
        <v>11</v>
      </c>
      <c r="K24" s="26">
        <f t="shared" si="1"/>
        <v>0</v>
      </c>
      <c r="L24" s="42">
        <v>7</v>
      </c>
      <c r="M24" s="42">
        <v>8</v>
      </c>
      <c r="N24" s="42">
        <v>6</v>
      </c>
      <c r="O24" s="83">
        <v>6</v>
      </c>
      <c r="P24" s="83">
        <v>6</v>
      </c>
      <c r="Q24" s="83">
        <v>8</v>
      </c>
      <c r="R24" s="83">
        <v>8</v>
      </c>
      <c r="S24" s="83">
        <v>8</v>
      </c>
      <c r="T24" s="83">
        <v>8</v>
      </c>
      <c r="U24" s="83">
        <v>8</v>
      </c>
      <c r="V24" s="42">
        <v>2024</v>
      </c>
      <c r="W24" s="42">
        <v>2023</v>
      </c>
      <c r="X24" s="42" t="s">
        <v>2612</v>
      </c>
      <c r="Y24" s="26">
        <v>1025</v>
      </c>
      <c r="Z24" s="26">
        <f t="shared" si="2"/>
        <v>0.5</v>
      </c>
      <c r="AA24" s="82" t="s">
        <v>20</v>
      </c>
      <c r="AB24" s="111">
        <f t="shared" si="3"/>
        <v>4.5</v>
      </c>
      <c r="AC24" s="85" t="s">
        <v>2073</v>
      </c>
      <c r="AD24" s="84">
        <f t="shared" si="4"/>
        <v>16321.212121212122</v>
      </c>
      <c r="AE24" s="140"/>
      <c r="AF24" s="113">
        <f t="shared" si="5"/>
        <v>0</v>
      </c>
      <c r="AG24" s="26">
        <v>2026</v>
      </c>
      <c r="AH24" s="26" t="str">
        <f t="shared" si="21"/>
        <v/>
      </c>
      <c r="AI24" s="26" t="str">
        <f t="shared" si="21"/>
        <v/>
      </c>
      <c r="AJ24" s="26" t="str">
        <f t="shared" si="21"/>
        <v/>
      </c>
      <c r="AK24" s="26" t="str">
        <f t="shared" si="21"/>
        <v/>
      </c>
      <c r="AL24" s="26" t="str">
        <f t="shared" si="21"/>
        <v>Chip Seal - Double and Fog</v>
      </c>
      <c r="AM24" s="26" t="str">
        <f t="shared" si="21"/>
        <v/>
      </c>
      <c r="AN24" s="26" t="str">
        <f t="shared" si="7"/>
        <v>Chip Seal - Double and Fog</v>
      </c>
      <c r="AO24" s="26" t="str">
        <f t="shared" si="8"/>
        <v/>
      </c>
      <c r="AP24" s="26" t="str">
        <f t="shared" si="9"/>
        <v/>
      </c>
      <c r="AQ24" s="68">
        <f t="shared" si="10"/>
        <v>8</v>
      </c>
      <c r="AR24" s="68">
        <f t="shared" si="11"/>
        <v>6</v>
      </c>
      <c r="AS24" s="68">
        <f t="shared" si="12"/>
        <v>1.05</v>
      </c>
      <c r="AT24" s="68">
        <f t="shared" si="13"/>
        <v>1</v>
      </c>
      <c r="AU24" s="68">
        <f t="shared" si="14"/>
        <v>1.1000000000000001</v>
      </c>
      <c r="AV24" s="68">
        <f t="shared" si="15"/>
        <v>1.1000000000000001</v>
      </c>
      <c r="AW24" s="68">
        <f t="shared" si="16"/>
        <v>1.1000000000000001</v>
      </c>
      <c r="AX24" s="68">
        <f t="shared" ca="1" si="17"/>
        <v>2.2000000000000002</v>
      </c>
      <c r="AY24" s="106">
        <v>2018</v>
      </c>
      <c r="AZ24" s="106" t="s">
        <v>13</v>
      </c>
      <c r="BA24" s="106" t="str">
        <f t="shared" si="18"/>
        <v>CS</v>
      </c>
      <c r="BB24" s="177"/>
      <c r="BC24" s="177">
        <v>4</v>
      </c>
      <c r="BD24" s="177"/>
      <c r="BE24" s="177"/>
      <c r="BF24" s="177"/>
      <c r="BG24" s="177"/>
      <c r="BH24" s="177"/>
      <c r="BI24" s="33"/>
      <c r="BK24" s="48">
        <f>$G24/5280*VLOOKUP($AC24,'Cost and Score'!$B$27:$O$40,6,0)</f>
        <v>0.25501893939393938</v>
      </c>
      <c r="BL24" s="48">
        <f>$G24/5280*VLOOKUP($AC24,'Cost and Score'!$B$27:$O$40,7,0)</f>
        <v>25.501893939393938</v>
      </c>
      <c r="BM24" s="48">
        <f>$G24/5280*VLOOKUP($AC24,'Cost and Score'!$B$27:$O$40,8,0)</f>
        <v>0</v>
      </c>
      <c r="BN24" s="48">
        <f>$G24/5280*VLOOKUP($AC24,'Cost and Score'!$B$27:$O$40,9,0)</f>
        <v>4845.359848484848</v>
      </c>
      <c r="BO24" s="48">
        <f>$G24/5280*VLOOKUP($AC24,'Cost and Score'!$B$27:$O$40,10,0)</f>
        <v>510.03787878787875</v>
      </c>
      <c r="BP24" s="48">
        <f>$G24/5280*VLOOKUP($AC24,'Cost and Score'!$B$27:$O$40,11,0)</f>
        <v>0</v>
      </c>
      <c r="BQ24" s="48">
        <f>$G24/5280*VLOOKUP($AC24,'Cost and Score'!$B$27:$O$40,12,0)</f>
        <v>102.00757575757575</v>
      </c>
      <c r="BR24" s="48">
        <f>$G24/5280*VLOOKUP($AC24,'Cost and Score'!$B$27:$O$40,13,0)</f>
        <v>91.806818181818173</v>
      </c>
      <c r="BS24" s="48">
        <f>$G24/5280*VLOOKUP($AC24,'Cost and Score'!$B$27:$O$40,14,0)</f>
        <v>122.40909090909091</v>
      </c>
      <c r="BT24" s="220">
        <f t="shared" si="19"/>
        <v>0.51003787878787876</v>
      </c>
      <c r="BY24" s="2">
        <v>7</v>
      </c>
      <c r="BZ24" s="2" t="s">
        <v>13</v>
      </c>
      <c r="CB24" s="2">
        <v>8</v>
      </c>
      <c r="CC24" s="2" t="s">
        <v>13</v>
      </c>
      <c r="CE24" s="2">
        <v>8</v>
      </c>
      <c r="CF24" s="2" t="s">
        <v>62</v>
      </c>
      <c r="CW24" s="112"/>
      <c r="CX24" s="112"/>
      <c r="CY24" s="112"/>
    </row>
    <row r="25" spans="1:103" s="2" customFormat="1" ht="14.25" hidden="1" customHeight="1" x14ac:dyDescent="0.25">
      <c r="A25" s="36" t="s">
        <v>92</v>
      </c>
      <c r="B25" s="34" t="s">
        <v>90</v>
      </c>
      <c r="C25" s="85" t="s">
        <v>90</v>
      </c>
      <c r="D25" s="85"/>
      <c r="E25" s="85" t="s">
        <v>91</v>
      </c>
      <c r="F25" s="85" t="s">
        <v>79</v>
      </c>
      <c r="G25" s="29">
        <v>4270</v>
      </c>
      <c r="H25" s="29">
        <f t="shared" si="0"/>
        <v>20</v>
      </c>
      <c r="I25" s="85" t="s">
        <v>8</v>
      </c>
      <c r="J25" s="85" t="s">
        <v>17</v>
      </c>
      <c r="K25" s="85">
        <f t="shared" si="1"/>
        <v>0</v>
      </c>
      <c r="L25" s="74">
        <v>8</v>
      </c>
      <c r="M25" s="74">
        <v>6</v>
      </c>
      <c r="N25" s="74">
        <v>6</v>
      </c>
      <c r="O25" s="74">
        <v>6</v>
      </c>
      <c r="P25" s="74">
        <v>6</v>
      </c>
      <c r="Q25" s="74">
        <v>6</v>
      </c>
      <c r="R25" s="74">
        <v>6</v>
      </c>
      <c r="S25" s="74">
        <v>6</v>
      </c>
      <c r="T25" s="74">
        <v>6</v>
      </c>
      <c r="U25" s="74">
        <v>7</v>
      </c>
      <c r="V25" s="74">
        <v>2024</v>
      </c>
      <c r="W25" s="74">
        <v>2022</v>
      </c>
      <c r="X25" s="74" t="s">
        <v>2612</v>
      </c>
      <c r="Y25" s="85">
        <v>100</v>
      </c>
      <c r="Z25" s="85">
        <f t="shared" si="2"/>
        <v>0</v>
      </c>
      <c r="AA25" s="85" t="s">
        <v>20</v>
      </c>
      <c r="AB25" s="111">
        <f t="shared" si="3"/>
        <v>4</v>
      </c>
      <c r="AC25" s="85" t="s">
        <v>751</v>
      </c>
      <c r="AD25" s="47">
        <f t="shared" si="4"/>
        <v>88958.333333333328</v>
      </c>
      <c r="AE25" s="140">
        <v>1</v>
      </c>
      <c r="AF25" s="113">
        <f t="shared" si="5"/>
        <v>88958.333333333328</v>
      </c>
      <c r="AG25" s="85">
        <v>2023</v>
      </c>
      <c r="AH25" s="26" t="str">
        <f t="shared" si="21"/>
        <v/>
      </c>
      <c r="AI25" s="26" t="str">
        <f t="shared" si="21"/>
        <v>Overlay - 2"</v>
      </c>
      <c r="AJ25" s="26" t="str">
        <f t="shared" si="21"/>
        <v/>
      </c>
      <c r="AK25" s="26" t="str">
        <f t="shared" si="21"/>
        <v/>
      </c>
      <c r="AL25" s="26" t="str">
        <f t="shared" si="21"/>
        <v/>
      </c>
      <c r="AM25" s="26" t="str">
        <f t="shared" si="21"/>
        <v/>
      </c>
      <c r="AN25" s="26" t="str">
        <f t="shared" si="7"/>
        <v>Overlay - 2"</v>
      </c>
      <c r="AO25" s="26" t="str">
        <f t="shared" si="8"/>
        <v/>
      </c>
      <c r="AP25" s="26" t="str">
        <f t="shared" si="9"/>
        <v/>
      </c>
      <c r="AQ25" s="68">
        <f t="shared" si="10"/>
        <v>8</v>
      </c>
      <c r="AR25" s="68">
        <f t="shared" si="11"/>
        <v>12</v>
      </c>
      <c r="AS25" s="68">
        <f t="shared" si="12"/>
        <v>1</v>
      </c>
      <c r="AT25" s="68">
        <f t="shared" si="13"/>
        <v>1.1000000000000001</v>
      </c>
      <c r="AU25" s="68">
        <f t="shared" si="14"/>
        <v>1.1000000000000001</v>
      </c>
      <c r="AV25" s="68">
        <f t="shared" si="15"/>
        <v>1.1000000000000001</v>
      </c>
      <c r="AW25" s="68">
        <f t="shared" si="16"/>
        <v>1.1000000000000001</v>
      </c>
      <c r="AX25" s="68">
        <f t="shared" ca="1" si="17"/>
        <v>-1.1000000000000001</v>
      </c>
      <c r="AY25" s="106">
        <v>2023</v>
      </c>
      <c r="AZ25" s="106" t="s">
        <v>751</v>
      </c>
      <c r="BA25" s="106" t="str">
        <f t="shared" si="18"/>
        <v/>
      </c>
      <c r="BB25" s="177"/>
      <c r="BC25" s="177">
        <v>1</v>
      </c>
      <c r="BD25" s="177"/>
      <c r="BE25" s="177"/>
      <c r="BF25" s="177"/>
      <c r="BG25" s="177"/>
      <c r="BH25" s="177"/>
      <c r="BI25" s="33" t="s">
        <v>2100</v>
      </c>
      <c r="BK25" s="48">
        <f>$G25/5280*VLOOKUP($AC25,'Cost and Score'!$B$27:$O$40,6,0)</f>
        <v>1.8196022727272727</v>
      </c>
      <c r="BL25" s="48">
        <f>$G25/5280*VLOOKUP($AC25,'Cost and Score'!$B$27:$O$40,7,0)</f>
        <v>169.82954545454547</v>
      </c>
      <c r="BM25" s="48">
        <f>$G25/5280*VLOOKUP($AC25,'Cost and Score'!$B$27:$O$40,8,0)</f>
        <v>283.04924242424244</v>
      </c>
      <c r="BN25" s="48">
        <f>$G25/5280*VLOOKUP($AC25,'Cost and Score'!$B$27:$O$40,9,0)</f>
        <v>0</v>
      </c>
      <c r="BO25" s="48">
        <f>$G25/5280*VLOOKUP($AC25,'Cost and Score'!$B$27:$O$40,10,0)</f>
        <v>0</v>
      </c>
      <c r="BP25" s="48">
        <f>$G25/5280*VLOOKUP($AC25,'Cost and Score'!$B$27:$O$40,11,0)</f>
        <v>161.74242424242425</v>
      </c>
      <c r="BQ25" s="48">
        <f>$G25/5280*VLOOKUP($AC25,'Cost and Score'!$B$27:$O$40,12,0)</f>
        <v>1374.810606060606</v>
      </c>
      <c r="BR25" s="48">
        <f>$G25/5280*VLOOKUP($AC25,'Cost and Score'!$B$27:$O$40,13,0)</f>
        <v>0</v>
      </c>
      <c r="BS25" s="48">
        <f>$G25/5280*VLOOKUP($AC25,'Cost and Score'!$B$27:$O$40,14,0)</f>
        <v>0</v>
      </c>
      <c r="BT25" s="220">
        <f t="shared" si="19"/>
        <v>0.80871212121212122</v>
      </c>
    </row>
    <row r="26" spans="1:103" s="2" customFormat="1" hidden="1" x14ac:dyDescent="0.25">
      <c r="A26" s="15" t="s">
        <v>95</v>
      </c>
      <c r="B26" s="34" t="s">
        <v>93</v>
      </c>
      <c r="C26" s="26" t="s">
        <v>93</v>
      </c>
      <c r="D26" s="82"/>
      <c r="E26" s="82" t="s">
        <v>44</v>
      </c>
      <c r="F26" s="82" t="s">
        <v>94</v>
      </c>
      <c r="G26" s="29">
        <v>7025</v>
      </c>
      <c r="H26" s="29">
        <f t="shared" si="0"/>
        <v>20</v>
      </c>
      <c r="I26" s="26" t="s">
        <v>8</v>
      </c>
      <c r="J26" s="26" t="s">
        <v>17</v>
      </c>
      <c r="K26" s="26">
        <f t="shared" si="1"/>
        <v>0</v>
      </c>
      <c r="L26" s="42">
        <v>6</v>
      </c>
      <c r="M26" s="42">
        <v>8</v>
      </c>
      <c r="N26" s="42">
        <v>8</v>
      </c>
      <c r="O26" s="83">
        <v>8</v>
      </c>
      <c r="P26" s="83">
        <v>7</v>
      </c>
      <c r="Q26" s="83">
        <v>6</v>
      </c>
      <c r="R26" s="83">
        <v>5</v>
      </c>
      <c r="S26" s="83">
        <v>7</v>
      </c>
      <c r="T26" s="83">
        <v>7</v>
      </c>
      <c r="U26" s="83">
        <v>8</v>
      </c>
      <c r="V26" s="42"/>
      <c r="W26" s="42"/>
      <c r="X26" s="42"/>
      <c r="Y26" s="26">
        <v>93</v>
      </c>
      <c r="Z26" s="26">
        <f t="shared" si="2"/>
        <v>0</v>
      </c>
      <c r="AA26" s="82" t="s">
        <v>20</v>
      </c>
      <c r="AB26" s="111">
        <f t="shared" si="3"/>
        <v>3</v>
      </c>
      <c r="AC26" s="82" t="s">
        <v>2073</v>
      </c>
      <c r="AD26" s="84">
        <f t="shared" si="4"/>
        <v>42575.757575757576</v>
      </c>
      <c r="AE26" s="140"/>
      <c r="AF26" s="113">
        <f t="shared" si="5"/>
        <v>0</v>
      </c>
      <c r="AG26" s="85">
        <v>2026</v>
      </c>
      <c r="AH26" s="26" t="str">
        <f t="shared" si="21"/>
        <v/>
      </c>
      <c r="AI26" s="26" t="str">
        <f t="shared" si="21"/>
        <v/>
      </c>
      <c r="AJ26" s="26" t="str">
        <f t="shared" si="21"/>
        <v/>
      </c>
      <c r="AK26" s="26" t="str">
        <f t="shared" si="21"/>
        <v/>
      </c>
      <c r="AL26" s="26" t="str">
        <f t="shared" si="21"/>
        <v>Chip Seal - Double and Fog</v>
      </c>
      <c r="AM26" s="26" t="str">
        <f t="shared" si="21"/>
        <v/>
      </c>
      <c r="AN26" s="26" t="str">
        <f t="shared" si="7"/>
        <v>Chip Seal - Double and Fog</v>
      </c>
      <c r="AO26" s="26" t="str">
        <f t="shared" si="8"/>
        <v/>
      </c>
      <c r="AP26" s="26" t="str">
        <f t="shared" si="9"/>
        <v/>
      </c>
      <c r="AQ26" s="68">
        <f t="shared" si="10"/>
        <v>12</v>
      </c>
      <c r="AR26" s="68">
        <f t="shared" si="11"/>
        <v>6</v>
      </c>
      <c r="AS26" s="68">
        <f t="shared" si="12"/>
        <v>1.1000000000000001</v>
      </c>
      <c r="AT26" s="68">
        <f t="shared" si="13"/>
        <v>1</v>
      </c>
      <c r="AU26" s="68">
        <f t="shared" si="14"/>
        <v>1</v>
      </c>
      <c r="AV26" s="68">
        <f t="shared" si="15"/>
        <v>1</v>
      </c>
      <c r="AW26" s="68">
        <f t="shared" si="16"/>
        <v>1.05</v>
      </c>
      <c r="AX26" s="68">
        <f t="shared" ca="1" si="17"/>
        <v>2</v>
      </c>
      <c r="AY26" s="106">
        <v>2020</v>
      </c>
      <c r="AZ26" s="106" t="s">
        <v>2073</v>
      </c>
      <c r="BA26" s="106" t="str">
        <f t="shared" si="18"/>
        <v/>
      </c>
      <c r="BB26" s="177"/>
      <c r="BC26" s="177">
        <v>1</v>
      </c>
      <c r="BD26" s="177"/>
      <c r="BE26" s="177"/>
      <c r="BF26" s="177"/>
      <c r="BG26" s="177"/>
      <c r="BH26" s="177"/>
      <c r="BI26" s="33"/>
      <c r="BK26" s="48">
        <f>$G26/5280*VLOOKUP($AC26,'Cost and Score'!$B$27:$O$40,6,0)</f>
        <v>0.66524621212121215</v>
      </c>
      <c r="BL26" s="48">
        <f>$G26/5280*VLOOKUP($AC26,'Cost and Score'!$B$27:$O$40,7,0)</f>
        <v>66.524621212121218</v>
      </c>
      <c r="BM26" s="48">
        <f>$G26/5280*VLOOKUP($AC26,'Cost and Score'!$B$27:$O$40,8,0)</f>
        <v>0</v>
      </c>
      <c r="BN26" s="48">
        <f>$G26/5280*VLOOKUP($AC26,'Cost and Score'!$B$27:$O$40,9,0)</f>
        <v>12639.678030303032</v>
      </c>
      <c r="BO26" s="48">
        <f>$G26/5280*VLOOKUP($AC26,'Cost and Score'!$B$27:$O$40,10,0)</f>
        <v>1330.4924242424242</v>
      </c>
      <c r="BP26" s="48">
        <f>$G26/5280*VLOOKUP($AC26,'Cost and Score'!$B$27:$O$40,11,0)</f>
        <v>0</v>
      </c>
      <c r="BQ26" s="48">
        <f>$G26/5280*VLOOKUP($AC26,'Cost and Score'!$B$27:$O$40,12,0)</f>
        <v>266.09848484848487</v>
      </c>
      <c r="BR26" s="48">
        <f>$G26/5280*VLOOKUP($AC26,'Cost and Score'!$B$27:$O$40,13,0)</f>
        <v>239.48863636363637</v>
      </c>
      <c r="BS26" s="48">
        <f>$G26/5280*VLOOKUP($AC26,'Cost and Score'!$B$27:$O$40,14,0)</f>
        <v>319.31818181818181</v>
      </c>
      <c r="BT26" s="220">
        <f t="shared" si="19"/>
        <v>1.3304924242424243</v>
      </c>
      <c r="CW26" s="112"/>
      <c r="CX26" s="112"/>
      <c r="CY26" s="112"/>
    </row>
    <row r="27" spans="1:103" s="2" customFormat="1" ht="14.45" hidden="1" customHeight="1" x14ac:dyDescent="0.25">
      <c r="A27" s="36" t="s">
        <v>97</v>
      </c>
      <c r="B27" s="34" t="s">
        <v>96</v>
      </c>
      <c r="C27" s="26" t="s">
        <v>96</v>
      </c>
      <c r="D27" s="26"/>
      <c r="E27" s="26" t="s">
        <v>86</v>
      </c>
      <c r="F27" s="26" t="s">
        <v>82</v>
      </c>
      <c r="G27" s="29">
        <v>3062</v>
      </c>
      <c r="H27" s="29">
        <f t="shared" si="0"/>
        <v>20</v>
      </c>
      <c r="I27" s="26" t="s">
        <v>13</v>
      </c>
      <c r="J27" s="26" t="s">
        <v>62</v>
      </c>
      <c r="K27" s="26">
        <f t="shared" si="1"/>
        <v>0</v>
      </c>
      <c r="L27" s="42">
        <v>5</v>
      </c>
      <c r="M27" s="42">
        <v>5</v>
      </c>
      <c r="N27" s="42">
        <v>7</v>
      </c>
      <c r="O27" s="42">
        <v>7</v>
      </c>
      <c r="P27" s="42">
        <v>7</v>
      </c>
      <c r="Q27" s="42">
        <v>7</v>
      </c>
      <c r="R27" s="42">
        <v>7</v>
      </c>
      <c r="S27" s="42">
        <v>7</v>
      </c>
      <c r="T27" s="42">
        <v>7</v>
      </c>
      <c r="U27" s="42">
        <v>7</v>
      </c>
      <c r="V27" s="42">
        <v>2023</v>
      </c>
      <c r="W27" s="42">
        <v>2023</v>
      </c>
      <c r="X27" s="42" t="s">
        <v>2612</v>
      </c>
      <c r="Y27" s="26">
        <v>427</v>
      </c>
      <c r="Z27" s="26">
        <f t="shared" si="2"/>
        <v>0</v>
      </c>
      <c r="AA27" s="26" t="s">
        <v>20</v>
      </c>
      <c r="AB27" s="111">
        <f t="shared" si="3"/>
        <v>3</v>
      </c>
      <c r="AC27" s="26" t="s">
        <v>13</v>
      </c>
      <c r="AD27" s="47">
        <f t="shared" si="4"/>
        <v>12178.40909090909</v>
      </c>
      <c r="AE27" s="140"/>
      <c r="AF27" s="113">
        <f t="shared" si="5"/>
        <v>0</v>
      </c>
      <c r="AG27" s="26">
        <v>2022</v>
      </c>
      <c r="AH27" s="26" t="str">
        <f t="shared" si="21"/>
        <v>Chip Seal and Fog</v>
      </c>
      <c r="AI27" s="26" t="str">
        <f t="shared" si="21"/>
        <v/>
      </c>
      <c r="AJ27" s="26" t="str">
        <f t="shared" si="21"/>
        <v/>
      </c>
      <c r="AK27" s="26" t="str">
        <f t="shared" si="21"/>
        <v/>
      </c>
      <c r="AL27" s="26" t="str">
        <f t="shared" si="21"/>
        <v/>
      </c>
      <c r="AM27" s="26" t="str">
        <f t="shared" si="21"/>
        <v/>
      </c>
      <c r="AN27" s="26" t="str">
        <f t="shared" si="7"/>
        <v>Chip Seal and Fog</v>
      </c>
      <c r="AO27" s="26" t="str">
        <f t="shared" si="8"/>
        <v/>
      </c>
      <c r="AP27" s="26" t="str">
        <f t="shared" si="9"/>
        <v>Chip Seal and Fog</v>
      </c>
      <c r="AQ27" s="68">
        <f t="shared" si="10"/>
        <v>10</v>
      </c>
      <c r="AR27" s="68">
        <f t="shared" si="11"/>
        <v>6</v>
      </c>
      <c r="AS27" s="68">
        <f t="shared" si="12"/>
        <v>1.25</v>
      </c>
      <c r="AT27" s="68">
        <f t="shared" si="13"/>
        <v>1.25</v>
      </c>
      <c r="AU27" s="68">
        <f t="shared" si="14"/>
        <v>1.05</v>
      </c>
      <c r="AV27" s="68">
        <f t="shared" si="15"/>
        <v>1.05</v>
      </c>
      <c r="AW27" s="68">
        <f t="shared" si="16"/>
        <v>1.05</v>
      </c>
      <c r="AX27" s="68">
        <f t="shared" ca="1" si="17"/>
        <v>-2.1</v>
      </c>
      <c r="AY27" s="106">
        <v>2022</v>
      </c>
      <c r="AZ27" s="106" t="s">
        <v>13</v>
      </c>
      <c r="BA27" s="106" t="str">
        <f t="shared" si="18"/>
        <v/>
      </c>
      <c r="BB27" s="177"/>
      <c r="BC27" s="177">
        <v>4</v>
      </c>
      <c r="BD27" s="177"/>
      <c r="BE27" s="177"/>
      <c r="BF27" s="177"/>
      <c r="BG27" s="177"/>
      <c r="BH27" s="177"/>
      <c r="BI27" s="33" t="s">
        <v>2100</v>
      </c>
      <c r="BK27" s="48">
        <f>$G27/5280*VLOOKUP($AC27,'Cost and Score'!$B$27:$O$40,6,0)</f>
        <v>0.1159848484848485</v>
      </c>
      <c r="BL27" s="48">
        <f>$G27/5280*VLOOKUP($AC27,'Cost and Score'!$B$27:$O$40,7,0)</f>
        <v>12.758333333333335</v>
      </c>
      <c r="BM27" s="48">
        <f>$G27/5280*VLOOKUP($AC27,'Cost and Score'!$B$27:$O$40,8,0)</f>
        <v>0</v>
      </c>
      <c r="BN27" s="48">
        <f>$G27/5280*VLOOKUP($AC27,'Cost and Score'!$B$27:$O$40,9,0)</f>
        <v>2609.659090909091</v>
      </c>
      <c r="BO27" s="48">
        <f>$G27/5280*VLOOKUP($AC27,'Cost and Score'!$B$27:$O$40,10,0)</f>
        <v>579.92424242424249</v>
      </c>
      <c r="BP27" s="48">
        <f>$G27/5280*VLOOKUP($AC27,'Cost and Score'!$B$27:$O$40,11,0)</f>
        <v>0</v>
      </c>
      <c r="BQ27" s="48">
        <f>$G27/5280*VLOOKUP($AC27,'Cost and Score'!$B$27:$O$40,12,0)</f>
        <v>57.992424242424242</v>
      </c>
      <c r="BR27" s="48">
        <f>$G27/5280*VLOOKUP($AC27,'Cost and Score'!$B$27:$O$40,13,0)</f>
        <v>69.590909090909093</v>
      </c>
      <c r="BS27" s="48">
        <f>$G27/5280*VLOOKUP($AC27,'Cost and Score'!$B$27:$O$40,14,0)</f>
        <v>0</v>
      </c>
      <c r="BT27" s="220">
        <f t="shared" si="19"/>
        <v>0.57992424242424245</v>
      </c>
    </row>
    <row r="28" spans="1:103" s="2" customFormat="1" ht="14.45" customHeight="1" x14ac:dyDescent="0.25">
      <c r="A28" s="38" t="s">
        <v>1369</v>
      </c>
      <c r="B28" s="34" t="s">
        <v>1368</v>
      </c>
      <c r="C28" s="26" t="s">
        <v>1368</v>
      </c>
      <c r="D28" s="26"/>
      <c r="E28" s="26" t="s">
        <v>79</v>
      </c>
      <c r="F28" s="26" t="s">
        <v>73</v>
      </c>
      <c r="G28" s="29">
        <v>4000</v>
      </c>
      <c r="H28" s="29">
        <f t="shared" si="0"/>
        <v>20</v>
      </c>
      <c r="I28" s="26" t="s">
        <v>8</v>
      </c>
      <c r="J28" s="26" t="s">
        <v>17</v>
      </c>
      <c r="K28" s="26">
        <f t="shared" si="1"/>
        <v>0</v>
      </c>
      <c r="L28" s="42">
        <v>8</v>
      </c>
      <c r="M28" s="42">
        <v>7</v>
      </c>
      <c r="N28" s="42">
        <v>7</v>
      </c>
      <c r="O28" s="42">
        <v>7</v>
      </c>
      <c r="P28" s="42">
        <v>7</v>
      </c>
      <c r="Q28" s="42">
        <v>6</v>
      </c>
      <c r="R28" s="42">
        <v>6</v>
      </c>
      <c r="S28" s="42">
        <v>6</v>
      </c>
      <c r="T28" s="42">
        <v>8</v>
      </c>
      <c r="U28" s="42">
        <v>7</v>
      </c>
      <c r="V28" s="42"/>
      <c r="W28" s="42"/>
      <c r="X28" s="42"/>
      <c r="Y28" s="26">
        <v>81</v>
      </c>
      <c r="Z28" s="26">
        <f t="shared" si="2"/>
        <v>0</v>
      </c>
      <c r="AA28" s="26" t="s">
        <v>38</v>
      </c>
      <c r="AB28" s="111">
        <f t="shared" si="3"/>
        <v>3</v>
      </c>
      <c r="AC28" s="85" t="s">
        <v>2075</v>
      </c>
      <c r="AD28" s="47">
        <f t="shared" si="4"/>
        <v>4090.909090909091</v>
      </c>
      <c r="AE28" s="140"/>
      <c r="AF28" s="113">
        <f t="shared" si="5"/>
        <v>0</v>
      </c>
      <c r="AG28" s="106">
        <v>2025</v>
      </c>
      <c r="AH28" s="26" t="str">
        <f t="shared" si="21"/>
        <v/>
      </c>
      <c r="AI28" s="26" t="str">
        <f t="shared" si="21"/>
        <v/>
      </c>
      <c r="AJ28" s="26" t="str">
        <f t="shared" si="21"/>
        <v/>
      </c>
      <c r="AK28" s="26" t="str">
        <f t="shared" si="21"/>
        <v>Crack Seal</v>
      </c>
      <c r="AL28" s="26" t="str">
        <f t="shared" si="21"/>
        <v/>
      </c>
      <c r="AM28" s="26" t="str">
        <f t="shared" si="21"/>
        <v/>
      </c>
      <c r="AN28" s="26" t="str">
        <f t="shared" si="7"/>
        <v>Crack Seal</v>
      </c>
      <c r="AO28" s="26" t="str">
        <f t="shared" si="8"/>
        <v/>
      </c>
      <c r="AP28" s="26" t="str">
        <f t="shared" si="9"/>
        <v/>
      </c>
      <c r="AQ28" s="68">
        <f t="shared" si="10"/>
        <v>10</v>
      </c>
      <c r="AR28" s="68">
        <f t="shared" si="11"/>
        <v>3</v>
      </c>
      <c r="AS28" s="68">
        <f t="shared" si="12"/>
        <v>1</v>
      </c>
      <c r="AT28" s="68">
        <f t="shared" si="13"/>
        <v>1.05</v>
      </c>
      <c r="AU28" s="68">
        <f t="shared" si="14"/>
        <v>1.05</v>
      </c>
      <c r="AV28" s="68">
        <f t="shared" si="15"/>
        <v>1.05</v>
      </c>
      <c r="AW28" s="68">
        <f t="shared" si="16"/>
        <v>1.05</v>
      </c>
      <c r="AX28" s="68">
        <f t="shared" ca="1" si="17"/>
        <v>1.05</v>
      </c>
      <c r="AY28" s="68"/>
      <c r="AZ28" s="68"/>
      <c r="BA28" s="106" t="str">
        <f t="shared" si="18"/>
        <v/>
      </c>
      <c r="BB28" s="178">
        <v>75</v>
      </c>
      <c r="BC28" s="178">
        <v>1</v>
      </c>
      <c r="BD28" s="178"/>
      <c r="BE28" s="178"/>
      <c r="BF28" s="178"/>
      <c r="BG28" s="178"/>
      <c r="BH28" s="178"/>
      <c r="BI28" s="33"/>
      <c r="BK28" s="48">
        <f>$G28/5280*VLOOKUP($AC28,'Cost and Score'!$B$27:$O$40,6,0)</f>
        <v>0.75757575757575757</v>
      </c>
      <c r="BL28" s="48">
        <f>$G28/5280*VLOOKUP($AC28,'Cost and Score'!$B$27:$O$40,7,0)</f>
        <v>0</v>
      </c>
      <c r="BM28" s="48">
        <f>$G28/5280*VLOOKUP($AC28,'Cost and Score'!$B$27:$O$40,8,0)</f>
        <v>0</v>
      </c>
      <c r="BN28" s="48">
        <f>$G28/5280*VLOOKUP($AC28,'Cost and Score'!$B$27:$O$40,9,0)</f>
        <v>0</v>
      </c>
      <c r="BO28" s="48">
        <f>$G28/5280*VLOOKUP($AC28,'Cost and Score'!$B$27:$O$40,10,0)</f>
        <v>0</v>
      </c>
      <c r="BP28" s="48">
        <f>$G28/5280*VLOOKUP($AC28,'Cost and Score'!$B$27:$O$40,11,0)</f>
        <v>0</v>
      </c>
      <c r="BQ28" s="48">
        <f>$G28/5280*VLOOKUP($AC28,'Cost and Score'!$B$27:$O$40,12,0)</f>
        <v>0</v>
      </c>
      <c r="BR28" s="48">
        <f>$G28/5280*VLOOKUP($AC28,'Cost and Score'!$B$27:$O$40,13,0)</f>
        <v>0</v>
      </c>
      <c r="BS28" s="48">
        <f>$G28/5280*VLOOKUP($AC28,'Cost and Score'!$B$27:$O$40,14,0)</f>
        <v>0</v>
      </c>
      <c r="BT28" s="220">
        <f t="shared" si="19"/>
        <v>0.75757575757575757</v>
      </c>
      <c r="CW28" s="112"/>
      <c r="CX28" s="112"/>
      <c r="CY28" s="112"/>
    </row>
    <row r="29" spans="1:103" s="2" customFormat="1" ht="14.45" customHeight="1" x14ac:dyDescent="0.25">
      <c r="A29" s="31" t="s">
        <v>2102</v>
      </c>
      <c r="B29" s="45" t="s">
        <v>1890</v>
      </c>
      <c r="C29" s="26" t="s">
        <v>1890</v>
      </c>
      <c r="D29" s="36" t="s">
        <v>2272</v>
      </c>
      <c r="E29" s="26" t="s">
        <v>1458</v>
      </c>
      <c r="F29" s="26" t="s">
        <v>1757</v>
      </c>
      <c r="G29" s="29">
        <v>1162</v>
      </c>
      <c r="H29" s="29">
        <f t="shared" si="0"/>
        <v>26</v>
      </c>
      <c r="I29" s="26" t="s">
        <v>2098</v>
      </c>
      <c r="J29" s="26" t="s">
        <v>160</v>
      </c>
      <c r="K29" s="26">
        <f t="shared" si="1"/>
        <v>0</v>
      </c>
      <c r="L29" s="42">
        <v>6</v>
      </c>
      <c r="M29" s="42">
        <v>10</v>
      </c>
      <c r="N29" s="42">
        <v>10</v>
      </c>
      <c r="O29" s="42">
        <v>9</v>
      </c>
      <c r="P29" s="42">
        <v>9</v>
      </c>
      <c r="Q29" s="42">
        <v>8</v>
      </c>
      <c r="R29" s="42">
        <v>8</v>
      </c>
      <c r="S29" s="42">
        <v>8</v>
      </c>
      <c r="T29" s="42">
        <v>8</v>
      </c>
      <c r="U29" s="42">
        <v>8</v>
      </c>
      <c r="V29" s="42"/>
      <c r="W29" s="42"/>
      <c r="X29" s="42"/>
      <c r="Y29" s="26">
        <v>60</v>
      </c>
      <c r="Z29" s="26">
        <f t="shared" si="2"/>
        <v>0</v>
      </c>
      <c r="AA29" s="26" t="s">
        <v>1890</v>
      </c>
      <c r="AB29" s="111">
        <f t="shared" si="3"/>
        <v>1</v>
      </c>
      <c r="AC29" s="85" t="s">
        <v>2075</v>
      </c>
      <c r="AD29" s="47">
        <f t="shared" si="4"/>
        <v>1188.409090909091</v>
      </c>
      <c r="AE29" s="140"/>
      <c r="AF29" s="113">
        <f t="shared" si="5"/>
        <v>0</v>
      </c>
      <c r="AG29" s="106">
        <v>2025</v>
      </c>
      <c r="AH29" s="26" t="str">
        <f t="shared" si="21"/>
        <v/>
      </c>
      <c r="AI29" s="26" t="str">
        <f t="shared" si="21"/>
        <v/>
      </c>
      <c r="AJ29" s="26" t="str">
        <f t="shared" si="21"/>
        <v/>
      </c>
      <c r="AK29" s="26" t="str">
        <f t="shared" si="21"/>
        <v>Crack Seal</v>
      </c>
      <c r="AL29" s="26" t="str">
        <f t="shared" si="21"/>
        <v/>
      </c>
      <c r="AM29" s="26" t="str">
        <f t="shared" si="21"/>
        <v/>
      </c>
      <c r="AN29" s="26" t="str">
        <f t="shared" si="7"/>
        <v>Crack Seal</v>
      </c>
      <c r="AO29" s="26" t="str">
        <f t="shared" si="8"/>
        <v/>
      </c>
      <c r="AP29" s="26" t="str">
        <f t="shared" si="9"/>
        <v/>
      </c>
      <c r="AQ29" s="68">
        <f t="shared" si="10"/>
        <v>14</v>
      </c>
      <c r="AR29" s="68">
        <f t="shared" si="11"/>
        <v>3</v>
      </c>
      <c r="AS29" s="68">
        <f t="shared" si="12"/>
        <v>1.1000000000000001</v>
      </c>
      <c r="AT29" s="68">
        <f t="shared" si="13"/>
        <v>1</v>
      </c>
      <c r="AU29" s="68">
        <f t="shared" si="14"/>
        <v>1</v>
      </c>
      <c r="AV29" s="68">
        <f t="shared" si="15"/>
        <v>1</v>
      </c>
      <c r="AW29" s="68">
        <f t="shared" si="16"/>
        <v>1</v>
      </c>
      <c r="AX29" s="68">
        <f t="shared" ca="1" si="17"/>
        <v>1</v>
      </c>
      <c r="AY29" s="68">
        <v>2015</v>
      </c>
      <c r="AZ29" s="68" t="s">
        <v>2075</v>
      </c>
      <c r="BA29" s="106" t="str">
        <f t="shared" si="18"/>
        <v/>
      </c>
      <c r="BB29" s="178"/>
      <c r="BC29" s="178"/>
      <c r="BD29" s="178"/>
      <c r="BE29" s="178"/>
      <c r="BF29" s="178">
        <v>3</v>
      </c>
      <c r="BG29" s="178"/>
      <c r="BH29" s="178"/>
      <c r="BI29" s="33"/>
      <c r="BK29" s="48">
        <f>$G29/5280*VLOOKUP($AC29,'Cost and Score'!$B$27:$O$40,6,0)</f>
        <v>0.22007575757575756</v>
      </c>
      <c r="BL29" s="48">
        <f>$G29/5280*VLOOKUP($AC29,'Cost and Score'!$B$27:$O$40,7,0)</f>
        <v>0</v>
      </c>
      <c r="BM29" s="48">
        <f>$G29/5280*VLOOKUP($AC29,'Cost and Score'!$B$27:$O$40,8,0)</f>
        <v>0</v>
      </c>
      <c r="BN29" s="48">
        <f>$G29/5280*VLOOKUP($AC29,'Cost and Score'!$B$27:$O$40,9,0)</f>
        <v>0</v>
      </c>
      <c r="BO29" s="48">
        <f>$G29/5280*VLOOKUP($AC29,'Cost and Score'!$B$27:$O$40,10,0)</f>
        <v>0</v>
      </c>
      <c r="BP29" s="48">
        <f>$G29/5280*VLOOKUP($AC29,'Cost and Score'!$B$27:$O$40,11,0)</f>
        <v>0</v>
      </c>
      <c r="BQ29" s="48">
        <f>$G29/5280*VLOOKUP($AC29,'Cost and Score'!$B$27:$O$40,12,0)</f>
        <v>0</v>
      </c>
      <c r="BR29" s="48">
        <f>$G29/5280*VLOOKUP($AC29,'Cost and Score'!$B$27:$O$40,13,0)</f>
        <v>0</v>
      </c>
      <c r="BS29" s="48">
        <f>$G29/5280*VLOOKUP($AC29,'Cost and Score'!$B$27:$O$40,14,0)</f>
        <v>0</v>
      </c>
      <c r="BT29" s="220">
        <f t="shared" si="19"/>
        <v>0.22007575757575756</v>
      </c>
      <c r="CN29" s="112"/>
      <c r="CO29" s="112"/>
      <c r="CP29" s="112"/>
      <c r="CQ29" s="112"/>
      <c r="CR29" s="112"/>
      <c r="CV29" s="112"/>
    </row>
    <row r="30" spans="1:103" s="2" customFormat="1" ht="14.45" customHeight="1" x14ac:dyDescent="0.25">
      <c r="A30" s="15" t="s">
        <v>2102</v>
      </c>
      <c r="B30" s="108" t="s">
        <v>610</v>
      </c>
      <c r="C30" s="106" t="s">
        <v>610</v>
      </c>
      <c r="D30" s="106"/>
      <c r="E30" s="106" t="s">
        <v>307</v>
      </c>
      <c r="F30" s="106" t="s">
        <v>10</v>
      </c>
      <c r="G30" s="109">
        <v>5000</v>
      </c>
      <c r="H30" s="109">
        <f t="shared" si="0"/>
        <v>20</v>
      </c>
      <c r="I30" s="106" t="s">
        <v>751</v>
      </c>
      <c r="J30" s="106" t="s">
        <v>160</v>
      </c>
      <c r="K30" s="106">
        <f t="shared" si="1"/>
        <v>0</v>
      </c>
      <c r="L30" s="110">
        <v>4</v>
      </c>
      <c r="M30" s="110">
        <v>4</v>
      </c>
      <c r="N30" s="110">
        <v>4</v>
      </c>
      <c r="O30" s="110">
        <v>4</v>
      </c>
      <c r="P30" s="110">
        <v>9</v>
      </c>
      <c r="Q30" s="110">
        <v>8</v>
      </c>
      <c r="R30" s="110">
        <v>8</v>
      </c>
      <c r="S30" s="110">
        <v>8</v>
      </c>
      <c r="T30" s="110">
        <v>7</v>
      </c>
      <c r="U30" s="110">
        <v>7</v>
      </c>
      <c r="V30" s="110"/>
      <c r="W30" s="110"/>
      <c r="X30" s="110"/>
      <c r="Y30" s="106">
        <v>50</v>
      </c>
      <c r="Z30" s="106">
        <f t="shared" si="2"/>
        <v>0</v>
      </c>
      <c r="AA30" s="106" t="s">
        <v>124</v>
      </c>
      <c r="AB30" s="111">
        <f t="shared" si="3"/>
        <v>1</v>
      </c>
      <c r="AC30" s="85" t="s">
        <v>2075</v>
      </c>
      <c r="AD30" s="107">
        <f t="shared" si="4"/>
        <v>5113.636363636364</v>
      </c>
      <c r="AE30" s="198"/>
      <c r="AF30" s="113">
        <f t="shared" si="5"/>
        <v>0</v>
      </c>
      <c r="AG30" s="106">
        <v>2025</v>
      </c>
      <c r="AH30" s="26" t="str">
        <f t="shared" si="21"/>
        <v/>
      </c>
      <c r="AI30" s="26" t="str">
        <f t="shared" si="21"/>
        <v/>
      </c>
      <c r="AJ30" s="26" t="str">
        <f t="shared" si="21"/>
        <v/>
      </c>
      <c r="AK30" s="26" t="str">
        <f t="shared" si="21"/>
        <v>Crack Seal</v>
      </c>
      <c r="AL30" s="26" t="str">
        <f t="shared" si="21"/>
        <v/>
      </c>
      <c r="AM30" s="26" t="str">
        <f t="shared" si="21"/>
        <v/>
      </c>
      <c r="AN30" s="26" t="str">
        <f t="shared" si="7"/>
        <v>Crack Seal</v>
      </c>
      <c r="AO30" s="26" t="str">
        <f t="shared" si="8"/>
        <v/>
      </c>
      <c r="AP30" s="26" t="str">
        <f t="shared" si="9"/>
        <v/>
      </c>
      <c r="AQ30" s="68">
        <f t="shared" si="10"/>
        <v>3</v>
      </c>
      <c r="AR30" s="68">
        <f t="shared" si="11"/>
        <v>3</v>
      </c>
      <c r="AS30" s="68">
        <f t="shared" si="12"/>
        <v>1.5</v>
      </c>
      <c r="AT30" s="68">
        <f t="shared" si="13"/>
        <v>1.5</v>
      </c>
      <c r="AU30" s="68">
        <f t="shared" si="14"/>
        <v>1.5</v>
      </c>
      <c r="AV30" s="68">
        <f t="shared" si="15"/>
        <v>1.5</v>
      </c>
      <c r="AW30" s="68">
        <f t="shared" si="16"/>
        <v>1</v>
      </c>
      <c r="AX30" s="68">
        <f t="shared" ca="1" si="17"/>
        <v>1.5</v>
      </c>
      <c r="AY30" s="106">
        <v>2017</v>
      </c>
      <c r="AZ30" s="106" t="s">
        <v>751</v>
      </c>
      <c r="BA30" s="106" t="str">
        <f t="shared" si="18"/>
        <v/>
      </c>
      <c r="BB30" s="177"/>
      <c r="BC30" s="177">
        <v>8</v>
      </c>
      <c r="BD30" s="177"/>
      <c r="BE30" s="177"/>
      <c r="BF30" s="177"/>
      <c r="BG30" s="177"/>
      <c r="BH30" s="177"/>
      <c r="BI30" s="33"/>
      <c r="BK30" s="48">
        <f>$G30/5280*VLOOKUP($AC30,'Cost and Score'!$B$27:$O$40,6,0)</f>
        <v>0.94696969696969702</v>
      </c>
      <c r="BL30" s="48">
        <f>$G30/5280*VLOOKUP($AC30,'Cost and Score'!$B$27:$O$40,7,0)</f>
        <v>0</v>
      </c>
      <c r="BM30" s="48">
        <f>$G30/5280*VLOOKUP($AC30,'Cost and Score'!$B$27:$O$40,8,0)</f>
        <v>0</v>
      </c>
      <c r="BN30" s="48">
        <f>$G30/5280*VLOOKUP($AC30,'Cost and Score'!$B$27:$O$40,9,0)</f>
        <v>0</v>
      </c>
      <c r="BO30" s="48">
        <f>$G30/5280*VLOOKUP($AC30,'Cost and Score'!$B$27:$O$40,10,0)</f>
        <v>0</v>
      </c>
      <c r="BP30" s="48">
        <f>$G30/5280*VLOOKUP($AC30,'Cost and Score'!$B$27:$O$40,11,0)</f>
        <v>0</v>
      </c>
      <c r="BQ30" s="48">
        <f>$G30/5280*VLOOKUP($AC30,'Cost and Score'!$B$27:$O$40,12,0)</f>
        <v>0</v>
      </c>
      <c r="BR30" s="48">
        <f>$G30/5280*VLOOKUP($AC30,'Cost and Score'!$B$27:$O$40,13,0)</f>
        <v>0</v>
      </c>
      <c r="BS30" s="48">
        <f>$G30/5280*VLOOKUP($AC30,'Cost and Score'!$B$27:$O$40,14,0)</f>
        <v>0</v>
      </c>
      <c r="BT30" s="220">
        <f t="shared" si="19"/>
        <v>0.94696969696969702</v>
      </c>
    </row>
    <row r="31" spans="1:103" s="2" customFormat="1" ht="14.45" hidden="1" customHeight="1" x14ac:dyDescent="0.25">
      <c r="A31" s="36" t="s">
        <v>111</v>
      </c>
      <c r="B31" s="34" t="s">
        <v>109</v>
      </c>
      <c r="C31" s="85" t="s">
        <v>109</v>
      </c>
      <c r="D31" s="85"/>
      <c r="E31" s="85" t="s">
        <v>110</v>
      </c>
      <c r="F31" s="85" t="s">
        <v>107</v>
      </c>
      <c r="G31" s="29">
        <v>5320</v>
      </c>
      <c r="H31" s="29">
        <f t="shared" si="0"/>
        <v>20</v>
      </c>
      <c r="I31" s="85" t="s">
        <v>8</v>
      </c>
      <c r="J31" s="85" t="s">
        <v>6</v>
      </c>
      <c r="K31" s="85">
        <f t="shared" si="1"/>
        <v>0</v>
      </c>
      <c r="L31" s="74">
        <v>8</v>
      </c>
      <c r="M31" s="74">
        <v>7</v>
      </c>
      <c r="N31" s="74">
        <v>8</v>
      </c>
      <c r="O31" s="74">
        <v>7</v>
      </c>
      <c r="P31" s="74">
        <v>6</v>
      </c>
      <c r="Q31" s="74">
        <v>6</v>
      </c>
      <c r="R31" s="74">
        <v>7</v>
      </c>
      <c r="S31" s="74">
        <v>6</v>
      </c>
      <c r="T31" s="74">
        <v>7</v>
      </c>
      <c r="U31" s="74">
        <v>7</v>
      </c>
      <c r="V31" s="74"/>
      <c r="W31" s="74"/>
      <c r="X31" s="74"/>
      <c r="Y31" s="85">
        <v>1054</v>
      </c>
      <c r="Z31" s="85">
        <f t="shared" si="2"/>
        <v>0.5</v>
      </c>
      <c r="AA31" s="85" t="s">
        <v>102</v>
      </c>
      <c r="AB31" s="111">
        <f t="shared" si="3"/>
        <v>4.5</v>
      </c>
      <c r="AC31" s="85" t="s">
        <v>2371</v>
      </c>
      <c r="AD31" s="47">
        <f t="shared" si="4"/>
        <v>80606.060606060608</v>
      </c>
      <c r="AE31" s="140">
        <v>1</v>
      </c>
      <c r="AF31" s="113">
        <f t="shared" si="5"/>
        <v>80606.060606060608</v>
      </c>
      <c r="AG31" s="106">
        <v>2024</v>
      </c>
      <c r="AH31" s="26" t="str">
        <f t="shared" si="21"/>
        <v/>
      </c>
      <c r="AI31" s="26" t="str">
        <f t="shared" si="21"/>
        <v/>
      </c>
      <c r="AJ31" s="26" t="str">
        <f t="shared" si="21"/>
        <v>Microsurface double</v>
      </c>
      <c r="AK31" s="26" t="str">
        <f t="shared" si="21"/>
        <v/>
      </c>
      <c r="AL31" s="26" t="str">
        <f t="shared" si="21"/>
        <v/>
      </c>
      <c r="AM31" s="26" t="str">
        <f t="shared" si="21"/>
        <v/>
      </c>
      <c r="AN31" s="26" t="str">
        <f t="shared" si="7"/>
        <v>Microsurface double</v>
      </c>
      <c r="AO31" s="26" t="str">
        <f t="shared" si="8"/>
        <v/>
      </c>
      <c r="AP31" s="26" t="str">
        <f t="shared" si="9"/>
        <v/>
      </c>
      <c r="AQ31" s="68">
        <f t="shared" si="10"/>
        <v>10</v>
      </c>
      <c r="AR31" s="68">
        <f t="shared" si="11"/>
        <v>10</v>
      </c>
      <c r="AS31" s="68">
        <f t="shared" si="12"/>
        <v>1</v>
      </c>
      <c r="AT31" s="68">
        <f t="shared" si="13"/>
        <v>1.05</v>
      </c>
      <c r="AU31" s="68">
        <f t="shared" si="14"/>
        <v>1</v>
      </c>
      <c r="AV31" s="68">
        <f t="shared" si="15"/>
        <v>1.05</v>
      </c>
      <c r="AW31" s="68">
        <f t="shared" si="16"/>
        <v>1.1000000000000001</v>
      </c>
      <c r="AX31" s="68">
        <f t="shared" ca="1" si="17"/>
        <v>0</v>
      </c>
      <c r="AY31" s="106">
        <v>2019</v>
      </c>
      <c r="AZ31" s="106" t="s">
        <v>2075</v>
      </c>
      <c r="BA31" s="106" t="str">
        <f t="shared" si="18"/>
        <v/>
      </c>
      <c r="BB31" s="177"/>
      <c r="BC31" s="177">
        <v>8</v>
      </c>
      <c r="BD31" s="177"/>
      <c r="BE31" s="177"/>
      <c r="BF31" s="177"/>
      <c r="BG31" s="177"/>
      <c r="BH31" s="177"/>
      <c r="BI31" s="33" t="s">
        <v>2623</v>
      </c>
      <c r="BK31" s="48">
        <f>$G31/5280*VLOOKUP($AC31,'Cost and Score'!$B$27:$O$40,6,0)</f>
        <v>0.50378787878787878</v>
      </c>
      <c r="BL31" s="48">
        <f>$G31/5280*VLOOKUP($AC31,'Cost and Score'!$B$27:$O$40,7,0)</f>
        <v>0</v>
      </c>
      <c r="BM31" s="48">
        <f>$G31/5280*VLOOKUP($AC31,'Cost and Score'!$B$27:$O$40,8,0)</f>
        <v>0</v>
      </c>
      <c r="BN31" s="48">
        <f>$G31/5280*VLOOKUP($AC31,'Cost and Score'!$B$27:$O$40,9,0)</f>
        <v>0</v>
      </c>
      <c r="BO31" s="48">
        <f>$G31/5280*VLOOKUP($AC31,'Cost and Score'!$B$27:$O$40,10,0)</f>
        <v>0</v>
      </c>
      <c r="BP31" s="48">
        <f>$G31/5280*VLOOKUP($AC31,'Cost and Score'!$B$27:$O$40,11,0)</f>
        <v>0</v>
      </c>
      <c r="BQ31" s="48">
        <f>$G31/5280*VLOOKUP($AC31,'Cost and Score'!$B$27:$O$40,12,0)</f>
        <v>0</v>
      </c>
      <c r="BR31" s="48">
        <f>$G31/5280*VLOOKUP($AC31,'Cost and Score'!$B$27:$O$40,13,0)</f>
        <v>0</v>
      </c>
      <c r="BS31" s="48">
        <f>$G31/5280*VLOOKUP($AC31,'Cost and Score'!$B$27:$O$40,14,0)</f>
        <v>0</v>
      </c>
      <c r="BT31" s="220">
        <f t="shared" si="19"/>
        <v>1.0075757575757576</v>
      </c>
      <c r="BY31" s="2" t="s">
        <v>751</v>
      </c>
      <c r="BZ31" s="27">
        <v>75000</v>
      </c>
      <c r="CA31" s="2" t="s">
        <v>2081</v>
      </c>
      <c r="CW31" s="112"/>
      <c r="CX31" s="112"/>
      <c r="CY31" s="112"/>
    </row>
    <row r="32" spans="1:103" s="2" customFormat="1" ht="14.45" customHeight="1" x14ac:dyDescent="0.25">
      <c r="A32" s="15" t="s">
        <v>2351</v>
      </c>
      <c r="B32" s="108" t="s">
        <v>634</v>
      </c>
      <c r="C32" s="106" t="s">
        <v>634</v>
      </c>
      <c r="D32" s="106"/>
      <c r="E32" s="106" t="s">
        <v>307</v>
      </c>
      <c r="F32" s="106" t="s">
        <v>10</v>
      </c>
      <c r="G32" s="109">
        <v>1372</v>
      </c>
      <c r="H32" s="109">
        <f t="shared" si="0"/>
        <v>20</v>
      </c>
      <c r="I32" s="106" t="s">
        <v>751</v>
      </c>
      <c r="J32" s="106" t="s">
        <v>160</v>
      </c>
      <c r="K32" s="106">
        <f t="shared" si="1"/>
        <v>0</v>
      </c>
      <c r="L32" s="110">
        <v>4</v>
      </c>
      <c r="M32" s="110">
        <v>4</v>
      </c>
      <c r="N32" s="110">
        <v>4</v>
      </c>
      <c r="O32" s="110">
        <v>4</v>
      </c>
      <c r="P32" s="110">
        <v>9</v>
      </c>
      <c r="Q32" s="110">
        <v>8</v>
      </c>
      <c r="R32" s="110">
        <v>8</v>
      </c>
      <c r="S32" s="110">
        <v>7</v>
      </c>
      <c r="T32" s="110">
        <v>7</v>
      </c>
      <c r="U32" s="110">
        <v>7</v>
      </c>
      <c r="V32" s="110"/>
      <c r="W32" s="110"/>
      <c r="X32" s="110"/>
      <c r="Y32" s="106">
        <v>50</v>
      </c>
      <c r="Z32" s="106">
        <f t="shared" si="2"/>
        <v>0</v>
      </c>
      <c r="AA32" s="106" t="s">
        <v>127</v>
      </c>
      <c r="AB32" s="111">
        <f t="shared" si="3"/>
        <v>1</v>
      </c>
      <c r="AC32" s="85" t="s">
        <v>2075</v>
      </c>
      <c r="AD32" s="107">
        <f t="shared" si="4"/>
        <v>1403.1818181818182</v>
      </c>
      <c r="AE32" s="198"/>
      <c r="AF32" s="113">
        <f t="shared" si="5"/>
        <v>0</v>
      </c>
      <c r="AG32" s="106">
        <v>2025</v>
      </c>
      <c r="AH32" s="26" t="str">
        <f t="shared" ref="AH32:AM41" si="22">IF($AG32=AH$1,VLOOKUP($AC32,RSL,3,FALSE),"")</f>
        <v/>
      </c>
      <c r="AI32" s="26" t="str">
        <f t="shared" si="22"/>
        <v/>
      </c>
      <c r="AJ32" s="26" t="str">
        <f t="shared" si="22"/>
        <v/>
      </c>
      <c r="AK32" s="26" t="str">
        <f t="shared" si="22"/>
        <v>Crack Seal</v>
      </c>
      <c r="AL32" s="26" t="str">
        <f t="shared" si="22"/>
        <v/>
      </c>
      <c r="AM32" s="26" t="str">
        <f t="shared" si="22"/>
        <v/>
      </c>
      <c r="AN32" s="26" t="str">
        <f t="shared" si="7"/>
        <v>Crack Seal</v>
      </c>
      <c r="AO32" s="26" t="str">
        <f t="shared" si="8"/>
        <v/>
      </c>
      <c r="AP32" s="26" t="str">
        <f t="shared" si="9"/>
        <v/>
      </c>
      <c r="AQ32" s="68">
        <f t="shared" si="10"/>
        <v>3</v>
      </c>
      <c r="AR32" s="68">
        <f t="shared" si="11"/>
        <v>3</v>
      </c>
      <c r="AS32" s="68">
        <f t="shared" si="12"/>
        <v>1.5</v>
      </c>
      <c r="AT32" s="68">
        <f t="shared" si="13"/>
        <v>1.5</v>
      </c>
      <c r="AU32" s="68">
        <f t="shared" si="14"/>
        <v>1.5</v>
      </c>
      <c r="AV32" s="68">
        <f t="shared" si="15"/>
        <v>1.5</v>
      </c>
      <c r="AW32" s="68">
        <f t="shared" si="16"/>
        <v>1</v>
      </c>
      <c r="AX32" s="68">
        <f t="shared" ca="1" si="17"/>
        <v>1.5</v>
      </c>
      <c r="AY32" s="106">
        <v>2017</v>
      </c>
      <c r="AZ32" s="106" t="s">
        <v>751</v>
      </c>
      <c r="BA32" s="106" t="str">
        <f t="shared" si="18"/>
        <v/>
      </c>
      <c r="BB32" s="177"/>
      <c r="BC32" s="177">
        <v>8</v>
      </c>
      <c r="BD32" s="177"/>
      <c r="BE32" s="177"/>
      <c r="BF32" s="177"/>
      <c r="BG32" s="177"/>
      <c r="BH32" s="177"/>
      <c r="BI32" s="33"/>
      <c r="BK32" s="48">
        <f>$G32/5280*VLOOKUP($AC32,'Cost and Score'!$B$27:$O$40,6,0)</f>
        <v>0.25984848484848483</v>
      </c>
      <c r="BL32" s="48">
        <f>$G32/5280*VLOOKUP($AC32,'Cost and Score'!$B$27:$O$40,7,0)</f>
        <v>0</v>
      </c>
      <c r="BM32" s="48">
        <f>$G32/5280*VLOOKUP($AC32,'Cost and Score'!$B$27:$O$40,8,0)</f>
        <v>0</v>
      </c>
      <c r="BN32" s="48">
        <f>$G32/5280*VLOOKUP($AC32,'Cost and Score'!$B$27:$O$40,9,0)</f>
        <v>0</v>
      </c>
      <c r="BO32" s="48">
        <f>$G32/5280*VLOOKUP($AC32,'Cost and Score'!$B$27:$O$40,10,0)</f>
        <v>0</v>
      </c>
      <c r="BP32" s="48">
        <f>$G32/5280*VLOOKUP($AC32,'Cost and Score'!$B$27:$O$40,11,0)</f>
        <v>0</v>
      </c>
      <c r="BQ32" s="48">
        <f>$G32/5280*VLOOKUP($AC32,'Cost and Score'!$B$27:$O$40,12,0)</f>
        <v>0</v>
      </c>
      <c r="BR32" s="48">
        <f>$G32/5280*VLOOKUP($AC32,'Cost and Score'!$B$27:$O$40,13,0)</f>
        <v>0</v>
      </c>
      <c r="BS32" s="48">
        <f>$G32/5280*VLOOKUP($AC32,'Cost and Score'!$B$27:$O$40,14,0)</f>
        <v>0</v>
      </c>
      <c r="BT32" s="220">
        <f t="shared" si="19"/>
        <v>0.25984848484848483</v>
      </c>
    </row>
    <row r="33" spans="1:103" s="2" customFormat="1" ht="14.45" hidden="1" customHeight="1" x14ac:dyDescent="0.25">
      <c r="A33" s="15" t="s">
        <v>118</v>
      </c>
      <c r="B33" s="34" t="s">
        <v>115</v>
      </c>
      <c r="C33" s="26" t="s">
        <v>115</v>
      </c>
      <c r="D33" s="26"/>
      <c r="E33" s="26" t="s">
        <v>116</v>
      </c>
      <c r="F33" s="26" t="s">
        <v>117</v>
      </c>
      <c r="G33" s="29">
        <v>2691</v>
      </c>
      <c r="H33" s="29">
        <f t="shared" si="0"/>
        <v>20</v>
      </c>
      <c r="I33" s="26" t="s">
        <v>8</v>
      </c>
      <c r="J33" s="26" t="s">
        <v>101</v>
      </c>
      <c r="K33" s="26">
        <v>0</v>
      </c>
      <c r="L33" s="42">
        <v>7</v>
      </c>
      <c r="M33" s="42">
        <v>7</v>
      </c>
      <c r="N33" s="42">
        <v>6</v>
      </c>
      <c r="O33" s="42">
        <v>6</v>
      </c>
      <c r="P33" s="42">
        <v>7</v>
      </c>
      <c r="Q33" s="42">
        <v>7</v>
      </c>
      <c r="R33" s="42">
        <v>7</v>
      </c>
      <c r="S33" s="42">
        <v>7</v>
      </c>
      <c r="T33" s="42">
        <v>7</v>
      </c>
      <c r="U33" s="42">
        <v>7</v>
      </c>
      <c r="V33" s="42">
        <v>2022</v>
      </c>
      <c r="W33" s="42">
        <v>2022</v>
      </c>
      <c r="X33" s="42" t="s">
        <v>2612</v>
      </c>
      <c r="Y33" s="26">
        <v>3879</v>
      </c>
      <c r="Z33" s="26">
        <f t="shared" si="2"/>
        <v>1.5</v>
      </c>
      <c r="AA33" s="26" t="s">
        <v>119</v>
      </c>
      <c r="AB33" s="111">
        <f t="shared" si="3"/>
        <v>4.5</v>
      </c>
      <c r="AC33" s="85" t="s">
        <v>2073</v>
      </c>
      <c r="AD33" s="47">
        <f t="shared" si="4"/>
        <v>16309.09090909091</v>
      </c>
      <c r="AE33" s="140"/>
      <c r="AF33" s="113">
        <f t="shared" si="5"/>
        <v>0</v>
      </c>
      <c r="AG33" s="26">
        <v>2027</v>
      </c>
      <c r="AH33" s="26" t="str">
        <f t="shared" si="22"/>
        <v/>
      </c>
      <c r="AI33" s="26" t="str">
        <f t="shared" si="22"/>
        <v/>
      </c>
      <c r="AJ33" s="26" t="str">
        <f t="shared" si="22"/>
        <v/>
      </c>
      <c r="AK33" s="26" t="str">
        <f t="shared" si="22"/>
        <v/>
      </c>
      <c r="AL33" s="26" t="str">
        <f t="shared" si="22"/>
        <v/>
      </c>
      <c r="AM33" s="26" t="str">
        <f t="shared" si="22"/>
        <v>Chip Seal - Double and Fog</v>
      </c>
      <c r="AN33" s="26" t="str">
        <f t="shared" si="7"/>
        <v>Chip Seal - Double and Fog</v>
      </c>
      <c r="AO33" s="26" t="str">
        <f t="shared" si="8"/>
        <v>Crack Seal</v>
      </c>
      <c r="AP33" s="26" t="str">
        <f t="shared" si="9"/>
        <v/>
      </c>
      <c r="AQ33" s="68">
        <f t="shared" si="10"/>
        <v>8</v>
      </c>
      <c r="AR33" s="68">
        <f t="shared" si="11"/>
        <v>6</v>
      </c>
      <c r="AS33" s="68">
        <f t="shared" si="12"/>
        <v>1.05</v>
      </c>
      <c r="AT33" s="68">
        <f t="shared" si="13"/>
        <v>1.05</v>
      </c>
      <c r="AU33" s="68">
        <f t="shared" si="14"/>
        <v>1.1000000000000001</v>
      </c>
      <c r="AV33" s="68">
        <f t="shared" si="15"/>
        <v>1.1000000000000001</v>
      </c>
      <c r="AW33" s="68">
        <f t="shared" si="16"/>
        <v>1.05</v>
      </c>
      <c r="AX33" s="68">
        <f t="shared" ca="1" si="17"/>
        <v>3.3000000000000003</v>
      </c>
      <c r="AY33" s="106">
        <v>2021</v>
      </c>
      <c r="AZ33" s="106" t="s">
        <v>2075</v>
      </c>
      <c r="BA33" s="106" t="str">
        <f t="shared" si="18"/>
        <v/>
      </c>
      <c r="BB33" s="177"/>
      <c r="BC33" s="177">
        <v>6</v>
      </c>
      <c r="BD33" s="177"/>
      <c r="BE33" s="177"/>
      <c r="BF33" s="177"/>
      <c r="BG33" s="177"/>
      <c r="BH33" s="177"/>
      <c r="BI33" s="33"/>
      <c r="BK33" s="48">
        <f>$G33/5280*VLOOKUP($AC33,'Cost and Score'!$B$27:$O$40,6,0)</f>
        <v>0.25482954545454545</v>
      </c>
      <c r="BL33" s="48">
        <f>$G33/5280*VLOOKUP($AC33,'Cost and Score'!$B$27:$O$40,7,0)</f>
        <v>25.482954545454543</v>
      </c>
      <c r="BM33" s="48">
        <f>$G33/5280*VLOOKUP($AC33,'Cost and Score'!$B$27:$O$40,8,0)</f>
        <v>0</v>
      </c>
      <c r="BN33" s="48">
        <f>$G33/5280*VLOOKUP($AC33,'Cost and Score'!$B$27:$O$40,9,0)</f>
        <v>4841.7613636363631</v>
      </c>
      <c r="BO33" s="48">
        <f>$G33/5280*VLOOKUP($AC33,'Cost and Score'!$B$27:$O$40,10,0)</f>
        <v>509.65909090909088</v>
      </c>
      <c r="BP33" s="48">
        <f>$G33/5280*VLOOKUP($AC33,'Cost and Score'!$B$27:$O$40,11,0)</f>
        <v>0</v>
      </c>
      <c r="BQ33" s="48">
        <f>$G33/5280*VLOOKUP($AC33,'Cost and Score'!$B$27:$O$40,12,0)</f>
        <v>101.93181818181817</v>
      </c>
      <c r="BR33" s="48">
        <f>$G33/5280*VLOOKUP($AC33,'Cost and Score'!$B$27:$O$40,13,0)</f>
        <v>91.73863636363636</v>
      </c>
      <c r="BS33" s="48">
        <f>$G33/5280*VLOOKUP($AC33,'Cost and Score'!$B$27:$O$40,14,0)</f>
        <v>122.31818181818181</v>
      </c>
      <c r="BT33" s="220">
        <f t="shared" si="19"/>
        <v>0.50965909090909089</v>
      </c>
      <c r="BY33" s="2" t="s">
        <v>13</v>
      </c>
      <c r="BZ33" s="27">
        <v>15000</v>
      </c>
      <c r="CA33" s="2" t="s">
        <v>2084</v>
      </c>
    </row>
    <row r="34" spans="1:103" s="2" customFormat="1" ht="14.45" hidden="1" customHeight="1" x14ac:dyDescent="0.25">
      <c r="A34" s="15" t="s">
        <v>122</v>
      </c>
      <c r="B34" s="34" t="s">
        <v>120</v>
      </c>
      <c r="C34" s="26" t="s">
        <v>120</v>
      </c>
      <c r="D34" s="26"/>
      <c r="E34" s="26" t="s">
        <v>117</v>
      </c>
      <c r="F34" s="26" t="s">
        <v>121</v>
      </c>
      <c r="G34" s="29">
        <v>2683</v>
      </c>
      <c r="H34" s="29">
        <f t="shared" ref="H34:H65" si="23">IF(I34="NC",26,20)</f>
        <v>20</v>
      </c>
      <c r="I34" s="26" t="s">
        <v>8</v>
      </c>
      <c r="J34" s="26" t="s">
        <v>101</v>
      </c>
      <c r="K34" s="26">
        <v>0</v>
      </c>
      <c r="L34" s="42">
        <v>7</v>
      </c>
      <c r="M34" s="42">
        <v>7</v>
      </c>
      <c r="N34" s="42">
        <v>7</v>
      </c>
      <c r="O34" s="42">
        <v>7</v>
      </c>
      <c r="P34" s="42">
        <v>7</v>
      </c>
      <c r="Q34" s="42">
        <v>7</v>
      </c>
      <c r="R34" s="42">
        <v>7</v>
      </c>
      <c r="S34" s="42">
        <v>7</v>
      </c>
      <c r="T34" s="42">
        <v>7</v>
      </c>
      <c r="U34" s="42">
        <v>7</v>
      </c>
      <c r="V34" s="42">
        <v>2022</v>
      </c>
      <c r="W34" s="42">
        <v>2022</v>
      </c>
      <c r="X34" s="42" t="s">
        <v>2612</v>
      </c>
      <c r="Y34" s="26">
        <v>3955</v>
      </c>
      <c r="Z34" s="26">
        <f t="shared" ref="Z34:Z65" si="24">VLOOKUP(Y34,AADT,2)</f>
        <v>1.5</v>
      </c>
      <c r="AA34" s="26" t="s">
        <v>119</v>
      </c>
      <c r="AB34" s="111">
        <f t="shared" si="3"/>
        <v>4.5</v>
      </c>
      <c r="AC34" s="85" t="s">
        <v>2073</v>
      </c>
      <c r="AD34" s="47">
        <f t="shared" si="4"/>
        <v>16260.60606060606</v>
      </c>
      <c r="AE34" s="140"/>
      <c r="AF34" s="113">
        <f t="shared" ref="AF34:AF65" si="25">AD34*AE34</f>
        <v>0</v>
      </c>
      <c r="AG34" s="26">
        <v>2027</v>
      </c>
      <c r="AH34" s="26" t="str">
        <f t="shared" si="22"/>
        <v/>
      </c>
      <c r="AI34" s="26" t="str">
        <f t="shared" si="22"/>
        <v/>
      </c>
      <c r="AJ34" s="26" t="str">
        <f t="shared" si="22"/>
        <v/>
      </c>
      <c r="AK34" s="26" t="str">
        <f t="shared" si="22"/>
        <v/>
      </c>
      <c r="AL34" s="26" t="str">
        <f t="shared" si="22"/>
        <v/>
      </c>
      <c r="AM34" s="26" t="str">
        <f t="shared" si="22"/>
        <v>Chip Seal - Double and Fog</v>
      </c>
      <c r="AN34" s="26" t="str">
        <f t="shared" si="7"/>
        <v>Chip Seal - Double and Fog</v>
      </c>
      <c r="AO34" s="26" t="str">
        <f t="shared" si="8"/>
        <v/>
      </c>
      <c r="AP34" s="26" t="str">
        <f t="shared" si="9"/>
        <v/>
      </c>
      <c r="AQ34" s="68">
        <f t="shared" ref="AQ34:AQ59" si="26">VLOOKUP(O34,RSLrem,2,FALSE)</f>
        <v>10</v>
      </c>
      <c r="AR34" s="68">
        <f t="shared" ref="AR34:AR59" si="27">VLOOKUP(AC34,RSL,5,FALSE)</f>
        <v>6</v>
      </c>
      <c r="AS34" s="68">
        <f t="shared" si="12"/>
        <v>1.05</v>
      </c>
      <c r="AT34" s="68">
        <f t="shared" si="13"/>
        <v>1.05</v>
      </c>
      <c r="AU34" s="68">
        <f t="shared" si="14"/>
        <v>1.05</v>
      </c>
      <c r="AV34" s="68">
        <f t="shared" si="15"/>
        <v>1.05</v>
      </c>
      <c r="AW34" s="68">
        <f t="shared" si="16"/>
        <v>1.05</v>
      </c>
      <c r="AX34" s="68">
        <f t="shared" ref="AX34:AX59" ca="1" si="28">AU34*(AG34-YEAR(TODAY()))</f>
        <v>3.1500000000000004</v>
      </c>
      <c r="AY34" s="106">
        <v>2016</v>
      </c>
      <c r="AZ34" s="106" t="s">
        <v>751</v>
      </c>
      <c r="BA34" s="106" t="str">
        <f t="shared" si="18"/>
        <v/>
      </c>
      <c r="BB34" s="177"/>
      <c r="BC34" s="177">
        <v>6</v>
      </c>
      <c r="BD34" s="177"/>
      <c r="BE34" s="177"/>
      <c r="BF34" s="177"/>
      <c r="BG34" s="177"/>
      <c r="BH34" s="177"/>
      <c r="BI34" s="33"/>
      <c r="BK34" s="48">
        <f>$G34/5280*VLOOKUP($AC34,'Cost and Score'!$B$27:$O$40,6,0)</f>
        <v>0.25407196969696971</v>
      </c>
      <c r="BL34" s="48">
        <f>$G34/5280*VLOOKUP($AC34,'Cost and Score'!$B$27:$O$40,7,0)</f>
        <v>25.407196969696972</v>
      </c>
      <c r="BM34" s="48">
        <f>$G34/5280*VLOOKUP($AC34,'Cost and Score'!$B$27:$O$40,8,0)</f>
        <v>0</v>
      </c>
      <c r="BN34" s="48">
        <f>$G34/5280*VLOOKUP($AC34,'Cost and Score'!$B$27:$O$40,9,0)</f>
        <v>4827.3674242424249</v>
      </c>
      <c r="BO34" s="48">
        <f>$G34/5280*VLOOKUP($AC34,'Cost and Score'!$B$27:$O$40,10,0)</f>
        <v>508.14393939393943</v>
      </c>
      <c r="BP34" s="48">
        <f>$G34/5280*VLOOKUP($AC34,'Cost and Score'!$B$27:$O$40,11,0)</f>
        <v>0</v>
      </c>
      <c r="BQ34" s="48">
        <f>$G34/5280*VLOOKUP($AC34,'Cost and Score'!$B$27:$O$40,12,0)</f>
        <v>101.62878787878789</v>
      </c>
      <c r="BR34" s="48">
        <f>$G34/5280*VLOOKUP($AC34,'Cost and Score'!$B$27:$O$40,13,0)</f>
        <v>91.465909090909093</v>
      </c>
      <c r="BS34" s="48">
        <f>$G34/5280*VLOOKUP($AC34,'Cost and Score'!$B$27:$O$40,14,0)</f>
        <v>121.95454545454547</v>
      </c>
      <c r="BT34" s="220">
        <f t="shared" si="19"/>
        <v>0.50814393939393943</v>
      </c>
      <c r="BY34" s="2" t="s">
        <v>2079</v>
      </c>
      <c r="BZ34" s="27">
        <v>300000</v>
      </c>
      <c r="CA34" s="2" t="s">
        <v>2631</v>
      </c>
      <c r="CW34" s="112"/>
      <c r="CX34" s="112"/>
      <c r="CY34" s="112"/>
    </row>
    <row r="35" spans="1:103" s="2" customFormat="1" ht="14.45" hidden="1" customHeight="1" x14ac:dyDescent="0.25">
      <c r="A35" s="15" t="s">
        <v>2114</v>
      </c>
      <c r="B35" s="34" t="s">
        <v>123</v>
      </c>
      <c r="C35" s="26" t="s">
        <v>123</v>
      </c>
      <c r="D35" s="26"/>
      <c r="E35" s="26" t="s">
        <v>121</v>
      </c>
      <c r="F35" s="26" t="s">
        <v>124</v>
      </c>
      <c r="G35" s="29">
        <v>5337</v>
      </c>
      <c r="H35" s="29">
        <f t="shared" si="23"/>
        <v>20</v>
      </c>
      <c r="I35" s="26" t="s">
        <v>8</v>
      </c>
      <c r="J35" s="26" t="s">
        <v>125</v>
      </c>
      <c r="K35" s="26">
        <f>VLOOKUP(J35,TOWNSHIPS,2,FALSE)</f>
        <v>0</v>
      </c>
      <c r="L35" s="42">
        <v>7</v>
      </c>
      <c r="M35" s="42">
        <v>6</v>
      </c>
      <c r="N35" s="42">
        <v>7</v>
      </c>
      <c r="O35" s="42">
        <v>9</v>
      </c>
      <c r="P35" s="42">
        <v>8</v>
      </c>
      <c r="Q35" s="42">
        <v>7</v>
      </c>
      <c r="R35" s="42">
        <v>7</v>
      </c>
      <c r="S35" s="42">
        <v>7</v>
      </c>
      <c r="T35" s="42">
        <v>7</v>
      </c>
      <c r="U35" s="42">
        <v>7</v>
      </c>
      <c r="V35" s="42">
        <v>2022</v>
      </c>
      <c r="W35" s="42">
        <v>2017</v>
      </c>
      <c r="X35" s="42" t="s">
        <v>2612</v>
      </c>
      <c r="Y35" s="26">
        <v>2608</v>
      </c>
      <c r="Z35" s="26">
        <f t="shared" si="24"/>
        <v>1.5</v>
      </c>
      <c r="AA35" s="26" t="s">
        <v>119</v>
      </c>
      <c r="AB35" s="111">
        <f t="shared" si="3"/>
        <v>3.5</v>
      </c>
      <c r="AC35" s="85" t="s">
        <v>2073</v>
      </c>
      <c r="AD35" s="47">
        <f t="shared" si="4"/>
        <v>32345.454545454544</v>
      </c>
      <c r="AE35" s="140"/>
      <c r="AF35" s="113">
        <f t="shared" si="25"/>
        <v>0</v>
      </c>
      <c r="AG35" s="26">
        <v>2027</v>
      </c>
      <c r="AH35" s="26" t="str">
        <f t="shared" si="22"/>
        <v/>
      </c>
      <c r="AI35" s="26" t="str">
        <f t="shared" si="22"/>
        <v/>
      </c>
      <c r="AJ35" s="26" t="str">
        <f t="shared" si="22"/>
        <v/>
      </c>
      <c r="AK35" s="26" t="str">
        <f t="shared" si="22"/>
        <v/>
      </c>
      <c r="AL35" s="26" t="str">
        <f t="shared" si="22"/>
        <v/>
      </c>
      <c r="AM35" s="26" t="str">
        <f t="shared" si="22"/>
        <v>Chip Seal - Double and Fog</v>
      </c>
      <c r="AN35" s="26" t="str">
        <f t="shared" si="7"/>
        <v>Chip Seal - Double and Fog</v>
      </c>
      <c r="AO35" s="26" t="str">
        <f t="shared" si="8"/>
        <v/>
      </c>
      <c r="AP35" s="26" t="str">
        <f t="shared" si="9"/>
        <v/>
      </c>
      <c r="AQ35" s="68">
        <f t="shared" si="26"/>
        <v>14</v>
      </c>
      <c r="AR35" s="68">
        <f t="shared" si="27"/>
        <v>6</v>
      </c>
      <c r="AS35" s="68">
        <f t="shared" si="12"/>
        <v>1.05</v>
      </c>
      <c r="AT35" s="68">
        <f t="shared" si="13"/>
        <v>1.1000000000000001</v>
      </c>
      <c r="AU35" s="68">
        <f t="shared" si="14"/>
        <v>1.05</v>
      </c>
      <c r="AV35" s="68">
        <f t="shared" si="15"/>
        <v>1</v>
      </c>
      <c r="AW35" s="68">
        <f t="shared" si="16"/>
        <v>1</v>
      </c>
      <c r="AX35" s="68">
        <f t="shared" ca="1" si="28"/>
        <v>3.1500000000000004</v>
      </c>
      <c r="AY35" s="106">
        <v>2016</v>
      </c>
      <c r="AZ35" s="106" t="s">
        <v>751</v>
      </c>
      <c r="BA35" s="106" t="str">
        <f t="shared" si="18"/>
        <v/>
      </c>
      <c r="BB35" s="177"/>
      <c r="BC35" s="177">
        <v>6</v>
      </c>
      <c r="BD35" s="177"/>
      <c r="BE35" s="177"/>
      <c r="BF35" s="177"/>
      <c r="BG35" s="177"/>
      <c r="BH35" s="177"/>
      <c r="BI35" s="33"/>
      <c r="BK35" s="48">
        <f>$G35/5280*VLOOKUP($AC35,'Cost and Score'!$B$27:$O$40,6,0)</f>
        <v>0.50539772727272725</v>
      </c>
      <c r="BL35" s="48">
        <f>$G35/5280*VLOOKUP($AC35,'Cost and Score'!$B$27:$O$40,7,0)</f>
        <v>50.539772727272727</v>
      </c>
      <c r="BM35" s="48">
        <f>$G35/5280*VLOOKUP($AC35,'Cost and Score'!$B$27:$O$40,8,0)</f>
        <v>0</v>
      </c>
      <c r="BN35" s="48">
        <f>$G35/5280*VLOOKUP($AC35,'Cost and Score'!$B$27:$O$40,9,0)</f>
        <v>9602.556818181818</v>
      </c>
      <c r="BO35" s="48">
        <f>$G35/5280*VLOOKUP($AC35,'Cost and Score'!$B$27:$O$40,10,0)</f>
        <v>1010.7954545454545</v>
      </c>
      <c r="BP35" s="48">
        <f>$G35/5280*VLOOKUP($AC35,'Cost and Score'!$B$27:$O$40,11,0)</f>
        <v>0</v>
      </c>
      <c r="BQ35" s="48">
        <f>$G35/5280*VLOOKUP($AC35,'Cost and Score'!$B$27:$O$40,12,0)</f>
        <v>202.15909090909091</v>
      </c>
      <c r="BR35" s="48">
        <f>$G35/5280*VLOOKUP($AC35,'Cost and Score'!$B$27:$O$40,13,0)</f>
        <v>181.94318181818181</v>
      </c>
      <c r="BS35" s="48">
        <f>$G35/5280*VLOOKUP($AC35,'Cost and Score'!$B$27:$O$40,14,0)</f>
        <v>242.59090909090907</v>
      </c>
      <c r="BT35" s="220">
        <f t="shared" si="19"/>
        <v>1.0107954545454545</v>
      </c>
      <c r="BY35" s="2" t="s">
        <v>2077</v>
      </c>
      <c r="BZ35" s="27">
        <v>15000</v>
      </c>
      <c r="CA35" s="2" t="s">
        <v>2090</v>
      </c>
    </row>
    <row r="36" spans="1:103" s="2" customFormat="1" ht="14.45" hidden="1" customHeight="1" x14ac:dyDescent="0.25">
      <c r="A36" s="15" t="s">
        <v>2115</v>
      </c>
      <c r="B36" s="34" t="s">
        <v>126</v>
      </c>
      <c r="C36" s="26" t="s">
        <v>126</v>
      </c>
      <c r="D36" s="26"/>
      <c r="E36" s="26" t="s">
        <v>124</v>
      </c>
      <c r="F36" s="26" t="s">
        <v>127</v>
      </c>
      <c r="G36" s="29">
        <v>2697</v>
      </c>
      <c r="H36" s="29">
        <f t="shared" si="23"/>
        <v>20</v>
      </c>
      <c r="I36" s="26" t="s">
        <v>8</v>
      </c>
      <c r="J36" s="26" t="s">
        <v>125</v>
      </c>
      <c r="K36" s="26">
        <f>VLOOKUP(J36,TOWNSHIPS,2,FALSE)</f>
        <v>0</v>
      </c>
      <c r="L36" s="42">
        <v>7</v>
      </c>
      <c r="M36" s="42">
        <v>7</v>
      </c>
      <c r="N36" s="42">
        <v>7</v>
      </c>
      <c r="O36" s="42">
        <v>7</v>
      </c>
      <c r="P36" s="42">
        <v>7</v>
      </c>
      <c r="Q36" s="42">
        <v>7</v>
      </c>
      <c r="R36" s="42">
        <v>7</v>
      </c>
      <c r="S36" s="42">
        <v>7</v>
      </c>
      <c r="T36" s="42">
        <v>7</v>
      </c>
      <c r="U36" s="42">
        <v>7</v>
      </c>
      <c r="V36" s="42">
        <v>2022</v>
      </c>
      <c r="W36" s="42">
        <v>2022</v>
      </c>
      <c r="X36" s="42" t="s">
        <v>2612</v>
      </c>
      <c r="Y36" s="26">
        <v>2370</v>
      </c>
      <c r="Z36" s="26">
        <f t="shared" si="24"/>
        <v>1</v>
      </c>
      <c r="AA36" s="26" t="s">
        <v>119</v>
      </c>
      <c r="AB36" s="111">
        <f t="shared" si="3"/>
        <v>4</v>
      </c>
      <c r="AC36" s="85" t="s">
        <v>2073</v>
      </c>
      <c r="AD36" s="47">
        <f t="shared" si="4"/>
        <v>16345.454545454546</v>
      </c>
      <c r="AE36" s="140"/>
      <c r="AF36" s="113">
        <f t="shared" si="25"/>
        <v>0</v>
      </c>
      <c r="AG36" s="26">
        <v>2027</v>
      </c>
      <c r="AH36" s="26" t="str">
        <f t="shared" si="22"/>
        <v/>
      </c>
      <c r="AI36" s="26" t="str">
        <f t="shared" si="22"/>
        <v/>
      </c>
      <c r="AJ36" s="26" t="str">
        <f t="shared" si="22"/>
        <v/>
      </c>
      <c r="AK36" s="26" t="str">
        <f t="shared" si="22"/>
        <v/>
      </c>
      <c r="AL36" s="26" t="str">
        <f t="shared" si="22"/>
        <v/>
      </c>
      <c r="AM36" s="26" t="str">
        <f t="shared" si="22"/>
        <v>Chip Seal - Double and Fog</v>
      </c>
      <c r="AN36" s="26" t="str">
        <f t="shared" si="7"/>
        <v>Chip Seal - Double and Fog</v>
      </c>
      <c r="AO36" s="26" t="str">
        <f t="shared" si="8"/>
        <v/>
      </c>
      <c r="AP36" s="26" t="str">
        <f t="shared" si="9"/>
        <v/>
      </c>
      <c r="AQ36" s="68">
        <f t="shared" si="26"/>
        <v>10</v>
      </c>
      <c r="AR36" s="68">
        <f t="shared" si="27"/>
        <v>6</v>
      </c>
      <c r="AS36" s="68">
        <f t="shared" si="12"/>
        <v>1.05</v>
      </c>
      <c r="AT36" s="68">
        <f t="shared" si="13"/>
        <v>1.05</v>
      </c>
      <c r="AU36" s="68">
        <f t="shared" si="14"/>
        <v>1.05</v>
      </c>
      <c r="AV36" s="68">
        <f t="shared" si="15"/>
        <v>1.05</v>
      </c>
      <c r="AW36" s="68">
        <f t="shared" si="16"/>
        <v>1.05</v>
      </c>
      <c r="AX36" s="68">
        <f t="shared" ca="1" si="28"/>
        <v>3.1500000000000004</v>
      </c>
      <c r="AY36" s="106">
        <v>2016</v>
      </c>
      <c r="AZ36" s="106" t="s">
        <v>751</v>
      </c>
      <c r="BA36" s="106" t="str">
        <f t="shared" si="18"/>
        <v/>
      </c>
      <c r="BB36" s="177"/>
      <c r="BC36" s="177">
        <v>6</v>
      </c>
      <c r="BD36" s="177"/>
      <c r="BE36" s="177"/>
      <c r="BF36" s="177"/>
      <c r="BG36" s="177"/>
      <c r="BH36" s="177"/>
      <c r="BI36" s="33"/>
      <c r="BK36" s="48">
        <f>$G36/5280*VLOOKUP($AC36,'Cost and Score'!$B$27:$O$40,6,0)</f>
        <v>0.25539772727272725</v>
      </c>
      <c r="BL36" s="48">
        <f>$G36/5280*VLOOKUP($AC36,'Cost and Score'!$B$27:$O$40,7,0)</f>
        <v>25.539772727272727</v>
      </c>
      <c r="BM36" s="48">
        <f>$G36/5280*VLOOKUP($AC36,'Cost and Score'!$B$27:$O$40,8,0)</f>
        <v>0</v>
      </c>
      <c r="BN36" s="48">
        <f>$G36/5280*VLOOKUP($AC36,'Cost and Score'!$B$27:$O$40,9,0)</f>
        <v>4852.556818181818</v>
      </c>
      <c r="BO36" s="48">
        <f>$G36/5280*VLOOKUP($AC36,'Cost and Score'!$B$27:$O$40,10,0)</f>
        <v>510.7954545454545</v>
      </c>
      <c r="BP36" s="48">
        <f>$G36/5280*VLOOKUP($AC36,'Cost and Score'!$B$27:$O$40,11,0)</f>
        <v>0</v>
      </c>
      <c r="BQ36" s="48">
        <f>$G36/5280*VLOOKUP($AC36,'Cost and Score'!$B$27:$O$40,12,0)</f>
        <v>102.15909090909091</v>
      </c>
      <c r="BR36" s="48">
        <f>$G36/5280*VLOOKUP($AC36,'Cost and Score'!$B$27:$O$40,13,0)</f>
        <v>91.943181818181813</v>
      </c>
      <c r="BS36" s="48">
        <f>$G36/5280*VLOOKUP($AC36,'Cost and Score'!$B$27:$O$40,14,0)</f>
        <v>122.59090909090908</v>
      </c>
      <c r="BT36" s="220">
        <f t="shared" si="19"/>
        <v>0.5107954545454545</v>
      </c>
      <c r="BY36" s="2" t="s">
        <v>2073</v>
      </c>
      <c r="BZ36" s="27">
        <v>30000</v>
      </c>
      <c r="CA36" s="2" t="s">
        <v>2083</v>
      </c>
    </row>
    <row r="37" spans="1:103" s="2" customFormat="1" ht="14.45" hidden="1" customHeight="1" x14ac:dyDescent="0.25">
      <c r="A37" s="15" t="s">
        <v>2116</v>
      </c>
      <c r="B37" s="34" t="s">
        <v>128</v>
      </c>
      <c r="C37" s="26" t="s">
        <v>128</v>
      </c>
      <c r="D37" s="26"/>
      <c r="E37" s="26" t="s">
        <v>127</v>
      </c>
      <c r="F37" s="26" t="s">
        <v>129</v>
      </c>
      <c r="G37" s="29">
        <v>2698</v>
      </c>
      <c r="H37" s="29">
        <f t="shared" si="23"/>
        <v>20</v>
      </c>
      <c r="I37" s="26" t="s">
        <v>8</v>
      </c>
      <c r="J37" s="26" t="s">
        <v>125</v>
      </c>
      <c r="K37" s="26">
        <f>VLOOKUP(J37,TOWNSHIPS,2,FALSE)</f>
        <v>0</v>
      </c>
      <c r="L37" s="42">
        <v>7</v>
      </c>
      <c r="M37" s="42">
        <v>6</v>
      </c>
      <c r="N37" s="42">
        <v>6</v>
      </c>
      <c r="O37" s="42">
        <v>9</v>
      </c>
      <c r="P37" s="42">
        <v>8</v>
      </c>
      <c r="Q37" s="42">
        <v>8</v>
      </c>
      <c r="R37" s="42">
        <v>7</v>
      </c>
      <c r="S37" s="42">
        <v>7</v>
      </c>
      <c r="T37" s="42">
        <v>7</v>
      </c>
      <c r="U37" s="42">
        <v>7</v>
      </c>
      <c r="V37" s="42">
        <v>2022</v>
      </c>
      <c r="W37" s="42">
        <v>2022</v>
      </c>
      <c r="X37" s="42" t="s">
        <v>2612</v>
      </c>
      <c r="Y37" s="26">
        <v>2450</v>
      </c>
      <c r="Z37" s="26">
        <f t="shared" si="24"/>
        <v>1</v>
      </c>
      <c r="AA37" s="26" t="s">
        <v>119</v>
      </c>
      <c r="AB37" s="111">
        <f t="shared" si="3"/>
        <v>3</v>
      </c>
      <c r="AC37" s="85" t="s">
        <v>2073</v>
      </c>
      <c r="AD37" s="47">
        <f t="shared" si="4"/>
        <v>16351.515151515152</v>
      </c>
      <c r="AE37" s="140"/>
      <c r="AF37" s="113">
        <f t="shared" si="25"/>
        <v>0</v>
      </c>
      <c r="AG37" s="26">
        <v>2027</v>
      </c>
      <c r="AH37" s="26" t="str">
        <f t="shared" si="22"/>
        <v/>
      </c>
      <c r="AI37" s="26" t="str">
        <f t="shared" si="22"/>
        <v/>
      </c>
      <c r="AJ37" s="26" t="str">
        <f t="shared" si="22"/>
        <v/>
      </c>
      <c r="AK37" s="26" t="str">
        <f t="shared" si="22"/>
        <v/>
      </c>
      <c r="AL37" s="26" t="str">
        <f t="shared" si="22"/>
        <v/>
      </c>
      <c r="AM37" s="26" t="str">
        <f t="shared" si="22"/>
        <v>Chip Seal - Double and Fog</v>
      </c>
      <c r="AN37" s="26" t="str">
        <f t="shared" si="7"/>
        <v>Chip Seal - Double and Fog</v>
      </c>
      <c r="AO37" s="26" t="str">
        <f t="shared" si="8"/>
        <v/>
      </c>
      <c r="AP37" s="26" t="str">
        <f t="shared" si="9"/>
        <v/>
      </c>
      <c r="AQ37" s="68">
        <f t="shared" si="26"/>
        <v>14</v>
      </c>
      <c r="AR37" s="68">
        <f t="shared" si="27"/>
        <v>6</v>
      </c>
      <c r="AS37" s="68">
        <f t="shared" si="12"/>
        <v>1.05</v>
      </c>
      <c r="AT37" s="68">
        <f t="shared" si="13"/>
        <v>1.1000000000000001</v>
      </c>
      <c r="AU37" s="68">
        <f t="shared" si="14"/>
        <v>1.1000000000000001</v>
      </c>
      <c r="AV37" s="68">
        <f t="shared" si="15"/>
        <v>1</v>
      </c>
      <c r="AW37" s="68">
        <f t="shared" si="16"/>
        <v>1</v>
      </c>
      <c r="AX37" s="68">
        <f t="shared" ca="1" si="28"/>
        <v>3.3000000000000003</v>
      </c>
      <c r="AY37" s="106">
        <v>2016</v>
      </c>
      <c r="AZ37" s="106" t="s">
        <v>751</v>
      </c>
      <c r="BA37" s="106" t="str">
        <f t="shared" si="18"/>
        <v/>
      </c>
      <c r="BB37" s="177"/>
      <c r="BC37" s="177">
        <v>6</v>
      </c>
      <c r="BD37" s="177"/>
      <c r="BE37" s="177"/>
      <c r="BF37" s="177"/>
      <c r="BG37" s="177"/>
      <c r="BH37" s="177"/>
      <c r="BI37" s="33"/>
      <c r="BK37" s="48">
        <f>$G37/5280*VLOOKUP($AC37,'Cost and Score'!$B$27:$O$40,6,0)</f>
        <v>0.25549242424242424</v>
      </c>
      <c r="BL37" s="48">
        <f>$G37/5280*VLOOKUP($AC37,'Cost and Score'!$B$27:$O$40,7,0)</f>
        <v>25.549242424242426</v>
      </c>
      <c r="BM37" s="48">
        <f>$G37/5280*VLOOKUP($AC37,'Cost and Score'!$B$27:$O$40,8,0)</f>
        <v>0</v>
      </c>
      <c r="BN37" s="48">
        <f>$G37/5280*VLOOKUP($AC37,'Cost and Score'!$B$27:$O$40,9,0)</f>
        <v>4854.356060606061</v>
      </c>
      <c r="BO37" s="48">
        <f>$G37/5280*VLOOKUP($AC37,'Cost and Score'!$B$27:$O$40,10,0)</f>
        <v>510.9848484848485</v>
      </c>
      <c r="BP37" s="48">
        <f>$G37/5280*VLOOKUP($AC37,'Cost and Score'!$B$27:$O$40,11,0)</f>
        <v>0</v>
      </c>
      <c r="BQ37" s="48">
        <f>$G37/5280*VLOOKUP($AC37,'Cost and Score'!$B$27:$O$40,12,0)</f>
        <v>102.1969696969697</v>
      </c>
      <c r="BR37" s="48">
        <f>$G37/5280*VLOOKUP($AC37,'Cost and Score'!$B$27:$O$40,13,0)</f>
        <v>91.977272727272734</v>
      </c>
      <c r="BS37" s="48">
        <f>$G37/5280*VLOOKUP($AC37,'Cost and Score'!$B$27:$O$40,14,0)</f>
        <v>122.63636363636364</v>
      </c>
      <c r="BT37" s="220">
        <f t="shared" si="19"/>
        <v>0.51098484848484849</v>
      </c>
      <c r="BY37" s="2" t="s">
        <v>2086</v>
      </c>
      <c r="BZ37" s="27">
        <v>2000</v>
      </c>
      <c r="CA37" s="2" t="s">
        <v>2087</v>
      </c>
      <c r="CW37" s="112"/>
      <c r="CX37" s="112"/>
      <c r="CY37" s="112"/>
    </row>
    <row r="38" spans="1:103" s="2" customFormat="1" ht="14.45" hidden="1" customHeight="1" x14ac:dyDescent="0.25">
      <c r="A38" s="15" t="s">
        <v>2117</v>
      </c>
      <c r="B38" s="34" t="s">
        <v>130</v>
      </c>
      <c r="C38" s="26" t="s">
        <v>130</v>
      </c>
      <c r="D38" s="26"/>
      <c r="E38" s="26" t="s">
        <v>129</v>
      </c>
      <c r="F38" s="26" t="s">
        <v>131</v>
      </c>
      <c r="G38" s="29">
        <v>6720</v>
      </c>
      <c r="H38" s="29">
        <f t="shared" si="23"/>
        <v>20</v>
      </c>
      <c r="I38" s="26" t="s">
        <v>8</v>
      </c>
      <c r="J38" s="26" t="s">
        <v>125</v>
      </c>
      <c r="K38" s="26">
        <f>VLOOKUP(J38,TOWNSHIPS,2,FALSE)</f>
        <v>0</v>
      </c>
      <c r="L38" s="42">
        <v>6</v>
      </c>
      <c r="M38" s="42">
        <v>6</v>
      </c>
      <c r="N38" s="42">
        <v>6</v>
      </c>
      <c r="O38" s="42">
        <v>9</v>
      </c>
      <c r="P38" s="42">
        <v>8</v>
      </c>
      <c r="Q38" s="42">
        <v>8</v>
      </c>
      <c r="R38" s="42">
        <v>7</v>
      </c>
      <c r="S38" s="42">
        <v>7</v>
      </c>
      <c r="T38" s="42">
        <v>7</v>
      </c>
      <c r="U38" s="42">
        <v>7</v>
      </c>
      <c r="V38" s="42">
        <v>2022</v>
      </c>
      <c r="W38" s="42">
        <v>2022</v>
      </c>
      <c r="X38" s="42" t="s">
        <v>2612</v>
      </c>
      <c r="Y38" s="26">
        <v>2354</v>
      </c>
      <c r="Z38" s="26">
        <f t="shared" si="24"/>
        <v>1</v>
      </c>
      <c r="AA38" s="26" t="s">
        <v>119</v>
      </c>
      <c r="AB38" s="111">
        <f t="shared" si="3"/>
        <v>3</v>
      </c>
      <c r="AC38" s="85" t="s">
        <v>2073</v>
      </c>
      <c r="AD38" s="47">
        <f t="shared" si="4"/>
        <v>40727.272727272728</v>
      </c>
      <c r="AE38" s="140"/>
      <c r="AF38" s="113">
        <f t="shared" si="25"/>
        <v>0</v>
      </c>
      <c r="AG38" s="26">
        <v>2027</v>
      </c>
      <c r="AH38" s="26" t="str">
        <f t="shared" si="22"/>
        <v/>
      </c>
      <c r="AI38" s="26" t="str">
        <f t="shared" si="22"/>
        <v/>
      </c>
      <c r="AJ38" s="26" t="str">
        <f t="shared" si="22"/>
        <v/>
      </c>
      <c r="AK38" s="26" t="str">
        <f t="shared" si="22"/>
        <v/>
      </c>
      <c r="AL38" s="26" t="str">
        <f t="shared" si="22"/>
        <v/>
      </c>
      <c r="AM38" s="26" t="str">
        <f t="shared" si="22"/>
        <v>Chip Seal - Double and Fog</v>
      </c>
      <c r="AN38" s="26" t="str">
        <f t="shared" si="7"/>
        <v>Chip Seal - Double and Fog</v>
      </c>
      <c r="AO38" s="26" t="str">
        <f t="shared" si="8"/>
        <v/>
      </c>
      <c r="AP38" s="26" t="str">
        <f t="shared" si="9"/>
        <v/>
      </c>
      <c r="AQ38" s="68">
        <f t="shared" si="26"/>
        <v>14</v>
      </c>
      <c r="AR38" s="68">
        <f t="shared" si="27"/>
        <v>6</v>
      </c>
      <c r="AS38" s="68">
        <f t="shared" si="12"/>
        <v>1.1000000000000001</v>
      </c>
      <c r="AT38" s="68">
        <f t="shared" si="13"/>
        <v>1.1000000000000001</v>
      </c>
      <c r="AU38" s="68">
        <f t="shared" si="14"/>
        <v>1.1000000000000001</v>
      </c>
      <c r="AV38" s="68">
        <f t="shared" si="15"/>
        <v>1</v>
      </c>
      <c r="AW38" s="68">
        <f t="shared" si="16"/>
        <v>1</v>
      </c>
      <c r="AX38" s="68">
        <f t="shared" ca="1" si="28"/>
        <v>3.3000000000000003</v>
      </c>
      <c r="AY38" s="106">
        <v>2016</v>
      </c>
      <c r="AZ38" s="106" t="s">
        <v>751</v>
      </c>
      <c r="BA38" s="106" t="str">
        <f t="shared" si="18"/>
        <v/>
      </c>
      <c r="BB38" s="177"/>
      <c r="BC38" s="177">
        <v>6</v>
      </c>
      <c r="BD38" s="177"/>
      <c r="BE38" s="177"/>
      <c r="BF38" s="177"/>
      <c r="BG38" s="177"/>
      <c r="BH38" s="177"/>
      <c r="BI38" s="33"/>
      <c r="BK38" s="48">
        <f>$G38/5280*VLOOKUP($AC38,'Cost and Score'!$B$27:$O$40,6,0)</f>
        <v>0.63636363636363635</v>
      </c>
      <c r="BL38" s="48">
        <f>$G38/5280*VLOOKUP($AC38,'Cost and Score'!$B$27:$O$40,7,0)</f>
        <v>63.636363636363633</v>
      </c>
      <c r="BM38" s="48">
        <f>$G38/5280*VLOOKUP($AC38,'Cost and Score'!$B$27:$O$40,8,0)</f>
        <v>0</v>
      </c>
      <c r="BN38" s="48">
        <f>$G38/5280*VLOOKUP($AC38,'Cost and Score'!$B$27:$O$40,9,0)</f>
        <v>12090.90909090909</v>
      </c>
      <c r="BO38" s="48">
        <f>$G38/5280*VLOOKUP($AC38,'Cost and Score'!$B$27:$O$40,10,0)</f>
        <v>1272.7272727272727</v>
      </c>
      <c r="BP38" s="48">
        <f>$G38/5280*VLOOKUP($AC38,'Cost and Score'!$B$27:$O$40,11,0)</f>
        <v>0</v>
      </c>
      <c r="BQ38" s="48">
        <f>$G38/5280*VLOOKUP($AC38,'Cost and Score'!$B$27:$O$40,12,0)</f>
        <v>254.54545454545453</v>
      </c>
      <c r="BR38" s="48">
        <f>$G38/5280*VLOOKUP($AC38,'Cost and Score'!$B$27:$O$40,13,0)</f>
        <v>229.09090909090909</v>
      </c>
      <c r="BS38" s="48">
        <f>$G38/5280*VLOOKUP($AC38,'Cost and Score'!$B$27:$O$40,14,0)</f>
        <v>305.45454545454544</v>
      </c>
      <c r="BT38" s="220">
        <f t="shared" si="19"/>
        <v>1.2727272727272727</v>
      </c>
      <c r="BY38" s="2" t="s">
        <v>2076</v>
      </c>
      <c r="BZ38" s="27">
        <v>14000</v>
      </c>
      <c r="CA38" s="2" t="s">
        <v>2089</v>
      </c>
    </row>
    <row r="39" spans="1:103" s="2" customFormat="1" ht="14.45" hidden="1" customHeight="1" x14ac:dyDescent="0.25">
      <c r="A39" s="36" t="s">
        <v>133</v>
      </c>
      <c r="B39" s="34" t="s">
        <v>132</v>
      </c>
      <c r="C39" s="26" t="s">
        <v>132</v>
      </c>
      <c r="D39" s="26"/>
      <c r="E39" s="26" t="s">
        <v>59</v>
      </c>
      <c r="F39" s="26" t="s">
        <v>64</v>
      </c>
      <c r="G39" s="29">
        <v>5438</v>
      </c>
      <c r="H39" s="29">
        <f t="shared" si="23"/>
        <v>20</v>
      </c>
      <c r="I39" s="26" t="s">
        <v>13</v>
      </c>
      <c r="J39" s="26" t="s">
        <v>101</v>
      </c>
      <c r="K39" s="26">
        <v>0</v>
      </c>
      <c r="L39" s="42">
        <v>6</v>
      </c>
      <c r="M39" s="42">
        <v>6</v>
      </c>
      <c r="N39" s="42">
        <v>6</v>
      </c>
      <c r="O39" s="42">
        <v>6</v>
      </c>
      <c r="P39" s="42">
        <v>6</v>
      </c>
      <c r="Q39" s="42">
        <v>6</v>
      </c>
      <c r="R39" s="42">
        <v>6</v>
      </c>
      <c r="S39" s="42">
        <v>6</v>
      </c>
      <c r="T39" s="42">
        <v>6</v>
      </c>
      <c r="U39" s="42">
        <v>8</v>
      </c>
      <c r="V39" s="42">
        <v>2022</v>
      </c>
      <c r="W39" s="42">
        <v>2022</v>
      </c>
      <c r="X39" s="42" t="s">
        <v>2612</v>
      </c>
      <c r="Y39" s="26">
        <v>995</v>
      </c>
      <c r="Z39" s="26">
        <f t="shared" si="24"/>
        <v>0.5</v>
      </c>
      <c r="AA39" s="26" t="s">
        <v>119</v>
      </c>
      <c r="AB39" s="111">
        <f t="shared" si="3"/>
        <v>4.5</v>
      </c>
      <c r="AC39" s="26" t="s">
        <v>13</v>
      </c>
      <c r="AD39" s="47">
        <f t="shared" si="4"/>
        <v>21628.409090909092</v>
      </c>
      <c r="AE39" s="140"/>
      <c r="AF39" s="113">
        <f t="shared" si="25"/>
        <v>0</v>
      </c>
      <c r="AG39" s="26">
        <v>2022</v>
      </c>
      <c r="AH39" s="26" t="str">
        <f t="shared" si="22"/>
        <v>Chip Seal and Fog</v>
      </c>
      <c r="AI39" s="26" t="str">
        <f t="shared" si="22"/>
        <v/>
      </c>
      <c r="AJ39" s="26" t="str">
        <f t="shared" si="22"/>
        <v/>
      </c>
      <c r="AK39" s="26" t="str">
        <f t="shared" si="22"/>
        <v/>
      </c>
      <c r="AL39" s="26" t="str">
        <f t="shared" si="22"/>
        <v/>
      </c>
      <c r="AM39" s="26" t="str">
        <f t="shared" si="22"/>
        <v/>
      </c>
      <c r="AN39" s="26" t="str">
        <f t="shared" si="7"/>
        <v>Chip Seal and Fog</v>
      </c>
      <c r="AO39" s="26" t="str">
        <f t="shared" si="8"/>
        <v/>
      </c>
      <c r="AP39" s="26" t="str">
        <f t="shared" si="9"/>
        <v>Chip Seal and Fog</v>
      </c>
      <c r="AQ39" s="68">
        <f t="shared" si="26"/>
        <v>8</v>
      </c>
      <c r="AR39" s="68">
        <f t="shared" si="27"/>
        <v>6</v>
      </c>
      <c r="AS39" s="68">
        <f t="shared" si="12"/>
        <v>1.1000000000000001</v>
      </c>
      <c r="AT39" s="68">
        <f t="shared" si="13"/>
        <v>1.1000000000000001</v>
      </c>
      <c r="AU39" s="68">
        <f t="shared" si="14"/>
        <v>1.1000000000000001</v>
      </c>
      <c r="AV39" s="68">
        <f t="shared" si="15"/>
        <v>1.1000000000000001</v>
      </c>
      <c r="AW39" s="68">
        <f t="shared" si="16"/>
        <v>1.1000000000000001</v>
      </c>
      <c r="AX39" s="68">
        <f t="shared" ca="1" si="28"/>
        <v>-2.2000000000000002</v>
      </c>
      <c r="AY39" s="106">
        <v>2022</v>
      </c>
      <c r="AZ39" s="106" t="s">
        <v>13</v>
      </c>
      <c r="BA39" s="106" t="str">
        <f t="shared" si="18"/>
        <v/>
      </c>
      <c r="BB39" s="177"/>
      <c r="BC39" s="177">
        <v>3</v>
      </c>
      <c r="BD39" s="177"/>
      <c r="BE39" s="177"/>
      <c r="BF39" s="177"/>
      <c r="BG39" s="177"/>
      <c r="BH39" s="177"/>
      <c r="BI39" s="33"/>
      <c r="BK39" s="48">
        <f>$G39/5280*VLOOKUP($AC39,'Cost and Score'!$B$27:$O$40,6,0)</f>
        <v>0.20598484848484852</v>
      </c>
      <c r="BL39" s="48">
        <f>$G39/5280*VLOOKUP($AC39,'Cost and Score'!$B$27:$O$40,7,0)</f>
        <v>22.658333333333335</v>
      </c>
      <c r="BM39" s="48">
        <f>$G39/5280*VLOOKUP($AC39,'Cost and Score'!$B$27:$O$40,8,0)</f>
        <v>0</v>
      </c>
      <c r="BN39" s="48">
        <f>$G39/5280*VLOOKUP($AC39,'Cost and Score'!$B$27:$O$40,9,0)</f>
        <v>4634.659090909091</v>
      </c>
      <c r="BO39" s="48">
        <f>$G39/5280*VLOOKUP($AC39,'Cost and Score'!$B$27:$O$40,10,0)</f>
        <v>1029.9242424242425</v>
      </c>
      <c r="BP39" s="48">
        <f>$G39/5280*VLOOKUP($AC39,'Cost and Score'!$B$27:$O$40,11,0)</f>
        <v>0</v>
      </c>
      <c r="BQ39" s="48">
        <f>$G39/5280*VLOOKUP($AC39,'Cost and Score'!$B$27:$O$40,12,0)</f>
        <v>102.99242424242425</v>
      </c>
      <c r="BR39" s="48">
        <f>$G39/5280*VLOOKUP($AC39,'Cost and Score'!$B$27:$O$40,13,0)</f>
        <v>123.59090909090911</v>
      </c>
      <c r="BS39" s="48">
        <f>$G39/5280*VLOOKUP($AC39,'Cost and Score'!$B$27:$O$40,14,0)</f>
        <v>0</v>
      </c>
      <c r="BT39" s="220">
        <f t="shared" si="19"/>
        <v>1.0299242424242425</v>
      </c>
      <c r="CR39" s="112"/>
    </row>
    <row r="40" spans="1:103" s="2" customFormat="1" ht="14.45" customHeight="1" x14ac:dyDescent="0.25">
      <c r="A40" s="31" t="s">
        <v>2102</v>
      </c>
      <c r="B40" s="45" t="s">
        <v>2608</v>
      </c>
      <c r="C40" s="26" t="s">
        <v>1579</v>
      </c>
      <c r="D40" s="36"/>
      <c r="E40" s="26" t="s">
        <v>1580</v>
      </c>
      <c r="F40" s="26" t="s">
        <v>1581</v>
      </c>
      <c r="G40" s="29">
        <v>581</v>
      </c>
      <c r="H40" s="29">
        <f t="shared" si="23"/>
        <v>26</v>
      </c>
      <c r="I40" s="26" t="s">
        <v>2098</v>
      </c>
      <c r="J40" s="26" t="s">
        <v>6</v>
      </c>
      <c r="K40" s="26">
        <v>0</v>
      </c>
      <c r="L40" s="42">
        <v>6</v>
      </c>
      <c r="M40" s="42">
        <v>6</v>
      </c>
      <c r="N40" s="42">
        <v>6</v>
      </c>
      <c r="O40" s="42">
        <v>6</v>
      </c>
      <c r="P40" s="42">
        <v>7</v>
      </c>
      <c r="Q40" s="42">
        <v>7</v>
      </c>
      <c r="R40" s="42">
        <v>7</v>
      </c>
      <c r="S40" s="42">
        <v>7</v>
      </c>
      <c r="T40" s="42">
        <v>7</v>
      </c>
      <c r="U40" s="42">
        <v>7</v>
      </c>
      <c r="V40" s="42"/>
      <c r="W40" s="42"/>
      <c r="X40" s="42"/>
      <c r="Y40" s="26">
        <v>50</v>
      </c>
      <c r="Z40" s="26">
        <f t="shared" si="24"/>
        <v>0</v>
      </c>
      <c r="AA40" s="26" t="s">
        <v>1579</v>
      </c>
      <c r="AB40" s="111">
        <f t="shared" si="3"/>
        <v>3</v>
      </c>
      <c r="AC40" s="85" t="s">
        <v>2075</v>
      </c>
      <c r="AD40" s="47">
        <f t="shared" si="4"/>
        <v>594.2045454545455</v>
      </c>
      <c r="AE40" s="140"/>
      <c r="AF40" s="113">
        <f t="shared" si="25"/>
        <v>0</v>
      </c>
      <c r="AG40" s="106">
        <v>2025</v>
      </c>
      <c r="AH40" s="26" t="str">
        <f t="shared" si="22"/>
        <v/>
      </c>
      <c r="AI40" s="26" t="str">
        <f t="shared" si="22"/>
        <v/>
      </c>
      <c r="AJ40" s="26" t="str">
        <f t="shared" si="22"/>
        <v/>
      </c>
      <c r="AK40" s="26" t="str">
        <f t="shared" si="22"/>
        <v>Crack Seal</v>
      </c>
      <c r="AL40" s="26" t="str">
        <f t="shared" si="22"/>
        <v/>
      </c>
      <c r="AM40" s="26" t="str">
        <f t="shared" si="22"/>
        <v/>
      </c>
      <c r="AN40" s="26" t="str">
        <f t="shared" si="7"/>
        <v>Crack Seal</v>
      </c>
      <c r="AO40" s="26" t="str">
        <f t="shared" si="8"/>
        <v/>
      </c>
      <c r="AP40" s="26" t="str">
        <f t="shared" si="9"/>
        <v/>
      </c>
      <c r="AQ40" s="68">
        <f t="shared" si="26"/>
        <v>8</v>
      </c>
      <c r="AR40" s="68">
        <f t="shared" si="27"/>
        <v>3</v>
      </c>
      <c r="AS40" s="68">
        <f t="shared" si="12"/>
        <v>1.1000000000000001</v>
      </c>
      <c r="AT40" s="68">
        <f t="shared" si="13"/>
        <v>1.1000000000000001</v>
      </c>
      <c r="AU40" s="68">
        <f t="shared" si="14"/>
        <v>1.1000000000000001</v>
      </c>
      <c r="AV40" s="68">
        <f t="shared" si="15"/>
        <v>1.1000000000000001</v>
      </c>
      <c r="AW40" s="68">
        <f t="shared" si="16"/>
        <v>1.05</v>
      </c>
      <c r="AX40" s="68">
        <f t="shared" ca="1" si="28"/>
        <v>1.1000000000000001</v>
      </c>
      <c r="AY40" s="68"/>
      <c r="AZ40" s="68"/>
      <c r="BA40" s="106" t="str">
        <f t="shared" si="18"/>
        <v/>
      </c>
      <c r="BB40" s="178"/>
      <c r="BC40" s="178"/>
      <c r="BD40" s="178"/>
      <c r="BE40" s="178"/>
      <c r="BF40" s="178">
        <v>3</v>
      </c>
      <c r="BG40" s="178"/>
      <c r="BH40" s="178"/>
      <c r="BI40" s="33"/>
      <c r="BK40" s="48">
        <f>$G40/5280*VLOOKUP($AC40,'Cost and Score'!$B$27:$O$40,6,0)</f>
        <v>0.11003787878787878</v>
      </c>
      <c r="BL40" s="48">
        <f>$G40/5280*VLOOKUP($AC40,'Cost and Score'!$B$27:$O$40,7,0)</f>
        <v>0</v>
      </c>
      <c r="BM40" s="48">
        <f>$G40/5280*VLOOKUP($AC40,'Cost and Score'!$B$27:$O$40,8,0)</f>
        <v>0</v>
      </c>
      <c r="BN40" s="48">
        <f>$G40/5280*VLOOKUP($AC40,'Cost and Score'!$B$27:$O$40,9,0)</f>
        <v>0</v>
      </c>
      <c r="BO40" s="48">
        <f>$G40/5280*VLOOKUP($AC40,'Cost and Score'!$B$27:$O$40,10,0)</f>
        <v>0</v>
      </c>
      <c r="BP40" s="48">
        <f>$G40/5280*VLOOKUP($AC40,'Cost and Score'!$B$27:$O$40,11,0)</f>
        <v>0</v>
      </c>
      <c r="BQ40" s="48">
        <f>$G40/5280*VLOOKUP($AC40,'Cost and Score'!$B$27:$O$40,12,0)</f>
        <v>0</v>
      </c>
      <c r="BR40" s="48">
        <f>$G40/5280*VLOOKUP($AC40,'Cost and Score'!$B$27:$O$40,13,0)</f>
        <v>0</v>
      </c>
      <c r="BS40" s="48">
        <f>$G40/5280*VLOOKUP($AC40,'Cost and Score'!$B$27:$O$40,14,0)</f>
        <v>0</v>
      </c>
      <c r="BT40" s="220">
        <f t="shared" si="19"/>
        <v>0.11003787878787878</v>
      </c>
      <c r="CG40" s="112"/>
      <c r="CH40" s="112"/>
      <c r="CI40" s="112"/>
      <c r="CJ40" s="112"/>
      <c r="CK40" s="112"/>
      <c r="CL40" s="112"/>
      <c r="CM40" s="112"/>
      <c r="CR40" s="112"/>
    </row>
    <row r="41" spans="1:103" s="2" customFormat="1" ht="14.45" hidden="1" customHeight="1" x14ac:dyDescent="0.25">
      <c r="A41" s="36" t="s">
        <v>2118</v>
      </c>
      <c r="B41" s="34" t="s">
        <v>136</v>
      </c>
      <c r="C41" s="26" t="s">
        <v>136</v>
      </c>
      <c r="D41" s="26"/>
      <c r="E41" s="26" t="s">
        <v>64</v>
      </c>
      <c r="F41" s="26" t="s">
        <v>73</v>
      </c>
      <c r="G41" s="29">
        <v>5386</v>
      </c>
      <c r="H41" s="29">
        <f t="shared" si="23"/>
        <v>20</v>
      </c>
      <c r="I41" s="26" t="s">
        <v>8</v>
      </c>
      <c r="J41" s="26" t="s">
        <v>26</v>
      </c>
      <c r="K41" s="26">
        <f>VLOOKUP(J41,TOWNSHIPS,2,FALSE)</f>
        <v>0</v>
      </c>
      <c r="L41" s="42">
        <v>6</v>
      </c>
      <c r="M41" s="42">
        <v>6</v>
      </c>
      <c r="N41" s="42">
        <v>6</v>
      </c>
      <c r="O41" s="42">
        <v>8</v>
      </c>
      <c r="P41" s="42">
        <v>7</v>
      </c>
      <c r="Q41" s="42">
        <v>7</v>
      </c>
      <c r="R41" s="42">
        <v>7</v>
      </c>
      <c r="S41" s="42">
        <v>7</v>
      </c>
      <c r="T41" s="42">
        <v>7</v>
      </c>
      <c r="U41" s="42">
        <v>7</v>
      </c>
      <c r="V41" s="42">
        <v>2022</v>
      </c>
      <c r="W41" s="42">
        <v>2022</v>
      </c>
      <c r="X41" s="42" t="s">
        <v>2612</v>
      </c>
      <c r="Y41" s="26">
        <v>801</v>
      </c>
      <c r="Z41" s="26">
        <f t="shared" si="24"/>
        <v>0.5</v>
      </c>
      <c r="AA41" s="26" t="s">
        <v>119</v>
      </c>
      <c r="AB41" s="111">
        <f t="shared" si="3"/>
        <v>3.5</v>
      </c>
      <c r="AC41" s="26" t="s">
        <v>2073</v>
      </c>
      <c r="AD41" s="47">
        <f t="shared" si="4"/>
        <v>32642.424242424244</v>
      </c>
      <c r="AE41" s="140"/>
      <c r="AF41" s="113">
        <f t="shared" si="25"/>
        <v>0</v>
      </c>
      <c r="AG41" s="26">
        <v>2027</v>
      </c>
      <c r="AH41" s="26" t="str">
        <f t="shared" si="22"/>
        <v/>
      </c>
      <c r="AI41" s="26" t="str">
        <f t="shared" si="22"/>
        <v/>
      </c>
      <c r="AJ41" s="26" t="str">
        <f t="shared" si="22"/>
        <v/>
      </c>
      <c r="AK41" s="26" t="str">
        <f t="shared" si="22"/>
        <v/>
      </c>
      <c r="AL41" s="26" t="str">
        <f t="shared" si="22"/>
        <v/>
      </c>
      <c r="AM41" s="26" t="str">
        <f t="shared" si="22"/>
        <v>Chip Seal - Double and Fog</v>
      </c>
      <c r="AN41" s="26" t="str">
        <f t="shared" si="7"/>
        <v>Chip Seal - Double and Fog</v>
      </c>
      <c r="AO41" s="26" t="str">
        <f t="shared" si="8"/>
        <v/>
      </c>
      <c r="AP41" s="26" t="str">
        <f t="shared" si="9"/>
        <v/>
      </c>
      <c r="AQ41" s="68">
        <f t="shared" si="26"/>
        <v>12</v>
      </c>
      <c r="AR41" s="68">
        <f t="shared" si="27"/>
        <v>6</v>
      </c>
      <c r="AS41" s="68">
        <f t="shared" si="12"/>
        <v>1.1000000000000001</v>
      </c>
      <c r="AT41" s="68">
        <f t="shared" si="13"/>
        <v>1.1000000000000001</v>
      </c>
      <c r="AU41" s="68">
        <f t="shared" si="14"/>
        <v>1.1000000000000001</v>
      </c>
      <c r="AV41" s="68">
        <f t="shared" si="15"/>
        <v>1</v>
      </c>
      <c r="AW41" s="68">
        <f t="shared" si="16"/>
        <v>1.05</v>
      </c>
      <c r="AX41" s="68">
        <f t="shared" ca="1" si="28"/>
        <v>3.3000000000000003</v>
      </c>
      <c r="AY41" s="106">
        <v>2015</v>
      </c>
      <c r="AZ41" s="106" t="s">
        <v>2075</v>
      </c>
      <c r="BA41" s="106" t="str">
        <f t="shared" si="18"/>
        <v/>
      </c>
      <c r="BB41" s="177"/>
      <c r="BC41" s="177">
        <v>3</v>
      </c>
      <c r="BD41" s="177"/>
      <c r="BE41" s="177"/>
      <c r="BF41" s="177"/>
      <c r="BG41" s="177"/>
      <c r="BH41" s="177"/>
      <c r="BI41" s="33"/>
      <c r="BK41" s="48">
        <f>$G41/5280*VLOOKUP($AC41,'Cost and Score'!$B$27:$O$40,6,0)</f>
        <v>0.51003787878787876</v>
      </c>
      <c r="BL41" s="48">
        <f>$G41/5280*VLOOKUP($AC41,'Cost and Score'!$B$27:$O$40,7,0)</f>
        <v>51.003787878787875</v>
      </c>
      <c r="BM41" s="48">
        <f>$G41/5280*VLOOKUP($AC41,'Cost and Score'!$B$27:$O$40,8,0)</f>
        <v>0</v>
      </c>
      <c r="BN41" s="48">
        <f>$G41/5280*VLOOKUP($AC41,'Cost and Score'!$B$27:$O$40,9,0)</f>
        <v>9690.7196969696961</v>
      </c>
      <c r="BO41" s="48">
        <f>$G41/5280*VLOOKUP($AC41,'Cost and Score'!$B$27:$O$40,10,0)</f>
        <v>1020.0757575757575</v>
      </c>
      <c r="BP41" s="48">
        <f>$G41/5280*VLOOKUP($AC41,'Cost and Score'!$B$27:$O$40,11,0)</f>
        <v>0</v>
      </c>
      <c r="BQ41" s="48">
        <f>$G41/5280*VLOOKUP($AC41,'Cost and Score'!$B$27:$O$40,12,0)</f>
        <v>204.0151515151515</v>
      </c>
      <c r="BR41" s="48">
        <f>$G41/5280*VLOOKUP($AC41,'Cost and Score'!$B$27:$O$40,13,0)</f>
        <v>183.61363636363635</v>
      </c>
      <c r="BS41" s="48">
        <f>$G41/5280*VLOOKUP($AC41,'Cost and Score'!$B$27:$O$40,14,0)</f>
        <v>244.81818181818181</v>
      </c>
      <c r="BT41" s="220">
        <f t="shared" si="19"/>
        <v>1.0200757575757575</v>
      </c>
      <c r="BY41" s="2" t="s">
        <v>2072</v>
      </c>
      <c r="BZ41" s="27">
        <v>45000</v>
      </c>
      <c r="CA41" s="2" t="s">
        <v>2082</v>
      </c>
    </row>
    <row r="42" spans="1:103" s="2" customFormat="1" ht="14.45" hidden="1" customHeight="1" x14ac:dyDescent="0.25">
      <c r="A42" s="36" t="s">
        <v>2122</v>
      </c>
      <c r="B42" s="34" t="s">
        <v>137</v>
      </c>
      <c r="C42" s="26" t="s">
        <v>137</v>
      </c>
      <c r="D42" s="26"/>
      <c r="E42" s="26" t="s">
        <v>138</v>
      </c>
      <c r="F42" s="26" t="s">
        <v>135</v>
      </c>
      <c r="G42" s="29">
        <v>5350</v>
      </c>
      <c r="H42" s="29">
        <f t="shared" si="23"/>
        <v>20</v>
      </c>
      <c r="I42" s="26" t="s">
        <v>8</v>
      </c>
      <c r="J42" s="26" t="s">
        <v>125</v>
      </c>
      <c r="K42" s="26">
        <f>VLOOKUP(J42,TOWNSHIPS,2,FALSE)</f>
        <v>0</v>
      </c>
      <c r="L42" s="42">
        <v>7</v>
      </c>
      <c r="M42" s="42">
        <v>8</v>
      </c>
      <c r="N42" s="42">
        <v>8</v>
      </c>
      <c r="O42" s="42">
        <v>8</v>
      </c>
      <c r="P42" s="42">
        <v>8</v>
      </c>
      <c r="Q42" s="42">
        <v>8</v>
      </c>
      <c r="R42" s="42">
        <v>7</v>
      </c>
      <c r="S42" s="42">
        <v>7</v>
      </c>
      <c r="T42" s="42">
        <v>7</v>
      </c>
      <c r="U42" s="42">
        <v>7</v>
      </c>
      <c r="V42" s="42">
        <v>2022</v>
      </c>
      <c r="W42" s="42">
        <v>2017</v>
      </c>
      <c r="X42" s="42" t="s">
        <v>2612</v>
      </c>
      <c r="Y42" s="26">
        <v>2940</v>
      </c>
      <c r="Z42" s="26">
        <f t="shared" si="24"/>
        <v>1.5</v>
      </c>
      <c r="AA42" s="26" t="s">
        <v>119</v>
      </c>
      <c r="AB42" s="111">
        <f t="shared" si="3"/>
        <v>3.5</v>
      </c>
      <c r="AC42" s="26" t="s">
        <v>13</v>
      </c>
      <c r="AD42" s="47">
        <f t="shared" si="4"/>
        <v>21278.409090909092</v>
      </c>
      <c r="AE42" s="140"/>
      <c r="AF42" s="113">
        <f t="shared" si="25"/>
        <v>0</v>
      </c>
      <c r="AG42" s="82">
        <v>2022</v>
      </c>
      <c r="AH42" s="26" t="str">
        <f t="shared" ref="AH42:AM48" si="29">IF($AG42=AH$1,VLOOKUP($AC42,RSL,3,FALSE),"")</f>
        <v>Chip Seal and Fog</v>
      </c>
      <c r="AI42" s="26" t="str">
        <f t="shared" si="29"/>
        <v/>
      </c>
      <c r="AJ42" s="26" t="str">
        <f t="shared" si="29"/>
        <v/>
      </c>
      <c r="AK42" s="26" t="str">
        <f t="shared" si="29"/>
        <v/>
      </c>
      <c r="AL42" s="26" t="str">
        <f t="shared" si="29"/>
        <v/>
      </c>
      <c r="AM42" s="26" t="str">
        <f t="shared" si="29"/>
        <v/>
      </c>
      <c r="AN42" s="26" t="str">
        <f t="shared" si="7"/>
        <v>Chip Seal and Fog</v>
      </c>
      <c r="AO42" s="26" t="str">
        <f t="shared" si="8"/>
        <v/>
      </c>
      <c r="AP42" s="26" t="str">
        <f t="shared" si="9"/>
        <v/>
      </c>
      <c r="AQ42" s="68">
        <f t="shared" si="26"/>
        <v>12</v>
      </c>
      <c r="AR42" s="68">
        <f t="shared" si="27"/>
        <v>6</v>
      </c>
      <c r="AS42" s="68">
        <f t="shared" si="12"/>
        <v>1.05</v>
      </c>
      <c r="AT42" s="68">
        <f t="shared" si="13"/>
        <v>1</v>
      </c>
      <c r="AU42" s="68">
        <f t="shared" si="14"/>
        <v>1</v>
      </c>
      <c r="AV42" s="68">
        <f t="shared" si="15"/>
        <v>1</v>
      </c>
      <c r="AW42" s="68">
        <f t="shared" si="16"/>
        <v>1</v>
      </c>
      <c r="AX42" s="68">
        <f t="shared" ca="1" si="28"/>
        <v>-2</v>
      </c>
      <c r="AY42" s="106">
        <v>2015</v>
      </c>
      <c r="AZ42" s="106" t="s">
        <v>13</v>
      </c>
      <c r="BA42" s="106" t="str">
        <f t="shared" si="18"/>
        <v/>
      </c>
      <c r="BB42" s="177"/>
      <c r="BC42" s="177">
        <v>6</v>
      </c>
      <c r="BD42" s="177"/>
      <c r="BE42" s="177"/>
      <c r="BF42" s="177"/>
      <c r="BG42" s="177"/>
      <c r="BH42" s="177"/>
      <c r="BI42" s="33" t="s">
        <v>2100</v>
      </c>
      <c r="BK42" s="48">
        <f>$G42/5280*VLOOKUP($AC42,'Cost and Score'!$B$27:$O$40,6,0)</f>
        <v>0.20265151515151514</v>
      </c>
      <c r="BL42" s="48">
        <f>$G42/5280*VLOOKUP($AC42,'Cost and Score'!$B$27:$O$40,7,0)</f>
        <v>22.291666666666664</v>
      </c>
      <c r="BM42" s="48">
        <f>$G42/5280*VLOOKUP($AC42,'Cost and Score'!$B$27:$O$40,8,0)</f>
        <v>0</v>
      </c>
      <c r="BN42" s="48">
        <f>$G42/5280*VLOOKUP($AC42,'Cost and Score'!$B$27:$O$40,9,0)</f>
        <v>4559.659090909091</v>
      </c>
      <c r="BO42" s="48">
        <f>$G42/5280*VLOOKUP($AC42,'Cost and Score'!$B$27:$O$40,10,0)</f>
        <v>1013.2575757575756</v>
      </c>
      <c r="BP42" s="48">
        <f>$G42/5280*VLOOKUP($AC42,'Cost and Score'!$B$27:$O$40,11,0)</f>
        <v>0</v>
      </c>
      <c r="BQ42" s="48">
        <f>$G42/5280*VLOOKUP($AC42,'Cost and Score'!$B$27:$O$40,12,0)</f>
        <v>101.32575757575756</v>
      </c>
      <c r="BR42" s="48">
        <f>$G42/5280*VLOOKUP($AC42,'Cost and Score'!$B$27:$O$40,13,0)</f>
        <v>121.59090909090908</v>
      </c>
      <c r="BS42" s="48">
        <f>$G42/5280*VLOOKUP($AC42,'Cost and Score'!$B$27:$O$40,14,0)</f>
        <v>0</v>
      </c>
      <c r="BT42" s="220">
        <f t="shared" si="19"/>
        <v>1.0132575757575757</v>
      </c>
      <c r="CR42" s="112"/>
    </row>
    <row r="43" spans="1:103" s="2" customFormat="1" ht="14.45" customHeight="1" x14ac:dyDescent="0.25">
      <c r="A43" s="36" t="s">
        <v>250</v>
      </c>
      <c r="B43" s="34" t="s">
        <v>247</v>
      </c>
      <c r="C43" s="26" t="s">
        <v>247</v>
      </c>
      <c r="D43" s="26"/>
      <c r="E43" s="26" t="s">
        <v>248</v>
      </c>
      <c r="F43" s="26" t="s">
        <v>249</v>
      </c>
      <c r="G43" s="29">
        <v>2376</v>
      </c>
      <c r="H43" s="29">
        <f t="shared" si="23"/>
        <v>20</v>
      </c>
      <c r="I43" s="26" t="s">
        <v>8</v>
      </c>
      <c r="J43" s="26" t="s">
        <v>11</v>
      </c>
      <c r="K43" s="26">
        <f>VLOOKUP(J43,TOWNSHIPS,2,FALSE)</f>
        <v>0</v>
      </c>
      <c r="L43" s="42">
        <v>7</v>
      </c>
      <c r="M43" s="42">
        <v>7</v>
      </c>
      <c r="N43" s="42">
        <v>7</v>
      </c>
      <c r="O43" s="42">
        <v>7</v>
      </c>
      <c r="P43" s="42">
        <v>7</v>
      </c>
      <c r="Q43" s="42">
        <v>7</v>
      </c>
      <c r="R43" s="42">
        <v>7</v>
      </c>
      <c r="S43" s="42">
        <v>7</v>
      </c>
      <c r="T43" s="42">
        <v>7</v>
      </c>
      <c r="U43" s="42">
        <v>7</v>
      </c>
      <c r="V43" s="42"/>
      <c r="W43" s="42"/>
      <c r="X43" s="42"/>
      <c r="Y43" s="26">
        <v>6778</v>
      </c>
      <c r="Z43" s="26">
        <f t="shared" si="24"/>
        <v>1.5</v>
      </c>
      <c r="AA43" s="26" t="s">
        <v>246</v>
      </c>
      <c r="AB43" s="111">
        <f t="shared" si="3"/>
        <v>4.5</v>
      </c>
      <c r="AC43" s="26" t="s">
        <v>13</v>
      </c>
      <c r="AD43" s="47">
        <f t="shared" si="4"/>
        <v>9450</v>
      </c>
      <c r="AE43" s="140"/>
      <c r="AF43" s="113">
        <f t="shared" si="25"/>
        <v>0</v>
      </c>
      <c r="AG43" s="106">
        <v>2025</v>
      </c>
      <c r="AH43" s="26" t="str">
        <f t="shared" si="29"/>
        <v/>
      </c>
      <c r="AI43" s="26" t="str">
        <f t="shared" si="29"/>
        <v/>
      </c>
      <c r="AJ43" s="26" t="str">
        <f t="shared" si="29"/>
        <v/>
      </c>
      <c r="AK43" s="26" t="str">
        <f t="shared" si="29"/>
        <v>Chip Seal and Fog</v>
      </c>
      <c r="AL43" s="26" t="str">
        <f t="shared" si="29"/>
        <v/>
      </c>
      <c r="AM43" s="26" t="str">
        <f t="shared" si="29"/>
        <v/>
      </c>
      <c r="AN43" s="26" t="str">
        <f t="shared" si="7"/>
        <v>Chip Seal and Fog</v>
      </c>
      <c r="AO43" s="26" t="str">
        <f t="shared" si="8"/>
        <v/>
      </c>
      <c r="AP43" s="26" t="str">
        <f t="shared" si="9"/>
        <v/>
      </c>
      <c r="AQ43" s="68">
        <f t="shared" si="26"/>
        <v>10</v>
      </c>
      <c r="AR43" s="68">
        <f t="shared" si="27"/>
        <v>6</v>
      </c>
      <c r="AS43" s="68">
        <f t="shared" si="12"/>
        <v>1.05</v>
      </c>
      <c r="AT43" s="68">
        <f t="shared" si="13"/>
        <v>1.05</v>
      </c>
      <c r="AU43" s="68">
        <f t="shared" si="14"/>
        <v>1.05</v>
      </c>
      <c r="AV43" s="68">
        <f t="shared" si="15"/>
        <v>1.05</v>
      </c>
      <c r="AW43" s="68">
        <f t="shared" si="16"/>
        <v>1.05</v>
      </c>
      <c r="AX43" s="68">
        <f t="shared" ca="1" si="28"/>
        <v>1.05</v>
      </c>
      <c r="AY43" s="106">
        <v>2019</v>
      </c>
      <c r="AZ43" s="106" t="s">
        <v>13</v>
      </c>
      <c r="BA43" s="106" t="str">
        <f t="shared" si="18"/>
        <v/>
      </c>
      <c r="BB43" s="177"/>
      <c r="BC43" s="177">
        <v>4</v>
      </c>
      <c r="BD43" s="177"/>
      <c r="BE43" s="177"/>
      <c r="BF43" s="177"/>
      <c r="BG43" s="177"/>
      <c r="BH43" s="177"/>
      <c r="BI43" s="33" t="s">
        <v>2100</v>
      </c>
      <c r="BK43" s="48">
        <f>$G43/5280*VLOOKUP($AC43,'Cost and Score'!$B$27:$O$40,6,0)</f>
        <v>9.0000000000000011E-2</v>
      </c>
      <c r="BL43" s="48">
        <f>$G43/5280*VLOOKUP($AC43,'Cost and Score'!$B$27:$O$40,7,0)</f>
        <v>9.9</v>
      </c>
      <c r="BM43" s="48">
        <f>$G43/5280*VLOOKUP($AC43,'Cost and Score'!$B$27:$O$40,8,0)</f>
        <v>0</v>
      </c>
      <c r="BN43" s="48">
        <f>$G43/5280*VLOOKUP($AC43,'Cost and Score'!$B$27:$O$40,9,0)</f>
        <v>2025</v>
      </c>
      <c r="BO43" s="48">
        <f>$G43/5280*VLOOKUP($AC43,'Cost and Score'!$B$27:$O$40,10,0)</f>
        <v>450</v>
      </c>
      <c r="BP43" s="48">
        <f>$G43/5280*VLOOKUP($AC43,'Cost and Score'!$B$27:$O$40,11,0)</f>
        <v>0</v>
      </c>
      <c r="BQ43" s="48">
        <f>$G43/5280*VLOOKUP($AC43,'Cost and Score'!$B$27:$O$40,12,0)</f>
        <v>45</v>
      </c>
      <c r="BR43" s="48">
        <f>$G43/5280*VLOOKUP($AC43,'Cost and Score'!$B$27:$O$40,13,0)</f>
        <v>54</v>
      </c>
      <c r="BS43" s="48">
        <f>$G43/5280*VLOOKUP($AC43,'Cost and Score'!$B$27:$O$40,14,0)</f>
        <v>0</v>
      </c>
      <c r="BT43" s="220">
        <f t="shared" si="19"/>
        <v>0.45</v>
      </c>
    </row>
    <row r="44" spans="1:103" s="2" customFormat="1" x14ac:dyDescent="0.25">
      <c r="A44" s="36" t="s">
        <v>1224</v>
      </c>
      <c r="B44" s="34" t="s">
        <v>1223</v>
      </c>
      <c r="C44" s="26" t="s">
        <v>1223</v>
      </c>
      <c r="D44" s="82"/>
      <c r="E44" s="82" t="s">
        <v>193</v>
      </c>
      <c r="F44" s="82" t="s">
        <v>197</v>
      </c>
      <c r="G44" s="29">
        <v>5416</v>
      </c>
      <c r="H44" s="29">
        <f t="shared" si="23"/>
        <v>20</v>
      </c>
      <c r="I44" s="26" t="s">
        <v>8</v>
      </c>
      <c r="J44" s="26" t="s">
        <v>125</v>
      </c>
      <c r="K44" s="26">
        <f>VLOOKUP(J44,TOWNSHIPS,2,FALSE)</f>
        <v>0</v>
      </c>
      <c r="L44" s="42">
        <v>7</v>
      </c>
      <c r="M44" s="42">
        <v>7</v>
      </c>
      <c r="N44" s="42">
        <v>6</v>
      </c>
      <c r="O44" s="83">
        <v>9</v>
      </c>
      <c r="P44" s="83">
        <v>8</v>
      </c>
      <c r="Q44" s="83">
        <v>7</v>
      </c>
      <c r="R44" s="83">
        <v>7</v>
      </c>
      <c r="S44" s="83">
        <v>7</v>
      </c>
      <c r="T44" s="83">
        <v>6</v>
      </c>
      <c r="U44" s="83">
        <v>6</v>
      </c>
      <c r="V44" s="42"/>
      <c r="W44" s="42">
        <v>2020</v>
      </c>
      <c r="X44" s="42" t="s">
        <v>2612</v>
      </c>
      <c r="Y44" s="26">
        <v>4173</v>
      </c>
      <c r="Z44" s="26">
        <f t="shared" si="24"/>
        <v>1.5</v>
      </c>
      <c r="AA44" s="82" t="s">
        <v>138</v>
      </c>
      <c r="AB44" s="111">
        <f t="shared" si="3"/>
        <v>3.5</v>
      </c>
      <c r="AC44" s="26" t="s">
        <v>13</v>
      </c>
      <c r="AD44" s="84">
        <f t="shared" si="4"/>
        <v>21540.909090909092</v>
      </c>
      <c r="AE44" s="140"/>
      <c r="AF44" s="113">
        <f t="shared" si="25"/>
        <v>0</v>
      </c>
      <c r="AG44" s="106">
        <v>2025</v>
      </c>
      <c r="AH44" s="26" t="str">
        <f t="shared" si="29"/>
        <v/>
      </c>
      <c r="AI44" s="26" t="str">
        <f t="shared" si="29"/>
        <v/>
      </c>
      <c r="AJ44" s="26" t="str">
        <f t="shared" si="29"/>
        <v/>
      </c>
      <c r="AK44" s="26" t="str">
        <f t="shared" si="29"/>
        <v>Chip Seal and Fog</v>
      </c>
      <c r="AL44" s="26" t="str">
        <f t="shared" si="29"/>
        <v/>
      </c>
      <c r="AM44" s="26" t="str">
        <f t="shared" si="29"/>
        <v/>
      </c>
      <c r="AN44" s="26" t="str">
        <f t="shared" si="7"/>
        <v>Chip Seal and Fog</v>
      </c>
      <c r="AO44" s="26" t="str">
        <f t="shared" si="8"/>
        <v/>
      </c>
      <c r="AP44" s="26" t="str">
        <f t="shared" si="9"/>
        <v/>
      </c>
      <c r="AQ44" s="68">
        <f t="shared" si="26"/>
        <v>14</v>
      </c>
      <c r="AR44" s="68">
        <f t="shared" si="27"/>
        <v>6</v>
      </c>
      <c r="AS44" s="68">
        <f t="shared" si="12"/>
        <v>1.05</v>
      </c>
      <c r="AT44" s="68">
        <f t="shared" si="13"/>
        <v>1.05</v>
      </c>
      <c r="AU44" s="68">
        <f t="shared" si="14"/>
        <v>1.1000000000000001</v>
      </c>
      <c r="AV44" s="68">
        <f t="shared" si="15"/>
        <v>1</v>
      </c>
      <c r="AW44" s="68">
        <f t="shared" si="16"/>
        <v>1</v>
      </c>
      <c r="AX44" s="68">
        <f t="shared" ca="1" si="28"/>
        <v>1.1000000000000001</v>
      </c>
      <c r="AY44" s="68">
        <v>2019</v>
      </c>
      <c r="AZ44" s="68" t="s">
        <v>2075</v>
      </c>
      <c r="BA44" s="106" t="str">
        <f t="shared" si="18"/>
        <v/>
      </c>
      <c r="BB44" s="178"/>
      <c r="BC44" s="178">
        <v>6</v>
      </c>
      <c r="BD44" s="178"/>
      <c r="BE44" s="178"/>
      <c r="BF44" s="178"/>
      <c r="BG44" s="178"/>
      <c r="BH44" s="178"/>
      <c r="BI44" s="33"/>
      <c r="BK44" s="48">
        <f>$G44/5280*VLOOKUP($AC44,'Cost and Score'!$B$27:$O$40,6,0)</f>
        <v>0.2051515151515152</v>
      </c>
      <c r="BL44" s="48">
        <f>$G44/5280*VLOOKUP($AC44,'Cost and Score'!$B$27:$O$40,7,0)</f>
        <v>22.56666666666667</v>
      </c>
      <c r="BM44" s="48">
        <f>$G44/5280*VLOOKUP($AC44,'Cost and Score'!$B$27:$O$40,8,0)</f>
        <v>0</v>
      </c>
      <c r="BN44" s="48">
        <f>$G44/5280*VLOOKUP($AC44,'Cost and Score'!$B$27:$O$40,9,0)</f>
        <v>4615.909090909091</v>
      </c>
      <c r="BO44" s="48">
        <f>$G44/5280*VLOOKUP($AC44,'Cost and Score'!$B$27:$O$40,10,0)</f>
        <v>1025.757575757576</v>
      </c>
      <c r="BP44" s="48">
        <f>$G44/5280*VLOOKUP($AC44,'Cost and Score'!$B$27:$O$40,11,0)</f>
        <v>0</v>
      </c>
      <c r="BQ44" s="48">
        <f>$G44/5280*VLOOKUP($AC44,'Cost and Score'!$B$27:$O$40,12,0)</f>
        <v>102.57575757575759</v>
      </c>
      <c r="BR44" s="48">
        <f>$G44/5280*VLOOKUP($AC44,'Cost and Score'!$B$27:$O$40,13,0)</f>
        <v>123.09090909090911</v>
      </c>
      <c r="BS44" s="48">
        <f>$G44/5280*VLOOKUP($AC44,'Cost and Score'!$B$27:$O$40,14,0)</f>
        <v>0</v>
      </c>
      <c r="BT44" s="220">
        <f t="shared" si="19"/>
        <v>1.0257575757575759</v>
      </c>
    </row>
    <row r="45" spans="1:103" s="2" customFormat="1" ht="14.45" hidden="1" customHeight="1" x14ac:dyDescent="0.25">
      <c r="A45" s="15" t="s">
        <v>145</v>
      </c>
      <c r="B45" s="34" t="s">
        <v>143</v>
      </c>
      <c r="C45" s="26" t="s">
        <v>143</v>
      </c>
      <c r="D45" s="26"/>
      <c r="E45" s="26" t="s">
        <v>144</v>
      </c>
      <c r="F45" s="26" t="s">
        <v>116</v>
      </c>
      <c r="G45" s="29">
        <v>1334</v>
      </c>
      <c r="H45" s="29">
        <f t="shared" si="23"/>
        <v>20</v>
      </c>
      <c r="I45" s="26" t="s">
        <v>8</v>
      </c>
      <c r="J45" s="26" t="s">
        <v>101</v>
      </c>
      <c r="K45" s="26">
        <v>0</v>
      </c>
      <c r="L45" s="42">
        <v>7</v>
      </c>
      <c r="M45" s="42">
        <v>5</v>
      </c>
      <c r="N45" s="42">
        <v>10</v>
      </c>
      <c r="O45" s="42">
        <v>9</v>
      </c>
      <c r="P45" s="42">
        <v>8</v>
      </c>
      <c r="Q45" s="42">
        <v>8</v>
      </c>
      <c r="R45" s="42">
        <v>7</v>
      </c>
      <c r="S45" s="42">
        <v>7</v>
      </c>
      <c r="T45" s="42">
        <v>7</v>
      </c>
      <c r="U45" s="42">
        <v>7</v>
      </c>
      <c r="V45" s="42">
        <v>2022</v>
      </c>
      <c r="W45" s="42">
        <v>2022</v>
      </c>
      <c r="X45" s="42" t="s">
        <v>2612</v>
      </c>
      <c r="Y45" s="26">
        <v>4670</v>
      </c>
      <c r="Z45" s="26">
        <f t="shared" si="24"/>
        <v>1.5</v>
      </c>
      <c r="AA45" s="26" t="s">
        <v>119</v>
      </c>
      <c r="AB45" s="111">
        <f t="shared" si="3"/>
        <v>3.5</v>
      </c>
      <c r="AC45" s="85" t="s">
        <v>2073</v>
      </c>
      <c r="AD45" s="47">
        <f t="shared" si="4"/>
        <v>8084.848484848485</v>
      </c>
      <c r="AE45" s="140"/>
      <c r="AF45" s="113">
        <f t="shared" si="25"/>
        <v>0</v>
      </c>
      <c r="AG45" s="26">
        <v>2027</v>
      </c>
      <c r="AH45" s="26" t="str">
        <f t="shared" si="29"/>
        <v/>
      </c>
      <c r="AI45" s="26" t="str">
        <f t="shared" si="29"/>
        <v/>
      </c>
      <c r="AJ45" s="26" t="str">
        <f t="shared" si="29"/>
        <v/>
      </c>
      <c r="AK45" s="26" t="str">
        <f t="shared" si="29"/>
        <v/>
      </c>
      <c r="AL45" s="26" t="str">
        <f t="shared" si="29"/>
        <v/>
      </c>
      <c r="AM45" s="26" t="str">
        <f t="shared" si="29"/>
        <v>Chip Seal - Double and Fog</v>
      </c>
      <c r="AN45" s="26" t="str">
        <f t="shared" si="7"/>
        <v>Chip Seal - Double and Fog</v>
      </c>
      <c r="AO45" s="26" t="str">
        <f t="shared" si="8"/>
        <v>Crack Seal</v>
      </c>
      <c r="AP45" s="26" t="str">
        <f t="shared" si="9"/>
        <v/>
      </c>
      <c r="AQ45" s="68">
        <f t="shared" si="26"/>
        <v>14</v>
      </c>
      <c r="AR45" s="68">
        <f t="shared" si="27"/>
        <v>6</v>
      </c>
      <c r="AS45" s="68">
        <f t="shared" si="12"/>
        <v>1.05</v>
      </c>
      <c r="AT45" s="68">
        <f t="shared" si="13"/>
        <v>1.25</v>
      </c>
      <c r="AU45" s="68">
        <f t="shared" si="14"/>
        <v>1</v>
      </c>
      <c r="AV45" s="68">
        <f t="shared" si="15"/>
        <v>1</v>
      </c>
      <c r="AW45" s="68">
        <f t="shared" si="16"/>
        <v>1</v>
      </c>
      <c r="AX45" s="68">
        <f t="shared" ca="1" si="28"/>
        <v>3</v>
      </c>
      <c r="AY45" s="106">
        <v>2021</v>
      </c>
      <c r="AZ45" s="106" t="s">
        <v>2075</v>
      </c>
      <c r="BA45" s="106" t="str">
        <f t="shared" si="18"/>
        <v/>
      </c>
      <c r="BB45" s="177"/>
      <c r="BC45" s="177">
        <v>6</v>
      </c>
      <c r="BD45" s="177"/>
      <c r="BE45" s="177"/>
      <c r="BF45" s="177"/>
      <c r="BG45" s="177"/>
      <c r="BH45" s="177"/>
      <c r="BI45" s="33"/>
      <c r="BK45" s="48">
        <f>$G45/5280*VLOOKUP($AC45,'Cost and Score'!$B$27:$O$40,6,0)</f>
        <v>0.12632575757575756</v>
      </c>
      <c r="BL45" s="48">
        <f>$G45/5280*VLOOKUP($AC45,'Cost and Score'!$B$27:$O$40,7,0)</f>
        <v>12.632575757575756</v>
      </c>
      <c r="BM45" s="48">
        <f>$G45/5280*VLOOKUP($AC45,'Cost and Score'!$B$27:$O$40,8,0)</f>
        <v>0</v>
      </c>
      <c r="BN45" s="48">
        <f>$G45/5280*VLOOKUP($AC45,'Cost and Score'!$B$27:$O$40,9,0)</f>
        <v>2400.1893939393935</v>
      </c>
      <c r="BO45" s="48">
        <f>$G45/5280*VLOOKUP($AC45,'Cost and Score'!$B$27:$O$40,10,0)</f>
        <v>252.65151515151513</v>
      </c>
      <c r="BP45" s="48">
        <f>$G45/5280*VLOOKUP($AC45,'Cost and Score'!$B$27:$O$40,11,0)</f>
        <v>0</v>
      </c>
      <c r="BQ45" s="48">
        <f>$G45/5280*VLOOKUP($AC45,'Cost and Score'!$B$27:$O$40,12,0)</f>
        <v>50.530303030303024</v>
      </c>
      <c r="BR45" s="48">
        <f>$G45/5280*VLOOKUP($AC45,'Cost and Score'!$B$27:$O$40,13,0)</f>
        <v>45.47727272727272</v>
      </c>
      <c r="BS45" s="48">
        <f>$G45/5280*VLOOKUP($AC45,'Cost and Score'!$B$27:$O$40,14,0)</f>
        <v>60.636363636363633</v>
      </c>
      <c r="BT45" s="220">
        <f t="shared" si="19"/>
        <v>0.25265151515151513</v>
      </c>
      <c r="BZ45" s="27"/>
    </row>
    <row r="46" spans="1:103" s="2" customFormat="1" ht="14.45" hidden="1" customHeight="1" x14ac:dyDescent="0.25">
      <c r="A46" s="15" t="s">
        <v>2121</v>
      </c>
      <c r="B46" s="34" t="s">
        <v>146</v>
      </c>
      <c r="C46" s="26" t="s">
        <v>146</v>
      </c>
      <c r="D46" s="82"/>
      <c r="E46" s="82" t="s">
        <v>140</v>
      </c>
      <c r="F46" s="82" t="s">
        <v>147</v>
      </c>
      <c r="G46" s="29">
        <v>5403</v>
      </c>
      <c r="H46" s="29">
        <f t="shared" si="23"/>
        <v>20</v>
      </c>
      <c r="I46" s="26" t="s">
        <v>13</v>
      </c>
      <c r="J46" s="26" t="s">
        <v>26</v>
      </c>
      <c r="K46" s="26">
        <f>VLOOKUP(J46,TOWNSHIPS,2,FALSE)</f>
        <v>0</v>
      </c>
      <c r="L46" s="42">
        <v>7</v>
      </c>
      <c r="M46" s="42">
        <v>7</v>
      </c>
      <c r="N46" s="42">
        <v>6</v>
      </c>
      <c r="O46" s="83">
        <v>5</v>
      </c>
      <c r="P46" s="83">
        <v>6</v>
      </c>
      <c r="Q46" s="83">
        <v>8</v>
      </c>
      <c r="R46" s="83">
        <v>7</v>
      </c>
      <c r="S46" s="83">
        <v>7</v>
      </c>
      <c r="T46" s="83">
        <v>7</v>
      </c>
      <c r="U46" s="83">
        <v>7</v>
      </c>
      <c r="V46" s="42"/>
      <c r="W46" s="42"/>
      <c r="X46" s="42"/>
      <c r="Y46" s="26">
        <v>75</v>
      </c>
      <c r="Z46" s="26">
        <f t="shared" si="24"/>
        <v>0</v>
      </c>
      <c r="AA46" s="82" t="s">
        <v>119</v>
      </c>
      <c r="AB46" s="111">
        <f t="shared" si="3"/>
        <v>4</v>
      </c>
      <c r="AC46" s="82" t="s">
        <v>13</v>
      </c>
      <c r="AD46" s="84">
        <f t="shared" si="4"/>
        <v>21489.204545454544</v>
      </c>
      <c r="AE46" s="140">
        <v>1</v>
      </c>
      <c r="AF46" s="113">
        <f t="shared" si="25"/>
        <v>21489.204545454544</v>
      </c>
      <c r="AG46" s="82">
        <v>2024</v>
      </c>
      <c r="AH46" s="26" t="str">
        <f t="shared" si="29"/>
        <v/>
      </c>
      <c r="AI46" s="26" t="str">
        <f t="shared" si="29"/>
        <v/>
      </c>
      <c r="AJ46" s="26" t="str">
        <f t="shared" si="29"/>
        <v>Chip Seal and Fog</v>
      </c>
      <c r="AK46" s="26" t="str">
        <f t="shared" si="29"/>
        <v/>
      </c>
      <c r="AL46" s="26" t="str">
        <f t="shared" si="29"/>
        <v/>
      </c>
      <c r="AM46" s="26" t="str">
        <f t="shared" si="29"/>
        <v/>
      </c>
      <c r="AN46" s="26" t="str">
        <f t="shared" si="7"/>
        <v>Chip Seal and Fog</v>
      </c>
      <c r="AO46" s="26" t="str">
        <f t="shared" si="8"/>
        <v/>
      </c>
      <c r="AP46" s="26" t="str">
        <f t="shared" si="9"/>
        <v/>
      </c>
      <c r="AQ46" s="68">
        <f t="shared" si="26"/>
        <v>6</v>
      </c>
      <c r="AR46" s="68">
        <f t="shared" si="27"/>
        <v>6</v>
      </c>
      <c r="AS46" s="68">
        <f t="shared" si="12"/>
        <v>1.05</v>
      </c>
      <c r="AT46" s="68">
        <f t="shared" si="13"/>
        <v>1.05</v>
      </c>
      <c r="AU46" s="68">
        <f t="shared" si="14"/>
        <v>1.1000000000000001</v>
      </c>
      <c r="AV46" s="68">
        <f t="shared" si="15"/>
        <v>1.25</v>
      </c>
      <c r="AW46" s="68">
        <f t="shared" si="16"/>
        <v>1.1000000000000001</v>
      </c>
      <c r="AX46" s="68">
        <f t="shared" ca="1" si="28"/>
        <v>0</v>
      </c>
      <c r="AY46" s="106">
        <v>2018</v>
      </c>
      <c r="AZ46" s="106" t="s">
        <v>2073</v>
      </c>
      <c r="BA46" s="106" t="str">
        <f t="shared" si="18"/>
        <v>DS</v>
      </c>
      <c r="BB46" s="177"/>
      <c r="BC46" s="177">
        <v>7</v>
      </c>
      <c r="BD46" s="177"/>
      <c r="BE46" s="177"/>
      <c r="BF46" s="177"/>
      <c r="BG46" s="177"/>
      <c r="BH46" s="177"/>
      <c r="BI46" s="33"/>
      <c r="BK46" s="48">
        <f>$G46/5280*VLOOKUP($AC46,'Cost and Score'!$B$27:$O$40,6,0)</f>
        <v>0.2046590909090909</v>
      </c>
      <c r="BL46" s="48">
        <f>$G46/5280*VLOOKUP($AC46,'Cost and Score'!$B$27:$O$40,7,0)</f>
        <v>22.512499999999999</v>
      </c>
      <c r="BM46" s="48">
        <f>$G46/5280*VLOOKUP($AC46,'Cost and Score'!$B$27:$O$40,8,0)</f>
        <v>0</v>
      </c>
      <c r="BN46" s="48">
        <f>$G46/5280*VLOOKUP($AC46,'Cost and Score'!$B$27:$O$40,9,0)</f>
        <v>4604.829545454545</v>
      </c>
      <c r="BO46" s="48">
        <f>$G46/5280*VLOOKUP($AC46,'Cost and Score'!$B$27:$O$40,10,0)</f>
        <v>1023.2954545454545</v>
      </c>
      <c r="BP46" s="48">
        <f>$G46/5280*VLOOKUP($AC46,'Cost and Score'!$B$27:$O$40,11,0)</f>
        <v>0</v>
      </c>
      <c r="BQ46" s="48">
        <f>$G46/5280*VLOOKUP($AC46,'Cost and Score'!$B$27:$O$40,12,0)</f>
        <v>102.32954545454544</v>
      </c>
      <c r="BR46" s="48">
        <f>$G46/5280*VLOOKUP($AC46,'Cost and Score'!$B$27:$O$40,13,0)</f>
        <v>122.79545454545453</v>
      </c>
      <c r="BS46" s="48">
        <f>$G46/5280*VLOOKUP($AC46,'Cost and Score'!$B$27:$O$40,14,0)</f>
        <v>0</v>
      </c>
      <c r="BT46" s="220">
        <f t="shared" si="19"/>
        <v>1.0232954545454545</v>
      </c>
      <c r="BZ46" s="27"/>
    </row>
    <row r="47" spans="1:103" s="2" customFormat="1" ht="14.45" hidden="1" customHeight="1" x14ac:dyDescent="0.25">
      <c r="A47" s="15" t="s">
        <v>2124</v>
      </c>
      <c r="B47" s="34" t="s">
        <v>148</v>
      </c>
      <c r="C47" s="26" t="s">
        <v>148</v>
      </c>
      <c r="D47" s="82"/>
      <c r="E47" s="82" t="s">
        <v>147</v>
      </c>
      <c r="F47" s="82" t="s">
        <v>149</v>
      </c>
      <c r="G47" s="29">
        <v>2532</v>
      </c>
      <c r="H47" s="29">
        <f t="shared" si="23"/>
        <v>20</v>
      </c>
      <c r="I47" s="26" t="s">
        <v>13</v>
      </c>
      <c r="J47" s="26" t="s">
        <v>26</v>
      </c>
      <c r="K47" s="26">
        <f>VLOOKUP(J47,TOWNSHIPS,2,FALSE)</f>
        <v>0</v>
      </c>
      <c r="L47" s="42">
        <v>7</v>
      </c>
      <c r="M47" s="42">
        <v>8</v>
      </c>
      <c r="N47" s="42">
        <v>7</v>
      </c>
      <c r="O47" s="83">
        <v>7</v>
      </c>
      <c r="P47" s="83">
        <v>7</v>
      </c>
      <c r="Q47" s="83">
        <v>7</v>
      </c>
      <c r="R47" s="83">
        <v>7</v>
      </c>
      <c r="S47" s="83">
        <v>7</v>
      </c>
      <c r="T47" s="83">
        <v>7</v>
      </c>
      <c r="U47" s="83">
        <v>6</v>
      </c>
      <c r="V47" s="42"/>
      <c r="W47" s="42"/>
      <c r="X47" s="42"/>
      <c r="Y47" s="26">
        <v>60</v>
      </c>
      <c r="Z47" s="26">
        <f t="shared" si="24"/>
        <v>0</v>
      </c>
      <c r="AA47" s="82" t="s">
        <v>119</v>
      </c>
      <c r="AB47" s="111">
        <f t="shared" si="3"/>
        <v>3</v>
      </c>
      <c r="AC47" s="82" t="s">
        <v>2073</v>
      </c>
      <c r="AD47" s="84">
        <f t="shared" si="4"/>
        <v>15345.454545454546</v>
      </c>
      <c r="AE47" s="140"/>
      <c r="AF47" s="113">
        <f t="shared" si="25"/>
        <v>0</v>
      </c>
      <c r="AG47" s="85">
        <v>2026</v>
      </c>
      <c r="AH47" s="26" t="str">
        <f t="shared" si="29"/>
        <v/>
      </c>
      <c r="AI47" s="26" t="str">
        <f t="shared" si="29"/>
        <v/>
      </c>
      <c r="AJ47" s="26" t="str">
        <f t="shared" si="29"/>
        <v/>
      </c>
      <c r="AK47" s="26" t="str">
        <f t="shared" si="29"/>
        <v/>
      </c>
      <c r="AL47" s="26" t="str">
        <f t="shared" si="29"/>
        <v>Chip Seal - Double and Fog</v>
      </c>
      <c r="AM47" s="26" t="str">
        <f t="shared" si="29"/>
        <v/>
      </c>
      <c r="AN47" s="26" t="str">
        <f t="shared" si="7"/>
        <v>Chip Seal - Double and Fog</v>
      </c>
      <c r="AO47" s="26" t="str">
        <f t="shared" si="8"/>
        <v/>
      </c>
      <c r="AP47" s="26" t="str">
        <f t="shared" si="9"/>
        <v/>
      </c>
      <c r="AQ47" s="68">
        <f t="shared" si="26"/>
        <v>10</v>
      </c>
      <c r="AR47" s="68">
        <f t="shared" si="27"/>
        <v>6</v>
      </c>
      <c r="AS47" s="68">
        <f t="shared" si="12"/>
        <v>1.05</v>
      </c>
      <c r="AT47" s="68">
        <f t="shared" si="13"/>
        <v>1</v>
      </c>
      <c r="AU47" s="68">
        <f t="shared" si="14"/>
        <v>1.05</v>
      </c>
      <c r="AV47" s="68">
        <f t="shared" si="15"/>
        <v>1.05</v>
      </c>
      <c r="AW47" s="68">
        <f t="shared" si="16"/>
        <v>1.05</v>
      </c>
      <c r="AX47" s="68">
        <f t="shared" ca="1" si="28"/>
        <v>2.1</v>
      </c>
      <c r="AY47" s="106">
        <v>2020</v>
      </c>
      <c r="AZ47" s="106" t="s">
        <v>2073</v>
      </c>
      <c r="BA47" s="106" t="str">
        <f t="shared" si="18"/>
        <v/>
      </c>
      <c r="BB47" s="177"/>
      <c r="BC47" s="177">
        <v>7</v>
      </c>
      <c r="BD47" s="177"/>
      <c r="BE47" s="177"/>
      <c r="BF47" s="177"/>
      <c r="BG47" s="177"/>
      <c r="BH47" s="177"/>
      <c r="BI47" s="33"/>
      <c r="BK47" s="48">
        <f>$G47/5280*VLOOKUP($AC47,'Cost and Score'!$B$27:$O$40,6,0)</f>
        <v>0.23977272727272728</v>
      </c>
      <c r="BL47" s="48">
        <f>$G47/5280*VLOOKUP($AC47,'Cost and Score'!$B$27:$O$40,7,0)</f>
        <v>23.977272727272727</v>
      </c>
      <c r="BM47" s="48">
        <f>$G47/5280*VLOOKUP($AC47,'Cost and Score'!$B$27:$O$40,8,0)</f>
        <v>0</v>
      </c>
      <c r="BN47" s="48">
        <f>$G47/5280*VLOOKUP($AC47,'Cost and Score'!$B$27:$O$40,9,0)</f>
        <v>4555.681818181818</v>
      </c>
      <c r="BO47" s="48">
        <f>$G47/5280*VLOOKUP($AC47,'Cost and Score'!$B$27:$O$40,10,0)</f>
        <v>479.54545454545456</v>
      </c>
      <c r="BP47" s="48">
        <f>$G47/5280*VLOOKUP($AC47,'Cost and Score'!$B$27:$O$40,11,0)</f>
        <v>0</v>
      </c>
      <c r="BQ47" s="48">
        <f>$G47/5280*VLOOKUP($AC47,'Cost and Score'!$B$27:$O$40,12,0)</f>
        <v>95.909090909090907</v>
      </c>
      <c r="BR47" s="48">
        <f>$G47/5280*VLOOKUP($AC47,'Cost and Score'!$B$27:$O$40,13,0)</f>
        <v>86.318181818181813</v>
      </c>
      <c r="BS47" s="48">
        <f>$G47/5280*VLOOKUP($AC47,'Cost and Score'!$B$27:$O$40,14,0)</f>
        <v>115.09090909090909</v>
      </c>
      <c r="BT47" s="220">
        <f t="shared" si="19"/>
        <v>0.47954545454545455</v>
      </c>
      <c r="CW47" s="112"/>
      <c r="CX47" s="112"/>
      <c r="CY47" s="112"/>
    </row>
    <row r="48" spans="1:103" s="2" customFormat="1" ht="14.45" hidden="1" customHeight="1" x14ac:dyDescent="0.25">
      <c r="A48" s="36" t="s">
        <v>2126</v>
      </c>
      <c r="B48" s="34" t="s">
        <v>150</v>
      </c>
      <c r="C48" s="26" t="s">
        <v>150</v>
      </c>
      <c r="D48" s="26"/>
      <c r="E48" s="26" t="s">
        <v>142</v>
      </c>
      <c r="F48" s="26" t="s">
        <v>151</v>
      </c>
      <c r="G48" s="29">
        <v>2636</v>
      </c>
      <c r="H48" s="29">
        <f t="shared" si="23"/>
        <v>20</v>
      </c>
      <c r="I48" s="26" t="s">
        <v>8</v>
      </c>
      <c r="J48" s="26" t="s">
        <v>125</v>
      </c>
      <c r="K48" s="26">
        <f>VLOOKUP(J48,TOWNSHIPS,2,FALSE)</f>
        <v>0</v>
      </c>
      <c r="L48" s="42">
        <v>7</v>
      </c>
      <c r="M48" s="42">
        <v>7</v>
      </c>
      <c r="N48" s="42">
        <v>7</v>
      </c>
      <c r="O48" s="42">
        <v>7</v>
      </c>
      <c r="P48" s="42">
        <v>7</v>
      </c>
      <c r="Q48" s="42">
        <v>7</v>
      </c>
      <c r="R48" s="42">
        <v>7</v>
      </c>
      <c r="S48" s="42">
        <v>7</v>
      </c>
      <c r="T48" s="42">
        <v>7</v>
      </c>
      <c r="U48" s="42">
        <v>7</v>
      </c>
      <c r="V48" s="42"/>
      <c r="W48" s="42">
        <v>2017</v>
      </c>
      <c r="X48" s="42" t="s">
        <v>2612</v>
      </c>
      <c r="Y48" s="26">
        <v>3679</v>
      </c>
      <c r="Z48" s="26">
        <f t="shared" si="24"/>
        <v>1.5</v>
      </c>
      <c r="AA48" s="26" t="s">
        <v>119</v>
      </c>
      <c r="AB48" s="111">
        <f t="shared" si="3"/>
        <v>4.5</v>
      </c>
      <c r="AC48" s="26" t="s">
        <v>13</v>
      </c>
      <c r="AD48" s="47">
        <f t="shared" si="4"/>
        <v>10484.09090909091</v>
      </c>
      <c r="AE48" s="140"/>
      <c r="AF48" s="113">
        <f t="shared" si="25"/>
        <v>0</v>
      </c>
      <c r="AG48" s="82"/>
      <c r="AH48" s="26" t="str">
        <f t="shared" si="29"/>
        <v/>
      </c>
      <c r="AI48" s="26" t="str">
        <f t="shared" si="29"/>
        <v/>
      </c>
      <c r="AJ48" s="26" t="str">
        <f t="shared" si="29"/>
        <v/>
      </c>
      <c r="AK48" s="26" t="str">
        <f t="shared" si="29"/>
        <v/>
      </c>
      <c r="AL48" s="26" t="str">
        <f t="shared" si="29"/>
        <v/>
      </c>
      <c r="AM48" s="26" t="str">
        <f t="shared" si="29"/>
        <v/>
      </c>
      <c r="AN48" s="26" t="str">
        <f t="shared" si="7"/>
        <v>Chip Seal and Fog</v>
      </c>
      <c r="AO48" s="26" t="str">
        <f t="shared" si="8"/>
        <v/>
      </c>
      <c r="AP48" s="26" t="str">
        <f t="shared" si="9"/>
        <v/>
      </c>
      <c r="AQ48" s="68">
        <f t="shared" si="26"/>
        <v>10</v>
      </c>
      <c r="AR48" s="68">
        <f t="shared" si="27"/>
        <v>6</v>
      </c>
      <c r="AS48" s="68">
        <f t="shared" si="12"/>
        <v>1.05</v>
      </c>
      <c r="AT48" s="68">
        <f t="shared" si="13"/>
        <v>1.05</v>
      </c>
      <c r="AU48" s="68">
        <f t="shared" si="14"/>
        <v>1.05</v>
      </c>
      <c r="AV48" s="68">
        <f t="shared" si="15"/>
        <v>1.05</v>
      </c>
      <c r="AW48" s="68">
        <f t="shared" si="16"/>
        <v>1.05</v>
      </c>
      <c r="AX48" s="68">
        <f t="shared" ca="1" si="28"/>
        <v>-2125.2000000000003</v>
      </c>
      <c r="AY48" s="106"/>
      <c r="AZ48" s="106"/>
      <c r="BA48" s="106" t="str">
        <f t="shared" si="18"/>
        <v/>
      </c>
      <c r="BB48" s="177"/>
      <c r="BC48" s="177">
        <v>6</v>
      </c>
      <c r="BD48" s="177"/>
      <c r="BE48" s="177"/>
      <c r="BF48" s="177"/>
      <c r="BG48" s="177"/>
      <c r="BH48" s="177"/>
      <c r="BI48" s="33" t="s">
        <v>2100</v>
      </c>
      <c r="BK48" s="48">
        <f>$G48/5280*VLOOKUP($AC48,'Cost and Score'!$B$27:$O$40,6,0)</f>
        <v>9.9848484848484853E-2</v>
      </c>
      <c r="BL48" s="48">
        <f>$G48/5280*VLOOKUP($AC48,'Cost and Score'!$B$27:$O$40,7,0)</f>
        <v>10.983333333333334</v>
      </c>
      <c r="BM48" s="48">
        <f>$G48/5280*VLOOKUP($AC48,'Cost and Score'!$B$27:$O$40,8,0)</f>
        <v>0</v>
      </c>
      <c r="BN48" s="48">
        <f>$G48/5280*VLOOKUP($AC48,'Cost and Score'!$B$27:$O$40,9,0)</f>
        <v>2246.590909090909</v>
      </c>
      <c r="BO48" s="48">
        <f>$G48/5280*VLOOKUP($AC48,'Cost and Score'!$B$27:$O$40,10,0)</f>
        <v>499.24242424242425</v>
      </c>
      <c r="BP48" s="48">
        <f>$G48/5280*VLOOKUP($AC48,'Cost and Score'!$B$27:$O$40,11,0)</f>
        <v>0</v>
      </c>
      <c r="BQ48" s="48">
        <f>$G48/5280*VLOOKUP($AC48,'Cost and Score'!$B$27:$O$40,12,0)</f>
        <v>49.924242424242429</v>
      </c>
      <c r="BR48" s="48">
        <f>$G48/5280*VLOOKUP($AC48,'Cost and Score'!$B$27:$O$40,13,0)</f>
        <v>59.909090909090914</v>
      </c>
      <c r="BS48" s="48">
        <f>$G48/5280*VLOOKUP($AC48,'Cost and Score'!$B$27:$O$40,14,0)</f>
        <v>0</v>
      </c>
      <c r="BT48" s="220">
        <f t="shared" si="19"/>
        <v>0.49924242424242427</v>
      </c>
      <c r="CW48" s="112"/>
      <c r="CX48" s="112"/>
      <c r="CY48" s="112"/>
    </row>
    <row r="49" spans="1:103" s="2" customFormat="1" ht="14.45" hidden="1" customHeight="1" x14ac:dyDescent="0.25">
      <c r="A49" s="15" t="s">
        <v>2125</v>
      </c>
      <c r="B49" s="34" t="s">
        <v>152</v>
      </c>
      <c r="C49" s="26" t="s">
        <v>152</v>
      </c>
      <c r="D49" s="26"/>
      <c r="E49" s="26" t="s">
        <v>149</v>
      </c>
      <c r="F49" s="26" t="s">
        <v>153</v>
      </c>
      <c r="G49" s="29">
        <v>7320</v>
      </c>
      <c r="H49" s="29">
        <f t="shared" si="23"/>
        <v>20</v>
      </c>
      <c r="I49" s="26" t="s">
        <v>13</v>
      </c>
      <c r="J49" s="26" t="s">
        <v>26</v>
      </c>
      <c r="K49" s="26">
        <f>VLOOKUP(J49,TOWNSHIPS,2,FALSE)</f>
        <v>0</v>
      </c>
      <c r="L49" s="42">
        <v>7</v>
      </c>
      <c r="M49" s="42">
        <v>9</v>
      </c>
      <c r="N49" s="42">
        <v>8</v>
      </c>
      <c r="O49" s="42">
        <v>8</v>
      </c>
      <c r="P49" s="42">
        <v>8</v>
      </c>
      <c r="Q49" s="42">
        <v>7</v>
      </c>
      <c r="R49" s="42">
        <v>7</v>
      </c>
      <c r="S49" s="42">
        <v>7</v>
      </c>
      <c r="T49" s="42">
        <v>6</v>
      </c>
      <c r="U49" s="42">
        <v>7</v>
      </c>
      <c r="V49" s="42"/>
      <c r="W49" s="42"/>
      <c r="X49" s="42"/>
      <c r="Y49" s="26">
        <v>50</v>
      </c>
      <c r="Z49" s="26">
        <f t="shared" si="24"/>
        <v>0</v>
      </c>
      <c r="AA49" s="26" t="s">
        <v>119</v>
      </c>
      <c r="AB49" s="111">
        <f t="shared" si="3"/>
        <v>2</v>
      </c>
      <c r="AC49" s="26" t="s">
        <v>751</v>
      </c>
      <c r="AD49" s="47">
        <f t="shared" si="4"/>
        <v>152500</v>
      </c>
      <c r="AE49" s="140">
        <v>1</v>
      </c>
      <c r="AF49" s="113">
        <f t="shared" si="25"/>
        <v>152500</v>
      </c>
      <c r="AG49" s="26">
        <v>2023</v>
      </c>
      <c r="AH49" s="26" t="str">
        <f t="shared" ref="AH49:AJ54" si="30">IF($AG49=AH$1,VLOOKUP($AC49,RSL,3,FALSE),"")</f>
        <v/>
      </c>
      <c r="AI49" s="26" t="str">
        <f t="shared" si="30"/>
        <v>Overlay - 2"</v>
      </c>
      <c r="AJ49" s="26" t="str">
        <f t="shared" si="30"/>
        <v/>
      </c>
      <c r="AK49" s="26"/>
      <c r="AL49" s="26" t="str">
        <f t="shared" ref="AL49:AM68" si="31">IF($AG49=AL$1,VLOOKUP($AC49,RSL,3,FALSE),"")</f>
        <v/>
      </c>
      <c r="AM49" s="26" t="str">
        <f t="shared" si="31"/>
        <v/>
      </c>
      <c r="AN49" s="26" t="str">
        <f t="shared" si="7"/>
        <v>Overlay - 2"</v>
      </c>
      <c r="AO49" s="26"/>
      <c r="AP49" s="26" t="str">
        <f t="shared" si="9"/>
        <v/>
      </c>
      <c r="AQ49" s="68">
        <f t="shared" si="26"/>
        <v>12</v>
      </c>
      <c r="AR49" s="68">
        <f t="shared" si="27"/>
        <v>12</v>
      </c>
      <c r="AS49" s="68">
        <f t="shared" si="12"/>
        <v>1.05</v>
      </c>
      <c r="AT49" s="68">
        <f t="shared" si="13"/>
        <v>1</v>
      </c>
      <c r="AU49" s="68">
        <f t="shared" si="14"/>
        <v>1</v>
      </c>
      <c r="AV49" s="68">
        <f t="shared" si="15"/>
        <v>1</v>
      </c>
      <c r="AW49" s="68">
        <f t="shared" si="16"/>
        <v>1</v>
      </c>
      <c r="AX49" s="68">
        <f t="shared" ca="1" si="28"/>
        <v>-1</v>
      </c>
      <c r="AY49" s="106">
        <v>2023</v>
      </c>
      <c r="AZ49" s="106" t="s">
        <v>751</v>
      </c>
      <c r="BA49" s="106" t="str">
        <f t="shared" si="18"/>
        <v/>
      </c>
      <c r="BB49" s="177"/>
      <c r="BC49" s="177">
        <v>7</v>
      </c>
      <c r="BD49" s="177"/>
      <c r="BE49" s="177"/>
      <c r="BF49" s="177"/>
      <c r="BG49" s="177"/>
      <c r="BH49" s="177"/>
      <c r="BI49" s="33"/>
      <c r="BK49" s="48">
        <f>$G49/5280*VLOOKUP($AC49,'Cost and Score'!$B$27:$O$40,6,0)</f>
        <v>3.1193181818181821</v>
      </c>
      <c r="BL49" s="48">
        <f>$G49/5280*VLOOKUP($AC49,'Cost and Score'!$B$27:$O$40,7,0)</f>
        <v>291.13636363636368</v>
      </c>
      <c r="BM49" s="48">
        <f>$G49/5280*VLOOKUP($AC49,'Cost and Score'!$B$27:$O$40,8,0)</f>
        <v>485.22727272727275</v>
      </c>
      <c r="BN49" s="48">
        <f>$G49/5280*VLOOKUP($AC49,'Cost and Score'!$B$27:$O$40,9,0)</f>
        <v>0</v>
      </c>
      <c r="BO49" s="48">
        <f>$G49/5280*VLOOKUP($AC49,'Cost and Score'!$B$27:$O$40,10,0)</f>
        <v>0</v>
      </c>
      <c r="BP49" s="48">
        <f>$G49/5280*VLOOKUP($AC49,'Cost and Score'!$B$27:$O$40,11,0)</f>
        <v>277.27272727272731</v>
      </c>
      <c r="BQ49" s="48">
        <f>$G49/5280*VLOOKUP($AC49,'Cost and Score'!$B$27:$O$40,12,0)</f>
        <v>2356.818181818182</v>
      </c>
      <c r="BR49" s="48">
        <f>$G49/5280*VLOOKUP($AC49,'Cost and Score'!$B$27:$O$40,13,0)</f>
        <v>0</v>
      </c>
      <c r="BS49" s="48">
        <f>$G49/5280*VLOOKUP($AC49,'Cost and Score'!$B$27:$O$40,14,0)</f>
        <v>0</v>
      </c>
      <c r="BT49" s="220">
        <f t="shared" si="19"/>
        <v>1.3863636363636365</v>
      </c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</row>
    <row r="50" spans="1:103" s="2" customFormat="1" ht="14.45" hidden="1" customHeight="1" x14ac:dyDescent="0.25">
      <c r="A50" s="15" t="s">
        <v>2127</v>
      </c>
      <c r="B50" s="34" t="s">
        <v>154</v>
      </c>
      <c r="C50" s="26" t="s">
        <v>154</v>
      </c>
      <c r="D50" s="82"/>
      <c r="E50" s="82" t="s">
        <v>102</v>
      </c>
      <c r="F50" s="82" t="s">
        <v>155</v>
      </c>
      <c r="G50" s="29">
        <v>5090</v>
      </c>
      <c r="H50" s="29">
        <f t="shared" si="23"/>
        <v>20</v>
      </c>
      <c r="I50" s="26" t="s">
        <v>8</v>
      </c>
      <c r="J50" s="26" t="s">
        <v>101</v>
      </c>
      <c r="K50" s="26">
        <v>0</v>
      </c>
      <c r="L50" s="42">
        <v>7</v>
      </c>
      <c r="M50" s="42">
        <v>7</v>
      </c>
      <c r="N50" s="42"/>
      <c r="O50" s="83"/>
      <c r="P50" s="83"/>
      <c r="Q50" s="83"/>
      <c r="R50" s="83"/>
      <c r="S50" s="83" t="s">
        <v>2614</v>
      </c>
      <c r="T50" s="83"/>
      <c r="U50" s="83"/>
      <c r="V50" s="42"/>
      <c r="W50" s="42"/>
      <c r="X50" s="42"/>
      <c r="Y50" s="26">
        <v>657</v>
      </c>
      <c r="Z50" s="26">
        <f t="shared" si="24"/>
        <v>0.5</v>
      </c>
      <c r="AA50" s="82" t="s">
        <v>100</v>
      </c>
      <c r="AB50" s="111">
        <f t="shared" si="3"/>
        <v>10.5</v>
      </c>
      <c r="AC50" s="85"/>
      <c r="AD50" s="84">
        <v>0</v>
      </c>
      <c r="AE50" s="140"/>
      <c r="AF50" s="113">
        <f t="shared" si="25"/>
        <v>0</v>
      </c>
      <c r="AG50" s="82"/>
      <c r="AH50" s="26" t="str">
        <f t="shared" si="30"/>
        <v/>
      </c>
      <c r="AI50" s="26" t="str">
        <f t="shared" si="30"/>
        <v/>
      </c>
      <c r="AJ50" s="26" t="str">
        <f t="shared" si="30"/>
        <v/>
      </c>
      <c r="AK50" s="26"/>
      <c r="AL50" s="26" t="str">
        <f t="shared" si="31"/>
        <v/>
      </c>
      <c r="AM50" s="26" t="str">
        <f t="shared" si="31"/>
        <v/>
      </c>
      <c r="AN50" s="26" t="e">
        <f t="shared" si="7"/>
        <v>#N/A</v>
      </c>
      <c r="AO50" s="26"/>
      <c r="AP50" s="26" t="str">
        <f t="shared" si="9"/>
        <v/>
      </c>
      <c r="AQ50" s="68" t="e">
        <f t="shared" si="26"/>
        <v>#N/A</v>
      </c>
      <c r="AR50" s="68" t="e">
        <f t="shared" si="27"/>
        <v>#N/A</v>
      </c>
      <c r="AS50" s="68">
        <f t="shared" si="12"/>
        <v>1.05</v>
      </c>
      <c r="AT50" s="68">
        <f t="shared" si="13"/>
        <v>1.05</v>
      </c>
      <c r="AU50" s="68">
        <f t="shared" si="14"/>
        <v>0</v>
      </c>
      <c r="AV50" s="68">
        <f t="shared" si="15"/>
        <v>0</v>
      </c>
      <c r="AW50" s="68">
        <f t="shared" si="16"/>
        <v>0</v>
      </c>
      <c r="AX50" s="68">
        <f t="shared" ca="1" si="28"/>
        <v>0</v>
      </c>
      <c r="AY50" s="106"/>
      <c r="AZ50" s="106"/>
      <c r="BA50" s="106" t="str">
        <f t="shared" si="18"/>
        <v/>
      </c>
      <c r="BB50" s="177"/>
      <c r="BC50" s="177">
        <v>8</v>
      </c>
      <c r="BD50" s="177"/>
      <c r="BE50" s="177"/>
      <c r="BF50" s="177"/>
      <c r="BG50" s="177"/>
      <c r="BH50" s="177"/>
      <c r="BI50" s="33" t="s">
        <v>2473</v>
      </c>
      <c r="BK50" s="48" t="e">
        <f>$G50/5280*VLOOKUP($AC50,'Cost and Score'!$B$27:$O$40,6,0)</f>
        <v>#N/A</v>
      </c>
      <c r="BL50" s="48" t="e">
        <f>$G50/5280*VLOOKUP($AC50,'Cost and Score'!$B$27:$O$40,7,0)</f>
        <v>#N/A</v>
      </c>
      <c r="BM50" s="48" t="e">
        <f>$G50/5280*VLOOKUP($AC50,'Cost and Score'!$B$27:$O$40,8,0)</f>
        <v>#N/A</v>
      </c>
      <c r="BN50" s="48" t="e">
        <f>$G50/5280*VLOOKUP($AC50,'Cost and Score'!$B$27:$O$40,9,0)</f>
        <v>#N/A</v>
      </c>
      <c r="BO50" s="48" t="e">
        <f>$G50/5280*VLOOKUP($AC50,'Cost and Score'!$B$27:$O$40,10,0)</f>
        <v>#N/A</v>
      </c>
      <c r="BP50" s="48" t="e">
        <f>$G50/5280*VLOOKUP($AC50,'Cost and Score'!$B$27:$O$40,11,0)</f>
        <v>#N/A</v>
      </c>
      <c r="BQ50" s="48" t="e">
        <f>$G50/5280*VLOOKUP($AC50,'Cost and Score'!$B$27:$O$40,12,0)</f>
        <v>#N/A</v>
      </c>
      <c r="BR50" s="48" t="e">
        <f>$G50/5280*VLOOKUP($AC50,'Cost and Score'!$B$27:$O$40,13,0)</f>
        <v>#N/A</v>
      </c>
      <c r="BS50" s="48" t="e">
        <f>$G50/5280*VLOOKUP($AC50,'Cost and Score'!$B$27:$O$40,14,0)</f>
        <v>#N/A</v>
      </c>
      <c r="BT50" s="220">
        <f t="shared" si="19"/>
        <v>0.96401515151515149</v>
      </c>
      <c r="CW50" s="112"/>
      <c r="CX50" s="112"/>
      <c r="CY50" s="112"/>
    </row>
    <row r="51" spans="1:103" s="2" customFormat="1" ht="14.45" hidden="1" customHeight="1" x14ac:dyDescent="0.25">
      <c r="A51" s="15" t="s">
        <v>2128</v>
      </c>
      <c r="B51" s="34" t="s">
        <v>156</v>
      </c>
      <c r="C51" s="26" t="s">
        <v>156</v>
      </c>
      <c r="D51" s="82"/>
      <c r="E51" s="82" t="s">
        <v>117</v>
      </c>
      <c r="F51" s="82" t="s">
        <v>121</v>
      </c>
      <c r="G51" s="29">
        <v>3310</v>
      </c>
      <c r="H51" s="29">
        <f t="shared" si="23"/>
        <v>20</v>
      </c>
      <c r="I51" s="26" t="s">
        <v>8</v>
      </c>
      <c r="J51" s="26" t="s">
        <v>101</v>
      </c>
      <c r="K51" s="26">
        <v>0</v>
      </c>
      <c r="L51" s="42">
        <v>7</v>
      </c>
      <c r="M51" s="42">
        <v>8</v>
      </c>
      <c r="N51" s="42">
        <v>7</v>
      </c>
      <c r="O51" s="83">
        <v>7</v>
      </c>
      <c r="P51" s="83">
        <v>7</v>
      </c>
      <c r="Q51" s="83">
        <v>7</v>
      </c>
      <c r="R51" s="83">
        <v>7</v>
      </c>
      <c r="S51" s="83">
        <v>7</v>
      </c>
      <c r="T51" s="83">
        <v>7</v>
      </c>
      <c r="U51" s="83">
        <v>7</v>
      </c>
      <c r="V51" s="42">
        <v>2024</v>
      </c>
      <c r="W51" s="42">
        <v>2023</v>
      </c>
      <c r="X51" s="42" t="s">
        <v>2612</v>
      </c>
      <c r="Y51" s="26">
        <v>676</v>
      </c>
      <c r="Z51" s="26">
        <f t="shared" si="24"/>
        <v>0.5</v>
      </c>
      <c r="AA51" s="82" t="s">
        <v>100</v>
      </c>
      <c r="AB51" s="111">
        <f t="shared" si="3"/>
        <v>3.5</v>
      </c>
      <c r="AC51" s="85" t="s">
        <v>2371</v>
      </c>
      <c r="AD51" s="84">
        <f t="shared" ref="AD51:AD59" si="32">VLOOKUP(AC51,Cost,2,FALSE)*G51/5280</f>
        <v>50151.515151515152</v>
      </c>
      <c r="AE51" s="140">
        <v>1</v>
      </c>
      <c r="AF51" s="113">
        <f t="shared" si="25"/>
        <v>50151.515151515152</v>
      </c>
      <c r="AG51" s="26">
        <v>2024</v>
      </c>
      <c r="AH51" s="26" t="str">
        <f t="shared" si="30"/>
        <v/>
      </c>
      <c r="AI51" s="26" t="str">
        <f t="shared" si="30"/>
        <v/>
      </c>
      <c r="AJ51" s="26" t="str">
        <f t="shared" si="30"/>
        <v>Microsurface double</v>
      </c>
      <c r="AK51" s="26" t="str">
        <f t="shared" ref="AK51:AK82" si="33">IF($AG51=AK$1,VLOOKUP($AC51,RSL,3,FALSE),"")</f>
        <v/>
      </c>
      <c r="AL51" s="26" t="str">
        <f t="shared" si="31"/>
        <v/>
      </c>
      <c r="AM51" s="26" t="str">
        <f t="shared" si="31"/>
        <v/>
      </c>
      <c r="AN51" s="26" t="str">
        <f t="shared" si="7"/>
        <v>Microsurface double</v>
      </c>
      <c r="AO51" s="26" t="s">
        <v>2575</v>
      </c>
      <c r="AP51" s="26" t="str">
        <f t="shared" si="9"/>
        <v/>
      </c>
      <c r="AQ51" s="68">
        <f t="shared" si="26"/>
        <v>10</v>
      </c>
      <c r="AR51" s="68">
        <f t="shared" si="27"/>
        <v>10</v>
      </c>
      <c r="AS51" s="68">
        <f t="shared" si="12"/>
        <v>1.05</v>
      </c>
      <c r="AT51" s="68">
        <f t="shared" si="13"/>
        <v>1</v>
      </c>
      <c r="AU51" s="68">
        <f t="shared" si="14"/>
        <v>1.05</v>
      </c>
      <c r="AV51" s="68">
        <f t="shared" si="15"/>
        <v>1.05</v>
      </c>
      <c r="AW51" s="68">
        <f t="shared" si="16"/>
        <v>1.05</v>
      </c>
      <c r="AX51" s="68">
        <f t="shared" ca="1" si="28"/>
        <v>0</v>
      </c>
      <c r="AY51" s="106">
        <v>2018</v>
      </c>
      <c r="AZ51" s="106" t="s">
        <v>13</v>
      </c>
      <c r="BA51" s="106" t="str">
        <f t="shared" si="18"/>
        <v>CS</v>
      </c>
      <c r="BB51" s="177"/>
      <c r="BC51" s="177">
        <v>8</v>
      </c>
      <c r="BD51" s="177"/>
      <c r="BE51" s="177"/>
      <c r="BF51" s="177"/>
      <c r="BG51" s="177"/>
      <c r="BH51" s="177"/>
      <c r="BI51" s="33" t="s">
        <v>2629</v>
      </c>
      <c r="BK51" s="48">
        <f>$G51/5280*VLOOKUP($AC51,'Cost and Score'!$B$27:$O$40,6,0)</f>
        <v>0.31344696969696972</v>
      </c>
      <c r="BL51" s="48">
        <f>$G51/5280*VLOOKUP($AC51,'Cost and Score'!$B$27:$O$40,7,0)</f>
        <v>0</v>
      </c>
      <c r="BM51" s="48">
        <f>$G51/5280*VLOOKUP($AC51,'Cost and Score'!$B$27:$O$40,8,0)</f>
        <v>0</v>
      </c>
      <c r="BN51" s="48">
        <f>$G51/5280*VLOOKUP($AC51,'Cost and Score'!$B$27:$O$40,9,0)</f>
        <v>0</v>
      </c>
      <c r="BO51" s="48">
        <f>$G51/5280*VLOOKUP($AC51,'Cost and Score'!$B$27:$O$40,10,0)</f>
        <v>0</v>
      </c>
      <c r="BP51" s="48">
        <f>$G51/5280*VLOOKUP($AC51,'Cost and Score'!$B$27:$O$40,11,0)</f>
        <v>0</v>
      </c>
      <c r="BQ51" s="48">
        <f>$G51/5280*VLOOKUP($AC51,'Cost and Score'!$B$27:$O$40,12,0)</f>
        <v>0</v>
      </c>
      <c r="BR51" s="48">
        <f>$G51/5280*VLOOKUP($AC51,'Cost and Score'!$B$27:$O$40,13,0)</f>
        <v>0</v>
      </c>
      <c r="BS51" s="48">
        <f>$G51/5280*VLOOKUP($AC51,'Cost and Score'!$B$27:$O$40,14,0)</f>
        <v>0</v>
      </c>
      <c r="BT51" s="220">
        <f t="shared" si="19"/>
        <v>0.62689393939393945</v>
      </c>
      <c r="CA51" s="2" t="s">
        <v>2479</v>
      </c>
    </row>
    <row r="52" spans="1:103" s="2" customFormat="1" ht="14.45" hidden="1" customHeight="1" x14ac:dyDescent="0.25">
      <c r="A52" s="15" t="s">
        <v>159</v>
      </c>
      <c r="B52" s="34" t="s">
        <v>157</v>
      </c>
      <c r="C52" s="26" t="s">
        <v>157</v>
      </c>
      <c r="D52" s="82"/>
      <c r="E52" s="82" t="s">
        <v>121</v>
      </c>
      <c r="F52" s="82" t="s">
        <v>158</v>
      </c>
      <c r="G52" s="29">
        <v>2590</v>
      </c>
      <c r="H52" s="29">
        <f t="shared" si="23"/>
        <v>20</v>
      </c>
      <c r="I52" s="26" t="s">
        <v>8</v>
      </c>
      <c r="J52" s="26" t="s">
        <v>160</v>
      </c>
      <c r="K52" s="26">
        <f>VLOOKUP(J52,TOWNSHIPS,2,FALSE)</f>
        <v>0</v>
      </c>
      <c r="L52" s="42">
        <v>7</v>
      </c>
      <c r="M52" s="42">
        <v>9</v>
      </c>
      <c r="N52" s="42">
        <v>6</v>
      </c>
      <c r="O52" s="83">
        <v>9</v>
      </c>
      <c r="P52" s="83">
        <v>9</v>
      </c>
      <c r="Q52" s="83">
        <v>8</v>
      </c>
      <c r="R52" s="83">
        <v>8</v>
      </c>
      <c r="S52" s="83">
        <v>8</v>
      </c>
      <c r="T52" s="83">
        <v>8</v>
      </c>
      <c r="U52" s="83">
        <v>8</v>
      </c>
      <c r="V52" s="42">
        <v>2023</v>
      </c>
      <c r="W52" s="42">
        <v>2023</v>
      </c>
      <c r="X52" s="42" t="s">
        <v>2612</v>
      </c>
      <c r="Y52" s="26">
        <v>523</v>
      </c>
      <c r="Z52" s="26">
        <f t="shared" si="24"/>
        <v>0.5</v>
      </c>
      <c r="AA52" s="82" t="s">
        <v>100</v>
      </c>
      <c r="AB52" s="111">
        <f t="shared" si="3"/>
        <v>1.5</v>
      </c>
      <c r="AC52" s="85" t="s">
        <v>2371</v>
      </c>
      <c r="AD52" s="84">
        <f t="shared" si="32"/>
        <v>39242.42424242424</v>
      </c>
      <c r="AE52" s="140">
        <v>1</v>
      </c>
      <c r="AF52" s="113">
        <f t="shared" si="25"/>
        <v>39242.42424242424</v>
      </c>
      <c r="AG52" s="106">
        <v>2024</v>
      </c>
      <c r="AH52" s="26" t="str">
        <f t="shared" si="30"/>
        <v/>
      </c>
      <c r="AI52" s="26" t="str">
        <f t="shared" si="30"/>
        <v/>
      </c>
      <c r="AJ52" s="26" t="str">
        <f t="shared" si="30"/>
        <v>Microsurface double</v>
      </c>
      <c r="AK52" s="26" t="str">
        <f t="shared" si="33"/>
        <v/>
      </c>
      <c r="AL52" s="26" t="str">
        <f t="shared" si="31"/>
        <v/>
      </c>
      <c r="AM52" s="26" t="str">
        <f t="shared" si="31"/>
        <v/>
      </c>
      <c r="AN52" s="26" t="str">
        <f t="shared" si="7"/>
        <v>Microsurface double</v>
      </c>
      <c r="AO52" s="26" t="s">
        <v>2575</v>
      </c>
      <c r="AP52" s="26" t="str">
        <f t="shared" si="9"/>
        <v/>
      </c>
      <c r="AQ52" s="68">
        <f t="shared" si="26"/>
        <v>14</v>
      </c>
      <c r="AR52" s="68">
        <f t="shared" si="27"/>
        <v>10</v>
      </c>
      <c r="AS52" s="68">
        <f t="shared" si="12"/>
        <v>1.05</v>
      </c>
      <c r="AT52" s="68">
        <f t="shared" si="13"/>
        <v>1</v>
      </c>
      <c r="AU52" s="68">
        <f t="shared" si="14"/>
        <v>1.1000000000000001</v>
      </c>
      <c r="AV52" s="68">
        <f t="shared" si="15"/>
        <v>1</v>
      </c>
      <c r="AW52" s="68">
        <f t="shared" si="16"/>
        <v>1</v>
      </c>
      <c r="AX52" s="68">
        <f t="shared" ca="1" si="28"/>
        <v>0</v>
      </c>
      <c r="AY52" s="106">
        <v>2019</v>
      </c>
      <c r="AZ52" s="106" t="s">
        <v>13</v>
      </c>
      <c r="BA52" s="106" t="str">
        <f t="shared" si="18"/>
        <v/>
      </c>
      <c r="BB52" s="177"/>
      <c r="BC52" s="177">
        <v>8</v>
      </c>
      <c r="BD52" s="177"/>
      <c r="BE52" s="177"/>
      <c r="BF52" s="177"/>
      <c r="BG52" s="177"/>
      <c r="BH52" s="177"/>
      <c r="BI52" s="33"/>
      <c r="BK52" s="48">
        <f>$G52/5280*VLOOKUP($AC52,'Cost and Score'!$B$27:$O$40,6,0)</f>
        <v>0.24526515151515152</v>
      </c>
      <c r="BL52" s="48">
        <f>$G52/5280*VLOOKUP($AC52,'Cost and Score'!$B$27:$O$40,7,0)</f>
        <v>0</v>
      </c>
      <c r="BM52" s="48">
        <f>$G52/5280*VLOOKUP($AC52,'Cost and Score'!$B$27:$O$40,8,0)</f>
        <v>0</v>
      </c>
      <c r="BN52" s="48">
        <f>$G52/5280*VLOOKUP($AC52,'Cost and Score'!$B$27:$O$40,9,0)</f>
        <v>0</v>
      </c>
      <c r="BO52" s="48">
        <f>$G52/5280*VLOOKUP($AC52,'Cost and Score'!$B$27:$O$40,10,0)</f>
        <v>0</v>
      </c>
      <c r="BP52" s="48">
        <f>$G52/5280*VLOOKUP($AC52,'Cost and Score'!$B$27:$O$40,11,0)</f>
        <v>0</v>
      </c>
      <c r="BQ52" s="48">
        <f>$G52/5280*VLOOKUP($AC52,'Cost and Score'!$B$27:$O$40,12,0)</f>
        <v>0</v>
      </c>
      <c r="BR52" s="48">
        <f>$G52/5280*VLOOKUP($AC52,'Cost and Score'!$B$27:$O$40,13,0)</f>
        <v>0</v>
      </c>
      <c r="BS52" s="48">
        <f>$G52/5280*VLOOKUP($AC52,'Cost and Score'!$B$27:$O$40,14,0)</f>
        <v>0</v>
      </c>
      <c r="BT52" s="220">
        <f t="shared" si="19"/>
        <v>0.49053030303030304</v>
      </c>
    </row>
    <row r="53" spans="1:103" s="2" customFormat="1" ht="14.25" hidden="1" customHeight="1" x14ac:dyDescent="0.25">
      <c r="A53" s="36" t="s">
        <v>163</v>
      </c>
      <c r="B53" s="34" t="s">
        <v>161</v>
      </c>
      <c r="C53" s="26" t="s">
        <v>161</v>
      </c>
      <c r="D53" s="26"/>
      <c r="E53" s="26" t="s">
        <v>158</v>
      </c>
      <c r="F53" s="26" t="s">
        <v>162</v>
      </c>
      <c r="G53" s="29">
        <v>2650</v>
      </c>
      <c r="H53" s="29">
        <f t="shared" si="23"/>
        <v>20</v>
      </c>
      <c r="I53" s="26" t="s">
        <v>8</v>
      </c>
      <c r="J53" s="26" t="s">
        <v>160</v>
      </c>
      <c r="K53" s="26">
        <f>VLOOKUP(J53,TOWNSHIPS,2,FALSE)</f>
        <v>0</v>
      </c>
      <c r="L53" s="42">
        <v>6</v>
      </c>
      <c r="M53" s="42">
        <v>6</v>
      </c>
      <c r="N53" s="42">
        <v>8</v>
      </c>
      <c r="O53" s="42">
        <v>9</v>
      </c>
      <c r="P53" s="42">
        <v>8</v>
      </c>
      <c r="Q53" s="42">
        <v>8</v>
      </c>
      <c r="R53" s="42">
        <v>8</v>
      </c>
      <c r="S53" s="42">
        <v>7</v>
      </c>
      <c r="T53" s="42">
        <v>7</v>
      </c>
      <c r="U53" s="42">
        <v>7</v>
      </c>
      <c r="V53" s="42">
        <v>2023</v>
      </c>
      <c r="W53" s="42">
        <v>2023</v>
      </c>
      <c r="X53" s="42" t="s">
        <v>2612</v>
      </c>
      <c r="Y53" s="26">
        <v>604</v>
      </c>
      <c r="Z53" s="26">
        <f t="shared" si="24"/>
        <v>0.5</v>
      </c>
      <c r="AA53" s="26" t="s">
        <v>100</v>
      </c>
      <c r="AB53" s="111">
        <f t="shared" si="3"/>
        <v>2.5</v>
      </c>
      <c r="AC53" s="26" t="s">
        <v>2371</v>
      </c>
      <c r="AD53" s="47">
        <f t="shared" si="32"/>
        <v>40151.515151515152</v>
      </c>
      <c r="AE53" s="140">
        <v>1</v>
      </c>
      <c r="AF53" s="113">
        <f t="shared" si="25"/>
        <v>40151.515151515152</v>
      </c>
      <c r="AG53" s="26">
        <v>2024</v>
      </c>
      <c r="AH53" s="26" t="str">
        <f t="shared" si="30"/>
        <v/>
      </c>
      <c r="AI53" s="26" t="str">
        <f t="shared" si="30"/>
        <v/>
      </c>
      <c r="AJ53" s="26" t="str">
        <f t="shared" si="30"/>
        <v>Microsurface double</v>
      </c>
      <c r="AK53" s="26" t="str">
        <f t="shared" si="33"/>
        <v/>
      </c>
      <c r="AL53" s="26" t="str">
        <f t="shared" si="31"/>
        <v/>
      </c>
      <c r="AM53" s="26" t="str">
        <f t="shared" si="31"/>
        <v/>
      </c>
      <c r="AN53" s="26" t="str">
        <f t="shared" si="7"/>
        <v>Microsurface double</v>
      </c>
      <c r="AO53" s="26" t="s">
        <v>2575</v>
      </c>
      <c r="AP53" s="26" t="str">
        <f t="shared" si="9"/>
        <v/>
      </c>
      <c r="AQ53" s="68">
        <f t="shared" si="26"/>
        <v>14</v>
      </c>
      <c r="AR53" s="68">
        <f t="shared" si="27"/>
        <v>10</v>
      </c>
      <c r="AS53" s="68">
        <f t="shared" si="12"/>
        <v>1.1000000000000001</v>
      </c>
      <c r="AT53" s="68">
        <f t="shared" si="13"/>
        <v>1.1000000000000001</v>
      </c>
      <c r="AU53" s="68">
        <f t="shared" si="14"/>
        <v>1</v>
      </c>
      <c r="AV53" s="68">
        <f t="shared" si="15"/>
        <v>1</v>
      </c>
      <c r="AW53" s="68">
        <f t="shared" si="16"/>
        <v>1</v>
      </c>
      <c r="AX53" s="68">
        <f t="shared" ca="1" si="28"/>
        <v>0</v>
      </c>
      <c r="AY53" s="106">
        <v>2015</v>
      </c>
      <c r="AZ53" s="106" t="s">
        <v>13</v>
      </c>
      <c r="BA53" s="106" t="str">
        <f t="shared" si="18"/>
        <v/>
      </c>
      <c r="BB53" s="177"/>
      <c r="BC53" s="177">
        <v>8</v>
      </c>
      <c r="BD53" s="177"/>
      <c r="BE53" s="177"/>
      <c r="BF53" s="177"/>
      <c r="BG53" s="177"/>
      <c r="BH53" s="177"/>
      <c r="BI53" s="33" t="s">
        <v>2100</v>
      </c>
      <c r="BK53" s="48">
        <f>$G53/5280*VLOOKUP($AC53,'Cost and Score'!$B$27:$O$40,6,0)</f>
        <v>0.25094696969696972</v>
      </c>
      <c r="BL53" s="48">
        <f>$G53/5280*VLOOKUP($AC53,'Cost and Score'!$B$27:$O$40,7,0)</f>
        <v>0</v>
      </c>
      <c r="BM53" s="48">
        <f>$G53/5280*VLOOKUP($AC53,'Cost and Score'!$B$27:$O$40,8,0)</f>
        <v>0</v>
      </c>
      <c r="BN53" s="48">
        <f>$G53/5280*VLOOKUP($AC53,'Cost and Score'!$B$27:$O$40,9,0)</f>
        <v>0</v>
      </c>
      <c r="BO53" s="48">
        <f>$G53/5280*VLOOKUP($AC53,'Cost and Score'!$B$27:$O$40,10,0)</f>
        <v>0</v>
      </c>
      <c r="BP53" s="48">
        <f>$G53/5280*VLOOKUP($AC53,'Cost and Score'!$B$27:$O$40,11,0)</f>
        <v>0</v>
      </c>
      <c r="BQ53" s="48">
        <f>$G53/5280*VLOOKUP($AC53,'Cost and Score'!$B$27:$O$40,12,0)</f>
        <v>0</v>
      </c>
      <c r="BR53" s="48">
        <f>$G53/5280*VLOOKUP($AC53,'Cost and Score'!$B$27:$O$40,13,0)</f>
        <v>0</v>
      </c>
      <c r="BS53" s="48">
        <f>$G53/5280*VLOOKUP($AC53,'Cost and Score'!$B$27:$O$40,14,0)</f>
        <v>0</v>
      </c>
      <c r="BT53" s="220">
        <f t="shared" si="19"/>
        <v>0.50189393939393945</v>
      </c>
    </row>
    <row r="54" spans="1:103" s="2" customFormat="1" ht="14.45" customHeight="1" x14ac:dyDescent="0.25">
      <c r="A54" s="36" t="s">
        <v>526</v>
      </c>
      <c r="B54" s="34" t="s">
        <v>525</v>
      </c>
      <c r="C54" s="26" t="s">
        <v>525</v>
      </c>
      <c r="D54" s="82"/>
      <c r="E54" s="82" t="s">
        <v>86</v>
      </c>
      <c r="F54" s="82" t="s">
        <v>504</v>
      </c>
      <c r="G54" s="29">
        <v>6025</v>
      </c>
      <c r="H54" s="29">
        <f t="shared" si="23"/>
        <v>20</v>
      </c>
      <c r="I54" s="26" t="s">
        <v>8</v>
      </c>
      <c r="J54" s="26" t="s">
        <v>101</v>
      </c>
      <c r="K54" s="26">
        <v>0</v>
      </c>
      <c r="L54" s="42">
        <v>8</v>
      </c>
      <c r="M54" s="42">
        <v>7</v>
      </c>
      <c r="N54" s="42">
        <v>7</v>
      </c>
      <c r="O54" s="83">
        <v>6</v>
      </c>
      <c r="P54" s="83">
        <v>6</v>
      </c>
      <c r="Q54" s="83">
        <v>7</v>
      </c>
      <c r="R54" s="83">
        <v>7</v>
      </c>
      <c r="S54" s="83">
        <v>7</v>
      </c>
      <c r="T54" s="83">
        <v>7</v>
      </c>
      <c r="U54" s="83">
        <v>7</v>
      </c>
      <c r="V54" s="42">
        <v>2023</v>
      </c>
      <c r="W54" s="42">
        <v>2023</v>
      </c>
      <c r="X54" s="42" t="s">
        <v>2612</v>
      </c>
      <c r="Y54" s="26">
        <v>3914</v>
      </c>
      <c r="Z54" s="26">
        <f t="shared" si="24"/>
        <v>1.5</v>
      </c>
      <c r="AA54" s="82" t="s">
        <v>197</v>
      </c>
      <c r="AB54" s="111">
        <f t="shared" si="3"/>
        <v>5.5</v>
      </c>
      <c r="AC54" s="26" t="s">
        <v>13</v>
      </c>
      <c r="AD54" s="84">
        <f t="shared" si="32"/>
        <v>23963.06818181818</v>
      </c>
      <c r="AE54" s="140"/>
      <c r="AF54" s="113">
        <f t="shared" si="25"/>
        <v>0</v>
      </c>
      <c r="AG54" s="106">
        <v>2025</v>
      </c>
      <c r="AH54" s="26" t="str">
        <f t="shared" si="30"/>
        <v/>
      </c>
      <c r="AI54" s="26" t="str">
        <f t="shared" si="30"/>
        <v/>
      </c>
      <c r="AJ54" s="26" t="str">
        <f t="shared" si="30"/>
        <v/>
      </c>
      <c r="AK54" s="26" t="str">
        <f t="shared" si="33"/>
        <v>Chip Seal and Fog</v>
      </c>
      <c r="AL54" s="26" t="str">
        <f t="shared" si="31"/>
        <v/>
      </c>
      <c r="AM54" s="26" t="str">
        <f t="shared" si="31"/>
        <v/>
      </c>
      <c r="AN54" s="26" t="str">
        <f t="shared" si="7"/>
        <v>Chip Seal and Fog</v>
      </c>
      <c r="AO54" s="26" t="str">
        <f>IF(AY54=AO$1,VLOOKUP(AZ54,RSL,3,FALSE),"")</f>
        <v/>
      </c>
      <c r="AP54" s="26" t="str">
        <f t="shared" si="9"/>
        <v/>
      </c>
      <c r="AQ54" s="68">
        <f t="shared" si="26"/>
        <v>8</v>
      </c>
      <c r="AR54" s="68">
        <f t="shared" si="27"/>
        <v>6</v>
      </c>
      <c r="AS54" s="68">
        <f t="shared" si="12"/>
        <v>1</v>
      </c>
      <c r="AT54" s="68">
        <f t="shared" si="13"/>
        <v>1.05</v>
      </c>
      <c r="AU54" s="68">
        <f t="shared" si="14"/>
        <v>1.05</v>
      </c>
      <c r="AV54" s="68">
        <f t="shared" si="15"/>
        <v>1.1000000000000001</v>
      </c>
      <c r="AW54" s="68">
        <f t="shared" si="16"/>
        <v>1.1000000000000001</v>
      </c>
      <c r="AX54" s="68">
        <f t="shared" ca="1" si="28"/>
        <v>1.05</v>
      </c>
      <c r="AY54" s="106">
        <v>2015</v>
      </c>
      <c r="AZ54" s="106" t="s">
        <v>2075</v>
      </c>
      <c r="BA54" s="106" t="str">
        <f t="shared" si="18"/>
        <v/>
      </c>
      <c r="BB54" s="177"/>
      <c r="BC54" s="177">
        <v>4</v>
      </c>
      <c r="BD54" s="177"/>
      <c r="BE54" s="177"/>
      <c r="BF54" s="177"/>
      <c r="BG54" s="177"/>
      <c r="BH54" s="177"/>
      <c r="BI54" s="33"/>
      <c r="BK54" s="48">
        <f>$G54/5280*VLOOKUP($AC54,'Cost and Score'!$B$27:$O$40,6,0)</f>
        <v>0.22821969696969699</v>
      </c>
      <c r="BL54" s="48">
        <f>$G54/5280*VLOOKUP($AC54,'Cost and Score'!$B$27:$O$40,7,0)</f>
        <v>25.104166666666668</v>
      </c>
      <c r="BM54" s="48">
        <f>$G54/5280*VLOOKUP($AC54,'Cost and Score'!$B$27:$O$40,8,0)</f>
        <v>0</v>
      </c>
      <c r="BN54" s="48">
        <f>$G54/5280*VLOOKUP($AC54,'Cost and Score'!$B$27:$O$40,9,0)</f>
        <v>5134.943181818182</v>
      </c>
      <c r="BO54" s="48">
        <f>$G54/5280*VLOOKUP($AC54,'Cost and Score'!$B$27:$O$40,10,0)</f>
        <v>1141.0984848484848</v>
      </c>
      <c r="BP54" s="48">
        <f>$G54/5280*VLOOKUP($AC54,'Cost and Score'!$B$27:$O$40,11,0)</f>
        <v>0</v>
      </c>
      <c r="BQ54" s="48">
        <f>$G54/5280*VLOOKUP($AC54,'Cost and Score'!$B$27:$O$40,12,0)</f>
        <v>114.10984848484848</v>
      </c>
      <c r="BR54" s="48">
        <f>$G54/5280*VLOOKUP($AC54,'Cost and Score'!$B$27:$O$40,13,0)</f>
        <v>136.93181818181819</v>
      </c>
      <c r="BS54" s="48">
        <f>$G54/5280*VLOOKUP($AC54,'Cost and Score'!$B$27:$O$40,14,0)</f>
        <v>0</v>
      </c>
      <c r="BT54" s="220">
        <f t="shared" si="19"/>
        <v>1.1410984848484849</v>
      </c>
    </row>
    <row r="55" spans="1:103" s="2" customFormat="1" ht="14.25" hidden="1" customHeight="1" x14ac:dyDescent="0.25">
      <c r="A55" s="15" t="s">
        <v>169</v>
      </c>
      <c r="B55" s="34" t="s">
        <v>167</v>
      </c>
      <c r="C55" s="26" t="s">
        <v>167</v>
      </c>
      <c r="D55" s="82"/>
      <c r="E55" s="82" t="s">
        <v>129</v>
      </c>
      <c r="F55" s="82" t="s">
        <v>168</v>
      </c>
      <c r="G55" s="29">
        <v>5340</v>
      </c>
      <c r="H55" s="29">
        <f t="shared" si="23"/>
        <v>20</v>
      </c>
      <c r="I55" s="26" t="s">
        <v>8</v>
      </c>
      <c r="J55" s="26" t="s">
        <v>160</v>
      </c>
      <c r="K55" s="26">
        <f>VLOOKUP(J55,TOWNSHIPS,2,FALSE)</f>
        <v>0</v>
      </c>
      <c r="L55" s="42">
        <v>7</v>
      </c>
      <c r="M55" s="42">
        <v>6</v>
      </c>
      <c r="N55" s="42">
        <v>7</v>
      </c>
      <c r="O55" s="83">
        <v>8</v>
      </c>
      <c r="P55" s="83">
        <v>8</v>
      </c>
      <c r="Q55" s="83">
        <v>7</v>
      </c>
      <c r="R55" s="83">
        <v>7</v>
      </c>
      <c r="S55" s="83">
        <v>7</v>
      </c>
      <c r="T55" s="83">
        <v>7</v>
      </c>
      <c r="U55" s="83">
        <v>7</v>
      </c>
      <c r="V55" s="42">
        <v>2024</v>
      </c>
      <c r="W55" s="42">
        <v>2023</v>
      </c>
      <c r="X55" s="42" t="s">
        <v>2612</v>
      </c>
      <c r="Y55" s="26">
        <v>588</v>
      </c>
      <c r="Z55" s="26">
        <f t="shared" si="24"/>
        <v>0.5</v>
      </c>
      <c r="AA55" s="82" t="s">
        <v>100</v>
      </c>
      <c r="AB55" s="111">
        <f t="shared" si="3"/>
        <v>2.5</v>
      </c>
      <c r="AC55" s="85" t="s">
        <v>2371</v>
      </c>
      <c r="AD55" s="84">
        <f t="shared" si="32"/>
        <v>80909.090909090912</v>
      </c>
      <c r="AE55" s="140">
        <v>1</v>
      </c>
      <c r="AF55" s="113">
        <f t="shared" si="25"/>
        <v>80909.090909090912</v>
      </c>
      <c r="AG55" s="26">
        <v>2024</v>
      </c>
      <c r="AH55" s="26" t="str">
        <f t="shared" ref="AH55:AH118" si="34">IF($AG55=AH$1,VLOOKUP($AC55,RSL,3,FALSE),"")</f>
        <v/>
      </c>
      <c r="AI55" s="26" t="s">
        <v>2575</v>
      </c>
      <c r="AJ55" s="26" t="str">
        <f t="shared" ref="AJ55:AJ86" si="35">IF($AG55=AJ$1,VLOOKUP($AC55,RSL,3,FALSE),"")</f>
        <v>Microsurface double</v>
      </c>
      <c r="AK55" s="26" t="str">
        <f t="shared" si="33"/>
        <v/>
      </c>
      <c r="AL55" s="26" t="str">
        <f t="shared" si="31"/>
        <v/>
      </c>
      <c r="AM55" s="26" t="str">
        <f t="shared" si="31"/>
        <v/>
      </c>
      <c r="AN55" s="26" t="str">
        <f t="shared" si="7"/>
        <v>Microsurface double</v>
      </c>
      <c r="AO55" s="26" t="s">
        <v>2575</v>
      </c>
      <c r="AP55" s="26" t="str">
        <f t="shared" si="9"/>
        <v/>
      </c>
      <c r="AQ55" s="68">
        <f t="shared" si="26"/>
        <v>12</v>
      </c>
      <c r="AR55" s="68">
        <f t="shared" si="27"/>
        <v>10</v>
      </c>
      <c r="AS55" s="68">
        <f t="shared" si="12"/>
        <v>1.05</v>
      </c>
      <c r="AT55" s="68">
        <f t="shared" si="13"/>
        <v>1.1000000000000001</v>
      </c>
      <c r="AU55" s="68">
        <f t="shared" si="14"/>
        <v>1.05</v>
      </c>
      <c r="AV55" s="68">
        <f t="shared" si="15"/>
        <v>1</v>
      </c>
      <c r="AW55" s="68">
        <f t="shared" si="16"/>
        <v>1</v>
      </c>
      <c r="AX55" s="68">
        <f t="shared" ca="1" si="28"/>
        <v>0</v>
      </c>
      <c r="AY55" s="106">
        <v>2018</v>
      </c>
      <c r="AZ55" s="106" t="s">
        <v>13</v>
      </c>
      <c r="BA55" s="106" t="str">
        <f t="shared" si="18"/>
        <v>CS</v>
      </c>
      <c r="BB55" s="177"/>
      <c r="BC55" s="177">
        <v>8</v>
      </c>
      <c r="BD55" s="177"/>
      <c r="BE55" s="177"/>
      <c r="BF55" s="177"/>
      <c r="BG55" s="177"/>
      <c r="BH55" s="177"/>
      <c r="BI55" s="33" t="s">
        <v>2629</v>
      </c>
      <c r="BK55" s="48">
        <f>$G55/5280*VLOOKUP($AC55,'Cost and Score'!$B$27:$O$40,6,0)</f>
        <v>0.50568181818181823</v>
      </c>
      <c r="BL55" s="48">
        <f>$G55/5280*VLOOKUP($AC55,'Cost and Score'!$B$27:$O$40,7,0)</f>
        <v>0</v>
      </c>
      <c r="BM55" s="48">
        <f>$G55/5280*VLOOKUP($AC55,'Cost and Score'!$B$27:$O$40,8,0)</f>
        <v>0</v>
      </c>
      <c r="BN55" s="48">
        <f>$G55/5280*VLOOKUP($AC55,'Cost and Score'!$B$27:$O$40,9,0)</f>
        <v>0</v>
      </c>
      <c r="BO55" s="48">
        <f>$G55/5280*VLOOKUP($AC55,'Cost and Score'!$B$27:$O$40,10,0)</f>
        <v>0</v>
      </c>
      <c r="BP55" s="48">
        <f>$G55/5280*VLOOKUP($AC55,'Cost and Score'!$B$27:$O$40,11,0)</f>
        <v>0</v>
      </c>
      <c r="BQ55" s="48">
        <f>$G55/5280*VLOOKUP($AC55,'Cost and Score'!$B$27:$O$40,12,0)</f>
        <v>0</v>
      </c>
      <c r="BR55" s="48">
        <f>$G55/5280*VLOOKUP($AC55,'Cost and Score'!$B$27:$O$40,13,0)</f>
        <v>0</v>
      </c>
      <c r="BS55" s="48">
        <f>$G55/5280*VLOOKUP($AC55,'Cost and Score'!$B$27:$O$40,14,0)</f>
        <v>0</v>
      </c>
      <c r="BT55" s="220">
        <f t="shared" si="19"/>
        <v>1.0113636363636365</v>
      </c>
      <c r="CW55" s="112"/>
      <c r="CX55" s="112"/>
      <c r="CY55" s="112"/>
    </row>
    <row r="56" spans="1:103" s="2" customFormat="1" ht="14.45" customHeight="1" x14ac:dyDescent="0.25">
      <c r="A56" s="36" t="s">
        <v>2123</v>
      </c>
      <c r="B56" s="34" t="s">
        <v>141</v>
      </c>
      <c r="C56" s="26" t="s">
        <v>141</v>
      </c>
      <c r="D56" s="82"/>
      <c r="E56" s="82" t="s">
        <v>138</v>
      </c>
      <c r="F56" s="82" t="s">
        <v>142</v>
      </c>
      <c r="G56" s="29">
        <v>2643</v>
      </c>
      <c r="H56" s="29">
        <f t="shared" si="23"/>
        <v>20</v>
      </c>
      <c r="I56" s="26" t="s">
        <v>8</v>
      </c>
      <c r="J56" s="26" t="s">
        <v>125</v>
      </c>
      <c r="K56" s="26">
        <f>VLOOKUP(J56,TOWNSHIPS,2,FALSE)</f>
        <v>0</v>
      </c>
      <c r="L56" s="42">
        <v>8</v>
      </c>
      <c r="M56" s="42">
        <v>8</v>
      </c>
      <c r="N56" s="42">
        <v>8</v>
      </c>
      <c r="O56" s="83">
        <v>8</v>
      </c>
      <c r="P56" s="83">
        <v>8</v>
      </c>
      <c r="Q56" s="83">
        <v>8</v>
      </c>
      <c r="R56" s="83">
        <v>7</v>
      </c>
      <c r="S56" s="83">
        <v>7</v>
      </c>
      <c r="T56" s="83">
        <v>7</v>
      </c>
      <c r="U56" s="83">
        <v>7</v>
      </c>
      <c r="V56" s="42"/>
      <c r="W56" s="42">
        <v>2020</v>
      </c>
      <c r="X56" s="42" t="s">
        <v>2612</v>
      </c>
      <c r="Y56" s="26">
        <v>3091</v>
      </c>
      <c r="Z56" s="26">
        <f t="shared" si="24"/>
        <v>1.5</v>
      </c>
      <c r="AA56" s="82" t="s">
        <v>119</v>
      </c>
      <c r="AB56" s="111">
        <f t="shared" si="3"/>
        <v>3.5</v>
      </c>
      <c r="AC56" s="26" t="s">
        <v>13</v>
      </c>
      <c r="AD56" s="84">
        <f t="shared" si="32"/>
        <v>10511.931818181818</v>
      </c>
      <c r="AE56" s="140"/>
      <c r="AF56" s="113">
        <f t="shared" si="25"/>
        <v>0</v>
      </c>
      <c r="AG56" s="106">
        <v>2025</v>
      </c>
      <c r="AH56" s="26" t="str">
        <f t="shared" si="34"/>
        <v/>
      </c>
      <c r="AI56" s="26" t="str">
        <f t="shared" ref="AI56:AI64" si="36">IF($AG56=AI$1,VLOOKUP($AC56,RSL,3,FALSE),"")</f>
        <v/>
      </c>
      <c r="AJ56" s="26" t="str">
        <f t="shared" si="35"/>
        <v/>
      </c>
      <c r="AK56" s="26" t="str">
        <f t="shared" si="33"/>
        <v>Chip Seal and Fog</v>
      </c>
      <c r="AL56" s="26" t="str">
        <f t="shared" si="31"/>
        <v/>
      </c>
      <c r="AM56" s="26" t="str">
        <f t="shared" si="31"/>
        <v/>
      </c>
      <c r="AN56" s="26" t="str">
        <f t="shared" si="7"/>
        <v>Chip Seal and Fog</v>
      </c>
      <c r="AO56" s="26" t="str">
        <f t="shared" ref="AO56:AO64" si="37">IF(AY56=AO$1,VLOOKUP(AZ56,RSL,3,FALSE),"")</f>
        <v/>
      </c>
      <c r="AP56" s="26" t="str">
        <f t="shared" si="9"/>
        <v/>
      </c>
      <c r="AQ56" s="68">
        <f t="shared" si="26"/>
        <v>12</v>
      </c>
      <c r="AR56" s="68">
        <f t="shared" si="27"/>
        <v>6</v>
      </c>
      <c r="AS56" s="68">
        <f t="shared" si="12"/>
        <v>1</v>
      </c>
      <c r="AT56" s="68">
        <f t="shared" si="13"/>
        <v>1</v>
      </c>
      <c r="AU56" s="68">
        <f t="shared" si="14"/>
        <v>1</v>
      </c>
      <c r="AV56" s="68">
        <f t="shared" si="15"/>
        <v>1</v>
      </c>
      <c r="AW56" s="68">
        <f t="shared" si="16"/>
        <v>1</v>
      </c>
      <c r="AX56" s="68">
        <f t="shared" ca="1" si="28"/>
        <v>1</v>
      </c>
      <c r="AY56" s="106">
        <v>2019</v>
      </c>
      <c r="AZ56" s="106" t="s">
        <v>2075</v>
      </c>
      <c r="BA56" s="106" t="str">
        <f t="shared" si="18"/>
        <v/>
      </c>
      <c r="BB56" s="177"/>
      <c r="BC56" s="177">
        <v>6</v>
      </c>
      <c r="BD56" s="177"/>
      <c r="BE56" s="177"/>
      <c r="BF56" s="177"/>
      <c r="BG56" s="177"/>
      <c r="BH56" s="177"/>
      <c r="BI56" s="33" t="s">
        <v>2106</v>
      </c>
      <c r="BK56" s="48">
        <f>$G56/5280*VLOOKUP($AC56,'Cost and Score'!$B$27:$O$40,6,0)</f>
        <v>0.10011363636363638</v>
      </c>
      <c r="BL56" s="48">
        <f>$G56/5280*VLOOKUP($AC56,'Cost and Score'!$B$27:$O$40,7,0)</f>
        <v>11.012500000000001</v>
      </c>
      <c r="BM56" s="48">
        <f>$G56/5280*VLOOKUP($AC56,'Cost and Score'!$B$27:$O$40,8,0)</f>
        <v>0</v>
      </c>
      <c r="BN56" s="48">
        <f>$G56/5280*VLOOKUP($AC56,'Cost and Score'!$B$27:$O$40,9,0)</f>
        <v>2252.5568181818185</v>
      </c>
      <c r="BO56" s="48">
        <f>$G56/5280*VLOOKUP($AC56,'Cost and Score'!$B$27:$O$40,10,0)</f>
        <v>500.56818181818187</v>
      </c>
      <c r="BP56" s="48">
        <f>$G56/5280*VLOOKUP($AC56,'Cost and Score'!$B$27:$O$40,11,0)</f>
        <v>0</v>
      </c>
      <c r="BQ56" s="48">
        <f>$G56/5280*VLOOKUP($AC56,'Cost and Score'!$B$27:$O$40,12,0)</f>
        <v>50.056818181818187</v>
      </c>
      <c r="BR56" s="48">
        <f>$G56/5280*VLOOKUP($AC56,'Cost and Score'!$B$27:$O$40,13,0)</f>
        <v>60.06818181818182</v>
      </c>
      <c r="BS56" s="48">
        <f>$G56/5280*VLOOKUP($AC56,'Cost and Score'!$B$27:$O$40,14,0)</f>
        <v>0</v>
      </c>
      <c r="BT56" s="220">
        <f t="shared" si="19"/>
        <v>0.50056818181818186</v>
      </c>
      <c r="BY56" s="2" t="s">
        <v>2077</v>
      </c>
      <c r="BZ56" s="27">
        <v>15000</v>
      </c>
      <c r="CA56" s="2" t="s">
        <v>2090</v>
      </c>
    </row>
    <row r="57" spans="1:103" s="2" customFormat="1" ht="14.45" hidden="1" customHeight="1" x14ac:dyDescent="0.25">
      <c r="A57" s="15" t="s">
        <v>174</v>
      </c>
      <c r="B57" s="34" t="s">
        <v>173</v>
      </c>
      <c r="C57" s="26" t="s">
        <v>173</v>
      </c>
      <c r="D57" s="82"/>
      <c r="E57" s="82" t="s">
        <v>73</v>
      </c>
      <c r="F57" s="82" t="s">
        <v>64</v>
      </c>
      <c r="G57" s="29">
        <v>5310</v>
      </c>
      <c r="H57" s="29">
        <f t="shared" si="23"/>
        <v>20</v>
      </c>
      <c r="I57" s="26" t="s">
        <v>8</v>
      </c>
      <c r="J57" s="26" t="s">
        <v>172</v>
      </c>
      <c r="K57" s="26">
        <f>VLOOKUP(J57,TOWNSHIPS,2,FALSE)</f>
        <v>0</v>
      </c>
      <c r="L57" s="42">
        <v>7</v>
      </c>
      <c r="M57" s="42">
        <v>7</v>
      </c>
      <c r="N57" s="42">
        <v>7</v>
      </c>
      <c r="O57" s="83">
        <v>6</v>
      </c>
      <c r="P57" s="83">
        <v>6</v>
      </c>
      <c r="Q57" s="83">
        <v>9</v>
      </c>
      <c r="R57" s="83">
        <v>9</v>
      </c>
      <c r="S57" s="83">
        <v>8</v>
      </c>
      <c r="T57" s="83">
        <v>7</v>
      </c>
      <c r="U57" s="83">
        <v>7</v>
      </c>
      <c r="V57" s="42">
        <v>2024</v>
      </c>
      <c r="W57" s="42">
        <v>2019</v>
      </c>
      <c r="X57" s="42" t="s">
        <v>2612</v>
      </c>
      <c r="Y57" s="26">
        <v>548</v>
      </c>
      <c r="Z57" s="26">
        <f t="shared" si="24"/>
        <v>0.5</v>
      </c>
      <c r="AA57" s="82" t="s">
        <v>100</v>
      </c>
      <c r="AB57" s="111">
        <f t="shared" si="3"/>
        <v>4.5</v>
      </c>
      <c r="AC57" s="82" t="s">
        <v>13</v>
      </c>
      <c r="AD57" s="84">
        <f t="shared" si="32"/>
        <v>21119.31818181818</v>
      </c>
      <c r="AE57" s="140"/>
      <c r="AF57" s="113">
        <f t="shared" si="25"/>
        <v>0</v>
      </c>
      <c r="AG57" s="82">
        <v>2024</v>
      </c>
      <c r="AH57" s="26" t="str">
        <f t="shared" si="34"/>
        <v/>
      </c>
      <c r="AI57" s="26" t="str">
        <f t="shared" si="36"/>
        <v/>
      </c>
      <c r="AJ57" s="26" t="str">
        <f t="shared" si="35"/>
        <v>Chip Seal and Fog</v>
      </c>
      <c r="AK57" s="26" t="str">
        <f t="shared" si="33"/>
        <v/>
      </c>
      <c r="AL57" s="26" t="str">
        <f t="shared" si="31"/>
        <v/>
      </c>
      <c r="AM57" s="26" t="str">
        <f t="shared" si="31"/>
        <v/>
      </c>
      <c r="AN57" s="26" t="str">
        <f t="shared" si="7"/>
        <v>Chip Seal and Fog</v>
      </c>
      <c r="AO57" s="26" t="str">
        <f t="shared" si="37"/>
        <v/>
      </c>
      <c r="AP57" s="26" t="str">
        <f t="shared" si="9"/>
        <v/>
      </c>
      <c r="AQ57" s="68">
        <f t="shared" si="26"/>
        <v>8</v>
      </c>
      <c r="AR57" s="68">
        <f t="shared" si="27"/>
        <v>6</v>
      </c>
      <c r="AS57" s="68">
        <f t="shared" si="12"/>
        <v>1.05</v>
      </c>
      <c r="AT57" s="68">
        <f t="shared" si="13"/>
        <v>1.05</v>
      </c>
      <c r="AU57" s="68">
        <f t="shared" si="14"/>
        <v>1.05</v>
      </c>
      <c r="AV57" s="68">
        <f t="shared" si="15"/>
        <v>1.1000000000000001</v>
      </c>
      <c r="AW57" s="68">
        <f t="shared" si="16"/>
        <v>1.1000000000000001</v>
      </c>
      <c r="AX57" s="68">
        <f t="shared" ca="1" si="28"/>
        <v>0</v>
      </c>
      <c r="AY57" s="106">
        <v>2018</v>
      </c>
      <c r="AZ57" s="106" t="s">
        <v>2073</v>
      </c>
      <c r="BA57" s="106" t="str">
        <f t="shared" si="18"/>
        <v>DS</v>
      </c>
      <c r="BB57" s="177"/>
      <c r="BC57" s="177">
        <v>9</v>
      </c>
      <c r="BD57" s="177"/>
      <c r="BE57" s="177"/>
      <c r="BF57" s="177"/>
      <c r="BG57" s="177"/>
      <c r="BH57" s="177"/>
      <c r="BI57" s="33"/>
      <c r="BK57" s="48">
        <f>$G57/5280*VLOOKUP($AC57,'Cost and Score'!$B$27:$O$40,6,0)</f>
        <v>0.20113636363636364</v>
      </c>
      <c r="BL57" s="48">
        <f>$G57/5280*VLOOKUP($AC57,'Cost and Score'!$B$27:$O$40,7,0)</f>
        <v>22.125</v>
      </c>
      <c r="BM57" s="48">
        <f>$G57/5280*VLOOKUP($AC57,'Cost and Score'!$B$27:$O$40,8,0)</f>
        <v>0</v>
      </c>
      <c r="BN57" s="48">
        <f>$G57/5280*VLOOKUP($AC57,'Cost and Score'!$B$27:$O$40,9,0)</f>
        <v>4525.568181818182</v>
      </c>
      <c r="BO57" s="48">
        <f>$G57/5280*VLOOKUP($AC57,'Cost and Score'!$B$27:$O$40,10,0)</f>
        <v>1005.6818181818181</v>
      </c>
      <c r="BP57" s="48">
        <f>$G57/5280*VLOOKUP($AC57,'Cost and Score'!$B$27:$O$40,11,0)</f>
        <v>0</v>
      </c>
      <c r="BQ57" s="48">
        <f>$G57/5280*VLOOKUP($AC57,'Cost and Score'!$B$27:$O$40,12,0)</f>
        <v>100.56818181818181</v>
      </c>
      <c r="BR57" s="48">
        <f>$G57/5280*VLOOKUP($AC57,'Cost and Score'!$B$27:$O$40,13,0)</f>
        <v>120.68181818181817</v>
      </c>
      <c r="BS57" s="48">
        <f>$G57/5280*VLOOKUP($AC57,'Cost and Score'!$B$27:$O$40,14,0)</f>
        <v>0</v>
      </c>
      <c r="BT57" s="220">
        <f t="shared" si="19"/>
        <v>1.0056818181818181</v>
      </c>
    </row>
    <row r="58" spans="1:103" s="2" customFormat="1" ht="14.25" hidden="1" customHeight="1" x14ac:dyDescent="0.25">
      <c r="A58" s="36" t="s">
        <v>176</v>
      </c>
      <c r="B58" s="34" t="s">
        <v>175</v>
      </c>
      <c r="C58" s="26" t="s">
        <v>175</v>
      </c>
      <c r="D58" s="26"/>
      <c r="E58" s="26" t="s">
        <v>135</v>
      </c>
      <c r="F58" s="26" t="s">
        <v>138</v>
      </c>
      <c r="G58" s="29">
        <v>5330</v>
      </c>
      <c r="H58" s="29">
        <f t="shared" si="23"/>
        <v>20</v>
      </c>
      <c r="I58" s="26" t="s">
        <v>8</v>
      </c>
      <c r="J58" s="26" t="s">
        <v>160</v>
      </c>
      <c r="K58" s="26">
        <f>VLOOKUP(J58,TOWNSHIPS,2,FALSE)</f>
        <v>0</v>
      </c>
      <c r="L58" s="42">
        <v>6</v>
      </c>
      <c r="M58" s="42">
        <v>6</v>
      </c>
      <c r="N58" s="42">
        <v>6</v>
      </c>
      <c r="O58" s="42">
        <v>8</v>
      </c>
      <c r="P58" s="42">
        <v>8</v>
      </c>
      <c r="Q58" s="42">
        <v>7</v>
      </c>
      <c r="R58" s="42">
        <v>7</v>
      </c>
      <c r="S58" s="42">
        <v>7</v>
      </c>
      <c r="T58" s="42">
        <v>7</v>
      </c>
      <c r="U58" s="42">
        <v>7</v>
      </c>
      <c r="V58" s="42">
        <v>2023</v>
      </c>
      <c r="W58" s="42">
        <v>2023</v>
      </c>
      <c r="X58" s="42" t="s">
        <v>2612</v>
      </c>
      <c r="Y58" s="26">
        <v>521</v>
      </c>
      <c r="Z58" s="26">
        <f t="shared" si="24"/>
        <v>0.5</v>
      </c>
      <c r="AA58" s="26" t="s">
        <v>100</v>
      </c>
      <c r="AB58" s="111">
        <f t="shared" si="3"/>
        <v>2.5</v>
      </c>
      <c r="AC58" s="26" t="s">
        <v>13</v>
      </c>
      <c r="AD58" s="47">
        <f t="shared" si="32"/>
        <v>21198.863636363636</v>
      </c>
      <c r="AE58" s="140"/>
      <c r="AF58" s="113">
        <f t="shared" si="25"/>
        <v>0</v>
      </c>
      <c r="AG58" s="26">
        <v>2022</v>
      </c>
      <c r="AH58" s="26" t="str">
        <f t="shared" si="34"/>
        <v>Chip Seal and Fog</v>
      </c>
      <c r="AI58" s="26" t="str">
        <f t="shared" si="36"/>
        <v/>
      </c>
      <c r="AJ58" s="26" t="str">
        <f t="shared" si="35"/>
        <v/>
      </c>
      <c r="AK58" s="26" t="str">
        <f t="shared" si="33"/>
        <v/>
      </c>
      <c r="AL58" s="26" t="str">
        <f t="shared" si="31"/>
        <v/>
      </c>
      <c r="AM58" s="26" t="str">
        <f t="shared" si="31"/>
        <v/>
      </c>
      <c r="AN58" s="26" t="str">
        <f t="shared" si="7"/>
        <v>Chip Seal and Fog</v>
      </c>
      <c r="AO58" s="26" t="str">
        <f t="shared" si="37"/>
        <v/>
      </c>
      <c r="AP58" s="26" t="str">
        <f t="shared" si="9"/>
        <v/>
      </c>
      <c r="AQ58" s="68">
        <f t="shared" si="26"/>
        <v>12</v>
      </c>
      <c r="AR58" s="68">
        <f t="shared" si="27"/>
        <v>6</v>
      </c>
      <c r="AS58" s="68">
        <f t="shared" si="12"/>
        <v>1.1000000000000001</v>
      </c>
      <c r="AT58" s="68">
        <f t="shared" si="13"/>
        <v>1.1000000000000001</v>
      </c>
      <c r="AU58" s="68">
        <f t="shared" si="14"/>
        <v>1.1000000000000001</v>
      </c>
      <c r="AV58" s="68">
        <f t="shared" si="15"/>
        <v>1</v>
      </c>
      <c r="AW58" s="68">
        <f t="shared" si="16"/>
        <v>1</v>
      </c>
      <c r="AX58" s="68">
        <f t="shared" ca="1" si="28"/>
        <v>-2.2000000000000002</v>
      </c>
      <c r="AY58" s="106">
        <v>2015</v>
      </c>
      <c r="AZ58" s="106" t="s">
        <v>13</v>
      </c>
      <c r="BA58" s="106" t="str">
        <f t="shared" si="18"/>
        <v/>
      </c>
      <c r="BB58" s="177"/>
      <c r="BC58" s="177">
        <v>8</v>
      </c>
      <c r="BD58" s="177"/>
      <c r="BE58" s="177"/>
      <c r="BF58" s="177"/>
      <c r="BG58" s="177"/>
      <c r="BH58" s="177"/>
      <c r="BI58" s="33" t="s">
        <v>2100</v>
      </c>
      <c r="BK58" s="48">
        <f>$G58/5280*VLOOKUP($AC58,'Cost and Score'!$B$27:$O$40,6,0)</f>
        <v>0.2018939393939394</v>
      </c>
      <c r="BL58" s="48">
        <f>$G58/5280*VLOOKUP($AC58,'Cost and Score'!$B$27:$O$40,7,0)</f>
        <v>22.208333333333336</v>
      </c>
      <c r="BM58" s="48">
        <f>$G58/5280*VLOOKUP($AC58,'Cost and Score'!$B$27:$O$40,8,0)</f>
        <v>0</v>
      </c>
      <c r="BN58" s="48">
        <f>$G58/5280*VLOOKUP($AC58,'Cost and Score'!$B$27:$O$40,9,0)</f>
        <v>4542.6136363636369</v>
      </c>
      <c r="BO58" s="48">
        <f>$G58/5280*VLOOKUP($AC58,'Cost and Score'!$B$27:$O$40,10,0)</f>
        <v>1009.469696969697</v>
      </c>
      <c r="BP58" s="48">
        <f>$G58/5280*VLOOKUP($AC58,'Cost and Score'!$B$27:$O$40,11,0)</f>
        <v>0</v>
      </c>
      <c r="BQ58" s="48">
        <f>$G58/5280*VLOOKUP($AC58,'Cost and Score'!$B$27:$O$40,12,0)</f>
        <v>100.9469696969697</v>
      </c>
      <c r="BR58" s="48">
        <f>$G58/5280*VLOOKUP($AC58,'Cost and Score'!$B$27:$O$40,13,0)</f>
        <v>121.13636363636364</v>
      </c>
      <c r="BS58" s="48">
        <f>$G58/5280*VLOOKUP($AC58,'Cost and Score'!$B$27:$O$40,14,0)</f>
        <v>0</v>
      </c>
      <c r="BT58" s="220">
        <f t="shared" si="19"/>
        <v>1.009469696969697</v>
      </c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</row>
    <row r="59" spans="1:103" s="2" customFormat="1" ht="14.45" customHeight="1" x14ac:dyDescent="0.25">
      <c r="A59" s="38" t="s">
        <v>1785</v>
      </c>
      <c r="B59" s="34" t="s">
        <v>1784</v>
      </c>
      <c r="C59" s="85" t="s">
        <v>1784</v>
      </c>
      <c r="D59" s="85"/>
      <c r="E59" s="85" t="s">
        <v>119</v>
      </c>
      <c r="F59" s="85" t="s">
        <v>486</v>
      </c>
      <c r="G59" s="29">
        <v>2620</v>
      </c>
      <c r="H59" s="29">
        <f t="shared" si="23"/>
        <v>20</v>
      </c>
      <c r="I59" s="85" t="s">
        <v>8</v>
      </c>
      <c r="J59" s="85" t="s">
        <v>101</v>
      </c>
      <c r="K59" s="85">
        <v>0</v>
      </c>
      <c r="L59" s="74">
        <v>8</v>
      </c>
      <c r="M59" s="74">
        <v>7</v>
      </c>
      <c r="N59" s="74">
        <v>7</v>
      </c>
      <c r="O59" s="74">
        <v>7</v>
      </c>
      <c r="P59" s="74">
        <v>7</v>
      </c>
      <c r="Q59" s="74">
        <v>7</v>
      </c>
      <c r="R59" s="74">
        <v>7</v>
      </c>
      <c r="S59" s="74">
        <v>7</v>
      </c>
      <c r="T59" s="74">
        <v>7</v>
      </c>
      <c r="U59" s="74">
        <v>7</v>
      </c>
      <c r="V59" s="74"/>
      <c r="W59" s="74"/>
      <c r="X59" s="74" t="s">
        <v>2612</v>
      </c>
      <c r="Y59" s="85">
        <v>2784</v>
      </c>
      <c r="Z59" s="85">
        <f t="shared" si="24"/>
        <v>1.5</v>
      </c>
      <c r="AA59" s="85" t="s">
        <v>83</v>
      </c>
      <c r="AB59" s="111">
        <f t="shared" si="3"/>
        <v>4.5</v>
      </c>
      <c r="AC59" s="26" t="s">
        <v>751</v>
      </c>
      <c r="AD59" s="47">
        <f t="shared" si="32"/>
        <v>54583.333333333336</v>
      </c>
      <c r="AE59" s="140"/>
      <c r="AF59" s="113">
        <f t="shared" si="25"/>
        <v>0</v>
      </c>
      <c r="AG59" s="106">
        <v>2025</v>
      </c>
      <c r="AH59" s="26" t="str">
        <f t="shared" si="34"/>
        <v/>
      </c>
      <c r="AI59" s="26" t="str">
        <f t="shared" si="36"/>
        <v/>
      </c>
      <c r="AJ59" s="26" t="str">
        <f t="shared" si="35"/>
        <v/>
      </c>
      <c r="AK59" s="26" t="str">
        <f t="shared" si="33"/>
        <v>Overlay - 2"</v>
      </c>
      <c r="AL59" s="26" t="str">
        <f t="shared" si="31"/>
        <v/>
      </c>
      <c r="AM59" s="26" t="str">
        <f t="shared" si="31"/>
        <v/>
      </c>
      <c r="AN59" s="26" t="str">
        <f t="shared" si="7"/>
        <v>Overlay - 2"</v>
      </c>
      <c r="AO59" s="26" t="str">
        <f t="shared" si="37"/>
        <v/>
      </c>
      <c r="AP59" s="26" t="str">
        <f t="shared" si="9"/>
        <v/>
      </c>
      <c r="AQ59" s="68">
        <f t="shared" si="26"/>
        <v>10</v>
      </c>
      <c r="AR59" s="68">
        <f t="shared" si="27"/>
        <v>12</v>
      </c>
      <c r="AS59" s="68">
        <f t="shared" si="12"/>
        <v>1</v>
      </c>
      <c r="AT59" s="68">
        <f t="shared" si="13"/>
        <v>1.05</v>
      </c>
      <c r="AU59" s="68">
        <f t="shared" si="14"/>
        <v>1.05</v>
      </c>
      <c r="AV59" s="68">
        <f t="shared" si="15"/>
        <v>1.05</v>
      </c>
      <c r="AW59" s="68">
        <f t="shared" si="16"/>
        <v>1.05</v>
      </c>
      <c r="AX59" s="68">
        <f t="shared" ca="1" si="28"/>
        <v>1.05</v>
      </c>
      <c r="AY59" s="106">
        <v>2016</v>
      </c>
      <c r="AZ59" s="106" t="s">
        <v>2086</v>
      </c>
      <c r="BA59" s="106" t="str">
        <f t="shared" si="18"/>
        <v/>
      </c>
      <c r="BB59" s="178"/>
      <c r="BC59" s="178">
        <v>6</v>
      </c>
      <c r="BD59" s="178"/>
      <c r="BE59" s="178"/>
      <c r="BF59" s="178"/>
      <c r="BG59" s="178"/>
      <c r="BH59" s="178"/>
      <c r="BI59" s="33"/>
      <c r="BK59" s="48">
        <f>$G59/5280*VLOOKUP($AC59,'Cost and Score'!$B$27:$O$40,6,0)</f>
        <v>1.1164772727272727</v>
      </c>
      <c r="BL59" s="48">
        <f>$G59/5280*VLOOKUP($AC59,'Cost and Score'!$B$27:$O$40,7,0)</f>
        <v>104.20454545454545</v>
      </c>
      <c r="BM59" s="48">
        <f>$G59/5280*VLOOKUP($AC59,'Cost and Score'!$B$27:$O$40,8,0)</f>
        <v>173.67424242424244</v>
      </c>
      <c r="BN59" s="48">
        <f>$G59/5280*VLOOKUP($AC59,'Cost and Score'!$B$27:$O$40,9,0)</f>
        <v>0</v>
      </c>
      <c r="BO59" s="48">
        <f>$G59/5280*VLOOKUP($AC59,'Cost and Score'!$B$27:$O$40,10,0)</f>
        <v>0</v>
      </c>
      <c r="BP59" s="48">
        <f>$G59/5280*VLOOKUP($AC59,'Cost and Score'!$B$27:$O$40,11,0)</f>
        <v>99.242424242424249</v>
      </c>
      <c r="BQ59" s="48">
        <f>$G59/5280*VLOOKUP($AC59,'Cost and Score'!$B$27:$O$40,12,0)</f>
        <v>843.56060606060612</v>
      </c>
      <c r="BR59" s="48">
        <f>$G59/5280*VLOOKUP($AC59,'Cost and Score'!$B$27:$O$40,13,0)</f>
        <v>0</v>
      </c>
      <c r="BS59" s="48">
        <f>$G59/5280*VLOOKUP($AC59,'Cost and Score'!$B$27:$O$40,14,0)</f>
        <v>0</v>
      </c>
      <c r="BT59" s="220">
        <f t="shared" si="19"/>
        <v>0.49621212121212122</v>
      </c>
      <c r="CV59" s="112"/>
    </row>
    <row r="60" spans="1:103" s="112" customFormat="1" ht="14.45" hidden="1" customHeight="1" x14ac:dyDescent="0.25">
      <c r="A60" s="15" t="s">
        <v>180</v>
      </c>
      <c r="B60" s="108" t="s">
        <v>2440</v>
      </c>
      <c r="C60" s="106" t="s">
        <v>2440</v>
      </c>
      <c r="D60" s="106"/>
      <c r="E60" s="106" t="s">
        <v>179</v>
      </c>
      <c r="F60" s="106" t="s">
        <v>79</v>
      </c>
      <c r="G60" s="106">
        <v>4070</v>
      </c>
      <c r="H60" s="109">
        <v>20</v>
      </c>
      <c r="I60" s="106" t="s">
        <v>13</v>
      </c>
      <c r="J60" s="106" t="s">
        <v>172</v>
      </c>
      <c r="K60" s="106">
        <v>0</v>
      </c>
      <c r="L60" s="106">
        <v>6</v>
      </c>
      <c r="M60" s="110">
        <v>7</v>
      </c>
      <c r="N60" s="110">
        <v>7</v>
      </c>
      <c r="O60" s="110">
        <v>6</v>
      </c>
      <c r="P60" s="110">
        <v>8</v>
      </c>
      <c r="Q60" s="110">
        <v>8</v>
      </c>
      <c r="R60" s="110">
        <v>8</v>
      </c>
      <c r="S60" s="110">
        <v>7</v>
      </c>
      <c r="T60" s="110">
        <v>7</v>
      </c>
      <c r="U60" s="110">
        <v>7</v>
      </c>
      <c r="V60" s="110"/>
      <c r="W60" s="110"/>
      <c r="X60" s="110"/>
      <c r="Y60" s="110">
        <v>338</v>
      </c>
      <c r="Z60" s="106">
        <v>0</v>
      </c>
      <c r="AA60" s="106" t="s">
        <v>100</v>
      </c>
      <c r="AB60" s="111">
        <f t="shared" si="3"/>
        <v>2</v>
      </c>
      <c r="AC60" s="26" t="s">
        <v>13</v>
      </c>
      <c r="AD60" s="118">
        <v>19270.830000000002</v>
      </c>
      <c r="AE60" s="140"/>
      <c r="AF60" s="113">
        <f t="shared" si="25"/>
        <v>0</v>
      </c>
      <c r="AG60" s="26">
        <v>2022</v>
      </c>
      <c r="AH60" s="26" t="str">
        <f t="shared" si="34"/>
        <v>Chip Seal and Fog</v>
      </c>
      <c r="AI60" s="26" t="str">
        <f t="shared" si="36"/>
        <v/>
      </c>
      <c r="AJ60" s="26" t="str">
        <f t="shared" si="35"/>
        <v/>
      </c>
      <c r="AK60" s="26" t="str">
        <f t="shared" si="33"/>
        <v/>
      </c>
      <c r="AL60" s="26" t="str">
        <f t="shared" si="31"/>
        <v/>
      </c>
      <c r="AM60" s="26" t="str">
        <f t="shared" si="31"/>
        <v/>
      </c>
      <c r="AN60" s="26" t="str">
        <f t="shared" si="7"/>
        <v>Chip Seal and Fog</v>
      </c>
      <c r="AO60" s="26" t="str">
        <f t="shared" si="37"/>
        <v/>
      </c>
      <c r="AP60" s="26" t="str">
        <f t="shared" si="9"/>
        <v/>
      </c>
      <c r="AQ60" s="113">
        <v>10</v>
      </c>
      <c r="AR60" s="106">
        <v>6</v>
      </c>
      <c r="AS60" s="68">
        <f t="shared" si="12"/>
        <v>1.1000000000000001</v>
      </c>
      <c r="AT60" s="68">
        <f t="shared" si="13"/>
        <v>1.05</v>
      </c>
      <c r="AU60" s="68">
        <f t="shared" si="14"/>
        <v>1.05</v>
      </c>
      <c r="AV60" s="68">
        <f t="shared" si="15"/>
        <v>1.1000000000000001</v>
      </c>
      <c r="AW60" s="68">
        <f t="shared" si="16"/>
        <v>1</v>
      </c>
      <c r="AX60" s="68">
        <v>0</v>
      </c>
      <c r="AY60" s="106">
        <v>2017</v>
      </c>
      <c r="AZ60" s="111" t="s">
        <v>2073</v>
      </c>
      <c r="BA60" s="106" t="str">
        <f t="shared" si="18"/>
        <v/>
      </c>
      <c r="BB60" s="110"/>
      <c r="BC60" s="110">
        <v>7</v>
      </c>
      <c r="BD60" s="110"/>
      <c r="BE60" s="110"/>
      <c r="BF60" s="110"/>
      <c r="BG60" s="110"/>
      <c r="BH60" s="110"/>
      <c r="BI60" s="68"/>
      <c r="BJ60" s="68"/>
      <c r="BK60" s="33">
        <v>0.4</v>
      </c>
      <c r="BL60" s="2">
        <v>38.5</v>
      </c>
      <c r="BM60" s="48">
        <v>0</v>
      </c>
      <c r="BN60" s="48">
        <v>6166.7</v>
      </c>
      <c r="BO60" s="48">
        <v>770.8</v>
      </c>
      <c r="BP60" s="48">
        <v>0</v>
      </c>
      <c r="BQ60" s="48">
        <v>0</v>
      </c>
      <c r="BR60" s="48">
        <v>138.80000000000001</v>
      </c>
      <c r="BS60" s="48">
        <v>185</v>
      </c>
      <c r="BT60" s="220">
        <f t="shared" si="19"/>
        <v>0.77083333333333337</v>
      </c>
      <c r="BU60" s="48" t="e">
        <f>$H60/5280*VLOOKUP($AD60,'Cost and Score'!$B$27:$O$40,14,0)</f>
        <v>#N/A</v>
      </c>
      <c r="BV60" s="2"/>
      <c r="BW60" s="2"/>
      <c r="BX60" s="2"/>
      <c r="BY60" s="2"/>
      <c r="BZ60" s="2"/>
      <c r="CA60" s="2"/>
      <c r="CB60" s="2"/>
      <c r="CC60" s="2"/>
      <c r="CD60" s="2"/>
      <c r="CE60" s="2"/>
      <c r="CS60" s="2"/>
      <c r="CT60" s="2"/>
      <c r="CU60" s="2"/>
      <c r="CV60" s="2"/>
      <c r="CW60" s="2"/>
      <c r="CX60" s="2"/>
      <c r="CY60" s="2"/>
    </row>
    <row r="61" spans="1:103" s="112" customFormat="1" ht="14.45" hidden="1" customHeight="1" x14ac:dyDescent="0.25">
      <c r="A61" s="15" t="s">
        <v>182</v>
      </c>
      <c r="B61" s="108" t="s">
        <v>181</v>
      </c>
      <c r="C61" s="106" t="s">
        <v>181</v>
      </c>
      <c r="D61" s="106"/>
      <c r="E61" s="106" t="s">
        <v>94</v>
      </c>
      <c r="F61" s="106" t="s">
        <v>179</v>
      </c>
      <c r="G61" s="109">
        <v>2240</v>
      </c>
      <c r="H61" s="109">
        <f t="shared" ref="H61:H92" si="38">IF(I61="NC",26,20)</f>
        <v>20</v>
      </c>
      <c r="I61" s="106" t="s">
        <v>8</v>
      </c>
      <c r="J61" s="106" t="s">
        <v>172</v>
      </c>
      <c r="K61" s="106">
        <f>VLOOKUP(J61,TOWNSHIPS,2,FALSE)</f>
        <v>0</v>
      </c>
      <c r="L61" s="110">
        <v>6</v>
      </c>
      <c r="M61" s="110">
        <v>6</v>
      </c>
      <c r="N61" s="110">
        <v>6</v>
      </c>
      <c r="O61" s="110">
        <v>6</v>
      </c>
      <c r="P61" s="110">
        <v>8</v>
      </c>
      <c r="Q61" s="110">
        <v>8</v>
      </c>
      <c r="R61" s="110">
        <v>8</v>
      </c>
      <c r="S61" s="110">
        <v>7</v>
      </c>
      <c r="T61" s="110">
        <v>7</v>
      </c>
      <c r="U61" s="110">
        <v>7</v>
      </c>
      <c r="V61" s="110"/>
      <c r="W61" s="110"/>
      <c r="X61" s="110"/>
      <c r="Y61" s="106">
        <v>338</v>
      </c>
      <c r="Z61" s="106">
        <f t="shared" ref="Z61:Z92" si="39">VLOOKUP(Y61,AADT,2)</f>
        <v>0</v>
      </c>
      <c r="AA61" s="106" t="s">
        <v>100</v>
      </c>
      <c r="AB61" s="111">
        <f t="shared" si="3"/>
        <v>2</v>
      </c>
      <c r="AC61" s="85" t="s">
        <v>2075</v>
      </c>
      <c r="AD61" s="107">
        <f t="shared" ref="AD61:AD124" si="40">VLOOKUP(AC61,Cost,2,FALSE)*G61/5280</f>
        <v>2290.909090909091</v>
      </c>
      <c r="AE61" s="198"/>
      <c r="AF61" s="113">
        <f t="shared" si="25"/>
        <v>0</v>
      </c>
      <c r="AG61" s="106">
        <v>2022</v>
      </c>
      <c r="AH61" s="26" t="str">
        <f t="shared" si="34"/>
        <v>Crack Seal</v>
      </c>
      <c r="AI61" s="26" t="str">
        <f t="shared" si="36"/>
        <v/>
      </c>
      <c r="AJ61" s="26" t="str">
        <f t="shared" si="35"/>
        <v/>
      </c>
      <c r="AK61" s="26" t="str">
        <f t="shared" si="33"/>
        <v/>
      </c>
      <c r="AL61" s="26" t="str">
        <f t="shared" si="31"/>
        <v/>
      </c>
      <c r="AM61" s="26" t="str">
        <f t="shared" si="31"/>
        <v/>
      </c>
      <c r="AN61" s="26" t="str">
        <f t="shared" si="7"/>
        <v>Crack Seal</v>
      </c>
      <c r="AO61" s="26" t="str">
        <f t="shared" si="37"/>
        <v/>
      </c>
      <c r="AP61" s="26" t="str">
        <f t="shared" si="9"/>
        <v/>
      </c>
      <c r="AQ61" s="68">
        <f t="shared" ref="AQ61:AQ124" si="41">VLOOKUP(O61,RSLrem,2,FALSE)</f>
        <v>8</v>
      </c>
      <c r="AR61" s="68">
        <f t="shared" ref="AR61:AR124" si="42">VLOOKUP(AC61,RSL,5,FALSE)</f>
        <v>3</v>
      </c>
      <c r="AS61" s="68">
        <f t="shared" si="12"/>
        <v>1.1000000000000001</v>
      </c>
      <c r="AT61" s="68">
        <f t="shared" si="13"/>
        <v>1.1000000000000001</v>
      </c>
      <c r="AU61" s="68">
        <f t="shared" si="14"/>
        <v>1.1000000000000001</v>
      </c>
      <c r="AV61" s="68">
        <f t="shared" si="15"/>
        <v>1.1000000000000001</v>
      </c>
      <c r="AW61" s="68">
        <f t="shared" si="16"/>
        <v>1</v>
      </c>
      <c r="AX61" s="68">
        <f t="shared" ref="AX61:AX124" ca="1" si="43">AU61*(AG61-YEAR(TODAY()))</f>
        <v>-2.2000000000000002</v>
      </c>
      <c r="AY61" s="106">
        <v>2017</v>
      </c>
      <c r="AZ61" s="106" t="s">
        <v>751</v>
      </c>
      <c r="BA61" s="106" t="str">
        <f t="shared" si="18"/>
        <v/>
      </c>
      <c r="BB61" s="177"/>
      <c r="BC61" s="177">
        <v>7</v>
      </c>
      <c r="BD61" s="177"/>
      <c r="BE61" s="177"/>
      <c r="BF61" s="177"/>
      <c r="BG61" s="177"/>
      <c r="BH61" s="177"/>
      <c r="BI61" s="33"/>
      <c r="BJ61" s="2"/>
      <c r="BK61" s="48">
        <f>$G61/5280*VLOOKUP($AC61,'Cost and Score'!$B$27:$O$40,6,0)</f>
        <v>0.42424242424242425</v>
      </c>
      <c r="BL61" s="48">
        <f>$G61/5280*VLOOKUP($AC61,'Cost and Score'!$B$27:$O$40,7,0)</f>
        <v>0</v>
      </c>
      <c r="BM61" s="48">
        <f>$G61/5280*VLOOKUP($AC61,'Cost and Score'!$B$27:$O$40,8,0)</f>
        <v>0</v>
      </c>
      <c r="BN61" s="48">
        <f>$G61/5280*VLOOKUP($AC61,'Cost and Score'!$B$27:$O$40,9,0)</f>
        <v>0</v>
      </c>
      <c r="BO61" s="48">
        <f>$G61/5280*VLOOKUP($AC61,'Cost and Score'!$B$27:$O$40,10,0)</f>
        <v>0</v>
      </c>
      <c r="BP61" s="48">
        <f>$G61/5280*VLOOKUP($AC61,'Cost and Score'!$B$27:$O$40,11,0)</f>
        <v>0</v>
      </c>
      <c r="BQ61" s="48">
        <f>$G61/5280*VLOOKUP($AC61,'Cost and Score'!$B$27:$O$40,12,0)</f>
        <v>0</v>
      </c>
      <c r="BR61" s="48">
        <f>$G61/5280*VLOOKUP($AC61,'Cost and Score'!$B$27:$O$40,13,0)</f>
        <v>0</v>
      </c>
      <c r="BS61" s="48">
        <f>$G61/5280*VLOOKUP($AC61,'Cost and Score'!$B$27:$O$40,14,0)</f>
        <v>0</v>
      </c>
      <c r="BT61" s="220">
        <f t="shared" si="19"/>
        <v>0.42424242424242425</v>
      </c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S61" s="2"/>
      <c r="CT61" s="2"/>
      <c r="CU61" s="2"/>
      <c r="CW61" s="2"/>
      <c r="CX61" s="2"/>
      <c r="CY61" s="2"/>
    </row>
    <row r="62" spans="1:103" s="112" customFormat="1" ht="14.45" hidden="1" customHeight="1" x14ac:dyDescent="0.25">
      <c r="A62" s="108">
        <v>100</v>
      </c>
      <c r="B62" s="116" t="s">
        <v>183</v>
      </c>
      <c r="C62" s="106" t="s">
        <v>183</v>
      </c>
      <c r="D62" s="106"/>
      <c r="E62" s="106" t="s">
        <v>149</v>
      </c>
      <c r="F62" s="106" t="s">
        <v>94</v>
      </c>
      <c r="G62" s="109">
        <v>3255</v>
      </c>
      <c r="H62" s="109">
        <f t="shared" si="38"/>
        <v>20</v>
      </c>
      <c r="I62" s="106" t="s">
        <v>13</v>
      </c>
      <c r="J62" s="106" t="s">
        <v>172</v>
      </c>
      <c r="K62" s="106">
        <f>VLOOKUP(J62,TOWNSHIPS,2,FALSE)</f>
        <v>0</v>
      </c>
      <c r="L62" s="110">
        <v>6</v>
      </c>
      <c r="M62" s="110">
        <v>6</v>
      </c>
      <c r="N62" s="110">
        <v>6</v>
      </c>
      <c r="O62" s="110">
        <v>6</v>
      </c>
      <c r="P62" s="110">
        <v>8</v>
      </c>
      <c r="Q62" s="110">
        <v>8</v>
      </c>
      <c r="R62" s="110">
        <v>8</v>
      </c>
      <c r="S62" s="110">
        <v>7</v>
      </c>
      <c r="T62" s="110">
        <v>7</v>
      </c>
      <c r="U62" s="110">
        <v>7</v>
      </c>
      <c r="V62" s="110"/>
      <c r="W62" s="110"/>
      <c r="X62" s="110"/>
      <c r="Y62" s="106">
        <v>318</v>
      </c>
      <c r="Z62" s="106">
        <f t="shared" si="39"/>
        <v>0</v>
      </c>
      <c r="AA62" s="106" t="s">
        <v>100</v>
      </c>
      <c r="AB62" s="111">
        <f t="shared" si="3"/>
        <v>2</v>
      </c>
      <c r="AC62" s="26" t="s">
        <v>13</v>
      </c>
      <c r="AD62" s="107">
        <f t="shared" si="40"/>
        <v>12946.022727272728</v>
      </c>
      <c r="AE62" s="198"/>
      <c r="AF62" s="113">
        <f t="shared" si="25"/>
        <v>0</v>
      </c>
      <c r="AG62" s="26">
        <v>2022</v>
      </c>
      <c r="AH62" s="26" t="str">
        <f t="shared" si="34"/>
        <v>Chip Seal and Fog</v>
      </c>
      <c r="AI62" s="26" t="str">
        <f t="shared" si="36"/>
        <v/>
      </c>
      <c r="AJ62" s="26" t="str">
        <f t="shared" si="35"/>
        <v/>
      </c>
      <c r="AK62" s="26" t="str">
        <f t="shared" si="33"/>
        <v/>
      </c>
      <c r="AL62" s="26" t="str">
        <f t="shared" si="31"/>
        <v/>
      </c>
      <c r="AM62" s="26" t="str">
        <f t="shared" si="31"/>
        <v/>
      </c>
      <c r="AN62" s="26" t="str">
        <f t="shared" si="7"/>
        <v>Chip Seal and Fog</v>
      </c>
      <c r="AO62" s="26" t="str">
        <f t="shared" si="37"/>
        <v/>
      </c>
      <c r="AP62" s="26" t="str">
        <f t="shared" si="9"/>
        <v/>
      </c>
      <c r="AQ62" s="68">
        <f t="shared" si="41"/>
        <v>8</v>
      </c>
      <c r="AR62" s="68">
        <f t="shared" si="42"/>
        <v>6</v>
      </c>
      <c r="AS62" s="68">
        <f t="shared" si="12"/>
        <v>1.1000000000000001</v>
      </c>
      <c r="AT62" s="68">
        <f t="shared" si="13"/>
        <v>1.1000000000000001</v>
      </c>
      <c r="AU62" s="68">
        <f t="shared" si="14"/>
        <v>1.1000000000000001</v>
      </c>
      <c r="AV62" s="68">
        <f t="shared" si="15"/>
        <v>1.1000000000000001</v>
      </c>
      <c r="AW62" s="68">
        <f t="shared" si="16"/>
        <v>1</v>
      </c>
      <c r="AX62" s="68">
        <f t="shared" ca="1" si="43"/>
        <v>-2.2000000000000002</v>
      </c>
      <c r="AY62" s="106">
        <v>2017</v>
      </c>
      <c r="AZ62" s="111" t="s">
        <v>2073</v>
      </c>
      <c r="BA62" s="106" t="str">
        <f t="shared" si="18"/>
        <v/>
      </c>
      <c r="BB62" s="110"/>
      <c r="BC62" s="110">
        <v>7</v>
      </c>
      <c r="BD62" s="110"/>
      <c r="BE62" s="110"/>
      <c r="BF62" s="110"/>
      <c r="BG62" s="110"/>
      <c r="BH62" s="110"/>
      <c r="BI62" s="33"/>
      <c r="BJ62" s="2"/>
      <c r="BK62" s="48">
        <f>$G62/5280*VLOOKUP($AC62,'Cost and Score'!$B$27:$O$40,6,0)</f>
        <v>0.12329545454545454</v>
      </c>
      <c r="BL62" s="48">
        <f>$G62/5280*VLOOKUP($AC62,'Cost and Score'!$B$27:$O$40,7,0)</f>
        <v>13.5625</v>
      </c>
      <c r="BM62" s="48">
        <f>$G62/5280*VLOOKUP($AC62,'Cost and Score'!$B$27:$O$40,8,0)</f>
        <v>0</v>
      </c>
      <c r="BN62" s="48">
        <f>$G62/5280*VLOOKUP($AC62,'Cost and Score'!$B$27:$O$40,9,0)</f>
        <v>2774.147727272727</v>
      </c>
      <c r="BO62" s="48">
        <f>$G62/5280*VLOOKUP($AC62,'Cost and Score'!$B$27:$O$40,10,0)</f>
        <v>616.47727272727275</v>
      </c>
      <c r="BP62" s="48">
        <f>$G62/5280*VLOOKUP($AC62,'Cost and Score'!$B$27:$O$40,11,0)</f>
        <v>0</v>
      </c>
      <c r="BQ62" s="48">
        <f>$G62/5280*VLOOKUP($AC62,'Cost and Score'!$B$27:$O$40,12,0)</f>
        <v>61.647727272727273</v>
      </c>
      <c r="BR62" s="48">
        <f>$G62/5280*VLOOKUP($AC62,'Cost and Score'!$B$27:$O$40,13,0)</f>
        <v>73.97727272727272</v>
      </c>
      <c r="BS62" s="48">
        <f>$G62/5280*VLOOKUP($AC62,'Cost and Score'!$B$27:$O$40,14,0)</f>
        <v>0</v>
      </c>
      <c r="BT62" s="220">
        <f t="shared" si="19"/>
        <v>0.61647727272727271</v>
      </c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W62" s="2"/>
      <c r="CX62" s="2"/>
      <c r="CY62" s="2"/>
    </row>
    <row r="63" spans="1:103" s="112" customFormat="1" ht="14.45" hidden="1" customHeight="1" x14ac:dyDescent="0.25">
      <c r="A63" s="15" t="s">
        <v>185</v>
      </c>
      <c r="B63" s="108" t="s">
        <v>184</v>
      </c>
      <c r="C63" s="106" t="s">
        <v>184</v>
      </c>
      <c r="D63" s="106"/>
      <c r="E63" s="106" t="s">
        <v>113</v>
      </c>
      <c r="F63" s="106" t="s">
        <v>149</v>
      </c>
      <c r="G63" s="109">
        <v>2720</v>
      </c>
      <c r="H63" s="109">
        <f t="shared" si="38"/>
        <v>20</v>
      </c>
      <c r="I63" s="106" t="s">
        <v>13</v>
      </c>
      <c r="J63" s="106" t="s">
        <v>172</v>
      </c>
      <c r="K63" s="106">
        <f>VLOOKUP(J63,TOWNSHIPS,2,FALSE)</f>
        <v>0</v>
      </c>
      <c r="L63" s="110">
        <v>5</v>
      </c>
      <c r="M63" s="110">
        <v>5</v>
      </c>
      <c r="N63" s="110">
        <v>6</v>
      </c>
      <c r="O63" s="110">
        <v>5</v>
      </c>
      <c r="P63" s="110">
        <v>8</v>
      </c>
      <c r="Q63" s="110">
        <v>7</v>
      </c>
      <c r="R63" s="110">
        <v>7</v>
      </c>
      <c r="S63" s="110">
        <v>7</v>
      </c>
      <c r="T63" s="110">
        <v>7</v>
      </c>
      <c r="U63" s="110">
        <v>7</v>
      </c>
      <c r="V63" s="110"/>
      <c r="W63" s="110"/>
      <c r="X63" s="110"/>
      <c r="Y63" s="106">
        <v>164</v>
      </c>
      <c r="Z63" s="106">
        <f t="shared" si="39"/>
        <v>0</v>
      </c>
      <c r="AA63" s="106" t="s">
        <v>100</v>
      </c>
      <c r="AB63" s="111">
        <f t="shared" si="3"/>
        <v>2</v>
      </c>
      <c r="AC63" s="26" t="s">
        <v>2073</v>
      </c>
      <c r="AD63" s="107">
        <f t="shared" si="40"/>
        <v>16484.848484848484</v>
      </c>
      <c r="AE63" s="198"/>
      <c r="AF63" s="113">
        <f t="shared" si="25"/>
        <v>0</v>
      </c>
      <c r="AG63" s="26">
        <v>2024</v>
      </c>
      <c r="AH63" s="26" t="str">
        <f t="shared" si="34"/>
        <v/>
      </c>
      <c r="AI63" s="26" t="str">
        <f t="shared" si="36"/>
        <v/>
      </c>
      <c r="AJ63" s="26" t="str">
        <f t="shared" si="35"/>
        <v>Chip Seal - Double and Fog</v>
      </c>
      <c r="AK63" s="26" t="str">
        <f t="shared" si="33"/>
        <v/>
      </c>
      <c r="AL63" s="26" t="str">
        <f t="shared" si="31"/>
        <v/>
      </c>
      <c r="AM63" s="26" t="str">
        <f t="shared" si="31"/>
        <v/>
      </c>
      <c r="AN63" s="26" t="str">
        <f t="shared" si="7"/>
        <v>Chip Seal - Double and Fog</v>
      </c>
      <c r="AO63" s="26" t="str">
        <f t="shared" si="37"/>
        <v/>
      </c>
      <c r="AP63" s="26" t="str">
        <f t="shared" si="9"/>
        <v/>
      </c>
      <c r="AQ63" s="68">
        <f t="shared" si="41"/>
        <v>6</v>
      </c>
      <c r="AR63" s="68">
        <f t="shared" si="42"/>
        <v>6</v>
      </c>
      <c r="AS63" s="68">
        <f t="shared" si="12"/>
        <v>1.25</v>
      </c>
      <c r="AT63" s="68">
        <f t="shared" si="13"/>
        <v>1.25</v>
      </c>
      <c r="AU63" s="68">
        <f t="shared" si="14"/>
        <v>1.1000000000000001</v>
      </c>
      <c r="AV63" s="68">
        <f t="shared" si="15"/>
        <v>1.25</v>
      </c>
      <c r="AW63" s="68">
        <f t="shared" si="16"/>
        <v>1</v>
      </c>
      <c r="AX63" s="68">
        <f t="shared" ca="1" si="43"/>
        <v>0</v>
      </c>
      <c r="AY63" s="106">
        <v>2017</v>
      </c>
      <c r="AZ63" s="106" t="s">
        <v>2072</v>
      </c>
      <c r="BA63" s="106" t="str">
        <f t="shared" si="18"/>
        <v/>
      </c>
      <c r="BB63" s="177"/>
      <c r="BC63" s="177">
        <v>7</v>
      </c>
      <c r="BD63" s="177"/>
      <c r="BE63" s="177"/>
      <c r="BF63" s="177"/>
      <c r="BG63" s="177"/>
      <c r="BH63" s="177"/>
      <c r="BI63" s="33"/>
      <c r="BJ63" s="2"/>
      <c r="BK63" s="48">
        <f>$G63/5280*VLOOKUP($AC63,'Cost and Score'!$B$27:$O$40,6,0)</f>
        <v>0.25757575757575757</v>
      </c>
      <c r="BL63" s="48">
        <f>$G63/5280*VLOOKUP($AC63,'Cost and Score'!$B$27:$O$40,7,0)</f>
        <v>25.757575757575758</v>
      </c>
      <c r="BM63" s="48">
        <f>$G63/5280*VLOOKUP($AC63,'Cost and Score'!$B$27:$O$40,8,0)</f>
        <v>0</v>
      </c>
      <c r="BN63" s="48">
        <f>$G63/5280*VLOOKUP($AC63,'Cost and Score'!$B$27:$O$40,9,0)</f>
        <v>4893.939393939394</v>
      </c>
      <c r="BO63" s="48">
        <f>$G63/5280*VLOOKUP($AC63,'Cost and Score'!$B$27:$O$40,10,0)</f>
        <v>515.15151515151513</v>
      </c>
      <c r="BP63" s="48">
        <f>$G63/5280*VLOOKUP($AC63,'Cost and Score'!$B$27:$O$40,11,0)</f>
        <v>0</v>
      </c>
      <c r="BQ63" s="48">
        <f>$G63/5280*VLOOKUP($AC63,'Cost and Score'!$B$27:$O$40,12,0)</f>
        <v>103.03030303030303</v>
      </c>
      <c r="BR63" s="48">
        <f>$G63/5280*VLOOKUP($AC63,'Cost and Score'!$B$27:$O$40,13,0)</f>
        <v>92.72727272727272</v>
      </c>
      <c r="BS63" s="48">
        <f>$G63/5280*VLOOKUP($AC63,'Cost and Score'!$B$27:$O$40,14,0)</f>
        <v>123.63636363636363</v>
      </c>
      <c r="BT63" s="220">
        <f t="shared" si="19"/>
        <v>0.51515151515151514</v>
      </c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W63" s="2"/>
      <c r="CX63" s="2"/>
      <c r="CY63" s="2"/>
    </row>
    <row r="64" spans="1:103" s="112" customFormat="1" ht="14.25" hidden="1" customHeight="1" x14ac:dyDescent="0.25">
      <c r="A64" s="36" t="s">
        <v>188</v>
      </c>
      <c r="B64" s="108" t="s">
        <v>186</v>
      </c>
      <c r="C64" s="106" t="s">
        <v>186</v>
      </c>
      <c r="D64" s="106"/>
      <c r="E64" s="106" t="s">
        <v>187</v>
      </c>
      <c r="F64" s="106" t="s">
        <v>129</v>
      </c>
      <c r="G64" s="109">
        <v>5370</v>
      </c>
      <c r="H64" s="109">
        <f t="shared" si="38"/>
        <v>20</v>
      </c>
      <c r="I64" s="106" t="s">
        <v>8</v>
      </c>
      <c r="J64" s="106" t="s">
        <v>160</v>
      </c>
      <c r="K64" s="106">
        <f>VLOOKUP(J64,TOWNSHIPS,2,FALSE)</f>
        <v>0</v>
      </c>
      <c r="L64" s="110">
        <v>5</v>
      </c>
      <c r="M64" s="110">
        <v>6</v>
      </c>
      <c r="N64" s="110">
        <v>9</v>
      </c>
      <c r="O64" s="110">
        <v>9</v>
      </c>
      <c r="P64" s="110">
        <v>8</v>
      </c>
      <c r="Q64" s="110">
        <v>8</v>
      </c>
      <c r="R64" s="110">
        <v>8</v>
      </c>
      <c r="S64" s="110">
        <v>8</v>
      </c>
      <c r="T64" s="110">
        <v>7</v>
      </c>
      <c r="U64" s="110">
        <v>7</v>
      </c>
      <c r="V64" s="110">
        <v>2023</v>
      </c>
      <c r="W64" s="110">
        <v>2023</v>
      </c>
      <c r="X64" s="110" t="s">
        <v>2612</v>
      </c>
      <c r="Y64" s="106">
        <v>890</v>
      </c>
      <c r="Z64" s="106">
        <f t="shared" si="39"/>
        <v>0.5</v>
      </c>
      <c r="AA64" s="106" t="s">
        <v>100</v>
      </c>
      <c r="AB64" s="111">
        <f t="shared" si="3"/>
        <v>2.5</v>
      </c>
      <c r="AC64" s="85" t="s">
        <v>2371</v>
      </c>
      <c r="AD64" s="107">
        <f t="shared" si="40"/>
        <v>81363.636363636368</v>
      </c>
      <c r="AE64" s="140">
        <v>1</v>
      </c>
      <c r="AF64" s="113">
        <f t="shared" si="25"/>
        <v>81363.636363636368</v>
      </c>
      <c r="AG64" s="106">
        <v>2024</v>
      </c>
      <c r="AH64" s="26" t="str">
        <f t="shared" si="34"/>
        <v/>
      </c>
      <c r="AI64" s="26" t="str">
        <f t="shared" si="36"/>
        <v/>
      </c>
      <c r="AJ64" s="26" t="str">
        <f t="shared" si="35"/>
        <v>Microsurface double</v>
      </c>
      <c r="AK64" s="26" t="str">
        <f t="shared" si="33"/>
        <v/>
      </c>
      <c r="AL64" s="26" t="str">
        <f t="shared" si="31"/>
        <v/>
      </c>
      <c r="AM64" s="26" t="str">
        <f t="shared" si="31"/>
        <v/>
      </c>
      <c r="AN64" s="26" t="str">
        <f t="shared" si="7"/>
        <v>Microsurface double</v>
      </c>
      <c r="AO64" s="26" t="str">
        <f t="shared" si="37"/>
        <v/>
      </c>
      <c r="AP64" s="26" t="str">
        <f t="shared" si="9"/>
        <v/>
      </c>
      <c r="AQ64" s="68">
        <f t="shared" si="41"/>
        <v>14</v>
      </c>
      <c r="AR64" s="68">
        <f t="shared" si="42"/>
        <v>10</v>
      </c>
      <c r="AS64" s="68">
        <f t="shared" si="12"/>
        <v>1.25</v>
      </c>
      <c r="AT64" s="68">
        <f t="shared" si="13"/>
        <v>1.1000000000000001</v>
      </c>
      <c r="AU64" s="68">
        <f t="shared" si="14"/>
        <v>1</v>
      </c>
      <c r="AV64" s="68">
        <f t="shared" si="15"/>
        <v>1</v>
      </c>
      <c r="AW64" s="68">
        <f t="shared" si="16"/>
        <v>1</v>
      </c>
      <c r="AX64" s="68">
        <f t="shared" ca="1" si="43"/>
        <v>0</v>
      </c>
      <c r="AY64" s="106">
        <v>2023</v>
      </c>
      <c r="AZ64" s="106" t="s">
        <v>13</v>
      </c>
      <c r="BA64" s="106" t="str">
        <f t="shared" si="18"/>
        <v/>
      </c>
      <c r="BB64" s="177"/>
      <c r="BC64" s="177">
        <v>8</v>
      </c>
      <c r="BD64" s="177"/>
      <c r="BE64" s="177"/>
      <c r="BF64" s="177"/>
      <c r="BG64" s="177"/>
      <c r="BH64" s="177"/>
      <c r="BI64" s="33"/>
      <c r="BJ64" s="2"/>
      <c r="BK64" s="48">
        <f>$G64/5280*VLOOKUP($AC64,'Cost and Score'!$B$27:$O$40,6,0)</f>
        <v>0.50852272727272729</v>
      </c>
      <c r="BL64" s="48">
        <f>$G64/5280*VLOOKUP($AC64,'Cost and Score'!$B$27:$O$40,7,0)</f>
        <v>0</v>
      </c>
      <c r="BM64" s="48">
        <f>$G64/5280*VLOOKUP($AC64,'Cost and Score'!$B$27:$O$40,8,0)</f>
        <v>0</v>
      </c>
      <c r="BN64" s="48">
        <f>$G64/5280*VLOOKUP($AC64,'Cost and Score'!$B$27:$O$40,9,0)</f>
        <v>0</v>
      </c>
      <c r="BO64" s="48">
        <f>$G64/5280*VLOOKUP($AC64,'Cost and Score'!$B$27:$O$40,10,0)</f>
        <v>0</v>
      </c>
      <c r="BP64" s="48">
        <f>$G64/5280*VLOOKUP($AC64,'Cost and Score'!$B$27:$O$40,11,0)</f>
        <v>0</v>
      </c>
      <c r="BQ64" s="48">
        <f>$G64/5280*VLOOKUP($AC64,'Cost and Score'!$B$27:$O$40,12,0)</f>
        <v>0</v>
      </c>
      <c r="BR64" s="48">
        <f>$G64/5280*VLOOKUP($AC64,'Cost and Score'!$B$27:$O$40,13,0)</f>
        <v>0</v>
      </c>
      <c r="BS64" s="48">
        <f>$G64/5280*VLOOKUP($AC64,'Cost and Score'!$B$27:$O$40,14,0)</f>
        <v>0</v>
      </c>
      <c r="BT64" s="220">
        <f t="shared" si="19"/>
        <v>1.0170454545454546</v>
      </c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W64" s="2"/>
      <c r="CX64" s="2"/>
      <c r="CY64" s="2"/>
    </row>
    <row r="65" spans="1:103" s="2" customFormat="1" ht="14.45" hidden="1" customHeight="1" x14ac:dyDescent="0.25">
      <c r="A65" s="15" t="s">
        <v>2129</v>
      </c>
      <c r="B65" s="34" t="s">
        <v>189</v>
      </c>
      <c r="C65" s="26" t="s">
        <v>189</v>
      </c>
      <c r="D65" s="82"/>
      <c r="E65" s="82" t="s">
        <v>155</v>
      </c>
      <c r="F65" s="82" t="s">
        <v>117</v>
      </c>
      <c r="G65" s="29">
        <v>7340</v>
      </c>
      <c r="H65" s="29">
        <f t="shared" si="38"/>
        <v>20</v>
      </c>
      <c r="I65" s="26" t="s">
        <v>8</v>
      </c>
      <c r="J65" s="26" t="s">
        <v>101</v>
      </c>
      <c r="K65" s="26">
        <v>0</v>
      </c>
      <c r="L65" s="42">
        <v>7</v>
      </c>
      <c r="M65" s="42">
        <v>7</v>
      </c>
      <c r="N65" s="42">
        <v>9</v>
      </c>
      <c r="O65" s="83">
        <v>8</v>
      </c>
      <c r="P65" s="83">
        <v>8</v>
      </c>
      <c r="Q65" s="83">
        <v>8</v>
      </c>
      <c r="R65" s="83">
        <v>8</v>
      </c>
      <c r="S65" s="83">
        <v>8</v>
      </c>
      <c r="T65" s="83">
        <v>7</v>
      </c>
      <c r="U65" s="83">
        <v>7</v>
      </c>
      <c r="V65" s="42">
        <v>2024</v>
      </c>
      <c r="W65" s="42">
        <v>2023</v>
      </c>
      <c r="X65" s="42" t="s">
        <v>2612</v>
      </c>
      <c r="Y65" s="26">
        <v>1064</v>
      </c>
      <c r="Z65" s="26">
        <f t="shared" si="39"/>
        <v>0.5</v>
      </c>
      <c r="AA65" s="82" t="s">
        <v>100</v>
      </c>
      <c r="AB65" s="111">
        <f t="shared" si="3"/>
        <v>2.5</v>
      </c>
      <c r="AC65" s="85" t="s">
        <v>2371</v>
      </c>
      <c r="AD65" s="84">
        <f t="shared" si="40"/>
        <v>111212.12121212122</v>
      </c>
      <c r="AE65" s="140">
        <v>1</v>
      </c>
      <c r="AF65" s="113">
        <f t="shared" si="25"/>
        <v>111212.12121212122</v>
      </c>
      <c r="AG65" s="85">
        <v>2024</v>
      </c>
      <c r="AH65" s="26" t="str">
        <f t="shared" si="34"/>
        <v/>
      </c>
      <c r="AI65" s="26" t="s">
        <v>2575</v>
      </c>
      <c r="AJ65" s="26" t="str">
        <f t="shared" si="35"/>
        <v>Microsurface double</v>
      </c>
      <c r="AK65" s="26" t="str">
        <f t="shared" si="33"/>
        <v/>
      </c>
      <c r="AL65" s="26" t="str">
        <f t="shared" si="31"/>
        <v/>
      </c>
      <c r="AM65" s="26" t="str">
        <f t="shared" si="31"/>
        <v/>
      </c>
      <c r="AN65" s="26" t="str">
        <f t="shared" si="7"/>
        <v>Microsurface double</v>
      </c>
      <c r="AO65" s="26" t="s">
        <v>2575</v>
      </c>
      <c r="AP65" s="26" t="str">
        <f t="shared" si="9"/>
        <v/>
      </c>
      <c r="AQ65" s="68">
        <f t="shared" si="41"/>
        <v>12</v>
      </c>
      <c r="AR65" s="68">
        <f t="shared" si="42"/>
        <v>10</v>
      </c>
      <c r="AS65" s="68">
        <f t="shared" si="12"/>
        <v>1.05</v>
      </c>
      <c r="AT65" s="68">
        <f t="shared" si="13"/>
        <v>1.05</v>
      </c>
      <c r="AU65" s="68">
        <f t="shared" si="14"/>
        <v>1</v>
      </c>
      <c r="AV65" s="68">
        <f t="shared" si="15"/>
        <v>1</v>
      </c>
      <c r="AW65" s="68">
        <f t="shared" si="16"/>
        <v>1</v>
      </c>
      <c r="AX65" s="68">
        <f t="shared" ca="1" si="43"/>
        <v>0</v>
      </c>
      <c r="AY65" s="106"/>
      <c r="AZ65" s="106"/>
      <c r="BA65" s="106" t="str">
        <f t="shared" si="18"/>
        <v/>
      </c>
      <c r="BB65" s="177">
        <v>7</v>
      </c>
      <c r="BC65" s="177"/>
      <c r="BD65" s="177"/>
      <c r="BE65" s="177"/>
      <c r="BF65" s="177"/>
      <c r="BG65" s="177"/>
      <c r="BH65" s="177"/>
      <c r="BI65" s="33" t="s">
        <v>2629</v>
      </c>
      <c r="BK65" s="48">
        <f>$G65/5280*VLOOKUP($AC65,'Cost and Score'!$B$27:$O$40,6,0)</f>
        <v>0.69507575757575757</v>
      </c>
      <c r="BL65" s="48">
        <f>$G65/5280*VLOOKUP($AC65,'Cost and Score'!$B$27:$O$40,7,0)</f>
        <v>0</v>
      </c>
      <c r="BM65" s="48">
        <f>$G65/5280*VLOOKUP($AC65,'Cost and Score'!$B$27:$O$40,8,0)</f>
        <v>0</v>
      </c>
      <c r="BN65" s="48">
        <f>$G65/5280*VLOOKUP($AC65,'Cost and Score'!$B$27:$O$40,9,0)</f>
        <v>0</v>
      </c>
      <c r="BO65" s="48">
        <f>$G65/5280*VLOOKUP($AC65,'Cost and Score'!$B$27:$O$40,10,0)</f>
        <v>0</v>
      </c>
      <c r="BP65" s="48">
        <f>$G65/5280*VLOOKUP($AC65,'Cost and Score'!$B$27:$O$40,11,0)</f>
        <v>0</v>
      </c>
      <c r="BQ65" s="48">
        <f>$G65/5280*VLOOKUP($AC65,'Cost and Score'!$B$27:$O$40,12,0)</f>
        <v>0</v>
      </c>
      <c r="BR65" s="48">
        <f>$G65/5280*VLOOKUP($AC65,'Cost and Score'!$B$27:$O$40,13,0)</f>
        <v>0</v>
      </c>
      <c r="BS65" s="48">
        <f>$G65/5280*VLOOKUP($AC65,'Cost and Score'!$B$27:$O$40,14,0)</f>
        <v>0</v>
      </c>
      <c r="BT65" s="220">
        <f t="shared" si="19"/>
        <v>1.3901515151515151</v>
      </c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</row>
    <row r="66" spans="1:103" s="2" customFormat="1" ht="14.45" hidden="1" customHeight="1" x14ac:dyDescent="0.25">
      <c r="A66" s="15" t="s">
        <v>191</v>
      </c>
      <c r="B66" s="34" t="s">
        <v>190</v>
      </c>
      <c r="C66" s="26" t="s">
        <v>190</v>
      </c>
      <c r="D66" s="26"/>
      <c r="E66" s="26" t="s">
        <v>55</v>
      </c>
      <c r="F66" s="26" t="s">
        <v>107</v>
      </c>
      <c r="G66" s="29">
        <v>2225</v>
      </c>
      <c r="H66" s="29">
        <f t="shared" si="38"/>
        <v>20</v>
      </c>
      <c r="I66" s="26" t="s">
        <v>13</v>
      </c>
      <c r="J66" s="26" t="s">
        <v>6</v>
      </c>
      <c r="K66" s="26">
        <f>VLOOKUP(J66,TOWNSHIPS,2,FALSE)</f>
        <v>0</v>
      </c>
      <c r="L66" s="42">
        <v>7</v>
      </c>
      <c r="M66" s="42">
        <v>5</v>
      </c>
      <c r="N66" s="42">
        <v>8</v>
      </c>
      <c r="O66" s="42">
        <v>8</v>
      </c>
      <c r="P66" s="42">
        <v>7</v>
      </c>
      <c r="Q66" s="42">
        <v>7</v>
      </c>
      <c r="R66" s="42">
        <v>6</v>
      </c>
      <c r="S66" s="42">
        <v>6</v>
      </c>
      <c r="T66" s="42">
        <v>6</v>
      </c>
      <c r="U66" s="42">
        <v>8</v>
      </c>
      <c r="V66" s="42"/>
      <c r="W66" s="42"/>
      <c r="X66" s="42"/>
      <c r="Y66" s="26">
        <v>71</v>
      </c>
      <c r="Z66" s="26">
        <f t="shared" si="39"/>
        <v>0</v>
      </c>
      <c r="AA66" s="26" t="s">
        <v>116</v>
      </c>
      <c r="AB66" s="111">
        <f t="shared" ref="AB66:AB129" si="44">(10-P66)+Z66+K66</f>
        <v>3</v>
      </c>
      <c r="AC66" s="26" t="s">
        <v>13</v>
      </c>
      <c r="AD66" s="47">
        <f t="shared" si="40"/>
        <v>8849.431818181818</v>
      </c>
      <c r="AE66" s="140"/>
      <c r="AF66" s="113">
        <f t="shared" ref="AF66:AF97" si="45">AD66*AE66</f>
        <v>0</v>
      </c>
      <c r="AG66" s="26">
        <v>2022</v>
      </c>
      <c r="AH66" s="26" t="str">
        <f t="shared" si="34"/>
        <v>Chip Seal and Fog</v>
      </c>
      <c r="AI66" s="26" t="str">
        <f t="shared" ref="AI66:AI97" si="46">IF($AG66=AI$1,VLOOKUP($AC66,RSL,3,FALSE),"")</f>
        <v/>
      </c>
      <c r="AJ66" s="26" t="str">
        <f t="shared" si="35"/>
        <v/>
      </c>
      <c r="AK66" s="26" t="str">
        <f t="shared" si="33"/>
        <v/>
      </c>
      <c r="AL66" s="26" t="str">
        <f t="shared" si="31"/>
        <v/>
      </c>
      <c r="AM66" s="26" t="str">
        <f t="shared" si="31"/>
        <v/>
      </c>
      <c r="AN66" s="26" t="str">
        <f t="shared" ref="AN66:AN129" si="47">VLOOKUP($AC66,RSL,3,FALSE)</f>
        <v>Chip Seal and Fog</v>
      </c>
      <c r="AO66" s="26" t="str">
        <f t="shared" ref="AO66:AO97" si="48">IF(AY66=AO$1,VLOOKUP(AZ66,RSL,3,FALSE),"")</f>
        <v/>
      </c>
      <c r="AP66" s="26" t="str">
        <f t="shared" ref="AP66:AP129" si="49">IF(AY66=AP$1,VLOOKUP(AZ66,RSL,3,FALSE),"")</f>
        <v/>
      </c>
      <c r="AQ66" s="68">
        <f t="shared" si="41"/>
        <v>12</v>
      </c>
      <c r="AR66" s="68">
        <f t="shared" si="42"/>
        <v>6</v>
      </c>
      <c r="AS66" s="68">
        <f t="shared" ref="AS66:AS129" si="50">IF(L66 &lt;&gt; "",VLOOKUP(L66,RSLloss,3,FALSE),0)</f>
        <v>1.05</v>
      </c>
      <c r="AT66" s="68">
        <f t="shared" ref="AT66:AT129" si="51">IF(M66 &lt;&gt; "",VLOOKUP(M66,RSLloss,3,FALSE),0)</f>
        <v>1.25</v>
      </c>
      <c r="AU66" s="68">
        <f t="shared" ref="AU66:AU129" si="52">IF(N66 &lt;&gt; "",VLOOKUP(N66,RSLloss,3,FALSE),0)</f>
        <v>1</v>
      </c>
      <c r="AV66" s="68">
        <f t="shared" ref="AV66:AV129" si="53">IF(O66 &lt;&gt; "",VLOOKUP(O66,RSLloss,3,FALSE),0)</f>
        <v>1</v>
      </c>
      <c r="AW66" s="68">
        <f t="shared" ref="AW66:AW129" si="54">IF(P66 &lt;&gt; "",VLOOKUP(P66,RSLloss,3,FALSE),0)</f>
        <v>1.05</v>
      </c>
      <c r="AX66" s="68">
        <f t="shared" ca="1" si="43"/>
        <v>-2</v>
      </c>
      <c r="AY66" s="106">
        <v>2016</v>
      </c>
      <c r="AZ66" s="106" t="s">
        <v>751</v>
      </c>
      <c r="BA66" s="106" t="str">
        <f t="shared" ref="BA66:BA129" si="55">IF(AY66=2018,AZ66,"")</f>
        <v/>
      </c>
      <c r="BB66" s="177"/>
      <c r="BC66" s="177">
        <v>8</v>
      </c>
      <c r="BD66" s="177"/>
      <c r="BE66" s="177"/>
      <c r="BF66" s="177"/>
      <c r="BG66" s="177"/>
      <c r="BH66" s="177"/>
      <c r="BI66" s="33"/>
      <c r="BK66" s="48">
        <f>$G66/5280*VLOOKUP($AC66,'Cost and Score'!$B$27:$O$40,6,0)</f>
        <v>8.4280303030303039E-2</v>
      </c>
      <c r="BL66" s="48">
        <f>$G66/5280*VLOOKUP($AC66,'Cost and Score'!$B$27:$O$40,7,0)</f>
        <v>9.2708333333333321</v>
      </c>
      <c r="BM66" s="48">
        <f>$G66/5280*VLOOKUP($AC66,'Cost and Score'!$B$27:$O$40,8,0)</f>
        <v>0</v>
      </c>
      <c r="BN66" s="48">
        <f>$G66/5280*VLOOKUP($AC66,'Cost and Score'!$B$27:$O$40,9,0)</f>
        <v>1896.306818181818</v>
      </c>
      <c r="BO66" s="48">
        <f>$G66/5280*VLOOKUP($AC66,'Cost and Score'!$B$27:$O$40,10,0)</f>
        <v>421.40151515151513</v>
      </c>
      <c r="BP66" s="48">
        <f>$G66/5280*VLOOKUP($AC66,'Cost and Score'!$B$27:$O$40,11,0)</f>
        <v>0</v>
      </c>
      <c r="BQ66" s="48">
        <f>$G66/5280*VLOOKUP($AC66,'Cost and Score'!$B$27:$O$40,12,0)</f>
        <v>42.140151515151516</v>
      </c>
      <c r="BR66" s="48">
        <f>$G66/5280*VLOOKUP($AC66,'Cost and Score'!$B$27:$O$40,13,0)</f>
        <v>50.568181818181813</v>
      </c>
      <c r="BS66" s="48">
        <f>$G66/5280*VLOOKUP($AC66,'Cost and Score'!$B$27:$O$40,14,0)</f>
        <v>0</v>
      </c>
      <c r="BT66" s="220">
        <f t="shared" ref="BT66:BT129" si="56">G66/5280</f>
        <v>0.42140151515151514</v>
      </c>
    </row>
    <row r="67" spans="1:103" s="2" customFormat="1" ht="14.45" hidden="1" customHeight="1" x14ac:dyDescent="0.25">
      <c r="A67" s="37" t="s">
        <v>194</v>
      </c>
      <c r="B67" s="34" t="s">
        <v>192</v>
      </c>
      <c r="C67" s="26" t="s">
        <v>192</v>
      </c>
      <c r="D67" s="26"/>
      <c r="E67" s="26" t="s">
        <v>119</v>
      </c>
      <c r="F67" s="26" t="s">
        <v>193</v>
      </c>
      <c r="G67" s="29">
        <v>5310</v>
      </c>
      <c r="H67" s="29">
        <f t="shared" si="38"/>
        <v>20</v>
      </c>
      <c r="I67" s="26" t="s">
        <v>8</v>
      </c>
      <c r="J67" s="26" t="s">
        <v>101</v>
      </c>
      <c r="K67" s="26">
        <v>0</v>
      </c>
      <c r="L67" s="42">
        <v>7</v>
      </c>
      <c r="M67" s="42">
        <v>8</v>
      </c>
      <c r="N67" s="42">
        <v>8</v>
      </c>
      <c r="O67" s="42">
        <v>8</v>
      </c>
      <c r="P67" s="42">
        <v>8</v>
      </c>
      <c r="Q67" s="42">
        <v>7</v>
      </c>
      <c r="R67" s="42">
        <v>7</v>
      </c>
      <c r="S67" s="42">
        <v>6</v>
      </c>
      <c r="T67" s="42">
        <v>7</v>
      </c>
      <c r="U67" s="42">
        <v>7</v>
      </c>
      <c r="V67" s="42"/>
      <c r="W67" s="42"/>
      <c r="X67" s="42"/>
      <c r="Y67" s="26">
        <v>149</v>
      </c>
      <c r="Z67" s="26">
        <f t="shared" si="39"/>
        <v>0</v>
      </c>
      <c r="AA67" s="26" t="s">
        <v>116</v>
      </c>
      <c r="AB67" s="111">
        <f t="shared" si="44"/>
        <v>2</v>
      </c>
      <c r="AC67" s="26" t="s">
        <v>13</v>
      </c>
      <c r="AD67" s="47">
        <f t="shared" si="40"/>
        <v>21119.31818181818</v>
      </c>
      <c r="AE67" s="140">
        <v>1</v>
      </c>
      <c r="AF67" s="113">
        <f t="shared" si="45"/>
        <v>21119.31818181818</v>
      </c>
      <c r="AG67" s="26">
        <v>2023</v>
      </c>
      <c r="AH67" s="26" t="str">
        <f t="shared" si="34"/>
        <v/>
      </c>
      <c r="AI67" s="26" t="str">
        <f t="shared" si="46"/>
        <v>Chip Seal and Fog</v>
      </c>
      <c r="AJ67" s="26" t="str">
        <f t="shared" si="35"/>
        <v/>
      </c>
      <c r="AK67" s="26" t="str">
        <f t="shared" si="33"/>
        <v/>
      </c>
      <c r="AL67" s="26" t="str">
        <f t="shared" si="31"/>
        <v/>
      </c>
      <c r="AM67" s="26" t="str">
        <f t="shared" si="31"/>
        <v/>
      </c>
      <c r="AN67" s="26" t="str">
        <f t="shared" si="47"/>
        <v>Chip Seal and Fog</v>
      </c>
      <c r="AO67" s="26" t="str">
        <f t="shared" si="48"/>
        <v/>
      </c>
      <c r="AP67" s="26" t="str">
        <f t="shared" si="49"/>
        <v/>
      </c>
      <c r="AQ67" s="68">
        <f t="shared" si="41"/>
        <v>12</v>
      </c>
      <c r="AR67" s="68">
        <f t="shared" si="42"/>
        <v>6</v>
      </c>
      <c r="AS67" s="68">
        <f t="shared" si="50"/>
        <v>1.05</v>
      </c>
      <c r="AT67" s="68">
        <f t="shared" si="51"/>
        <v>1</v>
      </c>
      <c r="AU67" s="68">
        <f t="shared" si="52"/>
        <v>1</v>
      </c>
      <c r="AV67" s="68">
        <f t="shared" si="53"/>
        <v>1</v>
      </c>
      <c r="AW67" s="68">
        <f t="shared" si="54"/>
        <v>1</v>
      </c>
      <c r="AX67" s="68">
        <f t="shared" ca="1" si="43"/>
        <v>-1</v>
      </c>
      <c r="AY67" s="106">
        <v>2023</v>
      </c>
      <c r="AZ67" s="106" t="s">
        <v>13</v>
      </c>
      <c r="BA67" s="106" t="str">
        <f t="shared" si="55"/>
        <v/>
      </c>
      <c r="BB67" s="177">
        <v>6</v>
      </c>
      <c r="BC67" s="177">
        <v>6</v>
      </c>
      <c r="BD67" s="177"/>
      <c r="BE67" s="177"/>
      <c r="BF67" s="177"/>
      <c r="BG67" s="177"/>
      <c r="BH67" s="177"/>
      <c r="BI67" s="33"/>
      <c r="BK67" s="48">
        <f>$G67/5280*VLOOKUP($AC67,'Cost and Score'!$B$27:$O$40,6,0)</f>
        <v>0.20113636363636364</v>
      </c>
      <c r="BL67" s="48">
        <f>$G67/5280*VLOOKUP($AC67,'Cost and Score'!$B$27:$O$40,7,0)</f>
        <v>22.125</v>
      </c>
      <c r="BM67" s="48">
        <f>$G67/5280*VLOOKUP($AC67,'Cost and Score'!$B$27:$O$40,8,0)</f>
        <v>0</v>
      </c>
      <c r="BN67" s="48">
        <f>$G67/5280*VLOOKUP($AC67,'Cost and Score'!$B$27:$O$40,9,0)</f>
        <v>4525.568181818182</v>
      </c>
      <c r="BO67" s="48">
        <f>$G67/5280*VLOOKUP($AC67,'Cost and Score'!$B$27:$O$40,10,0)</f>
        <v>1005.6818181818181</v>
      </c>
      <c r="BP67" s="48">
        <f>$G67/5280*VLOOKUP($AC67,'Cost and Score'!$B$27:$O$40,11,0)</f>
        <v>0</v>
      </c>
      <c r="BQ67" s="48">
        <f>$G67/5280*VLOOKUP($AC67,'Cost and Score'!$B$27:$O$40,12,0)</f>
        <v>100.56818181818181</v>
      </c>
      <c r="BR67" s="48">
        <f>$G67/5280*VLOOKUP($AC67,'Cost and Score'!$B$27:$O$40,13,0)</f>
        <v>120.68181818181817</v>
      </c>
      <c r="BS67" s="48">
        <f>$G67/5280*VLOOKUP($AC67,'Cost and Score'!$B$27:$O$40,14,0)</f>
        <v>0</v>
      </c>
      <c r="BT67" s="220">
        <f t="shared" si="56"/>
        <v>1.0056818181818181</v>
      </c>
    </row>
    <row r="68" spans="1:103" s="112" customFormat="1" ht="14.45" customHeight="1" x14ac:dyDescent="0.25">
      <c r="A68" s="36" t="s">
        <v>338</v>
      </c>
      <c r="B68" s="34" t="s">
        <v>337</v>
      </c>
      <c r="C68" s="85" t="s">
        <v>337</v>
      </c>
      <c r="D68" s="85"/>
      <c r="E68" s="85" t="s">
        <v>138</v>
      </c>
      <c r="F68" s="85" t="s">
        <v>142</v>
      </c>
      <c r="G68" s="29">
        <v>3674</v>
      </c>
      <c r="H68" s="29">
        <f t="shared" si="38"/>
        <v>20</v>
      </c>
      <c r="I68" s="85" t="s">
        <v>8</v>
      </c>
      <c r="J68" s="85" t="s">
        <v>125</v>
      </c>
      <c r="K68" s="85">
        <f>VLOOKUP(J68,TOWNSHIPS,2,FALSE)</f>
        <v>0</v>
      </c>
      <c r="L68" s="74">
        <v>8</v>
      </c>
      <c r="M68" s="74">
        <v>8</v>
      </c>
      <c r="N68" s="74">
        <v>7</v>
      </c>
      <c r="O68" s="74">
        <v>7</v>
      </c>
      <c r="P68" s="74">
        <v>7</v>
      </c>
      <c r="Q68" s="74">
        <v>7</v>
      </c>
      <c r="R68" s="74">
        <v>7</v>
      </c>
      <c r="S68" s="74">
        <v>7</v>
      </c>
      <c r="T68" s="74">
        <v>7</v>
      </c>
      <c r="U68" s="74">
        <v>7</v>
      </c>
      <c r="V68" s="74"/>
      <c r="W68" s="74">
        <v>2020</v>
      </c>
      <c r="X68" s="74" t="s">
        <v>2612</v>
      </c>
      <c r="Y68" s="85">
        <v>2245</v>
      </c>
      <c r="Z68" s="85">
        <f t="shared" si="39"/>
        <v>1</v>
      </c>
      <c r="AA68" s="85" t="s">
        <v>193</v>
      </c>
      <c r="AB68" s="111">
        <f t="shared" si="44"/>
        <v>4</v>
      </c>
      <c r="AC68" s="26" t="s">
        <v>13</v>
      </c>
      <c r="AD68" s="47">
        <f t="shared" si="40"/>
        <v>14612.5</v>
      </c>
      <c r="AE68" s="140"/>
      <c r="AF68" s="113">
        <f t="shared" si="45"/>
        <v>0</v>
      </c>
      <c r="AG68" s="106">
        <v>2025</v>
      </c>
      <c r="AH68" s="26" t="str">
        <f t="shared" si="34"/>
        <v/>
      </c>
      <c r="AI68" s="26" t="str">
        <f t="shared" si="46"/>
        <v/>
      </c>
      <c r="AJ68" s="26" t="str">
        <f t="shared" si="35"/>
        <v/>
      </c>
      <c r="AK68" s="26" t="str">
        <f t="shared" si="33"/>
        <v>Chip Seal and Fog</v>
      </c>
      <c r="AL68" s="26" t="str">
        <f t="shared" si="31"/>
        <v/>
      </c>
      <c r="AM68" s="26" t="str">
        <f t="shared" si="31"/>
        <v/>
      </c>
      <c r="AN68" s="26" t="str">
        <f t="shared" si="47"/>
        <v>Chip Seal and Fog</v>
      </c>
      <c r="AO68" s="26" t="str">
        <f t="shared" si="48"/>
        <v/>
      </c>
      <c r="AP68" s="26" t="str">
        <f t="shared" si="49"/>
        <v/>
      </c>
      <c r="AQ68" s="68">
        <f t="shared" si="41"/>
        <v>10</v>
      </c>
      <c r="AR68" s="68">
        <f t="shared" si="42"/>
        <v>6</v>
      </c>
      <c r="AS68" s="68">
        <f t="shared" si="50"/>
        <v>1</v>
      </c>
      <c r="AT68" s="68">
        <f t="shared" si="51"/>
        <v>1</v>
      </c>
      <c r="AU68" s="68">
        <f t="shared" si="52"/>
        <v>1.05</v>
      </c>
      <c r="AV68" s="68">
        <f t="shared" si="53"/>
        <v>1.05</v>
      </c>
      <c r="AW68" s="68">
        <f t="shared" si="54"/>
        <v>1.05</v>
      </c>
      <c r="AX68" s="68">
        <f t="shared" ca="1" si="43"/>
        <v>1.05</v>
      </c>
      <c r="AY68" s="106">
        <v>2019</v>
      </c>
      <c r="AZ68" s="106" t="s">
        <v>2075</v>
      </c>
      <c r="BA68" s="106" t="str">
        <f t="shared" si="55"/>
        <v/>
      </c>
      <c r="BB68" s="177"/>
      <c r="BC68" s="177">
        <v>2</v>
      </c>
      <c r="BD68" s="177"/>
      <c r="BE68" s="177"/>
      <c r="BF68" s="177"/>
      <c r="BG68" s="177"/>
      <c r="BH68" s="177"/>
      <c r="BI68" s="33"/>
      <c r="BJ68" s="2"/>
      <c r="BK68" s="48">
        <f>$G68/5280*VLOOKUP($AC68,'Cost and Score'!$B$27:$O$40,6,0)</f>
        <v>0.13916666666666666</v>
      </c>
      <c r="BL68" s="48">
        <f>$G68/5280*VLOOKUP($AC68,'Cost and Score'!$B$27:$O$40,7,0)</f>
        <v>15.308333333333334</v>
      </c>
      <c r="BM68" s="48">
        <f>$G68/5280*VLOOKUP($AC68,'Cost and Score'!$B$27:$O$40,8,0)</f>
        <v>0</v>
      </c>
      <c r="BN68" s="48">
        <f>$G68/5280*VLOOKUP($AC68,'Cost and Score'!$B$27:$O$40,9,0)</f>
        <v>3131.25</v>
      </c>
      <c r="BO68" s="48">
        <f>$G68/5280*VLOOKUP($AC68,'Cost and Score'!$B$27:$O$40,10,0)</f>
        <v>695.83333333333326</v>
      </c>
      <c r="BP68" s="48">
        <f>$G68/5280*VLOOKUP($AC68,'Cost and Score'!$B$27:$O$40,11,0)</f>
        <v>0</v>
      </c>
      <c r="BQ68" s="48">
        <f>$G68/5280*VLOOKUP($AC68,'Cost and Score'!$B$27:$O$40,12,0)</f>
        <v>69.583333333333329</v>
      </c>
      <c r="BR68" s="48">
        <f>$G68/5280*VLOOKUP($AC68,'Cost and Score'!$B$27:$O$40,13,0)</f>
        <v>83.5</v>
      </c>
      <c r="BS68" s="48">
        <f>$G68/5280*VLOOKUP($AC68,'Cost and Score'!$B$27:$O$40,14,0)</f>
        <v>0</v>
      </c>
      <c r="BT68" s="220">
        <f t="shared" si="56"/>
        <v>0.6958333333333333</v>
      </c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</row>
    <row r="69" spans="1:103" s="2" customFormat="1" ht="14.25" hidden="1" customHeight="1" x14ac:dyDescent="0.25">
      <c r="A69" s="37" t="s">
        <v>2359</v>
      </c>
      <c r="B69" s="34" t="s">
        <v>199</v>
      </c>
      <c r="C69" s="26" t="s">
        <v>199</v>
      </c>
      <c r="D69" s="82"/>
      <c r="E69" s="82" t="s">
        <v>197</v>
      </c>
      <c r="F69" s="82" t="s">
        <v>25</v>
      </c>
      <c r="G69" s="29">
        <v>5280</v>
      </c>
      <c r="H69" s="29">
        <f t="shared" si="38"/>
        <v>20</v>
      </c>
      <c r="I69" s="26" t="s">
        <v>8</v>
      </c>
      <c r="J69" s="26" t="s">
        <v>101</v>
      </c>
      <c r="K69" s="26">
        <v>0</v>
      </c>
      <c r="L69" s="42">
        <v>5</v>
      </c>
      <c r="M69" s="42">
        <v>5</v>
      </c>
      <c r="N69" s="42">
        <v>6</v>
      </c>
      <c r="O69" s="83">
        <v>6</v>
      </c>
      <c r="P69" s="83">
        <v>6</v>
      </c>
      <c r="Q69" s="83">
        <v>5</v>
      </c>
      <c r="R69" s="83">
        <v>5</v>
      </c>
      <c r="S69" s="83">
        <v>8</v>
      </c>
      <c r="T69" s="83">
        <v>7</v>
      </c>
      <c r="U69" s="83">
        <v>7</v>
      </c>
      <c r="V69" s="42"/>
      <c r="W69" s="42"/>
      <c r="X69" s="42"/>
      <c r="Y69" s="26">
        <v>50</v>
      </c>
      <c r="Z69" s="26">
        <f t="shared" si="39"/>
        <v>0</v>
      </c>
      <c r="AA69" s="82" t="s">
        <v>116</v>
      </c>
      <c r="AB69" s="111">
        <f t="shared" si="44"/>
        <v>4</v>
      </c>
      <c r="AC69" s="85" t="s">
        <v>13</v>
      </c>
      <c r="AD69" s="84">
        <f t="shared" si="40"/>
        <v>21000</v>
      </c>
      <c r="AE69" s="140"/>
      <c r="AF69" s="113">
        <f t="shared" si="45"/>
        <v>0</v>
      </c>
      <c r="AG69" s="85">
        <v>2026</v>
      </c>
      <c r="AH69" s="26" t="str">
        <f t="shared" si="34"/>
        <v/>
      </c>
      <c r="AI69" s="26" t="str">
        <f t="shared" si="46"/>
        <v/>
      </c>
      <c r="AJ69" s="26" t="str">
        <f t="shared" si="35"/>
        <v/>
      </c>
      <c r="AK69" s="26" t="str">
        <f t="shared" si="33"/>
        <v/>
      </c>
      <c r="AL69" s="26" t="str">
        <f t="shared" ref="AL69:AM88" si="57">IF($AG69=AL$1,VLOOKUP($AC69,RSL,3,FALSE),"")</f>
        <v>Chip Seal and Fog</v>
      </c>
      <c r="AM69" s="26" t="str">
        <f t="shared" si="57"/>
        <v/>
      </c>
      <c r="AN69" s="26" t="str">
        <f t="shared" si="47"/>
        <v>Chip Seal and Fog</v>
      </c>
      <c r="AO69" s="26" t="str">
        <f t="shared" si="48"/>
        <v/>
      </c>
      <c r="AP69" s="26" t="str">
        <f t="shared" si="49"/>
        <v/>
      </c>
      <c r="AQ69" s="68">
        <f t="shared" si="41"/>
        <v>8</v>
      </c>
      <c r="AR69" s="68">
        <f t="shared" si="42"/>
        <v>6</v>
      </c>
      <c r="AS69" s="68">
        <f t="shared" si="50"/>
        <v>1.25</v>
      </c>
      <c r="AT69" s="68">
        <f t="shared" si="51"/>
        <v>1.25</v>
      </c>
      <c r="AU69" s="68">
        <f t="shared" si="52"/>
        <v>1.1000000000000001</v>
      </c>
      <c r="AV69" s="68">
        <f t="shared" si="53"/>
        <v>1.1000000000000001</v>
      </c>
      <c r="AW69" s="68">
        <f t="shared" si="54"/>
        <v>1.1000000000000001</v>
      </c>
      <c r="AX69" s="68">
        <f t="shared" ca="1" si="43"/>
        <v>2.2000000000000002</v>
      </c>
      <c r="AY69" s="106">
        <v>2020</v>
      </c>
      <c r="AZ69" s="106" t="s">
        <v>751</v>
      </c>
      <c r="BA69" s="106" t="str">
        <f t="shared" si="55"/>
        <v/>
      </c>
      <c r="BB69" s="177"/>
      <c r="BC69" s="177">
        <v>4</v>
      </c>
      <c r="BD69" s="177"/>
      <c r="BE69" s="177"/>
      <c r="BF69" s="177"/>
      <c r="BG69" s="177"/>
      <c r="BH69" s="177"/>
      <c r="BI69" s="33"/>
      <c r="BK69" s="48">
        <f>$G69/5280*VLOOKUP($AC69,'Cost and Score'!$B$27:$O$40,6,0)</f>
        <v>0.2</v>
      </c>
      <c r="BL69" s="48">
        <f>$G69/5280*VLOOKUP($AC69,'Cost and Score'!$B$27:$O$40,7,0)</f>
        <v>22</v>
      </c>
      <c r="BM69" s="48">
        <f>$G69/5280*VLOOKUP($AC69,'Cost and Score'!$B$27:$O$40,8,0)</f>
        <v>0</v>
      </c>
      <c r="BN69" s="48">
        <f>$G69/5280*VLOOKUP($AC69,'Cost and Score'!$B$27:$O$40,9,0)</f>
        <v>4500</v>
      </c>
      <c r="BO69" s="48">
        <f>$G69/5280*VLOOKUP($AC69,'Cost and Score'!$B$27:$O$40,10,0)</f>
        <v>1000</v>
      </c>
      <c r="BP69" s="48">
        <f>$G69/5280*VLOOKUP($AC69,'Cost and Score'!$B$27:$O$40,11,0)</f>
        <v>0</v>
      </c>
      <c r="BQ69" s="48">
        <f>$G69/5280*VLOOKUP($AC69,'Cost and Score'!$B$27:$O$40,12,0)</f>
        <v>100</v>
      </c>
      <c r="BR69" s="48">
        <f>$G69/5280*VLOOKUP($AC69,'Cost and Score'!$B$27:$O$40,13,0)</f>
        <v>120</v>
      </c>
      <c r="BS69" s="48">
        <f>$G69/5280*VLOOKUP($AC69,'Cost and Score'!$B$27:$O$40,14,0)</f>
        <v>0</v>
      </c>
      <c r="BT69" s="220">
        <f t="shared" si="56"/>
        <v>1</v>
      </c>
      <c r="BX69" s="2" t="s">
        <v>2059</v>
      </c>
      <c r="BY69" s="2" t="s">
        <v>101</v>
      </c>
      <c r="BZ69" s="2">
        <v>0</v>
      </c>
      <c r="CC69" s="2">
        <v>5000</v>
      </c>
      <c r="CD69" s="2">
        <v>2.5</v>
      </c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</row>
    <row r="70" spans="1:103" s="2" customFormat="1" ht="15" customHeight="1" x14ac:dyDescent="0.25">
      <c r="A70" s="15" t="s">
        <v>371</v>
      </c>
      <c r="B70" s="34" t="s">
        <v>370</v>
      </c>
      <c r="C70" s="26" t="s">
        <v>370</v>
      </c>
      <c r="D70" s="26"/>
      <c r="E70" s="26" t="s">
        <v>340</v>
      </c>
      <c r="F70" s="26" t="s">
        <v>138</v>
      </c>
      <c r="G70" s="29">
        <v>5375</v>
      </c>
      <c r="H70" s="29">
        <f t="shared" si="38"/>
        <v>20</v>
      </c>
      <c r="I70" s="26" t="s">
        <v>8</v>
      </c>
      <c r="J70" s="26" t="s">
        <v>160</v>
      </c>
      <c r="K70" s="26">
        <f>VLOOKUP(J70,TOWNSHIPS,2,FALSE)</f>
        <v>0</v>
      </c>
      <c r="L70" s="42">
        <v>7</v>
      </c>
      <c r="M70" s="42">
        <v>5</v>
      </c>
      <c r="N70" s="42">
        <v>7</v>
      </c>
      <c r="O70" s="42">
        <v>7</v>
      </c>
      <c r="P70" s="42">
        <v>7</v>
      </c>
      <c r="Q70" s="42">
        <v>7</v>
      </c>
      <c r="R70" s="42">
        <v>7</v>
      </c>
      <c r="S70" s="42">
        <v>7</v>
      </c>
      <c r="T70" s="42">
        <v>7</v>
      </c>
      <c r="U70" s="42">
        <v>7</v>
      </c>
      <c r="V70" s="42">
        <v>2024</v>
      </c>
      <c r="W70" s="42">
        <v>2020</v>
      </c>
      <c r="X70" s="42" t="s">
        <v>2612</v>
      </c>
      <c r="Y70" s="26">
        <v>2235</v>
      </c>
      <c r="Z70" s="26">
        <f t="shared" si="39"/>
        <v>1</v>
      </c>
      <c r="AA70" s="26" t="s">
        <v>99</v>
      </c>
      <c r="AB70" s="111">
        <f t="shared" si="44"/>
        <v>4</v>
      </c>
      <c r="AC70" s="26" t="s">
        <v>13</v>
      </c>
      <c r="AD70" s="47">
        <f t="shared" si="40"/>
        <v>21377.840909090908</v>
      </c>
      <c r="AE70" s="140"/>
      <c r="AF70" s="113">
        <f t="shared" si="45"/>
        <v>0</v>
      </c>
      <c r="AG70" s="106">
        <v>2025</v>
      </c>
      <c r="AH70" s="26" t="str">
        <f t="shared" si="34"/>
        <v/>
      </c>
      <c r="AI70" s="26" t="str">
        <f t="shared" si="46"/>
        <v/>
      </c>
      <c r="AJ70" s="26" t="str">
        <f t="shared" si="35"/>
        <v/>
      </c>
      <c r="AK70" s="26" t="str">
        <f t="shared" si="33"/>
        <v>Chip Seal and Fog</v>
      </c>
      <c r="AL70" s="26" t="str">
        <f t="shared" si="57"/>
        <v/>
      </c>
      <c r="AM70" s="26" t="str">
        <f t="shared" si="57"/>
        <v/>
      </c>
      <c r="AN70" s="26" t="str">
        <f t="shared" si="47"/>
        <v>Chip Seal and Fog</v>
      </c>
      <c r="AO70" s="26" t="str">
        <f t="shared" si="48"/>
        <v/>
      </c>
      <c r="AP70" s="26" t="str">
        <f t="shared" si="49"/>
        <v/>
      </c>
      <c r="AQ70" s="68">
        <f t="shared" si="41"/>
        <v>10</v>
      </c>
      <c r="AR70" s="68">
        <f t="shared" si="42"/>
        <v>6</v>
      </c>
      <c r="AS70" s="68">
        <f t="shared" si="50"/>
        <v>1.05</v>
      </c>
      <c r="AT70" s="68">
        <f t="shared" si="51"/>
        <v>1.25</v>
      </c>
      <c r="AU70" s="68">
        <f t="shared" si="52"/>
        <v>1.05</v>
      </c>
      <c r="AV70" s="68">
        <f t="shared" si="53"/>
        <v>1.05</v>
      </c>
      <c r="AW70" s="68">
        <f t="shared" si="54"/>
        <v>1.05</v>
      </c>
      <c r="AX70" s="68">
        <f t="shared" ca="1" si="43"/>
        <v>1.05</v>
      </c>
      <c r="AY70" s="106">
        <v>2019</v>
      </c>
      <c r="AZ70" s="106" t="s">
        <v>2075</v>
      </c>
      <c r="BA70" s="106" t="str">
        <f t="shared" si="55"/>
        <v/>
      </c>
      <c r="BB70" s="177"/>
      <c r="BC70" s="177">
        <v>8</v>
      </c>
      <c r="BD70" s="177"/>
      <c r="BE70" s="177"/>
      <c r="BF70" s="177"/>
      <c r="BG70" s="177"/>
      <c r="BH70" s="177"/>
      <c r="BI70" s="33"/>
      <c r="BK70" s="48">
        <f>$G70/5280*VLOOKUP($AC70,'Cost and Score'!$B$27:$O$40,6,0)</f>
        <v>0.20359848484848486</v>
      </c>
      <c r="BL70" s="48">
        <f>$G70/5280*VLOOKUP($AC70,'Cost and Score'!$B$27:$O$40,7,0)</f>
        <v>22.395833333333336</v>
      </c>
      <c r="BM70" s="48">
        <f>$G70/5280*VLOOKUP($AC70,'Cost and Score'!$B$27:$O$40,8,0)</f>
        <v>0</v>
      </c>
      <c r="BN70" s="48">
        <f>$G70/5280*VLOOKUP($AC70,'Cost and Score'!$B$27:$O$40,9,0)</f>
        <v>4580.965909090909</v>
      </c>
      <c r="BO70" s="48">
        <f>$G70/5280*VLOOKUP($AC70,'Cost and Score'!$B$27:$O$40,10,0)</f>
        <v>1017.9924242424244</v>
      </c>
      <c r="BP70" s="48">
        <f>$G70/5280*VLOOKUP($AC70,'Cost and Score'!$B$27:$O$40,11,0)</f>
        <v>0</v>
      </c>
      <c r="BQ70" s="48">
        <f>$G70/5280*VLOOKUP($AC70,'Cost and Score'!$B$27:$O$40,12,0)</f>
        <v>101.79924242424244</v>
      </c>
      <c r="BR70" s="48">
        <f>$G70/5280*VLOOKUP($AC70,'Cost and Score'!$B$27:$O$40,13,0)</f>
        <v>122.15909090909092</v>
      </c>
      <c r="BS70" s="48">
        <f>$G70/5280*VLOOKUP($AC70,'Cost and Score'!$B$27:$O$40,14,0)</f>
        <v>0</v>
      </c>
      <c r="BT70" s="220">
        <f t="shared" si="56"/>
        <v>1.0179924242424243</v>
      </c>
    </row>
    <row r="71" spans="1:103" s="2" customFormat="1" ht="18.75" hidden="1" x14ac:dyDescent="0.3">
      <c r="A71" s="36" t="s">
        <v>204</v>
      </c>
      <c r="B71" s="77" t="s">
        <v>202</v>
      </c>
      <c r="C71" s="26" t="s">
        <v>202</v>
      </c>
      <c r="D71" s="78"/>
      <c r="E71" s="78" t="s">
        <v>110</v>
      </c>
      <c r="F71" s="78" t="s">
        <v>203</v>
      </c>
      <c r="G71" s="79">
        <v>3365</v>
      </c>
      <c r="H71" s="79">
        <f t="shared" si="38"/>
        <v>20</v>
      </c>
      <c r="I71" s="26" t="s">
        <v>8</v>
      </c>
      <c r="J71" s="26" t="s">
        <v>6</v>
      </c>
      <c r="K71" s="26">
        <f>VLOOKUP(J71,TOWNSHIPS,2,FALSE)</f>
        <v>0</v>
      </c>
      <c r="L71" s="42">
        <v>6</v>
      </c>
      <c r="M71" s="42">
        <v>6</v>
      </c>
      <c r="N71" s="42">
        <v>9</v>
      </c>
      <c r="O71" s="80">
        <v>9</v>
      </c>
      <c r="P71" s="80">
        <v>9</v>
      </c>
      <c r="Q71" s="80">
        <v>8</v>
      </c>
      <c r="R71" s="80">
        <v>8</v>
      </c>
      <c r="S71" s="80">
        <v>7</v>
      </c>
      <c r="T71" s="80">
        <v>6</v>
      </c>
      <c r="U71" s="80">
        <v>8</v>
      </c>
      <c r="V71" s="42"/>
      <c r="W71" s="42"/>
      <c r="X71" s="42"/>
      <c r="Y71" s="26">
        <v>721</v>
      </c>
      <c r="Z71" s="26">
        <f t="shared" si="39"/>
        <v>0.5</v>
      </c>
      <c r="AA71" s="78" t="s">
        <v>116</v>
      </c>
      <c r="AB71" s="111">
        <f t="shared" si="44"/>
        <v>1.5</v>
      </c>
      <c r="AC71" s="78" t="s">
        <v>13</v>
      </c>
      <c r="AD71" s="81">
        <f t="shared" si="40"/>
        <v>13383.522727272728</v>
      </c>
      <c r="AE71" s="140"/>
      <c r="AF71" s="113">
        <f t="shared" si="45"/>
        <v>0</v>
      </c>
      <c r="AG71" s="78">
        <v>2022</v>
      </c>
      <c r="AH71" s="26" t="str">
        <f t="shared" si="34"/>
        <v>Chip Seal and Fog</v>
      </c>
      <c r="AI71" s="26" t="str">
        <f t="shared" si="46"/>
        <v/>
      </c>
      <c r="AJ71" s="26" t="str">
        <f t="shared" si="35"/>
        <v/>
      </c>
      <c r="AK71" s="26" t="str">
        <f t="shared" si="33"/>
        <v/>
      </c>
      <c r="AL71" s="26" t="str">
        <f t="shared" si="57"/>
        <v/>
      </c>
      <c r="AM71" s="26" t="str">
        <f t="shared" si="57"/>
        <v/>
      </c>
      <c r="AN71" s="26" t="str">
        <f t="shared" si="47"/>
        <v>Chip Seal and Fog</v>
      </c>
      <c r="AO71" s="26" t="str">
        <f t="shared" si="48"/>
        <v/>
      </c>
      <c r="AP71" s="26" t="str">
        <f t="shared" si="49"/>
        <v/>
      </c>
      <c r="AQ71" s="68">
        <f t="shared" si="41"/>
        <v>14</v>
      </c>
      <c r="AR71" s="68">
        <f t="shared" si="42"/>
        <v>6</v>
      </c>
      <c r="AS71" s="68">
        <f t="shared" si="50"/>
        <v>1.1000000000000001</v>
      </c>
      <c r="AT71" s="68">
        <f t="shared" si="51"/>
        <v>1.1000000000000001</v>
      </c>
      <c r="AU71" s="68">
        <f t="shared" si="52"/>
        <v>1</v>
      </c>
      <c r="AV71" s="68">
        <f t="shared" si="53"/>
        <v>1</v>
      </c>
      <c r="AW71" s="68">
        <f t="shared" si="54"/>
        <v>1</v>
      </c>
      <c r="AX71" s="68">
        <f t="shared" ca="1" si="43"/>
        <v>-2</v>
      </c>
      <c r="AY71" s="106">
        <v>2015</v>
      </c>
      <c r="AZ71" s="106" t="s">
        <v>13</v>
      </c>
      <c r="BA71" s="106" t="str">
        <f t="shared" si="55"/>
        <v/>
      </c>
      <c r="BB71" s="177"/>
      <c r="BC71" s="177">
        <v>8</v>
      </c>
      <c r="BD71" s="177"/>
      <c r="BE71" s="177"/>
      <c r="BF71" s="177"/>
      <c r="BG71" s="177"/>
      <c r="BH71" s="177"/>
      <c r="BI71" s="33" t="s">
        <v>2193</v>
      </c>
      <c r="BK71" s="48">
        <f>$G71/5280*VLOOKUP($AC71,'Cost and Score'!$B$27:$O$40,6,0)</f>
        <v>0.12746212121212122</v>
      </c>
      <c r="BL71" s="48">
        <f>$G71/5280*VLOOKUP($AC71,'Cost and Score'!$B$27:$O$40,7,0)</f>
        <v>14.020833333333334</v>
      </c>
      <c r="BM71" s="48">
        <f>$G71/5280*VLOOKUP($AC71,'Cost and Score'!$B$27:$O$40,8,0)</f>
        <v>0</v>
      </c>
      <c r="BN71" s="48">
        <f>$G71/5280*VLOOKUP($AC71,'Cost and Score'!$B$27:$O$40,9,0)</f>
        <v>2867.8977272727275</v>
      </c>
      <c r="BO71" s="48">
        <f>$G71/5280*VLOOKUP($AC71,'Cost and Score'!$B$27:$O$40,10,0)</f>
        <v>637.31060606060612</v>
      </c>
      <c r="BP71" s="48">
        <f>$G71/5280*VLOOKUP($AC71,'Cost and Score'!$B$27:$O$40,11,0)</f>
        <v>0</v>
      </c>
      <c r="BQ71" s="48">
        <f>$G71/5280*VLOOKUP($AC71,'Cost and Score'!$B$27:$O$40,12,0)</f>
        <v>63.731060606060609</v>
      </c>
      <c r="BR71" s="48">
        <f>$G71/5280*VLOOKUP($AC71,'Cost and Score'!$B$27:$O$40,13,0)</f>
        <v>76.477272727272734</v>
      </c>
      <c r="BS71" s="48">
        <f>$G71/5280*VLOOKUP($AC71,'Cost and Score'!$B$27:$O$40,14,0)</f>
        <v>0</v>
      </c>
      <c r="BT71" s="220">
        <f t="shared" si="56"/>
        <v>0.63731060606060608</v>
      </c>
    </row>
    <row r="72" spans="1:103" s="2" customFormat="1" hidden="1" x14ac:dyDescent="0.25">
      <c r="A72" s="37" t="s">
        <v>198</v>
      </c>
      <c r="B72" s="34" t="s">
        <v>205</v>
      </c>
      <c r="C72" s="85" t="s">
        <v>205</v>
      </c>
      <c r="D72" s="85"/>
      <c r="E72" s="85" t="s">
        <v>193</v>
      </c>
      <c r="F72" s="85" t="s">
        <v>206</v>
      </c>
      <c r="G72" s="29">
        <v>2400</v>
      </c>
      <c r="H72" s="29">
        <f t="shared" si="38"/>
        <v>20</v>
      </c>
      <c r="I72" s="85" t="s">
        <v>13</v>
      </c>
      <c r="J72" s="85" t="s">
        <v>101</v>
      </c>
      <c r="K72" s="85">
        <v>0</v>
      </c>
      <c r="L72" s="74">
        <v>3</v>
      </c>
      <c r="M72" s="74">
        <v>3</v>
      </c>
      <c r="N72" s="74">
        <v>8</v>
      </c>
      <c r="O72" s="74">
        <v>7</v>
      </c>
      <c r="P72" s="74">
        <v>7</v>
      </c>
      <c r="Q72" s="74">
        <v>7</v>
      </c>
      <c r="R72" s="74">
        <v>6</v>
      </c>
      <c r="S72" s="74">
        <v>6</v>
      </c>
      <c r="T72" s="74">
        <v>6</v>
      </c>
      <c r="U72" s="74">
        <v>6</v>
      </c>
      <c r="V72" s="74"/>
      <c r="W72" s="74"/>
      <c r="X72" s="74"/>
      <c r="Y72" s="85">
        <v>50</v>
      </c>
      <c r="Z72" s="85">
        <f t="shared" si="39"/>
        <v>0</v>
      </c>
      <c r="AA72" s="85" t="s">
        <v>116</v>
      </c>
      <c r="AB72" s="111">
        <f t="shared" si="44"/>
        <v>3</v>
      </c>
      <c r="AC72" s="85" t="s">
        <v>751</v>
      </c>
      <c r="AD72" s="47">
        <f t="shared" si="40"/>
        <v>50000</v>
      </c>
      <c r="AE72" s="140">
        <v>1</v>
      </c>
      <c r="AF72" s="113">
        <f t="shared" si="45"/>
        <v>50000</v>
      </c>
      <c r="AG72" s="106">
        <v>2023</v>
      </c>
      <c r="AH72" s="26" t="str">
        <f t="shared" si="34"/>
        <v/>
      </c>
      <c r="AI72" s="26" t="str">
        <f t="shared" si="46"/>
        <v>Overlay - 2"</v>
      </c>
      <c r="AJ72" s="26" t="str">
        <f t="shared" si="35"/>
        <v/>
      </c>
      <c r="AK72" s="26" t="str">
        <f t="shared" si="33"/>
        <v/>
      </c>
      <c r="AL72" s="26" t="str">
        <f t="shared" si="57"/>
        <v/>
      </c>
      <c r="AM72" s="26" t="str">
        <f t="shared" si="57"/>
        <v/>
      </c>
      <c r="AN72" s="26" t="str">
        <f t="shared" si="47"/>
        <v>Overlay - 2"</v>
      </c>
      <c r="AO72" s="26" t="str">
        <f t="shared" si="48"/>
        <v/>
      </c>
      <c r="AP72" s="26" t="str">
        <f t="shared" si="49"/>
        <v/>
      </c>
      <c r="AQ72" s="68">
        <f t="shared" si="41"/>
        <v>10</v>
      </c>
      <c r="AR72" s="68">
        <f t="shared" si="42"/>
        <v>12</v>
      </c>
      <c r="AS72" s="68">
        <f t="shared" si="50"/>
        <v>1.75</v>
      </c>
      <c r="AT72" s="68">
        <f t="shared" si="51"/>
        <v>1.75</v>
      </c>
      <c r="AU72" s="68">
        <f t="shared" si="52"/>
        <v>1</v>
      </c>
      <c r="AV72" s="68">
        <f t="shared" si="53"/>
        <v>1.05</v>
      </c>
      <c r="AW72" s="68">
        <f t="shared" si="54"/>
        <v>1.05</v>
      </c>
      <c r="AX72" s="68">
        <f t="shared" ca="1" si="43"/>
        <v>-1</v>
      </c>
      <c r="AY72" s="106">
        <v>2023</v>
      </c>
      <c r="AZ72" s="106" t="s">
        <v>751</v>
      </c>
      <c r="BA72" s="106" t="str">
        <f t="shared" si="55"/>
        <v/>
      </c>
      <c r="BB72" s="177"/>
      <c r="BC72" s="177">
        <v>4</v>
      </c>
      <c r="BD72" s="177"/>
      <c r="BE72" s="177"/>
      <c r="BF72" s="177"/>
      <c r="BG72" s="177"/>
      <c r="BH72" s="177"/>
      <c r="BI72" s="33"/>
      <c r="BK72" s="48">
        <f>$G72/5280*VLOOKUP($AC72,'Cost and Score'!$B$27:$O$40,6,0)</f>
        <v>1.0227272727272727</v>
      </c>
      <c r="BL72" s="48">
        <f>$G72/5280*VLOOKUP($AC72,'Cost and Score'!$B$27:$O$40,7,0)</f>
        <v>95.454545454545453</v>
      </c>
      <c r="BM72" s="48">
        <f>$G72/5280*VLOOKUP($AC72,'Cost and Score'!$B$27:$O$40,8,0)</f>
        <v>159.09090909090909</v>
      </c>
      <c r="BN72" s="48">
        <f>$G72/5280*VLOOKUP($AC72,'Cost and Score'!$B$27:$O$40,9,0)</f>
        <v>0</v>
      </c>
      <c r="BO72" s="48">
        <f>$G72/5280*VLOOKUP($AC72,'Cost and Score'!$B$27:$O$40,10,0)</f>
        <v>0</v>
      </c>
      <c r="BP72" s="48">
        <f>$G72/5280*VLOOKUP($AC72,'Cost and Score'!$B$27:$O$40,11,0)</f>
        <v>90.909090909090907</v>
      </c>
      <c r="BQ72" s="48">
        <f>$G72/5280*VLOOKUP($AC72,'Cost and Score'!$B$27:$O$40,12,0)</f>
        <v>772.72727272727275</v>
      </c>
      <c r="BR72" s="48">
        <f>$G72/5280*VLOOKUP($AC72,'Cost and Score'!$B$27:$O$40,13,0)</f>
        <v>0</v>
      </c>
      <c r="BS72" s="48">
        <f>$G72/5280*VLOOKUP($AC72,'Cost and Score'!$B$27:$O$40,14,0)</f>
        <v>0</v>
      </c>
      <c r="BT72" s="220">
        <f t="shared" si="56"/>
        <v>0.45454545454545453</v>
      </c>
    </row>
    <row r="73" spans="1:103" s="2" customFormat="1" hidden="1" x14ac:dyDescent="0.25">
      <c r="A73" s="36" t="s">
        <v>211</v>
      </c>
      <c r="B73" s="34" t="s">
        <v>208</v>
      </c>
      <c r="C73" s="26" t="s">
        <v>208</v>
      </c>
      <c r="D73" s="82"/>
      <c r="E73" s="82" t="s">
        <v>209</v>
      </c>
      <c r="F73" s="82" t="s">
        <v>210</v>
      </c>
      <c r="G73" s="29">
        <v>1890</v>
      </c>
      <c r="H73" s="29">
        <f t="shared" si="38"/>
        <v>20</v>
      </c>
      <c r="I73" s="26" t="s">
        <v>8</v>
      </c>
      <c r="J73" s="26" t="s">
        <v>6</v>
      </c>
      <c r="K73" s="26">
        <f t="shared" ref="K73:K90" si="58">VLOOKUP(J73,TOWNSHIPS,2,FALSE)</f>
        <v>0</v>
      </c>
      <c r="L73" s="42">
        <v>9</v>
      </c>
      <c r="M73" s="42">
        <v>8</v>
      </c>
      <c r="N73" s="42">
        <v>8</v>
      </c>
      <c r="O73" s="83">
        <v>8</v>
      </c>
      <c r="P73" s="83">
        <v>8</v>
      </c>
      <c r="Q73" s="83">
        <v>7</v>
      </c>
      <c r="R73" s="83">
        <v>7</v>
      </c>
      <c r="S73" s="83">
        <v>6</v>
      </c>
      <c r="T73" s="83">
        <v>6</v>
      </c>
      <c r="U73" s="83">
        <v>6</v>
      </c>
      <c r="V73" s="42">
        <v>2024</v>
      </c>
      <c r="W73" s="42">
        <v>2017</v>
      </c>
      <c r="X73" s="42" t="s">
        <v>2612</v>
      </c>
      <c r="Y73" s="26">
        <v>905</v>
      </c>
      <c r="Z73" s="26">
        <f t="shared" si="39"/>
        <v>0.5</v>
      </c>
      <c r="AA73" s="82" t="s">
        <v>116</v>
      </c>
      <c r="AB73" s="111">
        <f t="shared" si="44"/>
        <v>2.5</v>
      </c>
      <c r="AC73" s="85" t="s">
        <v>2072</v>
      </c>
      <c r="AD73" s="84">
        <f t="shared" si="40"/>
        <v>16465.909090909092</v>
      </c>
      <c r="AE73" s="140"/>
      <c r="AF73" s="113">
        <f t="shared" si="45"/>
        <v>0</v>
      </c>
      <c r="AG73" s="85">
        <v>2026</v>
      </c>
      <c r="AH73" s="26" t="str">
        <f t="shared" si="34"/>
        <v/>
      </c>
      <c r="AI73" s="26" t="str">
        <f t="shared" si="46"/>
        <v/>
      </c>
      <c r="AJ73" s="26" t="str">
        <f t="shared" si="35"/>
        <v/>
      </c>
      <c r="AK73" s="26" t="str">
        <f t="shared" si="33"/>
        <v/>
      </c>
      <c r="AL73" s="26" t="str">
        <f t="shared" si="57"/>
        <v>Chip Seal - Triple</v>
      </c>
      <c r="AM73" s="26" t="str">
        <f t="shared" si="57"/>
        <v/>
      </c>
      <c r="AN73" s="26" t="str">
        <f t="shared" si="47"/>
        <v>Chip Seal - Triple</v>
      </c>
      <c r="AO73" s="26" t="str">
        <f t="shared" si="48"/>
        <v/>
      </c>
      <c r="AP73" s="26" t="str">
        <f t="shared" si="49"/>
        <v/>
      </c>
      <c r="AQ73" s="68">
        <f t="shared" si="41"/>
        <v>12</v>
      </c>
      <c r="AR73" s="68">
        <f t="shared" si="42"/>
        <v>8</v>
      </c>
      <c r="AS73" s="68">
        <f t="shared" si="50"/>
        <v>1</v>
      </c>
      <c r="AT73" s="68">
        <f t="shared" si="51"/>
        <v>1</v>
      </c>
      <c r="AU73" s="68">
        <f t="shared" si="52"/>
        <v>1</v>
      </c>
      <c r="AV73" s="68">
        <f t="shared" si="53"/>
        <v>1</v>
      </c>
      <c r="AW73" s="68">
        <f t="shared" si="54"/>
        <v>1</v>
      </c>
      <c r="AX73" s="68">
        <f t="shared" ca="1" si="43"/>
        <v>2</v>
      </c>
      <c r="AY73" s="106">
        <v>2020</v>
      </c>
      <c r="AZ73" s="106" t="s">
        <v>2075</v>
      </c>
      <c r="BA73" s="106" t="str">
        <f t="shared" si="55"/>
        <v/>
      </c>
      <c r="BB73" s="177"/>
      <c r="BC73" s="177">
        <v>8</v>
      </c>
      <c r="BD73" s="177"/>
      <c r="BE73" s="177"/>
      <c r="BF73" s="177"/>
      <c r="BG73" s="177"/>
      <c r="BH73" s="177"/>
      <c r="BI73" s="33" t="s">
        <v>2100</v>
      </c>
      <c r="BK73" s="48">
        <f>$G73/5280*VLOOKUP($AC73,'Cost and Score'!$B$27:$O$40,6,0)</f>
        <v>0.21477272727272728</v>
      </c>
      <c r="BL73" s="48">
        <f>$G73/5280*VLOOKUP($AC73,'Cost and Score'!$B$27:$O$40,7,0)</f>
        <v>44.744318181818187</v>
      </c>
      <c r="BM73" s="48">
        <f>$G73/5280*VLOOKUP($AC73,'Cost and Score'!$B$27:$O$40,8,0)</f>
        <v>71.590909090909093</v>
      </c>
      <c r="BN73" s="48">
        <f>$G73/5280*VLOOKUP($AC73,'Cost and Score'!$B$27:$O$40,9,0)</f>
        <v>715.90909090909099</v>
      </c>
      <c r="BO73" s="48">
        <f>$G73/5280*VLOOKUP($AC73,'Cost and Score'!$B$27:$O$40,10,0)</f>
        <v>178.97727272727275</v>
      </c>
      <c r="BP73" s="48">
        <f>$G73/5280*VLOOKUP($AC73,'Cost and Score'!$B$27:$O$40,11,0)</f>
        <v>35.795454545454547</v>
      </c>
      <c r="BQ73" s="48">
        <f>$G73/5280*VLOOKUP($AC73,'Cost and Score'!$B$27:$O$40,12,0)</f>
        <v>286.36363636363637</v>
      </c>
      <c r="BR73" s="48">
        <f>$G73/5280*VLOOKUP($AC73,'Cost and Score'!$B$27:$O$40,13,0)</f>
        <v>28.636363636363637</v>
      </c>
      <c r="BS73" s="48">
        <f>$G73/5280*VLOOKUP($AC73,'Cost and Score'!$B$27:$O$40,14,0)</f>
        <v>0</v>
      </c>
      <c r="BT73" s="220">
        <f t="shared" si="56"/>
        <v>0.35795454545454547</v>
      </c>
    </row>
    <row r="74" spans="1:103" s="2" customFormat="1" ht="14.45" customHeight="1" x14ac:dyDescent="0.25">
      <c r="A74" s="36" t="s">
        <v>544</v>
      </c>
      <c r="B74" s="34" t="s">
        <v>543</v>
      </c>
      <c r="C74" s="85" t="s">
        <v>543</v>
      </c>
      <c r="D74" s="85"/>
      <c r="E74" s="85" t="s">
        <v>354</v>
      </c>
      <c r="F74" s="85" t="s">
        <v>129</v>
      </c>
      <c r="G74" s="29">
        <v>1380</v>
      </c>
      <c r="H74" s="29">
        <f t="shared" si="38"/>
        <v>20</v>
      </c>
      <c r="I74" s="85" t="s">
        <v>8</v>
      </c>
      <c r="J74" s="85" t="s">
        <v>160</v>
      </c>
      <c r="K74" s="85">
        <f t="shared" si="58"/>
        <v>0</v>
      </c>
      <c r="L74" s="74">
        <v>8</v>
      </c>
      <c r="M74" s="74">
        <v>7</v>
      </c>
      <c r="N74" s="74">
        <v>7</v>
      </c>
      <c r="O74" s="74">
        <v>7</v>
      </c>
      <c r="P74" s="74">
        <v>7</v>
      </c>
      <c r="Q74" s="74">
        <v>7</v>
      </c>
      <c r="R74" s="74">
        <v>7</v>
      </c>
      <c r="S74" s="74">
        <v>7</v>
      </c>
      <c r="T74" s="74">
        <v>6</v>
      </c>
      <c r="U74" s="74">
        <v>6</v>
      </c>
      <c r="V74" s="74">
        <v>2024</v>
      </c>
      <c r="W74" s="74"/>
      <c r="X74" s="74" t="s">
        <v>2619</v>
      </c>
      <c r="Y74" s="85">
        <v>1989</v>
      </c>
      <c r="Z74" s="85">
        <f t="shared" si="39"/>
        <v>1</v>
      </c>
      <c r="AA74" s="85" t="s">
        <v>104</v>
      </c>
      <c r="AB74" s="111">
        <f t="shared" si="44"/>
        <v>4</v>
      </c>
      <c r="AC74" s="85" t="s">
        <v>13</v>
      </c>
      <c r="AD74" s="47">
        <f t="shared" si="40"/>
        <v>5488.636363636364</v>
      </c>
      <c r="AE74" s="140"/>
      <c r="AF74" s="113">
        <f t="shared" si="45"/>
        <v>0</v>
      </c>
      <c r="AG74" s="106">
        <v>2025</v>
      </c>
      <c r="AH74" s="26" t="str">
        <f t="shared" si="34"/>
        <v/>
      </c>
      <c r="AI74" s="26" t="str">
        <f t="shared" si="46"/>
        <v/>
      </c>
      <c r="AJ74" s="26" t="str">
        <f t="shared" si="35"/>
        <v/>
      </c>
      <c r="AK74" s="26" t="str">
        <f t="shared" si="33"/>
        <v>Chip Seal and Fog</v>
      </c>
      <c r="AL74" s="26" t="str">
        <f t="shared" si="57"/>
        <v/>
      </c>
      <c r="AM74" s="26" t="str">
        <f t="shared" si="57"/>
        <v/>
      </c>
      <c r="AN74" s="26" t="str">
        <f t="shared" si="47"/>
        <v>Chip Seal and Fog</v>
      </c>
      <c r="AO74" s="26" t="str">
        <f t="shared" si="48"/>
        <v/>
      </c>
      <c r="AP74" s="26" t="str">
        <f t="shared" si="49"/>
        <v/>
      </c>
      <c r="AQ74" s="68">
        <f t="shared" si="41"/>
        <v>10</v>
      </c>
      <c r="AR74" s="68">
        <f t="shared" si="42"/>
        <v>6</v>
      </c>
      <c r="AS74" s="68">
        <f t="shared" si="50"/>
        <v>1</v>
      </c>
      <c r="AT74" s="68">
        <f t="shared" si="51"/>
        <v>1.05</v>
      </c>
      <c r="AU74" s="68">
        <f t="shared" si="52"/>
        <v>1.05</v>
      </c>
      <c r="AV74" s="68">
        <f t="shared" si="53"/>
        <v>1.05</v>
      </c>
      <c r="AW74" s="68">
        <f t="shared" si="54"/>
        <v>1.05</v>
      </c>
      <c r="AX74" s="68">
        <f t="shared" ca="1" si="43"/>
        <v>1.05</v>
      </c>
      <c r="AY74" s="106"/>
      <c r="AZ74" s="106"/>
      <c r="BA74" s="106" t="str">
        <f t="shared" si="55"/>
        <v/>
      </c>
      <c r="BB74" s="177"/>
      <c r="BC74" s="177">
        <v>8</v>
      </c>
      <c r="BD74" s="177"/>
      <c r="BE74" s="177"/>
      <c r="BF74" s="177"/>
      <c r="BG74" s="177"/>
      <c r="BH74" s="177"/>
      <c r="BI74" s="33"/>
      <c r="BK74" s="48">
        <f>$G74/5280*VLOOKUP($AC74,'Cost and Score'!$B$27:$O$40,6,0)</f>
        <v>5.2272727272727276E-2</v>
      </c>
      <c r="BL74" s="48">
        <f>$G74/5280*VLOOKUP($AC74,'Cost and Score'!$B$27:$O$40,7,0)</f>
        <v>5.75</v>
      </c>
      <c r="BM74" s="48">
        <f>$G74/5280*VLOOKUP($AC74,'Cost and Score'!$B$27:$O$40,8,0)</f>
        <v>0</v>
      </c>
      <c r="BN74" s="48">
        <f>$G74/5280*VLOOKUP($AC74,'Cost and Score'!$B$27:$O$40,9,0)</f>
        <v>1176.1363636363635</v>
      </c>
      <c r="BO74" s="48">
        <f>$G74/5280*VLOOKUP($AC74,'Cost and Score'!$B$27:$O$40,10,0)</f>
        <v>261.36363636363637</v>
      </c>
      <c r="BP74" s="48">
        <f>$G74/5280*VLOOKUP($AC74,'Cost and Score'!$B$27:$O$40,11,0)</f>
        <v>0</v>
      </c>
      <c r="BQ74" s="48">
        <f>$G74/5280*VLOOKUP($AC74,'Cost and Score'!$B$27:$O$40,12,0)</f>
        <v>26.136363636363637</v>
      </c>
      <c r="BR74" s="48">
        <f>$G74/5280*VLOOKUP($AC74,'Cost and Score'!$B$27:$O$40,13,0)</f>
        <v>31.363636363636363</v>
      </c>
      <c r="BS74" s="48">
        <f>$G74/5280*VLOOKUP($AC74,'Cost and Score'!$B$27:$O$40,14,0)</f>
        <v>0</v>
      </c>
      <c r="BT74" s="220">
        <f t="shared" si="56"/>
        <v>0.26136363636363635</v>
      </c>
    </row>
    <row r="75" spans="1:103" s="2" customFormat="1" ht="14.45" hidden="1" customHeight="1" x14ac:dyDescent="0.25">
      <c r="A75" s="15" t="s">
        <v>218</v>
      </c>
      <c r="B75" s="34" t="s">
        <v>215</v>
      </c>
      <c r="C75" s="26" t="s">
        <v>215</v>
      </c>
      <c r="D75" s="26"/>
      <c r="E75" s="26" t="s">
        <v>216</v>
      </c>
      <c r="F75" s="26" t="s">
        <v>217</v>
      </c>
      <c r="G75" s="29">
        <v>5138</v>
      </c>
      <c r="H75" s="29">
        <f t="shared" si="38"/>
        <v>20</v>
      </c>
      <c r="I75" s="26" t="s">
        <v>8</v>
      </c>
      <c r="J75" s="26" t="s">
        <v>26</v>
      </c>
      <c r="K75" s="26">
        <f t="shared" si="58"/>
        <v>0</v>
      </c>
      <c r="L75" s="42">
        <v>7</v>
      </c>
      <c r="M75" s="42">
        <v>7</v>
      </c>
      <c r="N75" s="42">
        <v>7</v>
      </c>
      <c r="O75" s="42">
        <v>7</v>
      </c>
      <c r="P75" s="42">
        <v>6</v>
      </c>
      <c r="Q75" s="42">
        <v>6</v>
      </c>
      <c r="R75" s="42">
        <v>6</v>
      </c>
      <c r="S75" s="42">
        <v>6</v>
      </c>
      <c r="T75" s="42">
        <v>6</v>
      </c>
      <c r="U75" s="42">
        <v>7</v>
      </c>
      <c r="V75" s="42"/>
      <c r="W75" s="42">
        <v>2021</v>
      </c>
      <c r="X75" s="42" t="s">
        <v>2612</v>
      </c>
      <c r="Y75" s="26">
        <v>966</v>
      </c>
      <c r="Z75" s="26">
        <f t="shared" si="39"/>
        <v>0.5</v>
      </c>
      <c r="AA75" s="26" t="s">
        <v>214</v>
      </c>
      <c r="AB75" s="111">
        <f t="shared" si="44"/>
        <v>4.5</v>
      </c>
      <c r="AC75" s="85" t="s">
        <v>2425</v>
      </c>
      <c r="AD75" s="47">
        <f t="shared" si="40"/>
        <v>24327.651515151516</v>
      </c>
      <c r="AE75" s="140"/>
      <c r="AF75" s="113">
        <f t="shared" si="45"/>
        <v>0</v>
      </c>
      <c r="AG75" s="26">
        <v>2027</v>
      </c>
      <c r="AH75" s="26" t="str">
        <f t="shared" si="34"/>
        <v/>
      </c>
      <c r="AI75" s="26" t="str">
        <f t="shared" si="46"/>
        <v/>
      </c>
      <c r="AJ75" s="26" t="str">
        <f t="shared" si="35"/>
        <v/>
      </c>
      <c r="AK75" s="26" t="str">
        <f t="shared" si="33"/>
        <v/>
      </c>
      <c r="AL75" s="26" t="str">
        <f t="shared" si="57"/>
        <v/>
      </c>
      <c r="AM75" s="26" t="str">
        <f t="shared" si="57"/>
        <v>Liquid Road</v>
      </c>
      <c r="AN75" s="26" t="str">
        <f t="shared" si="47"/>
        <v>Liquid Road</v>
      </c>
      <c r="AO75" s="26" t="str">
        <f t="shared" si="48"/>
        <v>Microsurface double</v>
      </c>
      <c r="AP75" s="26" t="str">
        <f t="shared" si="49"/>
        <v/>
      </c>
      <c r="AQ75" s="68">
        <f t="shared" si="41"/>
        <v>10</v>
      </c>
      <c r="AR75" s="68">
        <f t="shared" si="42"/>
        <v>10</v>
      </c>
      <c r="AS75" s="68">
        <f t="shared" si="50"/>
        <v>1.05</v>
      </c>
      <c r="AT75" s="68">
        <f t="shared" si="51"/>
        <v>1.05</v>
      </c>
      <c r="AU75" s="68">
        <f t="shared" si="52"/>
        <v>1.05</v>
      </c>
      <c r="AV75" s="68">
        <f t="shared" si="53"/>
        <v>1.05</v>
      </c>
      <c r="AW75" s="68">
        <f t="shared" si="54"/>
        <v>1.1000000000000001</v>
      </c>
      <c r="AX75" s="68">
        <f t="shared" ca="1" si="43"/>
        <v>3.1500000000000004</v>
      </c>
      <c r="AY75" s="106">
        <v>2021</v>
      </c>
      <c r="AZ75" s="106" t="s">
        <v>2371</v>
      </c>
      <c r="BA75" s="106" t="str">
        <f t="shared" si="55"/>
        <v/>
      </c>
      <c r="BB75" s="177"/>
      <c r="BC75" s="177">
        <v>7</v>
      </c>
      <c r="BD75" s="177"/>
      <c r="BE75" s="177"/>
      <c r="BF75" s="177"/>
      <c r="BG75" s="177"/>
      <c r="BH75" s="177"/>
      <c r="BI75" s="33"/>
      <c r="BK75" s="48">
        <f>$G75/5280*VLOOKUP($AC75,'Cost and Score'!$B$27:$O$40,6,0)</f>
        <v>0.97310606060606064</v>
      </c>
      <c r="BL75" s="48">
        <f>$G75/5280*VLOOKUP($AC75,'Cost and Score'!$B$27:$O$40,7,0)</f>
        <v>15.56969696969697</v>
      </c>
      <c r="BM75" s="48">
        <f>$G75/5280*VLOOKUP($AC75,'Cost and Score'!$B$27:$O$40,8,0)</f>
        <v>0</v>
      </c>
      <c r="BN75" s="48">
        <f>$G75/5280*VLOOKUP($AC75,'Cost and Score'!$B$27:$O$40,9,0)</f>
        <v>0</v>
      </c>
      <c r="BO75" s="48">
        <f>$G75/5280*VLOOKUP($AC75,'Cost and Score'!$B$27:$O$40,10,0)</f>
        <v>0</v>
      </c>
      <c r="BP75" s="48">
        <f>$G75/5280*VLOOKUP($AC75,'Cost and Score'!$B$27:$O$40,11,0)</f>
        <v>0</v>
      </c>
      <c r="BQ75" s="48">
        <f>$G75/5280*VLOOKUP($AC75,'Cost and Score'!$B$27:$O$40,12,0)</f>
        <v>0</v>
      </c>
      <c r="BR75" s="48">
        <f>$G75/5280*VLOOKUP($AC75,'Cost and Score'!$B$27:$O$40,13,0)</f>
        <v>0</v>
      </c>
      <c r="BS75" s="48">
        <f>$G75/5280*VLOOKUP($AC75,'Cost and Score'!$B$27:$O$40,14,0)</f>
        <v>0</v>
      </c>
      <c r="BT75" s="220">
        <f t="shared" si="56"/>
        <v>0.97310606060606064</v>
      </c>
    </row>
    <row r="76" spans="1:103" s="2" customFormat="1" ht="14.45" hidden="1" customHeight="1" x14ac:dyDescent="0.25">
      <c r="A76" s="15" t="s">
        <v>220</v>
      </c>
      <c r="B76" s="34" t="s">
        <v>219</v>
      </c>
      <c r="C76" s="26" t="s">
        <v>219</v>
      </c>
      <c r="D76" s="26"/>
      <c r="E76" s="26" t="s">
        <v>217</v>
      </c>
      <c r="F76" s="26" t="s">
        <v>193</v>
      </c>
      <c r="G76" s="29">
        <v>2688</v>
      </c>
      <c r="H76" s="29">
        <f t="shared" si="38"/>
        <v>20</v>
      </c>
      <c r="I76" s="26" t="s">
        <v>8</v>
      </c>
      <c r="J76" s="26" t="s">
        <v>26</v>
      </c>
      <c r="K76" s="26">
        <f t="shared" si="58"/>
        <v>0</v>
      </c>
      <c r="L76" s="42">
        <v>7</v>
      </c>
      <c r="M76" s="42">
        <v>7</v>
      </c>
      <c r="N76" s="42">
        <v>7</v>
      </c>
      <c r="O76" s="42">
        <v>7</v>
      </c>
      <c r="P76" s="42">
        <v>7</v>
      </c>
      <c r="Q76" s="42">
        <v>7</v>
      </c>
      <c r="R76" s="42">
        <v>6</v>
      </c>
      <c r="S76" s="42">
        <v>6</v>
      </c>
      <c r="T76" s="42">
        <v>6</v>
      </c>
      <c r="U76" s="42">
        <v>7</v>
      </c>
      <c r="V76" s="42"/>
      <c r="W76" s="42">
        <v>2021</v>
      </c>
      <c r="X76" s="42" t="s">
        <v>2612</v>
      </c>
      <c r="Y76" s="26">
        <v>975</v>
      </c>
      <c r="Z76" s="26">
        <f t="shared" si="39"/>
        <v>0.5</v>
      </c>
      <c r="AA76" s="26" t="s">
        <v>214</v>
      </c>
      <c r="AB76" s="111">
        <f t="shared" si="44"/>
        <v>3.5</v>
      </c>
      <c r="AC76" s="85" t="s">
        <v>2425</v>
      </c>
      <c r="AD76" s="47">
        <f t="shared" si="40"/>
        <v>12727.272727272728</v>
      </c>
      <c r="AE76" s="140"/>
      <c r="AF76" s="113">
        <f t="shared" si="45"/>
        <v>0</v>
      </c>
      <c r="AG76" s="26">
        <v>2027</v>
      </c>
      <c r="AH76" s="26" t="str">
        <f t="shared" si="34"/>
        <v/>
      </c>
      <c r="AI76" s="26" t="str">
        <f t="shared" si="46"/>
        <v/>
      </c>
      <c r="AJ76" s="26" t="str">
        <f t="shared" si="35"/>
        <v/>
      </c>
      <c r="AK76" s="26" t="str">
        <f t="shared" si="33"/>
        <v/>
      </c>
      <c r="AL76" s="26" t="str">
        <f t="shared" si="57"/>
        <v/>
      </c>
      <c r="AM76" s="26" t="str">
        <f t="shared" si="57"/>
        <v>Liquid Road</v>
      </c>
      <c r="AN76" s="26" t="str">
        <f t="shared" si="47"/>
        <v>Liquid Road</v>
      </c>
      <c r="AO76" s="26" t="str">
        <f t="shared" si="48"/>
        <v>Microsurface double</v>
      </c>
      <c r="AP76" s="26" t="str">
        <f t="shared" si="49"/>
        <v/>
      </c>
      <c r="AQ76" s="68">
        <f t="shared" si="41"/>
        <v>10</v>
      </c>
      <c r="AR76" s="68">
        <f t="shared" si="42"/>
        <v>10</v>
      </c>
      <c r="AS76" s="68">
        <f t="shared" si="50"/>
        <v>1.05</v>
      </c>
      <c r="AT76" s="68">
        <f t="shared" si="51"/>
        <v>1.05</v>
      </c>
      <c r="AU76" s="68">
        <f t="shared" si="52"/>
        <v>1.05</v>
      </c>
      <c r="AV76" s="68">
        <f t="shared" si="53"/>
        <v>1.05</v>
      </c>
      <c r="AW76" s="68">
        <f t="shared" si="54"/>
        <v>1.05</v>
      </c>
      <c r="AX76" s="68">
        <f t="shared" ca="1" si="43"/>
        <v>3.1500000000000004</v>
      </c>
      <c r="AY76" s="106">
        <v>2021</v>
      </c>
      <c r="AZ76" s="106" t="s">
        <v>2371</v>
      </c>
      <c r="BA76" s="106" t="str">
        <f t="shared" si="55"/>
        <v/>
      </c>
      <c r="BB76" s="177"/>
      <c r="BC76" s="177">
        <v>7</v>
      </c>
      <c r="BD76" s="177"/>
      <c r="BE76" s="177"/>
      <c r="BF76" s="177"/>
      <c r="BG76" s="177"/>
      <c r="BH76" s="177"/>
      <c r="BI76" s="33"/>
      <c r="BK76" s="48">
        <f>$G76/5280*VLOOKUP($AC76,'Cost and Score'!$B$27:$O$40,6,0)</f>
        <v>0.50909090909090904</v>
      </c>
      <c r="BL76" s="48">
        <f>$G76/5280*VLOOKUP($AC76,'Cost and Score'!$B$27:$O$40,7,0)</f>
        <v>8.1454545454545446</v>
      </c>
      <c r="BM76" s="48">
        <f>$G76/5280*VLOOKUP($AC76,'Cost and Score'!$B$27:$O$40,8,0)</f>
        <v>0</v>
      </c>
      <c r="BN76" s="48">
        <f>$G76/5280*VLOOKUP($AC76,'Cost and Score'!$B$27:$O$40,9,0)</f>
        <v>0</v>
      </c>
      <c r="BO76" s="48">
        <f>$G76/5280*VLOOKUP($AC76,'Cost and Score'!$B$27:$O$40,10,0)</f>
        <v>0</v>
      </c>
      <c r="BP76" s="48">
        <f>$G76/5280*VLOOKUP($AC76,'Cost and Score'!$B$27:$O$40,11,0)</f>
        <v>0</v>
      </c>
      <c r="BQ76" s="48">
        <f>$G76/5280*VLOOKUP($AC76,'Cost and Score'!$B$27:$O$40,12,0)</f>
        <v>0</v>
      </c>
      <c r="BR76" s="48">
        <f>$G76/5280*VLOOKUP($AC76,'Cost and Score'!$B$27:$O$40,13,0)</f>
        <v>0</v>
      </c>
      <c r="BS76" s="48">
        <f>$G76/5280*VLOOKUP($AC76,'Cost and Score'!$B$27:$O$40,14,0)</f>
        <v>0</v>
      </c>
      <c r="BT76" s="220">
        <f t="shared" si="56"/>
        <v>0.50909090909090904</v>
      </c>
      <c r="CW76" s="112"/>
      <c r="CX76" s="112"/>
      <c r="CY76" s="112"/>
    </row>
    <row r="77" spans="1:103" s="2" customFormat="1" ht="14.45" hidden="1" customHeight="1" x14ac:dyDescent="0.25">
      <c r="A77" s="15" t="s">
        <v>223</v>
      </c>
      <c r="B77" s="34" t="s">
        <v>221</v>
      </c>
      <c r="C77" s="26" t="s">
        <v>221</v>
      </c>
      <c r="D77" s="26"/>
      <c r="E77" s="26" t="s">
        <v>193</v>
      </c>
      <c r="F77" s="26" t="s">
        <v>222</v>
      </c>
      <c r="G77" s="29">
        <v>2665</v>
      </c>
      <c r="H77" s="29">
        <f t="shared" si="38"/>
        <v>20</v>
      </c>
      <c r="I77" s="26" t="s">
        <v>8</v>
      </c>
      <c r="J77" s="26" t="s">
        <v>26</v>
      </c>
      <c r="K77" s="26">
        <f t="shared" si="58"/>
        <v>0</v>
      </c>
      <c r="L77" s="42">
        <v>7</v>
      </c>
      <c r="M77" s="42">
        <v>7</v>
      </c>
      <c r="N77" s="42">
        <v>7</v>
      </c>
      <c r="O77" s="42">
        <v>7</v>
      </c>
      <c r="P77" s="42">
        <v>7</v>
      </c>
      <c r="Q77" s="42">
        <v>7</v>
      </c>
      <c r="R77" s="42">
        <v>6</v>
      </c>
      <c r="S77" s="42">
        <v>6</v>
      </c>
      <c r="T77" s="42">
        <v>6</v>
      </c>
      <c r="U77" s="42">
        <v>7</v>
      </c>
      <c r="V77" s="42"/>
      <c r="W77" s="42">
        <v>2021</v>
      </c>
      <c r="X77" s="42" t="s">
        <v>2612</v>
      </c>
      <c r="Y77" s="26">
        <v>1015</v>
      </c>
      <c r="Z77" s="26">
        <f t="shared" si="39"/>
        <v>0.5</v>
      </c>
      <c r="AA77" s="26" t="s">
        <v>214</v>
      </c>
      <c r="AB77" s="111">
        <f t="shared" si="44"/>
        <v>3.5</v>
      </c>
      <c r="AC77" s="85" t="s">
        <v>2425</v>
      </c>
      <c r="AD77" s="47">
        <f t="shared" si="40"/>
        <v>12618.371212121212</v>
      </c>
      <c r="AE77" s="140"/>
      <c r="AF77" s="113">
        <f t="shared" si="45"/>
        <v>0</v>
      </c>
      <c r="AG77" s="26">
        <v>2027</v>
      </c>
      <c r="AH77" s="26" t="str">
        <f t="shared" si="34"/>
        <v/>
      </c>
      <c r="AI77" s="26" t="str">
        <f t="shared" si="46"/>
        <v/>
      </c>
      <c r="AJ77" s="26" t="str">
        <f t="shared" si="35"/>
        <v/>
      </c>
      <c r="AK77" s="26" t="str">
        <f t="shared" si="33"/>
        <v/>
      </c>
      <c r="AL77" s="26" t="str">
        <f t="shared" si="57"/>
        <v/>
      </c>
      <c r="AM77" s="26" t="str">
        <f t="shared" si="57"/>
        <v>Liquid Road</v>
      </c>
      <c r="AN77" s="26" t="str">
        <f t="shared" si="47"/>
        <v>Liquid Road</v>
      </c>
      <c r="AO77" s="26" t="str">
        <f t="shared" si="48"/>
        <v>Microsurface double</v>
      </c>
      <c r="AP77" s="26" t="str">
        <f t="shared" si="49"/>
        <v/>
      </c>
      <c r="AQ77" s="68">
        <f t="shared" si="41"/>
        <v>10</v>
      </c>
      <c r="AR77" s="68">
        <f t="shared" si="42"/>
        <v>10</v>
      </c>
      <c r="AS77" s="68">
        <f t="shared" si="50"/>
        <v>1.05</v>
      </c>
      <c r="AT77" s="68">
        <f t="shared" si="51"/>
        <v>1.05</v>
      </c>
      <c r="AU77" s="68">
        <f t="shared" si="52"/>
        <v>1.05</v>
      </c>
      <c r="AV77" s="68">
        <f t="shared" si="53"/>
        <v>1.05</v>
      </c>
      <c r="AW77" s="68">
        <f t="shared" si="54"/>
        <v>1.05</v>
      </c>
      <c r="AX77" s="68">
        <f t="shared" ca="1" si="43"/>
        <v>3.1500000000000004</v>
      </c>
      <c r="AY77" s="106">
        <v>2021</v>
      </c>
      <c r="AZ77" s="106" t="s">
        <v>2371</v>
      </c>
      <c r="BA77" s="106" t="str">
        <f t="shared" si="55"/>
        <v/>
      </c>
      <c r="BB77" s="177"/>
      <c r="BC77" s="177">
        <v>7</v>
      </c>
      <c r="BD77" s="177"/>
      <c r="BE77" s="177"/>
      <c r="BF77" s="177"/>
      <c r="BG77" s="177"/>
      <c r="BH77" s="177"/>
      <c r="BI77" s="33"/>
      <c r="BK77" s="48">
        <f>$G77/5280*VLOOKUP($AC77,'Cost and Score'!$B$27:$O$40,6,0)</f>
        <v>0.50473484848484851</v>
      </c>
      <c r="BL77" s="48">
        <f>$G77/5280*VLOOKUP($AC77,'Cost and Score'!$B$27:$O$40,7,0)</f>
        <v>8.0757575757575761</v>
      </c>
      <c r="BM77" s="48">
        <f>$G77/5280*VLOOKUP($AC77,'Cost and Score'!$B$27:$O$40,8,0)</f>
        <v>0</v>
      </c>
      <c r="BN77" s="48">
        <f>$G77/5280*VLOOKUP($AC77,'Cost and Score'!$B$27:$O$40,9,0)</f>
        <v>0</v>
      </c>
      <c r="BO77" s="48">
        <f>$G77/5280*VLOOKUP($AC77,'Cost and Score'!$B$27:$O$40,10,0)</f>
        <v>0</v>
      </c>
      <c r="BP77" s="48">
        <f>$G77/5280*VLOOKUP($AC77,'Cost and Score'!$B$27:$O$40,11,0)</f>
        <v>0</v>
      </c>
      <c r="BQ77" s="48">
        <f>$G77/5280*VLOOKUP($AC77,'Cost and Score'!$B$27:$O$40,12,0)</f>
        <v>0</v>
      </c>
      <c r="BR77" s="48">
        <f>$G77/5280*VLOOKUP($AC77,'Cost and Score'!$B$27:$O$40,13,0)</f>
        <v>0</v>
      </c>
      <c r="BS77" s="48">
        <f>$G77/5280*VLOOKUP($AC77,'Cost and Score'!$B$27:$O$40,14,0)</f>
        <v>0</v>
      </c>
      <c r="BT77" s="220">
        <f t="shared" si="56"/>
        <v>0.50473484848484851</v>
      </c>
    </row>
    <row r="78" spans="1:103" s="2" customFormat="1" ht="14.45" hidden="1" customHeight="1" x14ac:dyDescent="0.25">
      <c r="A78" s="15" t="s">
        <v>226</v>
      </c>
      <c r="B78" s="34" t="s">
        <v>224</v>
      </c>
      <c r="C78" s="26" t="s">
        <v>224</v>
      </c>
      <c r="D78" s="26"/>
      <c r="E78" s="26" t="s">
        <v>307</v>
      </c>
      <c r="F78" s="26" t="s">
        <v>216</v>
      </c>
      <c r="G78" s="29">
        <v>1043</v>
      </c>
      <c r="H78" s="29">
        <f t="shared" si="38"/>
        <v>20</v>
      </c>
      <c r="I78" s="26" t="s">
        <v>8</v>
      </c>
      <c r="J78" s="26" t="s">
        <v>26</v>
      </c>
      <c r="K78" s="26">
        <f t="shared" si="58"/>
        <v>0</v>
      </c>
      <c r="L78" s="42">
        <v>7</v>
      </c>
      <c r="M78" s="42">
        <v>7</v>
      </c>
      <c r="N78" s="42">
        <v>7</v>
      </c>
      <c r="O78" s="42">
        <v>7</v>
      </c>
      <c r="P78" s="42">
        <v>7</v>
      </c>
      <c r="Q78" s="42">
        <v>7</v>
      </c>
      <c r="R78" s="42">
        <v>6</v>
      </c>
      <c r="S78" s="42">
        <v>6</v>
      </c>
      <c r="T78" s="42">
        <v>6</v>
      </c>
      <c r="U78" s="42">
        <v>7</v>
      </c>
      <c r="V78" s="42"/>
      <c r="W78" s="42">
        <v>2021</v>
      </c>
      <c r="X78" s="42" t="s">
        <v>2612</v>
      </c>
      <c r="Y78" s="26">
        <v>932</v>
      </c>
      <c r="Z78" s="26">
        <f t="shared" si="39"/>
        <v>0.5</v>
      </c>
      <c r="AA78" s="26" t="s">
        <v>214</v>
      </c>
      <c r="AB78" s="111">
        <f t="shared" si="44"/>
        <v>3.5</v>
      </c>
      <c r="AC78" s="85" t="s">
        <v>2425</v>
      </c>
      <c r="AD78" s="47">
        <f t="shared" si="40"/>
        <v>4938.44696969697</v>
      </c>
      <c r="AE78" s="140"/>
      <c r="AF78" s="113">
        <f t="shared" si="45"/>
        <v>0</v>
      </c>
      <c r="AG78" s="26">
        <v>2027</v>
      </c>
      <c r="AH78" s="26" t="str">
        <f t="shared" si="34"/>
        <v/>
      </c>
      <c r="AI78" s="26" t="str">
        <f t="shared" si="46"/>
        <v/>
      </c>
      <c r="AJ78" s="26" t="str">
        <f t="shared" si="35"/>
        <v/>
      </c>
      <c r="AK78" s="26" t="str">
        <f t="shared" si="33"/>
        <v/>
      </c>
      <c r="AL78" s="26" t="str">
        <f t="shared" si="57"/>
        <v/>
      </c>
      <c r="AM78" s="26" t="str">
        <f t="shared" si="57"/>
        <v>Liquid Road</v>
      </c>
      <c r="AN78" s="26" t="str">
        <f t="shared" si="47"/>
        <v>Liquid Road</v>
      </c>
      <c r="AO78" s="26" t="str">
        <f t="shared" si="48"/>
        <v>Microsurface double</v>
      </c>
      <c r="AP78" s="26" t="str">
        <f t="shared" si="49"/>
        <v/>
      </c>
      <c r="AQ78" s="68">
        <f t="shared" si="41"/>
        <v>10</v>
      </c>
      <c r="AR78" s="68">
        <f t="shared" si="42"/>
        <v>10</v>
      </c>
      <c r="AS78" s="68">
        <f t="shared" si="50"/>
        <v>1.05</v>
      </c>
      <c r="AT78" s="68">
        <f t="shared" si="51"/>
        <v>1.05</v>
      </c>
      <c r="AU78" s="68">
        <f t="shared" si="52"/>
        <v>1.05</v>
      </c>
      <c r="AV78" s="68">
        <f t="shared" si="53"/>
        <v>1.05</v>
      </c>
      <c r="AW78" s="68">
        <f t="shared" si="54"/>
        <v>1.05</v>
      </c>
      <c r="AX78" s="68">
        <f t="shared" ca="1" si="43"/>
        <v>3.1500000000000004</v>
      </c>
      <c r="AY78" s="106">
        <v>2021</v>
      </c>
      <c r="AZ78" s="106" t="s">
        <v>2371</v>
      </c>
      <c r="BA78" s="106" t="str">
        <f t="shared" si="55"/>
        <v/>
      </c>
      <c r="BB78" s="177"/>
      <c r="BC78" s="177">
        <v>7</v>
      </c>
      <c r="BD78" s="177"/>
      <c r="BE78" s="177"/>
      <c r="BF78" s="177"/>
      <c r="BG78" s="177"/>
      <c r="BH78" s="177"/>
      <c r="BI78" s="33"/>
      <c r="BK78" s="48">
        <f>$G78/5280*VLOOKUP($AC78,'Cost and Score'!$B$27:$O$40,6,0)</f>
        <v>0.19753787878787879</v>
      </c>
      <c r="BL78" s="48">
        <f>$G78/5280*VLOOKUP($AC78,'Cost and Score'!$B$27:$O$40,7,0)</f>
        <v>3.1606060606060606</v>
      </c>
      <c r="BM78" s="48">
        <f>$G78/5280*VLOOKUP($AC78,'Cost and Score'!$B$27:$O$40,8,0)</f>
        <v>0</v>
      </c>
      <c r="BN78" s="48">
        <f>$G78/5280*VLOOKUP($AC78,'Cost and Score'!$B$27:$O$40,9,0)</f>
        <v>0</v>
      </c>
      <c r="BO78" s="48">
        <f>$G78/5280*VLOOKUP($AC78,'Cost and Score'!$B$27:$O$40,10,0)</f>
        <v>0</v>
      </c>
      <c r="BP78" s="48">
        <f>$G78/5280*VLOOKUP($AC78,'Cost and Score'!$B$27:$O$40,11,0)</f>
        <v>0</v>
      </c>
      <c r="BQ78" s="48">
        <f>$G78/5280*VLOOKUP($AC78,'Cost and Score'!$B$27:$O$40,12,0)</f>
        <v>0</v>
      </c>
      <c r="BR78" s="48">
        <f>$G78/5280*VLOOKUP($AC78,'Cost and Score'!$B$27:$O$40,13,0)</f>
        <v>0</v>
      </c>
      <c r="BS78" s="48">
        <f>$G78/5280*VLOOKUP($AC78,'Cost and Score'!$B$27:$O$40,14,0)</f>
        <v>0</v>
      </c>
      <c r="BT78" s="220">
        <f t="shared" si="56"/>
        <v>0.19753787878787879</v>
      </c>
    </row>
    <row r="79" spans="1:103" s="2" customFormat="1" ht="14.45" hidden="1" customHeight="1" x14ac:dyDescent="0.25">
      <c r="A79" s="15" t="s">
        <v>229</v>
      </c>
      <c r="B79" s="34" t="s">
        <v>227</v>
      </c>
      <c r="C79" s="26" t="s">
        <v>227</v>
      </c>
      <c r="D79" s="26"/>
      <c r="E79" s="26" t="s">
        <v>222</v>
      </c>
      <c r="F79" s="26" t="s">
        <v>228</v>
      </c>
      <c r="G79" s="29">
        <v>3937</v>
      </c>
      <c r="H79" s="29">
        <f t="shared" si="38"/>
        <v>20</v>
      </c>
      <c r="I79" s="26" t="s">
        <v>8</v>
      </c>
      <c r="J79" s="26" t="s">
        <v>26</v>
      </c>
      <c r="K79" s="26">
        <f t="shared" si="58"/>
        <v>0</v>
      </c>
      <c r="L79" s="42">
        <v>7</v>
      </c>
      <c r="M79" s="42">
        <v>8</v>
      </c>
      <c r="N79" s="42">
        <v>8</v>
      </c>
      <c r="O79" s="42">
        <v>8</v>
      </c>
      <c r="P79" s="42">
        <v>7</v>
      </c>
      <c r="Q79" s="42">
        <v>7</v>
      </c>
      <c r="R79" s="42">
        <v>7</v>
      </c>
      <c r="S79" s="42">
        <v>7</v>
      </c>
      <c r="T79" s="42">
        <v>7</v>
      </c>
      <c r="U79" s="42">
        <v>7</v>
      </c>
      <c r="V79" s="42"/>
      <c r="W79" s="42">
        <v>2021</v>
      </c>
      <c r="X79" s="42" t="s">
        <v>2612</v>
      </c>
      <c r="Y79" s="26">
        <v>1360</v>
      </c>
      <c r="Z79" s="26">
        <f t="shared" si="39"/>
        <v>0.5</v>
      </c>
      <c r="AA79" s="26" t="s">
        <v>214</v>
      </c>
      <c r="AB79" s="111">
        <f t="shared" si="44"/>
        <v>3.5</v>
      </c>
      <c r="AC79" s="85" t="s">
        <v>2425</v>
      </c>
      <c r="AD79" s="47">
        <f t="shared" si="40"/>
        <v>18641.098484848484</v>
      </c>
      <c r="AE79" s="140"/>
      <c r="AF79" s="113">
        <f t="shared" si="45"/>
        <v>0</v>
      </c>
      <c r="AG79" s="26">
        <v>2027</v>
      </c>
      <c r="AH79" s="26" t="str">
        <f t="shared" si="34"/>
        <v/>
      </c>
      <c r="AI79" s="26" t="str">
        <f t="shared" si="46"/>
        <v/>
      </c>
      <c r="AJ79" s="26" t="str">
        <f t="shared" si="35"/>
        <v/>
      </c>
      <c r="AK79" s="26" t="str">
        <f t="shared" si="33"/>
        <v/>
      </c>
      <c r="AL79" s="26" t="str">
        <f t="shared" si="57"/>
        <v/>
      </c>
      <c r="AM79" s="26" t="str">
        <f t="shared" si="57"/>
        <v>Liquid Road</v>
      </c>
      <c r="AN79" s="26" t="str">
        <f t="shared" si="47"/>
        <v>Liquid Road</v>
      </c>
      <c r="AO79" s="26" t="str">
        <f t="shared" si="48"/>
        <v>Microsurface double</v>
      </c>
      <c r="AP79" s="26" t="str">
        <f t="shared" si="49"/>
        <v/>
      </c>
      <c r="AQ79" s="68">
        <f t="shared" si="41"/>
        <v>12</v>
      </c>
      <c r="AR79" s="68">
        <f t="shared" si="42"/>
        <v>10</v>
      </c>
      <c r="AS79" s="68">
        <f t="shared" si="50"/>
        <v>1.05</v>
      </c>
      <c r="AT79" s="68">
        <f t="shared" si="51"/>
        <v>1</v>
      </c>
      <c r="AU79" s="68">
        <f t="shared" si="52"/>
        <v>1</v>
      </c>
      <c r="AV79" s="68">
        <f t="shared" si="53"/>
        <v>1</v>
      </c>
      <c r="AW79" s="68">
        <f t="shared" si="54"/>
        <v>1.05</v>
      </c>
      <c r="AX79" s="68">
        <f t="shared" ca="1" si="43"/>
        <v>3</v>
      </c>
      <c r="AY79" s="106">
        <v>2021</v>
      </c>
      <c r="AZ79" s="106" t="s">
        <v>2371</v>
      </c>
      <c r="BA79" s="106" t="str">
        <f t="shared" si="55"/>
        <v/>
      </c>
      <c r="BB79" s="177"/>
      <c r="BC79" s="177">
        <v>5</v>
      </c>
      <c r="BD79" s="177"/>
      <c r="BE79" s="177"/>
      <c r="BF79" s="177"/>
      <c r="BG79" s="177"/>
      <c r="BH79" s="177"/>
      <c r="BI79" s="33"/>
      <c r="BK79" s="48">
        <f>$G79/5280*VLOOKUP($AC79,'Cost and Score'!$B$27:$O$40,6,0)</f>
        <v>0.74564393939393936</v>
      </c>
      <c r="BL79" s="48">
        <f>$G79/5280*VLOOKUP($AC79,'Cost and Score'!$B$27:$O$40,7,0)</f>
        <v>11.93030303030303</v>
      </c>
      <c r="BM79" s="48">
        <f>$G79/5280*VLOOKUP($AC79,'Cost and Score'!$B$27:$O$40,8,0)</f>
        <v>0</v>
      </c>
      <c r="BN79" s="48">
        <f>$G79/5280*VLOOKUP($AC79,'Cost and Score'!$B$27:$O$40,9,0)</f>
        <v>0</v>
      </c>
      <c r="BO79" s="48">
        <f>$G79/5280*VLOOKUP($AC79,'Cost and Score'!$B$27:$O$40,10,0)</f>
        <v>0</v>
      </c>
      <c r="BP79" s="48">
        <f>$G79/5280*VLOOKUP($AC79,'Cost and Score'!$B$27:$O$40,11,0)</f>
        <v>0</v>
      </c>
      <c r="BQ79" s="48">
        <f>$G79/5280*VLOOKUP($AC79,'Cost and Score'!$B$27:$O$40,12,0)</f>
        <v>0</v>
      </c>
      <c r="BR79" s="48">
        <f>$G79/5280*VLOOKUP($AC79,'Cost and Score'!$B$27:$O$40,13,0)</f>
        <v>0</v>
      </c>
      <c r="BS79" s="48">
        <f>$G79/5280*VLOOKUP($AC79,'Cost and Score'!$B$27:$O$40,14,0)</f>
        <v>0</v>
      </c>
      <c r="BT79" s="220">
        <f t="shared" si="56"/>
        <v>0.74564393939393936</v>
      </c>
    </row>
    <row r="80" spans="1:103" s="2" customFormat="1" ht="14.45" hidden="1" customHeight="1" x14ac:dyDescent="0.25">
      <c r="A80" s="15" t="s">
        <v>231</v>
      </c>
      <c r="B80" s="34" t="s">
        <v>230</v>
      </c>
      <c r="C80" s="26" t="s">
        <v>230</v>
      </c>
      <c r="D80" s="26"/>
      <c r="E80" s="26" t="s">
        <v>228</v>
      </c>
      <c r="F80" s="26" t="s">
        <v>24</v>
      </c>
      <c r="G80" s="29">
        <v>1316</v>
      </c>
      <c r="H80" s="29">
        <f t="shared" si="38"/>
        <v>20</v>
      </c>
      <c r="I80" s="26" t="s">
        <v>8</v>
      </c>
      <c r="J80" s="26" t="s">
        <v>26</v>
      </c>
      <c r="K80" s="26">
        <f t="shared" si="58"/>
        <v>0</v>
      </c>
      <c r="L80" s="42">
        <v>7</v>
      </c>
      <c r="M80" s="42">
        <v>8</v>
      </c>
      <c r="N80" s="42">
        <v>8</v>
      </c>
      <c r="O80" s="42">
        <v>8</v>
      </c>
      <c r="P80" s="42">
        <v>7</v>
      </c>
      <c r="Q80" s="42">
        <v>7</v>
      </c>
      <c r="R80" s="42">
        <v>7</v>
      </c>
      <c r="S80" s="42">
        <v>7</v>
      </c>
      <c r="T80" s="42">
        <v>7</v>
      </c>
      <c r="U80" s="42">
        <v>7</v>
      </c>
      <c r="V80" s="42"/>
      <c r="W80" s="42">
        <v>2021</v>
      </c>
      <c r="X80" s="42" t="s">
        <v>2612</v>
      </c>
      <c r="Y80" s="26">
        <v>1186</v>
      </c>
      <c r="Z80" s="26">
        <f t="shared" si="39"/>
        <v>0.5</v>
      </c>
      <c r="AA80" s="26" t="s">
        <v>214</v>
      </c>
      <c r="AB80" s="111">
        <f t="shared" si="44"/>
        <v>3.5</v>
      </c>
      <c r="AC80" s="85" t="s">
        <v>2425</v>
      </c>
      <c r="AD80" s="47">
        <f t="shared" si="40"/>
        <v>6231.060606060606</v>
      </c>
      <c r="AE80" s="140"/>
      <c r="AF80" s="113">
        <f t="shared" si="45"/>
        <v>0</v>
      </c>
      <c r="AG80" s="26">
        <v>2027</v>
      </c>
      <c r="AH80" s="26" t="str">
        <f t="shared" si="34"/>
        <v/>
      </c>
      <c r="AI80" s="26" t="str">
        <f t="shared" si="46"/>
        <v/>
      </c>
      <c r="AJ80" s="26" t="str">
        <f t="shared" si="35"/>
        <v/>
      </c>
      <c r="AK80" s="26" t="str">
        <f t="shared" si="33"/>
        <v/>
      </c>
      <c r="AL80" s="26" t="str">
        <f t="shared" si="57"/>
        <v/>
      </c>
      <c r="AM80" s="26" t="str">
        <f t="shared" si="57"/>
        <v>Liquid Road</v>
      </c>
      <c r="AN80" s="26" t="str">
        <f t="shared" si="47"/>
        <v>Liquid Road</v>
      </c>
      <c r="AO80" s="26" t="str">
        <f t="shared" si="48"/>
        <v>Microsurface double</v>
      </c>
      <c r="AP80" s="26" t="str">
        <f t="shared" si="49"/>
        <v/>
      </c>
      <c r="AQ80" s="68">
        <f t="shared" si="41"/>
        <v>12</v>
      </c>
      <c r="AR80" s="68">
        <f t="shared" si="42"/>
        <v>10</v>
      </c>
      <c r="AS80" s="68">
        <f t="shared" si="50"/>
        <v>1.05</v>
      </c>
      <c r="AT80" s="68">
        <f t="shared" si="51"/>
        <v>1</v>
      </c>
      <c r="AU80" s="68">
        <f t="shared" si="52"/>
        <v>1</v>
      </c>
      <c r="AV80" s="68">
        <f t="shared" si="53"/>
        <v>1</v>
      </c>
      <c r="AW80" s="68">
        <f t="shared" si="54"/>
        <v>1.05</v>
      </c>
      <c r="AX80" s="68">
        <f t="shared" ca="1" si="43"/>
        <v>3</v>
      </c>
      <c r="AY80" s="106">
        <v>2021</v>
      </c>
      <c r="AZ80" s="106" t="s">
        <v>2371</v>
      </c>
      <c r="BA80" s="106" t="str">
        <f t="shared" si="55"/>
        <v/>
      </c>
      <c r="BB80" s="177"/>
      <c r="BC80" s="177">
        <v>5</v>
      </c>
      <c r="BD80" s="177"/>
      <c r="BE80" s="177"/>
      <c r="BF80" s="177"/>
      <c r="BG80" s="177"/>
      <c r="BH80" s="177"/>
      <c r="BI80" s="33"/>
      <c r="BK80" s="48">
        <f>$G80/5280*VLOOKUP($AC80,'Cost and Score'!$B$27:$O$40,6,0)</f>
        <v>0.24924242424242424</v>
      </c>
      <c r="BL80" s="48">
        <f>$G80/5280*VLOOKUP($AC80,'Cost and Score'!$B$27:$O$40,7,0)</f>
        <v>3.9878787878787878</v>
      </c>
      <c r="BM80" s="48">
        <f>$G80/5280*VLOOKUP($AC80,'Cost and Score'!$B$27:$O$40,8,0)</f>
        <v>0</v>
      </c>
      <c r="BN80" s="48">
        <f>$G80/5280*VLOOKUP($AC80,'Cost and Score'!$B$27:$O$40,9,0)</f>
        <v>0</v>
      </c>
      <c r="BO80" s="48">
        <f>$G80/5280*VLOOKUP($AC80,'Cost and Score'!$B$27:$O$40,10,0)</f>
        <v>0</v>
      </c>
      <c r="BP80" s="48">
        <f>$G80/5280*VLOOKUP($AC80,'Cost and Score'!$B$27:$O$40,11,0)</f>
        <v>0</v>
      </c>
      <c r="BQ80" s="48">
        <f>$G80/5280*VLOOKUP($AC80,'Cost and Score'!$B$27:$O$40,12,0)</f>
        <v>0</v>
      </c>
      <c r="BR80" s="48">
        <f>$G80/5280*VLOOKUP($AC80,'Cost and Score'!$B$27:$O$40,13,0)</f>
        <v>0</v>
      </c>
      <c r="BS80" s="48">
        <f>$G80/5280*VLOOKUP($AC80,'Cost and Score'!$B$27:$O$40,14,0)</f>
        <v>0</v>
      </c>
      <c r="BT80" s="220">
        <f t="shared" si="56"/>
        <v>0.24924242424242424</v>
      </c>
    </row>
    <row r="81" spans="1:103" s="2" customFormat="1" ht="14.45" hidden="1" customHeight="1" x14ac:dyDescent="0.25">
      <c r="A81" s="15" t="s">
        <v>234</v>
      </c>
      <c r="B81" s="34" t="s">
        <v>232</v>
      </c>
      <c r="C81" s="26" t="s">
        <v>232</v>
      </c>
      <c r="D81" s="26"/>
      <c r="E81" s="26" t="s">
        <v>24</v>
      </c>
      <c r="F81" s="26" t="s">
        <v>233</v>
      </c>
      <c r="G81" s="29">
        <v>5290</v>
      </c>
      <c r="H81" s="29">
        <f t="shared" si="38"/>
        <v>20</v>
      </c>
      <c r="I81" s="26" t="s">
        <v>8</v>
      </c>
      <c r="J81" s="26" t="s">
        <v>26</v>
      </c>
      <c r="K81" s="26">
        <f t="shared" si="58"/>
        <v>0</v>
      </c>
      <c r="L81" s="42">
        <v>7</v>
      </c>
      <c r="M81" s="42">
        <v>8</v>
      </c>
      <c r="N81" s="42">
        <v>8</v>
      </c>
      <c r="O81" s="42">
        <v>8</v>
      </c>
      <c r="P81" s="42">
        <v>7</v>
      </c>
      <c r="Q81" s="42">
        <v>7</v>
      </c>
      <c r="R81" s="42">
        <v>7</v>
      </c>
      <c r="S81" s="42">
        <v>7</v>
      </c>
      <c r="T81" s="42">
        <v>7</v>
      </c>
      <c r="U81" s="42">
        <v>7</v>
      </c>
      <c r="V81" s="42"/>
      <c r="W81" s="42">
        <v>2021</v>
      </c>
      <c r="X81" s="42" t="s">
        <v>2612</v>
      </c>
      <c r="Y81" s="26">
        <v>1097</v>
      </c>
      <c r="Z81" s="26">
        <f t="shared" si="39"/>
        <v>0.5</v>
      </c>
      <c r="AA81" s="26" t="s">
        <v>214</v>
      </c>
      <c r="AB81" s="111">
        <f t="shared" si="44"/>
        <v>3.5</v>
      </c>
      <c r="AC81" s="85" t="s">
        <v>2425</v>
      </c>
      <c r="AD81" s="47">
        <f t="shared" si="40"/>
        <v>25047.348484848484</v>
      </c>
      <c r="AE81" s="140"/>
      <c r="AF81" s="113">
        <f t="shared" si="45"/>
        <v>0</v>
      </c>
      <c r="AG81" s="26">
        <v>2027</v>
      </c>
      <c r="AH81" s="26" t="str">
        <f t="shared" si="34"/>
        <v/>
      </c>
      <c r="AI81" s="26" t="str">
        <f t="shared" si="46"/>
        <v/>
      </c>
      <c r="AJ81" s="26" t="str">
        <f t="shared" si="35"/>
        <v/>
      </c>
      <c r="AK81" s="26" t="str">
        <f t="shared" si="33"/>
        <v/>
      </c>
      <c r="AL81" s="26" t="str">
        <f t="shared" si="57"/>
        <v/>
      </c>
      <c r="AM81" s="26" t="str">
        <f t="shared" si="57"/>
        <v>Liquid Road</v>
      </c>
      <c r="AN81" s="26" t="str">
        <f t="shared" si="47"/>
        <v>Liquid Road</v>
      </c>
      <c r="AO81" s="26" t="str">
        <f t="shared" si="48"/>
        <v>Microsurface double</v>
      </c>
      <c r="AP81" s="26" t="str">
        <f t="shared" si="49"/>
        <v/>
      </c>
      <c r="AQ81" s="68">
        <f t="shared" si="41"/>
        <v>12</v>
      </c>
      <c r="AR81" s="68">
        <f t="shared" si="42"/>
        <v>10</v>
      </c>
      <c r="AS81" s="68">
        <f t="shared" si="50"/>
        <v>1.05</v>
      </c>
      <c r="AT81" s="68">
        <f t="shared" si="51"/>
        <v>1</v>
      </c>
      <c r="AU81" s="68">
        <f t="shared" si="52"/>
        <v>1</v>
      </c>
      <c r="AV81" s="68">
        <f t="shared" si="53"/>
        <v>1</v>
      </c>
      <c r="AW81" s="68">
        <f t="shared" si="54"/>
        <v>1.05</v>
      </c>
      <c r="AX81" s="68">
        <f t="shared" ca="1" si="43"/>
        <v>3</v>
      </c>
      <c r="AY81" s="106">
        <v>2021</v>
      </c>
      <c r="AZ81" s="106" t="s">
        <v>2371</v>
      </c>
      <c r="BA81" s="106" t="str">
        <f t="shared" si="55"/>
        <v/>
      </c>
      <c r="BB81" s="177"/>
      <c r="BC81" s="177">
        <v>5</v>
      </c>
      <c r="BD81" s="177"/>
      <c r="BE81" s="177"/>
      <c r="BF81" s="177"/>
      <c r="BG81" s="177"/>
      <c r="BH81" s="177"/>
      <c r="BI81" s="33"/>
      <c r="BK81" s="48">
        <f>$G81/5280*VLOOKUP($AC81,'Cost and Score'!$B$27:$O$40,6,0)</f>
        <v>1.0018939393939394</v>
      </c>
      <c r="BL81" s="48">
        <f>$G81/5280*VLOOKUP($AC81,'Cost and Score'!$B$27:$O$40,7,0)</f>
        <v>16.030303030303031</v>
      </c>
      <c r="BM81" s="48">
        <f>$G81/5280*VLOOKUP($AC81,'Cost and Score'!$B$27:$O$40,8,0)</f>
        <v>0</v>
      </c>
      <c r="BN81" s="48">
        <f>$G81/5280*VLOOKUP($AC81,'Cost and Score'!$B$27:$O$40,9,0)</f>
        <v>0</v>
      </c>
      <c r="BO81" s="48">
        <f>$G81/5280*VLOOKUP($AC81,'Cost and Score'!$B$27:$O$40,10,0)</f>
        <v>0</v>
      </c>
      <c r="BP81" s="48">
        <f>$G81/5280*VLOOKUP($AC81,'Cost and Score'!$B$27:$O$40,11,0)</f>
        <v>0</v>
      </c>
      <c r="BQ81" s="48">
        <f>$G81/5280*VLOOKUP($AC81,'Cost and Score'!$B$27:$O$40,12,0)</f>
        <v>0</v>
      </c>
      <c r="BR81" s="48">
        <f>$G81/5280*VLOOKUP($AC81,'Cost and Score'!$B$27:$O$40,13,0)</f>
        <v>0</v>
      </c>
      <c r="BS81" s="48">
        <f>$G81/5280*VLOOKUP($AC81,'Cost and Score'!$B$27:$O$40,14,0)</f>
        <v>0</v>
      </c>
      <c r="BT81" s="220">
        <f t="shared" si="56"/>
        <v>1.0018939393939394</v>
      </c>
    </row>
    <row r="82" spans="1:103" s="2" customFormat="1" ht="14.45" hidden="1" customHeight="1" x14ac:dyDescent="0.25">
      <c r="A82" s="15" t="s">
        <v>236</v>
      </c>
      <c r="B82" s="34" t="s">
        <v>235</v>
      </c>
      <c r="C82" s="26" t="s">
        <v>235</v>
      </c>
      <c r="D82" s="26"/>
      <c r="E82" s="26" t="s">
        <v>233</v>
      </c>
      <c r="F82" s="26" t="s">
        <v>28</v>
      </c>
      <c r="G82" s="29">
        <v>2669</v>
      </c>
      <c r="H82" s="29">
        <f t="shared" si="38"/>
        <v>20</v>
      </c>
      <c r="I82" s="26" t="s">
        <v>8</v>
      </c>
      <c r="J82" s="26" t="s">
        <v>26</v>
      </c>
      <c r="K82" s="26">
        <f t="shared" si="58"/>
        <v>0</v>
      </c>
      <c r="L82" s="42">
        <v>7</v>
      </c>
      <c r="M82" s="42">
        <v>8</v>
      </c>
      <c r="N82" s="42">
        <v>8</v>
      </c>
      <c r="O82" s="42">
        <v>8</v>
      </c>
      <c r="P82" s="42">
        <v>7</v>
      </c>
      <c r="Q82" s="42">
        <v>7</v>
      </c>
      <c r="R82" s="42">
        <v>7</v>
      </c>
      <c r="S82" s="42">
        <v>7</v>
      </c>
      <c r="T82" s="42">
        <v>7</v>
      </c>
      <c r="U82" s="42">
        <v>7</v>
      </c>
      <c r="V82" s="42"/>
      <c r="W82" s="42">
        <v>2021</v>
      </c>
      <c r="X82" s="42" t="s">
        <v>2612</v>
      </c>
      <c r="Y82" s="26">
        <v>1160</v>
      </c>
      <c r="Z82" s="26">
        <f t="shared" si="39"/>
        <v>0.5</v>
      </c>
      <c r="AA82" s="26" t="s">
        <v>214</v>
      </c>
      <c r="AB82" s="111">
        <f t="shared" si="44"/>
        <v>3.5</v>
      </c>
      <c r="AC82" s="85" t="s">
        <v>2425</v>
      </c>
      <c r="AD82" s="47">
        <f t="shared" si="40"/>
        <v>12637.310606060606</v>
      </c>
      <c r="AE82" s="140"/>
      <c r="AF82" s="113">
        <f t="shared" si="45"/>
        <v>0</v>
      </c>
      <c r="AG82" s="26">
        <v>2027</v>
      </c>
      <c r="AH82" s="26" t="str">
        <f t="shared" si="34"/>
        <v/>
      </c>
      <c r="AI82" s="26" t="str">
        <f t="shared" si="46"/>
        <v/>
      </c>
      <c r="AJ82" s="26" t="str">
        <f t="shared" si="35"/>
        <v/>
      </c>
      <c r="AK82" s="26" t="str">
        <f t="shared" si="33"/>
        <v/>
      </c>
      <c r="AL82" s="26" t="str">
        <f t="shared" si="57"/>
        <v/>
      </c>
      <c r="AM82" s="26" t="str">
        <f t="shared" si="57"/>
        <v>Liquid Road</v>
      </c>
      <c r="AN82" s="26" t="str">
        <f t="shared" si="47"/>
        <v>Liquid Road</v>
      </c>
      <c r="AO82" s="26" t="str">
        <f t="shared" si="48"/>
        <v>Microsurface double</v>
      </c>
      <c r="AP82" s="26" t="str">
        <f t="shared" si="49"/>
        <v/>
      </c>
      <c r="AQ82" s="68">
        <f t="shared" si="41"/>
        <v>12</v>
      </c>
      <c r="AR82" s="68">
        <f t="shared" si="42"/>
        <v>10</v>
      </c>
      <c r="AS82" s="68">
        <f t="shared" si="50"/>
        <v>1.05</v>
      </c>
      <c r="AT82" s="68">
        <f t="shared" si="51"/>
        <v>1</v>
      </c>
      <c r="AU82" s="68">
        <f t="shared" si="52"/>
        <v>1</v>
      </c>
      <c r="AV82" s="68">
        <f t="shared" si="53"/>
        <v>1</v>
      </c>
      <c r="AW82" s="68">
        <f t="shared" si="54"/>
        <v>1.05</v>
      </c>
      <c r="AX82" s="68">
        <f t="shared" ca="1" si="43"/>
        <v>3</v>
      </c>
      <c r="AY82" s="106">
        <v>2021</v>
      </c>
      <c r="AZ82" s="106" t="s">
        <v>2371</v>
      </c>
      <c r="BA82" s="106" t="str">
        <f t="shared" si="55"/>
        <v/>
      </c>
      <c r="BB82" s="177"/>
      <c r="BC82" s="177">
        <v>5</v>
      </c>
      <c r="BD82" s="177"/>
      <c r="BE82" s="177"/>
      <c r="BF82" s="177"/>
      <c r="BG82" s="177"/>
      <c r="BH82" s="177"/>
      <c r="BI82" s="33"/>
      <c r="BK82" s="48">
        <f>$G82/5280*VLOOKUP($AC82,'Cost and Score'!$B$27:$O$40,6,0)</f>
        <v>0.50549242424242424</v>
      </c>
      <c r="BL82" s="48">
        <f>$G82/5280*VLOOKUP($AC82,'Cost and Score'!$B$27:$O$40,7,0)</f>
        <v>8.0878787878787879</v>
      </c>
      <c r="BM82" s="48">
        <f>$G82/5280*VLOOKUP($AC82,'Cost and Score'!$B$27:$O$40,8,0)</f>
        <v>0</v>
      </c>
      <c r="BN82" s="48">
        <f>$G82/5280*VLOOKUP($AC82,'Cost and Score'!$B$27:$O$40,9,0)</f>
        <v>0</v>
      </c>
      <c r="BO82" s="48">
        <f>$G82/5280*VLOOKUP($AC82,'Cost and Score'!$B$27:$O$40,10,0)</f>
        <v>0</v>
      </c>
      <c r="BP82" s="48">
        <f>$G82/5280*VLOOKUP($AC82,'Cost and Score'!$B$27:$O$40,11,0)</f>
        <v>0</v>
      </c>
      <c r="BQ82" s="48">
        <f>$G82/5280*VLOOKUP($AC82,'Cost and Score'!$B$27:$O$40,12,0)</f>
        <v>0</v>
      </c>
      <c r="BR82" s="48">
        <f>$G82/5280*VLOOKUP($AC82,'Cost and Score'!$B$27:$O$40,13,0)</f>
        <v>0</v>
      </c>
      <c r="BS82" s="48">
        <f>$G82/5280*VLOOKUP($AC82,'Cost and Score'!$B$27:$O$40,14,0)</f>
        <v>0</v>
      </c>
      <c r="BT82" s="220">
        <f t="shared" si="56"/>
        <v>0.50549242424242424</v>
      </c>
    </row>
    <row r="83" spans="1:103" s="2" customFormat="1" ht="14.45" hidden="1" customHeight="1" x14ac:dyDescent="0.25">
      <c r="A83" s="15" t="s">
        <v>238</v>
      </c>
      <c r="B83" s="34" t="s">
        <v>237</v>
      </c>
      <c r="C83" s="26" t="s">
        <v>237</v>
      </c>
      <c r="D83" s="26"/>
      <c r="E83" s="26" t="s">
        <v>28</v>
      </c>
      <c r="F83" s="26" t="s">
        <v>31</v>
      </c>
      <c r="G83" s="29">
        <v>2644</v>
      </c>
      <c r="H83" s="29">
        <f t="shared" si="38"/>
        <v>20</v>
      </c>
      <c r="I83" s="26" t="s">
        <v>8</v>
      </c>
      <c r="J83" s="26" t="s">
        <v>26</v>
      </c>
      <c r="K83" s="26">
        <f t="shared" si="58"/>
        <v>0</v>
      </c>
      <c r="L83" s="42">
        <v>7</v>
      </c>
      <c r="M83" s="42">
        <v>8</v>
      </c>
      <c r="N83" s="42">
        <v>8</v>
      </c>
      <c r="O83" s="42">
        <v>8</v>
      </c>
      <c r="P83" s="42">
        <v>7</v>
      </c>
      <c r="Q83" s="42">
        <v>7</v>
      </c>
      <c r="R83" s="42">
        <v>7</v>
      </c>
      <c r="S83" s="42">
        <v>7</v>
      </c>
      <c r="T83" s="42">
        <v>7</v>
      </c>
      <c r="U83" s="42">
        <v>7</v>
      </c>
      <c r="V83" s="42"/>
      <c r="W83" s="42">
        <v>2021</v>
      </c>
      <c r="X83" s="42" t="s">
        <v>2612</v>
      </c>
      <c r="Y83" s="26">
        <v>1202</v>
      </c>
      <c r="Z83" s="26">
        <f t="shared" si="39"/>
        <v>0.5</v>
      </c>
      <c r="AA83" s="26" t="s">
        <v>214</v>
      </c>
      <c r="AB83" s="111">
        <f t="shared" si="44"/>
        <v>3.5</v>
      </c>
      <c r="AC83" s="85" t="s">
        <v>2425</v>
      </c>
      <c r="AD83" s="47">
        <f t="shared" si="40"/>
        <v>12518.939393939394</v>
      </c>
      <c r="AE83" s="140"/>
      <c r="AF83" s="113">
        <f t="shared" si="45"/>
        <v>0</v>
      </c>
      <c r="AG83" s="26">
        <v>2027</v>
      </c>
      <c r="AH83" s="26" t="str">
        <f t="shared" si="34"/>
        <v/>
      </c>
      <c r="AI83" s="26" t="str">
        <f t="shared" si="46"/>
        <v/>
      </c>
      <c r="AJ83" s="26" t="str">
        <f t="shared" si="35"/>
        <v/>
      </c>
      <c r="AK83" s="26" t="str">
        <f t="shared" ref="AK83:AK118" si="59">IF($AG83=AK$1,VLOOKUP($AC83,RSL,3,FALSE),"")</f>
        <v/>
      </c>
      <c r="AL83" s="26" t="str">
        <f t="shared" si="57"/>
        <v/>
      </c>
      <c r="AM83" s="26" t="str">
        <f t="shared" si="57"/>
        <v>Liquid Road</v>
      </c>
      <c r="AN83" s="26" t="str">
        <f t="shared" si="47"/>
        <v>Liquid Road</v>
      </c>
      <c r="AO83" s="26" t="str">
        <f t="shared" si="48"/>
        <v>Microsurface double</v>
      </c>
      <c r="AP83" s="26" t="str">
        <f t="shared" si="49"/>
        <v/>
      </c>
      <c r="AQ83" s="68">
        <f t="shared" si="41"/>
        <v>12</v>
      </c>
      <c r="AR83" s="68">
        <f t="shared" si="42"/>
        <v>10</v>
      </c>
      <c r="AS83" s="68">
        <f t="shared" si="50"/>
        <v>1.05</v>
      </c>
      <c r="AT83" s="68">
        <f t="shared" si="51"/>
        <v>1</v>
      </c>
      <c r="AU83" s="68">
        <f t="shared" si="52"/>
        <v>1</v>
      </c>
      <c r="AV83" s="68">
        <f t="shared" si="53"/>
        <v>1</v>
      </c>
      <c r="AW83" s="68">
        <f t="shared" si="54"/>
        <v>1.05</v>
      </c>
      <c r="AX83" s="68">
        <f t="shared" ca="1" si="43"/>
        <v>3</v>
      </c>
      <c r="AY83" s="106">
        <v>2021</v>
      </c>
      <c r="AZ83" s="106" t="s">
        <v>2371</v>
      </c>
      <c r="BA83" s="106" t="str">
        <f t="shared" si="55"/>
        <v/>
      </c>
      <c r="BB83" s="177"/>
      <c r="BC83" s="177">
        <v>5</v>
      </c>
      <c r="BD83" s="177"/>
      <c r="BE83" s="177"/>
      <c r="BF83" s="177"/>
      <c r="BG83" s="177"/>
      <c r="BH83" s="177"/>
      <c r="BI83" s="33"/>
      <c r="BK83" s="48">
        <f>$G83/5280*VLOOKUP($AC83,'Cost and Score'!$B$27:$O$40,6,0)</f>
        <v>0.50075757575757573</v>
      </c>
      <c r="BL83" s="48">
        <f>$G83/5280*VLOOKUP($AC83,'Cost and Score'!$B$27:$O$40,7,0)</f>
        <v>8.0121212121212118</v>
      </c>
      <c r="BM83" s="48">
        <f>$G83/5280*VLOOKUP($AC83,'Cost and Score'!$B$27:$O$40,8,0)</f>
        <v>0</v>
      </c>
      <c r="BN83" s="48">
        <f>$G83/5280*VLOOKUP($AC83,'Cost and Score'!$B$27:$O$40,9,0)</f>
        <v>0</v>
      </c>
      <c r="BO83" s="48">
        <f>$G83/5280*VLOOKUP($AC83,'Cost and Score'!$B$27:$O$40,10,0)</f>
        <v>0</v>
      </c>
      <c r="BP83" s="48">
        <f>$G83/5280*VLOOKUP($AC83,'Cost and Score'!$B$27:$O$40,11,0)</f>
        <v>0</v>
      </c>
      <c r="BQ83" s="48">
        <f>$G83/5280*VLOOKUP($AC83,'Cost and Score'!$B$27:$O$40,12,0)</f>
        <v>0</v>
      </c>
      <c r="BR83" s="48">
        <f>$G83/5280*VLOOKUP($AC83,'Cost and Score'!$B$27:$O$40,13,0)</f>
        <v>0</v>
      </c>
      <c r="BS83" s="48">
        <f>$G83/5280*VLOOKUP($AC83,'Cost and Score'!$B$27:$O$40,14,0)</f>
        <v>0</v>
      </c>
      <c r="BT83" s="220">
        <f t="shared" si="56"/>
        <v>0.50075757575757573</v>
      </c>
    </row>
    <row r="84" spans="1:103" s="2" customFormat="1" ht="14.45" hidden="1" customHeight="1" x14ac:dyDescent="0.25">
      <c r="A84" s="15" t="s">
        <v>241</v>
      </c>
      <c r="B84" s="34" t="s">
        <v>239</v>
      </c>
      <c r="C84" s="26" t="s">
        <v>239</v>
      </c>
      <c r="D84" s="26"/>
      <c r="E84" s="26" t="s">
        <v>240</v>
      </c>
      <c r="F84" s="26" t="s">
        <v>35</v>
      </c>
      <c r="G84" s="29">
        <v>2505</v>
      </c>
      <c r="H84" s="29">
        <f t="shared" si="38"/>
        <v>20</v>
      </c>
      <c r="I84" s="26" t="s">
        <v>8</v>
      </c>
      <c r="J84" s="26" t="s">
        <v>17</v>
      </c>
      <c r="K84" s="26">
        <f t="shared" si="58"/>
        <v>0</v>
      </c>
      <c r="L84" s="42">
        <v>7</v>
      </c>
      <c r="M84" s="42">
        <v>8</v>
      </c>
      <c r="N84" s="42">
        <v>8</v>
      </c>
      <c r="O84" s="42">
        <v>8</v>
      </c>
      <c r="P84" s="42">
        <v>8</v>
      </c>
      <c r="Q84" s="42">
        <v>7</v>
      </c>
      <c r="R84" s="42">
        <v>6</v>
      </c>
      <c r="S84" s="42">
        <v>6</v>
      </c>
      <c r="T84" s="42">
        <v>7</v>
      </c>
      <c r="U84" s="42">
        <v>7</v>
      </c>
      <c r="V84" s="42"/>
      <c r="W84" s="42">
        <v>2021</v>
      </c>
      <c r="X84" s="42" t="s">
        <v>2612</v>
      </c>
      <c r="Y84" s="26">
        <v>1645</v>
      </c>
      <c r="Z84" s="26">
        <f t="shared" si="39"/>
        <v>1</v>
      </c>
      <c r="AA84" s="26" t="s">
        <v>214</v>
      </c>
      <c r="AB84" s="111">
        <f t="shared" si="44"/>
        <v>3</v>
      </c>
      <c r="AC84" s="85" t="s">
        <v>2425</v>
      </c>
      <c r="AD84" s="47">
        <f t="shared" si="40"/>
        <v>11860.795454545454</v>
      </c>
      <c r="AE84" s="140"/>
      <c r="AF84" s="113">
        <f t="shared" si="45"/>
        <v>0</v>
      </c>
      <c r="AG84" s="26">
        <v>2027</v>
      </c>
      <c r="AH84" s="26" t="str">
        <f t="shared" si="34"/>
        <v/>
      </c>
      <c r="AI84" s="26" t="str">
        <f t="shared" si="46"/>
        <v/>
      </c>
      <c r="AJ84" s="26" t="str">
        <f t="shared" si="35"/>
        <v/>
      </c>
      <c r="AK84" s="26" t="str">
        <f t="shared" si="59"/>
        <v/>
      </c>
      <c r="AL84" s="26" t="str">
        <f t="shared" si="57"/>
        <v/>
      </c>
      <c r="AM84" s="26" t="str">
        <f t="shared" si="57"/>
        <v>Liquid Road</v>
      </c>
      <c r="AN84" s="26" t="str">
        <f t="shared" si="47"/>
        <v>Liquid Road</v>
      </c>
      <c r="AO84" s="26" t="str">
        <f t="shared" si="48"/>
        <v>Microsurface double</v>
      </c>
      <c r="AP84" s="26" t="str">
        <f t="shared" si="49"/>
        <v/>
      </c>
      <c r="AQ84" s="68">
        <f t="shared" si="41"/>
        <v>12</v>
      </c>
      <c r="AR84" s="68">
        <f t="shared" si="42"/>
        <v>10</v>
      </c>
      <c r="AS84" s="68">
        <f t="shared" si="50"/>
        <v>1.05</v>
      </c>
      <c r="AT84" s="68">
        <f t="shared" si="51"/>
        <v>1</v>
      </c>
      <c r="AU84" s="68">
        <f t="shared" si="52"/>
        <v>1</v>
      </c>
      <c r="AV84" s="68">
        <f t="shared" si="53"/>
        <v>1</v>
      </c>
      <c r="AW84" s="68">
        <f t="shared" si="54"/>
        <v>1</v>
      </c>
      <c r="AX84" s="68">
        <f t="shared" ca="1" si="43"/>
        <v>3</v>
      </c>
      <c r="AY84" s="106">
        <v>2021</v>
      </c>
      <c r="AZ84" s="106" t="s">
        <v>2371</v>
      </c>
      <c r="BA84" s="106" t="str">
        <f t="shared" si="55"/>
        <v/>
      </c>
      <c r="BB84" s="177"/>
      <c r="BC84" s="177">
        <v>5</v>
      </c>
      <c r="BD84" s="177"/>
      <c r="BE84" s="177"/>
      <c r="BF84" s="177"/>
      <c r="BG84" s="177"/>
      <c r="BH84" s="177"/>
      <c r="BI84" s="33" t="s">
        <v>2194</v>
      </c>
      <c r="BK84" s="48">
        <f>$G84/5280*VLOOKUP($AC84,'Cost and Score'!$B$27:$O$40,6,0)</f>
        <v>0.47443181818181818</v>
      </c>
      <c r="BL84" s="48">
        <f>$G84/5280*VLOOKUP($AC84,'Cost and Score'!$B$27:$O$40,7,0)</f>
        <v>7.5909090909090908</v>
      </c>
      <c r="BM84" s="48">
        <f>$G84/5280*VLOOKUP($AC84,'Cost and Score'!$B$27:$O$40,8,0)</f>
        <v>0</v>
      </c>
      <c r="BN84" s="48">
        <f>$G84/5280*VLOOKUP($AC84,'Cost and Score'!$B$27:$O$40,9,0)</f>
        <v>0</v>
      </c>
      <c r="BO84" s="48">
        <f>$G84/5280*VLOOKUP($AC84,'Cost and Score'!$B$27:$O$40,10,0)</f>
        <v>0</v>
      </c>
      <c r="BP84" s="48">
        <f>$G84/5280*VLOOKUP($AC84,'Cost and Score'!$B$27:$O$40,11,0)</f>
        <v>0</v>
      </c>
      <c r="BQ84" s="48">
        <f>$G84/5280*VLOOKUP($AC84,'Cost and Score'!$B$27:$O$40,12,0)</f>
        <v>0</v>
      </c>
      <c r="BR84" s="48">
        <f>$G84/5280*VLOOKUP($AC84,'Cost and Score'!$B$27:$O$40,13,0)</f>
        <v>0</v>
      </c>
      <c r="BS84" s="48">
        <f>$G84/5280*VLOOKUP($AC84,'Cost and Score'!$B$27:$O$40,14,0)</f>
        <v>0</v>
      </c>
      <c r="BT84" s="220">
        <f t="shared" si="56"/>
        <v>0.47443181818181818</v>
      </c>
    </row>
    <row r="85" spans="1:103" s="2" customFormat="1" ht="14.45" hidden="1" customHeight="1" x14ac:dyDescent="0.25">
      <c r="A85" s="15" t="s">
        <v>243</v>
      </c>
      <c r="B85" s="34" t="s">
        <v>242</v>
      </c>
      <c r="C85" s="26" t="s">
        <v>242</v>
      </c>
      <c r="D85" s="26"/>
      <c r="E85" s="26" t="s">
        <v>240</v>
      </c>
      <c r="F85" s="26" t="s">
        <v>31</v>
      </c>
      <c r="G85" s="29">
        <v>2505</v>
      </c>
      <c r="H85" s="29">
        <f t="shared" si="38"/>
        <v>20</v>
      </c>
      <c r="I85" s="26" t="s">
        <v>8</v>
      </c>
      <c r="J85" s="26" t="s">
        <v>26</v>
      </c>
      <c r="K85" s="26">
        <f t="shared" si="58"/>
        <v>0</v>
      </c>
      <c r="L85" s="42">
        <v>7</v>
      </c>
      <c r="M85" s="42">
        <v>8</v>
      </c>
      <c r="N85" s="42">
        <v>8</v>
      </c>
      <c r="O85" s="42">
        <v>8</v>
      </c>
      <c r="P85" s="42">
        <v>7</v>
      </c>
      <c r="Q85" s="42">
        <v>7</v>
      </c>
      <c r="R85" s="42">
        <v>7</v>
      </c>
      <c r="S85" s="42">
        <v>7</v>
      </c>
      <c r="T85" s="42">
        <v>7</v>
      </c>
      <c r="U85" s="42">
        <v>7</v>
      </c>
      <c r="V85" s="42"/>
      <c r="W85" s="42">
        <v>2021</v>
      </c>
      <c r="X85" s="42" t="s">
        <v>2612</v>
      </c>
      <c r="Y85" s="26">
        <v>1194</v>
      </c>
      <c r="Z85" s="26">
        <f t="shared" si="39"/>
        <v>0.5</v>
      </c>
      <c r="AA85" s="26" t="s">
        <v>214</v>
      </c>
      <c r="AB85" s="111">
        <f t="shared" si="44"/>
        <v>3.5</v>
      </c>
      <c r="AC85" s="85" t="s">
        <v>2425</v>
      </c>
      <c r="AD85" s="47">
        <f t="shared" si="40"/>
        <v>11860.795454545454</v>
      </c>
      <c r="AE85" s="140"/>
      <c r="AF85" s="113">
        <f t="shared" si="45"/>
        <v>0</v>
      </c>
      <c r="AG85" s="26">
        <v>2027</v>
      </c>
      <c r="AH85" s="26" t="str">
        <f t="shared" si="34"/>
        <v/>
      </c>
      <c r="AI85" s="26" t="str">
        <f t="shared" si="46"/>
        <v/>
      </c>
      <c r="AJ85" s="26" t="str">
        <f t="shared" si="35"/>
        <v/>
      </c>
      <c r="AK85" s="26" t="str">
        <f t="shared" si="59"/>
        <v/>
      </c>
      <c r="AL85" s="26" t="str">
        <f t="shared" si="57"/>
        <v/>
      </c>
      <c r="AM85" s="26" t="str">
        <f t="shared" si="57"/>
        <v>Liquid Road</v>
      </c>
      <c r="AN85" s="26" t="str">
        <f t="shared" si="47"/>
        <v>Liquid Road</v>
      </c>
      <c r="AO85" s="26" t="str">
        <f t="shared" si="48"/>
        <v>Microsurface double</v>
      </c>
      <c r="AP85" s="26" t="str">
        <f t="shared" si="49"/>
        <v/>
      </c>
      <c r="AQ85" s="68">
        <f t="shared" si="41"/>
        <v>12</v>
      </c>
      <c r="AR85" s="68">
        <f t="shared" si="42"/>
        <v>10</v>
      </c>
      <c r="AS85" s="68">
        <f t="shared" si="50"/>
        <v>1.05</v>
      </c>
      <c r="AT85" s="68">
        <f t="shared" si="51"/>
        <v>1</v>
      </c>
      <c r="AU85" s="68">
        <f t="shared" si="52"/>
        <v>1</v>
      </c>
      <c r="AV85" s="68">
        <f t="shared" si="53"/>
        <v>1</v>
      </c>
      <c r="AW85" s="68">
        <f t="shared" si="54"/>
        <v>1.05</v>
      </c>
      <c r="AX85" s="68">
        <f t="shared" ca="1" si="43"/>
        <v>3</v>
      </c>
      <c r="AY85" s="106">
        <v>2021</v>
      </c>
      <c r="AZ85" s="106" t="s">
        <v>2371</v>
      </c>
      <c r="BA85" s="106" t="str">
        <f t="shared" si="55"/>
        <v/>
      </c>
      <c r="BB85" s="177"/>
      <c r="BC85" s="177">
        <v>5</v>
      </c>
      <c r="BD85" s="177"/>
      <c r="BE85" s="177"/>
      <c r="BF85" s="177"/>
      <c r="BG85" s="177"/>
      <c r="BH85" s="177"/>
      <c r="BI85" s="33"/>
      <c r="BK85" s="48">
        <f>$G85/5280*VLOOKUP($AC85,'Cost and Score'!$B$27:$O$40,6,0)</f>
        <v>0.47443181818181818</v>
      </c>
      <c r="BL85" s="48">
        <f>$G85/5280*VLOOKUP($AC85,'Cost and Score'!$B$27:$O$40,7,0)</f>
        <v>7.5909090909090908</v>
      </c>
      <c r="BM85" s="48">
        <f>$G85/5280*VLOOKUP($AC85,'Cost and Score'!$B$27:$O$40,8,0)</f>
        <v>0</v>
      </c>
      <c r="BN85" s="48">
        <f>$G85/5280*VLOOKUP($AC85,'Cost and Score'!$B$27:$O$40,9,0)</f>
        <v>0</v>
      </c>
      <c r="BO85" s="48">
        <f>$G85/5280*VLOOKUP($AC85,'Cost and Score'!$B$27:$O$40,10,0)</f>
        <v>0</v>
      </c>
      <c r="BP85" s="48">
        <f>$G85/5280*VLOOKUP($AC85,'Cost and Score'!$B$27:$O$40,11,0)</f>
        <v>0</v>
      </c>
      <c r="BQ85" s="48">
        <f>$G85/5280*VLOOKUP($AC85,'Cost and Score'!$B$27:$O$40,12,0)</f>
        <v>0</v>
      </c>
      <c r="BR85" s="48">
        <f>$G85/5280*VLOOKUP($AC85,'Cost and Score'!$B$27:$O$40,13,0)</f>
        <v>0</v>
      </c>
      <c r="BS85" s="48">
        <f>$G85/5280*VLOOKUP($AC85,'Cost and Score'!$B$27:$O$40,14,0)</f>
        <v>0</v>
      </c>
      <c r="BT85" s="220">
        <f t="shared" si="56"/>
        <v>0.47443181818181818</v>
      </c>
    </row>
    <row r="86" spans="1:103" s="2" customFormat="1" ht="14.45" hidden="1" customHeight="1" x14ac:dyDescent="0.25">
      <c r="A86" s="36" t="s">
        <v>245</v>
      </c>
      <c r="B86" s="34" t="s">
        <v>244</v>
      </c>
      <c r="C86" s="26" t="s">
        <v>244</v>
      </c>
      <c r="D86" s="26"/>
      <c r="E86" s="26" t="s">
        <v>67</v>
      </c>
      <c r="F86" s="26" t="s">
        <v>56</v>
      </c>
      <c r="G86" s="29">
        <v>3976</v>
      </c>
      <c r="H86" s="29">
        <f t="shared" si="38"/>
        <v>20</v>
      </c>
      <c r="I86" s="26" t="s">
        <v>13</v>
      </c>
      <c r="J86" s="26" t="s">
        <v>11</v>
      </c>
      <c r="K86" s="26">
        <f t="shared" si="58"/>
        <v>0</v>
      </c>
      <c r="L86" s="42">
        <v>7</v>
      </c>
      <c r="M86" s="42">
        <v>7</v>
      </c>
      <c r="N86" s="42">
        <v>7</v>
      </c>
      <c r="O86" s="42">
        <v>7</v>
      </c>
      <c r="P86" s="42">
        <v>7</v>
      </c>
      <c r="Q86" s="42">
        <v>7</v>
      </c>
      <c r="R86" s="42">
        <v>7</v>
      </c>
      <c r="S86" s="42">
        <v>7</v>
      </c>
      <c r="T86" s="42">
        <v>7</v>
      </c>
      <c r="U86" s="42">
        <v>8</v>
      </c>
      <c r="V86" s="42"/>
      <c r="W86" s="42"/>
      <c r="X86" s="42"/>
      <c r="Y86" s="26">
        <v>461</v>
      </c>
      <c r="Z86" s="26">
        <f t="shared" si="39"/>
        <v>0</v>
      </c>
      <c r="AA86" s="26" t="s">
        <v>246</v>
      </c>
      <c r="AB86" s="111">
        <f t="shared" si="44"/>
        <v>3</v>
      </c>
      <c r="AC86" s="26" t="s">
        <v>13</v>
      </c>
      <c r="AD86" s="47">
        <f t="shared" si="40"/>
        <v>15813.636363636364</v>
      </c>
      <c r="AE86" s="140"/>
      <c r="AF86" s="113">
        <f t="shared" si="45"/>
        <v>0</v>
      </c>
      <c r="AG86" s="26">
        <v>2022</v>
      </c>
      <c r="AH86" s="26" t="str">
        <f t="shared" si="34"/>
        <v>Chip Seal and Fog</v>
      </c>
      <c r="AI86" s="26" t="str">
        <f t="shared" si="46"/>
        <v/>
      </c>
      <c r="AJ86" s="26" t="str">
        <f t="shared" si="35"/>
        <v/>
      </c>
      <c r="AK86" s="26" t="str">
        <f t="shared" si="59"/>
        <v/>
      </c>
      <c r="AL86" s="26" t="str">
        <f t="shared" si="57"/>
        <v/>
      </c>
      <c r="AM86" s="26" t="str">
        <f t="shared" si="57"/>
        <v/>
      </c>
      <c r="AN86" s="26" t="str">
        <f t="shared" si="47"/>
        <v>Chip Seal and Fog</v>
      </c>
      <c r="AO86" s="26" t="str">
        <f t="shared" si="48"/>
        <v/>
      </c>
      <c r="AP86" s="26" t="str">
        <f t="shared" si="49"/>
        <v/>
      </c>
      <c r="AQ86" s="68">
        <f t="shared" si="41"/>
        <v>10</v>
      </c>
      <c r="AR86" s="68">
        <f t="shared" si="42"/>
        <v>6</v>
      </c>
      <c r="AS86" s="68">
        <f t="shared" si="50"/>
        <v>1.05</v>
      </c>
      <c r="AT86" s="68">
        <f t="shared" si="51"/>
        <v>1.05</v>
      </c>
      <c r="AU86" s="68">
        <f t="shared" si="52"/>
        <v>1.05</v>
      </c>
      <c r="AV86" s="68">
        <f t="shared" si="53"/>
        <v>1.05</v>
      </c>
      <c r="AW86" s="68">
        <f t="shared" si="54"/>
        <v>1.05</v>
      </c>
      <c r="AX86" s="68">
        <f t="shared" ca="1" si="43"/>
        <v>-2.1</v>
      </c>
      <c r="AY86" s="106">
        <v>2015</v>
      </c>
      <c r="AZ86" s="106" t="s">
        <v>2073</v>
      </c>
      <c r="BA86" s="106" t="str">
        <f t="shared" si="55"/>
        <v/>
      </c>
      <c r="BB86" s="177"/>
      <c r="BC86" s="177">
        <v>4</v>
      </c>
      <c r="BD86" s="177"/>
      <c r="BE86" s="177"/>
      <c r="BF86" s="177"/>
      <c r="BG86" s="177"/>
      <c r="BH86" s="177"/>
      <c r="BI86" s="33" t="s">
        <v>2100</v>
      </c>
      <c r="BK86" s="48">
        <f>$G86/5280*VLOOKUP($AC86,'Cost and Score'!$B$27:$O$40,6,0)</f>
        <v>0.15060606060606063</v>
      </c>
      <c r="BL86" s="48">
        <f>$G86/5280*VLOOKUP($AC86,'Cost and Score'!$B$27:$O$40,7,0)</f>
        <v>16.566666666666666</v>
      </c>
      <c r="BM86" s="48">
        <f>$G86/5280*VLOOKUP($AC86,'Cost and Score'!$B$27:$O$40,8,0)</f>
        <v>0</v>
      </c>
      <c r="BN86" s="48">
        <f>$G86/5280*VLOOKUP($AC86,'Cost and Score'!$B$27:$O$40,9,0)</f>
        <v>3388.6363636363635</v>
      </c>
      <c r="BO86" s="48">
        <f>$G86/5280*VLOOKUP($AC86,'Cost and Score'!$B$27:$O$40,10,0)</f>
        <v>753.030303030303</v>
      </c>
      <c r="BP86" s="48">
        <f>$G86/5280*VLOOKUP($AC86,'Cost and Score'!$B$27:$O$40,11,0)</f>
        <v>0</v>
      </c>
      <c r="BQ86" s="48">
        <f>$G86/5280*VLOOKUP($AC86,'Cost and Score'!$B$27:$O$40,12,0)</f>
        <v>75.303030303030312</v>
      </c>
      <c r="BR86" s="48">
        <f>$G86/5280*VLOOKUP($AC86,'Cost and Score'!$B$27:$O$40,13,0)</f>
        <v>90.36363636363636</v>
      </c>
      <c r="BS86" s="48">
        <f>$G86/5280*VLOOKUP($AC86,'Cost and Score'!$B$27:$O$40,14,0)</f>
        <v>0</v>
      </c>
      <c r="BT86" s="220">
        <f t="shared" si="56"/>
        <v>0.75303030303030305</v>
      </c>
      <c r="CS86" s="112"/>
      <c r="CT86" s="112"/>
      <c r="CU86" s="112"/>
    </row>
    <row r="87" spans="1:103" s="2" customFormat="1" ht="14.45" customHeight="1" x14ac:dyDescent="0.25">
      <c r="A87" s="36" t="s">
        <v>547</v>
      </c>
      <c r="B87" s="34" t="s">
        <v>545</v>
      </c>
      <c r="C87" s="85" t="s">
        <v>545</v>
      </c>
      <c r="D87" s="85"/>
      <c r="E87" s="85" t="s">
        <v>354</v>
      </c>
      <c r="F87" s="85" t="s">
        <v>546</v>
      </c>
      <c r="G87" s="29">
        <v>792</v>
      </c>
      <c r="H87" s="29">
        <f t="shared" si="38"/>
        <v>20</v>
      </c>
      <c r="I87" s="85" t="s">
        <v>8</v>
      </c>
      <c r="J87" s="85" t="s">
        <v>160</v>
      </c>
      <c r="K87" s="85">
        <f t="shared" si="58"/>
        <v>0</v>
      </c>
      <c r="L87" s="74">
        <v>8</v>
      </c>
      <c r="M87" s="74">
        <v>7</v>
      </c>
      <c r="N87" s="74">
        <v>7</v>
      </c>
      <c r="O87" s="74">
        <v>7</v>
      </c>
      <c r="P87" s="74">
        <v>7</v>
      </c>
      <c r="Q87" s="74">
        <v>7</v>
      </c>
      <c r="R87" s="74">
        <v>7</v>
      </c>
      <c r="S87" s="74">
        <v>7</v>
      </c>
      <c r="T87" s="74">
        <v>7</v>
      </c>
      <c r="U87" s="74">
        <v>7</v>
      </c>
      <c r="V87" s="74">
        <v>2024</v>
      </c>
      <c r="W87" s="74"/>
      <c r="X87" s="74" t="s">
        <v>2619</v>
      </c>
      <c r="Y87" s="85">
        <v>1989</v>
      </c>
      <c r="Z87" s="85">
        <f t="shared" si="39"/>
        <v>1</v>
      </c>
      <c r="AA87" s="85" t="s">
        <v>104</v>
      </c>
      <c r="AB87" s="111">
        <f t="shared" si="44"/>
        <v>4</v>
      </c>
      <c r="AC87" s="85" t="s">
        <v>13</v>
      </c>
      <c r="AD87" s="47">
        <f t="shared" si="40"/>
        <v>3150</v>
      </c>
      <c r="AE87" s="140"/>
      <c r="AF87" s="113">
        <f t="shared" si="45"/>
        <v>0</v>
      </c>
      <c r="AG87" s="106">
        <v>2025</v>
      </c>
      <c r="AH87" s="26" t="str">
        <f t="shared" si="34"/>
        <v/>
      </c>
      <c r="AI87" s="26" t="str">
        <f t="shared" si="46"/>
        <v/>
      </c>
      <c r="AJ87" s="26" t="str">
        <f t="shared" ref="AJ87:AJ118" si="60">IF($AG87=AJ$1,VLOOKUP($AC87,RSL,3,FALSE),"")</f>
        <v/>
      </c>
      <c r="AK87" s="26" t="str">
        <f t="shared" si="59"/>
        <v>Chip Seal and Fog</v>
      </c>
      <c r="AL87" s="26" t="str">
        <f t="shared" si="57"/>
        <v/>
      </c>
      <c r="AM87" s="26" t="str">
        <f t="shared" si="57"/>
        <v/>
      </c>
      <c r="AN87" s="26" t="str">
        <f t="shared" si="47"/>
        <v>Chip Seal and Fog</v>
      </c>
      <c r="AO87" s="26" t="str">
        <f t="shared" si="48"/>
        <v/>
      </c>
      <c r="AP87" s="26" t="str">
        <f t="shared" si="49"/>
        <v/>
      </c>
      <c r="AQ87" s="68">
        <f t="shared" si="41"/>
        <v>10</v>
      </c>
      <c r="AR87" s="68">
        <f t="shared" si="42"/>
        <v>6</v>
      </c>
      <c r="AS87" s="68">
        <f t="shared" si="50"/>
        <v>1</v>
      </c>
      <c r="AT87" s="68">
        <f t="shared" si="51"/>
        <v>1.05</v>
      </c>
      <c r="AU87" s="68">
        <f t="shared" si="52"/>
        <v>1.05</v>
      </c>
      <c r="AV87" s="68">
        <f t="shared" si="53"/>
        <v>1.05</v>
      </c>
      <c r="AW87" s="68">
        <f t="shared" si="54"/>
        <v>1.05</v>
      </c>
      <c r="AX87" s="68">
        <f t="shared" ca="1" si="43"/>
        <v>1.05</v>
      </c>
      <c r="AY87" s="106">
        <v>2015</v>
      </c>
      <c r="AZ87" s="106" t="s">
        <v>2075</v>
      </c>
      <c r="BA87" s="106" t="str">
        <f t="shared" si="55"/>
        <v/>
      </c>
      <c r="BB87" s="177"/>
      <c r="BC87" s="177">
        <v>8</v>
      </c>
      <c r="BD87" s="177"/>
      <c r="BE87" s="177"/>
      <c r="BF87" s="177"/>
      <c r="BG87" s="177"/>
      <c r="BH87" s="177"/>
      <c r="BI87" s="33"/>
      <c r="BK87" s="48">
        <f>$G87/5280*VLOOKUP($AC87,'Cost and Score'!$B$27:$O$40,6,0)</f>
        <v>0.03</v>
      </c>
      <c r="BL87" s="48">
        <f>$G87/5280*VLOOKUP($AC87,'Cost and Score'!$B$27:$O$40,7,0)</f>
        <v>3.3</v>
      </c>
      <c r="BM87" s="48">
        <f>$G87/5280*VLOOKUP($AC87,'Cost and Score'!$B$27:$O$40,8,0)</f>
        <v>0</v>
      </c>
      <c r="BN87" s="48">
        <f>$G87/5280*VLOOKUP($AC87,'Cost and Score'!$B$27:$O$40,9,0)</f>
        <v>675</v>
      </c>
      <c r="BO87" s="48">
        <f>$G87/5280*VLOOKUP($AC87,'Cost and Score'!$B$27:$O$40,10,0)</f>
        <v>150</v>
      </c>
      <c r="BP87" s="48">
        <f>$G87/5280*VLOOKUP($AC87,'Cost and Score'!$B$27:$O$40,11,0)</f>
        <v>0</v>
      </c>
      <c r="BQ87" s="48">
        <f>$G87/5280*VLOOKUP($AC87,'Cost and Score'!$B$27:$O$40,12,0)</f>
        <v>15</v>
      </c>
      <c r="BR87" s="48">
        <f>$G87/5280*VLOOKUP($AC87,'Cost and Score'!$B$27:$O$40,13,0)</f>
        <v>18</v>
      </c>
      <c r="BS87" s="48">
        <f>$G87/5280*VLOOKUP($AC87,'Cost and Score'!$B$27:$O$40,14,0)</f>
        <v>0</v>
      </c>
      <c r="BT87" s="220">
        <f t="shared" si="56"/>
        <v>0.15</v>
      </c>
    </row>
    <row r="88" spans="1:103" s="2" customFormat="1" ht="14.45" hidden="1" customHeight="1" x14ac:dyDescent="0.25">
      <c r="A88" s="15"/>
      <c r="B88" s="34" t="s">
        <v>251</v>
      </c>
      <c r="C88" s="26" t="s">
        <v>251</v>
      </c>
      <c r="D88" s="26"/>
      <c r="E88" s="26" t="s">
        <v>38</v>
      </c>
      <c r="F88" s="26" t="s">
        <v>20</v>
      </c>
      <c r="G88" s="29">
        <v>5300</v>
      </c>
      <c r="H88" s="29">
        <f t="shared" si="38"/>
        <v>20</v>
      </c>
      <c r="I88" s="26" t="s">
        <v>8</v>
      </c>
      <c r="J88" s="26" t="s">
        <v>17</v>
      </c>
      <c r="K88" s="26">
        <f t="shared" si="58"/>
        <v>0</v>
      </c>
      <c r="L88" s="42">
        <v>7</v>
      </c>
      <c r="M88" s="42">
        <v>7</v>
      </c>
      <c r="N88" s="42">
        <v>7</v>
      </c>
      <c r="O88" s="42">
        <v>6</v>
      </c>
      <c r="P88" s="42">
        <v>6</v>
      </c>
      <c r="Q88" s="42">
        <v>5</v>
      </c>
      <c r="R88" s="42">
        <v>5</v>
      </c>
      <c r="S88" s="42">
        <v>5</v>
      </c>
      <c r="T88" s="42">
        <v>8</v>
      </c>
      <c r="U88" s="42">
        <v>8</v>
      </c>
      <c r="V88" s="42"/>
      <c r="W88" s="42"/>
      <c r="X88" s="42"/>
      <c r="Y88" s="26">
        <v>34</v>
      </c>
      <c r="Z88" s="26">
        <f t="shared" si="39"/>
        <v>0</v>
      </c>
      <c r="AA88" s="26" t="s">
        <v>49</v>
      </c>
      <c r="AB88" s="111">
        <f t="shared" si="44"/>
        <v>4</v>
      </c>
      <c r="AC88" s="82" t="s">
        <v>2072</v>
      </c>
      <c r="AD88" s="47">
        <f t="shared" si="40"/>
        <v>46174.242424242424</v>
      </c>
      <c r="AE88" s="140"/>
      <c r="AF88" s="113">
        <f t="shared" si="45"/>
        <v>0</v>
      </c>
      <c r="AG88" s="26">
        <v>2027</v>
      </c>
      <c r="AH88" s="26" t="str">
        <f t="shared" si="34"/>
        <v/>
      </c>
      <c r="AI88" s="26" t="str">
        <f t="shared" si="46"/>
        <v/>
      </c>
      <c r="AJ88" s="26" t="str">
        <f t="shared" si="60"/>
        <v/>
      </c>
      <c r="AK88" s="26" t="str">
        <f t="shared" si="59"/>
        <v/>
      </c>
      <c r="AL88" s="26" t="str">
        <f t="shared" si="57"/>
        <v/>
      </c>
      <c r="AM88" s="26" t="str">
        <f t="shared" si="57"/>
        <v>Chip Seal - Triple</v>
      </c>
      <c r="AN88" s="26" t="str">
        <f t="shared" si="47"/>
        <v>Chip Seal - Triple</v>
      </c>
      <c r="AO88" s="26" t="str">
        <f t="shared" si="48"/>
        <v>Chip Seal - Double and Fog</v>
      </c>
      <c r="AP88" s="26" t="str">
        <f t="shared" si="49"/>
        <v/>
      </c>
      <c r="AQ88" s="68">
        <f t="shared" si="41"/>
        <v>8</v>
      </c>
      <c r="AR88" s="68">
        <f t="shared" si="42"/>
        <v>8</v>
      </c>
      <c r="AS88" s="68">
        <f t="shared" si="50"/>
        <v>1.05</v>
      </c>
      <c r="AT88" s="68">
        <f t="shared" si="51"/>
        <v>1.05</v>
      </c>
      <c r="AU88" s="68">
        <f t="shared" si="52"/>
        <v>1.05</v>
      </c>
      <c r="AV88" s="68">
        <f t="shared" si="53"/>
        <v>1.1000000000000001</v>
      </c>
      <c r="AW88" s="68">
        <f t="shared" si="54"/>
        <v>1.1000000000000001</v>
      </c>
      <c r="AX88" s="68">
        <f t="shared" ca="1" si="43"/>
        <v>3.1500000000000004</v>
      </c>
      <c r="AY88" s="106">
        <v>2021</v>
      </c>
      <c r="AZ88" s="106" t="s">
        <v>2073</v>
      </c>
      <c r="BA88" s="106" t="str">
        <f t="shared" si="55"/>
        <v/>
      </c>
      <c r="BB88" s="177">
        <v>88</v>
      </c>
      <c r="BC88" s="177">
        <v>1</v>
      </c>
      <c r="BD88" s="177"/>
      <c r="BE88" s="177"/>
      <c r="BF88" s="177"/>
      <c r="BG88" s="177"/>
      <c r="BH88" s="177"/>
      <c r="BI88" s="33"/>
      <c r="BK88" s="48">
        <f>$G88/5280*VLOOKUP($AC88,'Cost and Score'!$B$27:$O$40,6,0)</f>
        <v>0.60227272727272729</v>
      </c>
      <c r="BL88" s="48">
        <f>$G88/5280*VLOOKUP($AC88,'Cost and Score'!$B$27:$O$40,7,0)</f>
        <v>125.47348484848486</v>
      </c>
      <c r="BM88" s="48">
        <f>$G88/5280*VLOOKUP($AC88,'Cost and Score'!$B$27:$O$40,8,0)</f>
        <v>200.75757575757578</v>
      </c>
      <c r="BN88" s="48">
        <f>$G88/5280*VLOOKUP($AC88,'Cost and Score'!$B$27:$O$40,9,0)</f>
        <v>2007.5757575757577</v>
      </c>
      <c r="BO88" s="48">
        <f>$G88/5280*VLOOKUP($AC88,'Cost and Score'!$B$27:$O$40,10,0)</f>
        <v>501.89393939393943</v>
      </c>
      <c r="BP88" s="48">
        <f>$G88/5280*VLOOKUP($AC88,'Cost and Score'!$B$27:$O$40,11,0)</f>
        <v>100.37878787878789</v>
      </c>
      <c r="BQ88" s="48">
        <f>$G88/5280*VLOOKUP($AC88,'Cost and Score'!$B$27:$O$40,12,0)</f>
        <v>803.03030303030312</v>
      </c>
      <c r="BR88" s="48">
        <f>$G88/5280*VLOOKUP($AC88,'Cost and Score'!$B$27:$O$40,13,0)</f>
        <v>80.303030303030312</v>
      </c>
      <c r="BS88" s="48">
        <f>$G88/5280*VLOOKUP($AC88,'Cost and Score'!$B$27:$O$40,14,0)</f>
        <v>0</v>
      </c>
      <c r="BT88" s="220">
        <f t="shared" si="56"/>
        <v>1.0037878787878789</v>
      </c>
    </row>
    <row r="89" spans="1:103" s="2" customFormat="1" ht="14.45" hidden="1" customHeight="1" x14ac:dyDescent="0.25">
      <c r="A89" s="15" t="s">
        <v>253</v>
      </c>
      <c r="B89" s="34" t="s">
        <v>252</v>
      </c>
      <c r="C89" s="26" t="s">
        <v>252</v>
      </c>
      <c r="D89" s="82"/>
      <c r="E89" s="82" t="s">
        <v>20</v>
      </c>
      <c r="F89" s="82" t="s">
        <v>21</v>
      </c>
      <c r="G89" s="29">
        <v>5290</v>
      </c>
      <c r="H89" s="29">
        <f t="shared" si="38"/>
        <v>20</v>
      </c>
      <c r="I89" s="26" t="s">
        <v>13</v>
      </c>
      <c r="J89" s="26" t="s">
        <v>17</v>
      </c>
      <c r="K89" s="26">
        <f t="shared" si="58"/>
        <v>0</v>
      </c>
      <c r="L89" s="42">
        <v>6</v>
      </c>
      <c r="M89" s="42">
        <v>6</v>
      </c>
      <c r="N89" s="42">
        <v>6</v>
      </c>
      <c r="O89" s="83">
        <v>5</v>
      </c>
      <c r="P89" s="83">
        <v>6</v>
      </c>
      <c r="Q89" s="83">
        <v>5</v>
      </c>
      <c r="R89" s="83">
        <v>5</v>
      </c>
      <c r="S89" s="83">
        <v>9</v>
      </c>
      <c r="T89" s="83">
        <v>8</v>
      </c>
      <c r="U89" s="83">
        <v>8</v>
      </c>
      <c r="V89" s="42"/>
      <c r="W89" s="42"/>
      <c r="X89" s="42"/>
      <c r="Y89" s="26">
        <v>34</v>
      </c>
      <c r="Z89" s="26">
        <f t="shared" si="39"/>
        <v>0</v>
      </c>
      <c r="AA89" s="82" t="s">
        <v>49</v>
      </c>
      <c r="AB89" s="111">
        <f t="shared" si="44"/>
        <v>4</v>
      </c>
      <c r="AC89" s="85" t="s">
        <v>13</v>
      </c>
      <c r="AD89" s="84">
        <f t="shared" si="40"/>
        <v>21039.772727272728</v>
      </c>
      <c r="AE89" s="140"/>
      <c r="AF89" s="113">
        <f t="shared" si="45"/>
        <v>0</v>
      </c>
      <c r="AG89" s="85">
        <v>2026</v>
      </c>
      <c r="AH89" s="26" t="str">
        <f t="shared" si="34"/>
        <v/>
      </c>
      <c r="AI89" s="26" t="str">
        <f t="shared" si="46"/>
        <v/>
      </c>
      <c r="AJ89" s="26" t="str">
        <f t="shared" si="60"/>
        <v/>
      </c>
      <c r="AK89" s="26" t="str">
        <f t="shared" si="59"/>
        <v/>
      </c>
      <c r="AL89" s="26" t="str">
        <f t="shared" ref="AL89:AM108" si="61">IF($AG89=AL$1,VLOOKUP($AC89,RSL,3,FALSE),"")</f>
        <v>Chip Seal and Fog</v>
      </c>
      <c r="AM89" s="26" t="str">
        <f t="shared" si="61"/>
        <v/>
      </c>
      <c r="AN89" s="26" t="str">
        <f t="shared" si="47"/>
        <v>Chip Seal and Fog</v>
      </c>
      <c r="AO89" s="26" t="str">
        <f t="shared" si="48"/>
        <v/>
      </c>
      <c r="AP89" s="26" t="str">
        <f t="shared" si="49"/>
        <v/>
      </c>
      <c r="AQ89" s="68">
        <f t="shared" si="41"/>
        <v>6</v>
      </c>
      <c r="AR89" s="68">
        <f t="shared" si="42"/>
        <v>6</v>
      </c>
      <c r="AS89" s="68">
        <f t="shared" si="50"/>
        <v>1.1000000000000001</v>
      </c>
      <c r="AT89" s="68">
        <f t="shared" si="51"/>
        <v>1.1000000000000001</v>
      </c>
      <c r="AU89" s="68">
        <f t="shared" si="52"/>
        <v>1.1000000000000001</v>
      </c>
      <c r="AV89" s="68">
        <f t="shared" si="53"/>
        <v>1.25</v>
      </c>
      <c r="AW89" s="68">
        <f t="shared" si="54"/>
        <v>1.1000000000000001</v>
      </c>
      <c r="AX89" s="68">
        <f t="shared" ca="1" si="43"/>
        <v>2.2000000000000002</v>
      </c>
      <c r="AY89" s="106">
        <v>2020</v>
      </c>
      <c r="AZ89" s="106" t="s">
        <v>751</v>
      </c>
      <c r="BA89" s="106" t="str">
        <f t="shared" si="55"/>
        <v/>
      </c>
      <c r="BB89" s="177"/>
      <c r="BC89" s="177">
        <v>1</v>
      </c>
      <c r="BD89" s="177"/>
      <c r="BE89" s="177"/>
      <c r="BF89" s="177"/>
      <c r="BG89" s="177"/>
      <c r="BH89" s="177"/>
      <c r="BI89" s="33"/>
      <c r="BK89" s="48">
        <f>$G89/5280*VLOOKUP($AC89,'Cost and Score'!$B$27:$O$40,6,0)</f>
        <v>0.20037878787878791</v>
      </c>
      <c r="BL89" s="48">
        <f>$G89/5280*VLOOKUP($AC89,'Cost and Score'!$B$27:$O$40,7,0)</f>
        <v>22.041666666666668</v>
      </c>
      <c r="BM89" s="48">
        <f>$G89/5280*VLOOKUP($AC89,'Cost and Score'!$B$27:$O$40,8,0)</f>
        <v>0</v>
      </c>
      <c r="BN89" s="48">
        <f>$G89/5280*VLOOKUP($AC89,'Cost and Score'!$B$27:$O$40,9,0)</f>
        <v>4508.5227272727279</v>
      </c>
      <c r="BO89" s="48">
        <f>$G89/5280*VLOOKUP($AC89,'Cost and Score'!$B$27:$O$40,10,0)</f>
        <v>1001.8939393939395</v>
      </c>
      <c r="BP89" s="48">
        <f>$G89/5280*VLOOKUP($AC89,'Cost and Score'!$B$27:$O$40,11,0)</f>
        <v>0</v>
      </c>
      <c r="BQ89" s="48">
        <f>$G89/5280*VLOOKUP($AC89,'Cost and Score'!$B$27:$O$40,12,0)</f>
        <v>100.18939393939394</v>
      </c>
      <c r="BR89" s="48">
        <f>$G89/5280*VLOOKUP($AC89,'Cost and Score'!$B$27:$O$40,13,0)</f>
        <v>120.22727272727273</v>
      </c>
      <c r="BS89" s="48">
        <f>$G89/5280*VLOOKUP($AC89,'Cost and Score'!$B$27:$O$40,14,0)</f>
        <v>0</v>
      </c>
      <c r="BT89" s="220">
        <f t="shared" si="56"/>
        <v>1.0018939393939394</v>
      </c>
      <c r="CW89" s="112"/>
      <c r="CX89" s="112"/>
      <c r="CY89" s="112"/>
    </row>
    <row r="90" spans="1:103" s="2" customFormat="1" ht="14.45" hidden="1" customHeight="1" x14ac:dyDescent="0.25">
      <c r="A90" s="15" t="s">
        <v>256</v>
      </c>
      <c r="B90" s="34" t="s">
        <v>254</v>
      </c>
      <c r="C90" s="26" t="s">
        <v>254</v>
      </c>
      <c r="D90" s="26"/>
      <c r="E90" s="26" t="s">
        <v>255</v>
      </c>
      <c r="F90" s="26" t="s">
        <v>35</v>
      </c>
      <c r="G90" s="29">
        <v>3080</v>
      </c>
      <c r="H90" s="29">
        <f t="shared" si="38"/>
        <v>20</v>
      </c>
      <c r="I90" s="26" t="s">
        <v>13</v>
      </c>
      <c r="J90" s="26" t="s">
        <v>17</v>
      </c>
      <c r="K90" s="26">
        <f t="shared" si="58"/>
        <v>0</v>
      </c>
      <c r="L90" s="42">
        <v>7</v>
      </c>
      <c r="M90" s="42">
        <v>7</v>
      </c>
      <c r="N90" s="42">
        <v>7</v>
      </c>
      <c r="O90" s="42">
        <v>7</v>
      </c>
      <c r="P90" s="42">
        <v>7</v>
      </c>
      <c r="Q90" s="42">
        <v>7</v>
      </c>
      <c r="R90" s="42">
        <v>6</v>
      </c>
      <c r="S90" s="42">
        <v>6</v>
      </c>
      <c r="T90" s="42">
        <v>6</v>
      </c>
      <c r="U90" s="42">
        <v>8</v>
      </c>
      <c r="V90" s="42"/>
      <c r="W90" s="42"/>
      <c r="X90" s="42"/>
      <c r="Y90" s="26">
        <v>94</v>
      </c>
      <c r="Z90" s="26">
        <f t="shared" si="39"/>
        <v>0</v>
      </c>
      <c r="AA90" s="26" t="s">
        <v>257</v>
      </c>
      <c r="AB90" s="111">
        <f t="shared" si="44"/>
        <v>3</v>
      </c>
      <c r="AC90" s="26" t="s">
        <v>13</v>
      </c>
      <c r="AD90" s="47">
        <f t="shared" si="40"/>
        <v>12250</v>
      </c>
      <c r="AE90" s="140"/>
      <c r="AF90" s="113">
        <f t="shared" si="45"/>
        <v>0</v>
      </c>
      <c r="AG90" s="26">
        <v>2022</v>
      </c>
      <c r="AH90" s="26" t="str">
        <f t="shared" si="34"/>
        <v>Chip Seal and Fog</v>
      </c>
      <c r="AI90" s="26" t="str">
        <f t="shared" si="46"/>
        <v/>
      </c>
      <c r="AJ90" s="26" t="str">
        <f t="shared" si="60"/>
        <v/>
      </c>
      <c r="AK90" s="26" t="str">
        <f t="shared" si="59"/>
        <v/>
      </c>
      <c r="AL90" s="26" t="str">
        <f t="shared" si="61"/>
        <v/>
      </c>
      <c r="AM90" s="26" t="str">
        <f t="shared" si="61"/>
        <v/>
      </c>
      <c r="AN90" s="26" t="str">
        <f t="shared" si="47"/>
        <v>Chip Seal and Fog</v>
      </c>
      <c r="AO90" s="26" t="str">
        <f t="shared" si="48"/>
        <v/>
      </c>
      <c r="AP90" s="26" t="str">
        <f t="shared" si="49"/>
        <v>Chip Seal and Fog</v>
      </c>
      <c r="AQ90" s="68">
        <f t="shared" si="41"/>
        <v>10</v>
      </c>
      <c r="AR90" s="68">
        <f t="shared" si="42"/>
        <v>6</v>
      </c>
      <c r="AS90" s="68">
        <f t="shared" si="50"/>
        <v>1.05</v>
      </c>
      <c r="AT90" s="68">
        <f t="shared" si="51"/>
        <v>1.05</v>
      </c>
      <c r="AU90" s="68">
        <f t="shared" si="52"/>
        <v>1.05</v>
      </c>
      <c r="AV90" s="68">
        <f t="shared" si="53"/>
        <v>1.05</v>
      </c>
      <c r="AW90" s="68">
        <f t="shared" si="54"/>
        <v>1.05</v>
      </c>
      <c r="AX90" s="68">
        <f t="shared" ca="1" si="43"/>
        <v>-2.1</v>
      </c>
      <c r="AY90" s="106">
        <v>2022</v>
      </c>
      <c r="AZ90" s="106" t="s">
        <v>13</v>
      </c>
      <c r="BA90" s="106" t="str">
        <f t="shared" si="55"/>
        <v/>
      </c>
      <c r="BB90" s="177"/>
      <c r="BC90" s="177">
        <v>5</v>
      </c>
      <c r="BD90" s="177"/>
      <c r="BE90" s="177"/>
      <c r="BF90" s="177"/>
      <c r="BG90" s="177"/>
      <c r="BH90" s="177"/>
      <c r="BI90" s="33"/>
      <c r="BK90" s="48">
        <f>$G90/5280*VLOOKUP($AC90,'Cost and Score'!$B$27:$O$40,6,0)</f>
        <v>0.11666666666666668</v>
      </c>
      <c r="BL90" s="48">
        <f>$G90/5280*VLOOKUP($AC90,'Cost and Score'!$B$27:$O$40,7,0)</f>
        <v>12.833333333333334</v>
      </c>
      <c r="BM90" s="48">
        <f>$G90/5280*VLOOKUP($AC90,'Cost and Score'!$B$27:$O$40,8,0)</f>
        <v>0</v>
      </c>
      <c r="BN90" s="48">
        <f>$G90/5280*VLOOKUP($AC90,'Cost and Score'!$B$27:$O$40,9,0)</f>
        <v>2625</v>
      </c>
      <c r="BO90" s="48">
        <f>$G90/5280*VLOOKUP($AC90,'Cost and Score'!$B$27:$O$40,10,0)</f>
        <v>583.33333333333337</v>
      </c>
      <c r="BP90" s="48">
        <f>$G90/5280*VLOOKUP($AC90,'Cost and Score'!$B$27:$O$40,11,0)</f>
        <v>0</v>
      </c>
      <c r="BQ90" s="48">
        <f>$G90/5280*VLOOKUP($AC90,'Cost and Score'!$B$27:$O$40,12,0)</f>
        <v>58.333333333333336</v>
      </c>
      <c r="BR90" s="48">
        <f>$G90/5280*VLOOKUP($AC90,'Cost and Score'!$B$27:$O$40,13,0)</f>
        <v>70</v>
      </c>
      <c r="BS90" s="48">
        <f>$G90/5280*VLOOKUP($AC90,'Cost and Score'!$B$27:$O$40,14,0)</f>
        <v>0</v>
      </c>
      <c r="BT90" s="220">
        <f t="shared" si="56"/>
        <v>0.58333333333333337</v>
      </c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</row>
    <row r="91" spans="1:103" s="2" customFormat="1" ht="14.45" customHeight="1" x14ac:dyDescent="0.25">
      <c r="A91" s="37" t="s">
        <v>2356</v>
      </c>
      <c r="B91" s="34" t="s">
        <v>98</v>
      </c>
      <c r="C91" s="26" t="s">
        <v>98</v>
      </c>
      <c r="D91" s="82"/>
      <c r="E91" s="82" t="s">
        <v>99</v>
      </c>
      <c r="F91" s="82" t="s">
        <v>100</v>
      </c>
      <c r="G91" s="29">
        <v>5330</v>
      </c>
      <c r="H91" s="29">
        <f t="shared" si="38"/>
        <v>20</v>
      </c>
      <c r="I91" s="26" t="s">
        <v>8</v>
      </c>
      <c r="J91" s="26" t="s">
        <v>101</v>
      </c>
      <c r="K91" s="26">
        <v>0</v>
      </c>
      <c r="L91" s="42">
        <v>6</v>
      </c>
      <c r="M91" s="42">
        <v>6</v>
      </c>
      <c r="N91" s="42">
        <v>6</v>
      </c>
      <c r="O91" s="83">
        <v>6</v>
      </c>
      <c r="P91" s="83">
        <v>6</v>
      </c>
      <c r="Q91" s="83">
        <v>8</v>
      </c>
      <c r="R91" s="83">
        <v>7</v>
      </c>
      <c r="S91" s="83">
        <v>7</v>
      </c>
      <c r="T91" s="83">
        <v>7</v>
      </c>
      <c r="U91" s="83">
        <v>7</v>
      </c>
      <c r="V91" s="42"/>
      <c r="W91" s="42"/>
      <c r="X91" s="42"/>
      <c r="Y91" s="26">
        <v>1892</v>
      </c>
      <c r="Z91" s="26">
        <f t="shared" si="39"/>
        <v>1</v>
      </c>
      <c r="AA91" s="82" t="s">
        <v>102</v>
      </c>
      <c r="AB91" s="111">
        <f t="shared" si="44"/>
        <v>5</v>
      </c>
      <c r="AC91" s="85" t="s">
        <v>13</v>
      </c>
      <c r="AD91" s="84">
        <f t="shared" si="40"/>
        <v>21198.863636363636</v>
      </c>
      <c r="AE91" s="140"/>
      <c r="AF91" s="113">
        <f t="shared" si="45"/>
        <v>0</v>
      </c>
      <c r="AG91" s="82">
        <v>2025</v>
      </c>
      <c r="AH91" s="26" t="str">
        <f t="shared" si="34"/>
        <v/>
      </c>
      <c r="AI91" s="26" t="str">
        <f t="shared" si="46"/>
        <v/>
      </c>
      <c r="AJ91" s="26" t="str">
        <f t="shared" si="60"/>
        <v/>
      </c>
      <c r="AK91" s="26" t="str">
        <f t="shared" si="59"/>
        <v>Chip Seal and Fog</v>
      </c>
      <c r="AL91" s="26" t="str">
        <f t="shared" si="61"/>
        <v/>
      </c>
      <c r="AM91" s="26" t="str">
        <f t="shared" si="61"/>
        <v/>
      </c>
      <c r="AN91" s="26" t="str">
        <f t="shared" si="47"/>
        <v>Chip Seal and Fog</v>
      </c>
      <c r="AO91" s="26" t="str">
        <f t="shared" si="48"/>
        <v/>
      </c>
      <c r="AP91" s="26" t="str">
        <f t="shared" si="49"/>
        <v/>
      </c>
      <c r="AQ91" s="68">
        <f t="shared" si="41"/>
        <v>8</v>
      </c>
      <c r="AR91" s="68">
        <f t="shared" si="42"/>
        <v>6</v>
      </c>
      <c r="AS91" s="68">
        <f t="shared" si="50"/>
        <v>1.1000000000000001</v>
      </c>
      <c r="AT91" s="68">
        <f t="shared" si="51"/>
        <v>1.1000000000000001</v>
      </c>
      <c r="AU91" s="68">
        <f t="shared" si="52"/>
        <v>1.1000000000000001</v>
      </c>
      <c r="AV91" s="68">
        <f t="shared" si="53"/>
        <v>1.1000000000000001</v>
      </c>
      <c r="AW91" s="68">
        <f t="shared" si="54"/>
        <v>1.1000000000000001</v>
      </c>
      <c r="AX91" s="68">
        <f t="shared" ca="1" si="43"/>
        <v>1.1000000000000001</v>
      </c>
      <c r="AY91" s="106">
        <v>2018</v>
      </c>
      <c r="AZ91" s="106" t="s">
        <v>13</v>
      </c>
      <c r="BA91" s="106" t="str">
        <f t="shared" si="55"/>
        <v>CS</v>
      </c>
      <c r="BB91" s="177"/>
      <c r="BC91" s="177">
        <v>8</v>
      </c>
      <c r="BD91" s="177"/>
      <c r="BE91" s="177"/>
      <c r="BF91" s="177"/>
      <c r="BG91" s="177"/>
      <c r="BH91" s="177"/>
      <c r="BI91" s="33" t="s">
        <v>2473</v>
      </c>
      <c r="BK91" s="48">
        <f>$G91/5280*VLOOKUP($AC91,'Cost and Score'!$B$27:$O$40,6,0)</f>
        <v>0.2018939393939394</v>
      </c>
      <c r="BL91" s="48">
        <f>$G91/5280*VLOOKUP($AC91,'Cost and Score'!$B$27:$O$40,7,0)</f>
        <v>22.208333333333336</v>
      </c>
      <c r="BM91" s="48">
        <f>$G91/5280*VLOOKUP($AC91,'Cost and Score'!$B$27:$O$40,8,0)</f>
        <v>0</v>
      </c>
      <c r="BN91" s="48">
        <f>$G91/5280*VLOOKUP($AC91,'Cost and Score'!$B$27:$O$40,9,0)</f>
        <v>4542.6136363636369</v>
      </c>
      <c r="BO91" s="48">
        <f>$G91/5280*VLOOKUP($AC91,'Cost and Score'!$B$27:$O$40,10,0)</f>
        <v>1009.469696969697</v>
      </c>
      <c r="BP91" s="48">
        <f>$G91/5280*VLOOKUP($AC91,'Cost and Score'!$B$27:$O$40,11,0)</f>
        <v>0</v>
      </c>
      <c r="BQ91" s="48">
        <f>$G91/5280*VLOOKUP($AC91,'Cost and Score'!$B$27:$O$40,12,0)</f>
        <v>100.9469696969697</v>
      </c>
      <c r="BR91" s="48">
        <f>$G91/5280*VLOOKUP($AC91,'Cost and Score'!$B$27:$O$40,13,0)</f>
        <v>121.13636363636364</v>
      </c>
      <c r="BS91" s="48">
        <f>$G91/5280*VLOOKUP($AC91,'Cost and Score'!$B$27:$O$40,14,0)</f>
        <v>0</v>
      </c>
      <c r="BT91" s="220">
        <f t="shared" si="56"/>
        <v>1.009469696969697</v>
      </c>
    </row>
    <row r="92" spans="1:103" s="2" customFormat="1" ht="14.45" customHeight="1" x14ac:dyDescent="0.25">
      <c r="A92" s="36" t="s">
        <v>105</v>
      </c>
      <c r="B92" s="34" t="s">
        <v>103</v>
      </c>
      <c r="C92" s="85" t="s">
        <v>103</v>
      </c>
      <c r="D92" s="85"/>
      <c r="E92" s="85" t="s">
        <v>104</v>
      </c>
      <c r="F92" s="85" t="s">
        <v>99</v>
      </c>
      <c r="G92" s="29">
        <v>5325</v>
      </c>
      <c r="H92" s="29">
        <f t="shared" si="38"/>
        <v>20</v>
      </c>
      <c r="I92" s="85" t="s">
        <v>8</v>
      </c>
      <c r="J92" s="85" t="s">
        <v>6</v>
      </c>
      <c r="K92" s="85">
        <f>VLOOKUP(J92,TOWNSHIPS,2,FALSE)</f>
        <v>0</v>
      </c>
      <c r="L92" s="74">
        <v>8</v>
      </c>
      <c r="M92" s="74">
        <v>7</v>
      </c>
      <c r="N92" s="74">
        <v>8</v>
      </c>
      <c r="O92" s="74">
        <v>7</v>
      </c>
      <c r="P92" s="74">
        <v>7</v>
      </c>
      <c r="Q92" s="74">
        <v>8</v>
      </c>
      <c r="R92" s="74">
        <v>7</v>
      </c>
      <c r="S92" s="74">
        <v>7</v>
      </c>
      <c r="T92" s="74">
        <v>7</v>
      </c>
      <c r="U92" s="74">
        <v>7</v>
      </c>
      <c r="V92" s="74"/>
      <c r="W92" s="74"/>
      <c r="X92" s="74"/>
      <c r="Y92" s="85">
        <v>1544</v>
      </c>
      <c r="Z92" s="85">
        <f t="shared" si="39"/>
        <v>1</v>
      </c>
      <c r="AA92" s="85" t="s">
        <v>102</v>
      </c>
      <c r="AB92" s="111">
        <f t="shared" si="44"/>
        <v>4</v>
      </c>
      <c r="AC92" s="85" t="s">
        <v>13</v>
      </c>
      <c r="AD92" s="47">
        <f t="shared" si="40"/>
        <v>21178.977272727272</v>
      </c>
      <c r="AE92" s="140"/>
      <c r="AF92" s="113">
        <f t="shared" si="45"/>
        <v>0</v>
      </c>
      <c r="AG92" s="106">
        <v>2025</v>
      </c>
      <c r="AH92" s="26" t="str">
        <f t="shared" si="34"/>
        <v/>
      </c>
      <c r="AI92" s="26" t="str">
        <f t="shared" si="46"/>
        <v/>
      </c>
      <c r="AJ92" s="26" t="str">
        <f t="shared" si="60"/>
        <v/>
      </c>
      <c r="AK92" s="26" t="str">
        <f t="shared" si="59"/>
        <v>Chip Seal and Fog</v>
      </c>
      <c r="AL92" s="26" t="str">
        <f t="shared" si="61"/>
        <v/>
      </c>
      <c r="AM92" s="26" t="str">
        <f t="shared" si="61"/>
        <v/>
      </c>
      <c r="AN92" s="26" t="str">
        <f t="shared" si="47"/>
        <v>Chip Seal and Fog</v>
      </c>
      <c r="AO92" s="26" t="str">
        <f t="shared" si="48"/>
        <v/>
      </c>
      <c r="AP92" s="26" t="str">
        <f t="shared" si="49"/>
        <v/>
      </c>
      <c r="AQ92" s="68">
        <f t="shared" si="41"/>
        <v>10</v>
      </c>
      <c r="AR92" s="68">
        <f t="shared" si="42"/>
        <v>6</v>
      </c>
      <c r="AS92" s="68">
        <f t="shared" si="50"/>
        <v>1</v>
      </c>
      <c r="AT92" s="68">
        <f t="shared" si="51"/>
        <v>1.05</v>
      </c>
      <c r="AU92" s="68">
        <f t="shared" si="52"/>
        <v>1</v>
      </c>
      <c r="AV92" s="68">
        <f t="shared" si="53"/>
        <v>1.05</v>
      </c>
      <c r="AW92" s="68">
        <f t="shared" si="54"/>
        <v>1.05</v>
      </c>
      <c r="AX92" s="68">
        <f t="shared" ca="1" si="43"/>
        <v>1</v>
      </c>
      <c r="AY92" s="106">
        <v>2019</v>
      </c>
      <c r="AZ92" s="106" t="s">
        <v>2075</v>
      </c>
      <c r="BA92" s="106" t="str">
        <f t="shared" si="55"/>
        <v/>
      </c>
      <c r="BB92" s="177"/>
      <c r="BC92" s="177">
        <v>8</v>
      </c>
      <c r="BD92" s="177"/>
      <c r="BE92" s="177"/>
      <c r="BF92" s="177"/>
      <c r="BG92" s="177"/>
      <c r="BH92" s="177"/>
      <c r="BI92" s="33"/>
      <c r="BK92" s="48">
        <f>$G92/5280*VLOOKUP($AC92,'Cost and Score'!$B$27:$O$40,6,0)</f>
        <v>0.20170454545454547</v>
      </c>
      <c r="BL92" s="48">
        <f>$G92/5280*VLOOKUP($AC92,'Cost and Score'!$B$27:$O$40,7,0)</f>
        <v>22.1875</v>
      </c>
      <c r="BM92" s="48">
        <f>$G92/5280*VLOOKUP($AC92,'Cost and Score'!$B$27:$O$40,8,0)</f>
        <v>0</v>
      </c>
      <c r="BN92" s="48">
        <f>$G92/5280*VLOOKUP($AC92,'Cost and Score'!$B$27:$O$40,9,0)</f>
        <v>4538.352272727273</v>
      </c>
      <c r="BO92" s="48">
        <f>$G92/5280*VLOOKUP($AC92,'Cost and Score'!$B$27:$O$40,10,0)</f>
        <v>1008.5227272727273</v>
      </c>
      <c r="BP92" s="48">
        <f>$G92/5280*VLOOKUP($AC92,'Cost and Score'!$B$27:$O$40,11,0)</f>
        <v>0</v>
      </c>
      <c r="BQ92" s="48">
        <f>$G92/5280*VLOOKUP($AC92,'Cost and Score'!$B$27:$O$40,12,0)</f>
        <v>100.85227272727273</v>
      </c>
      <c r="BR92" s="48">
        <f>$G92/5280*VLOOKUP($AC92,'Cost and Score'!$B$27:$O$40,13,0)</f>
        <v>121.02272727272728</v>
      </c>
      <c r="BS92" s="48">
        <f>$G92/5280*VLOOKUP($AC92,'Cost and Score'!$B$27:$O$40,14,0)</f>
        <v>0</v>
      </c>
      <c r="BT92" s="220">
        <f t="shared" si="56"/>
        <v>1.0085227272727273</v>
      </c>
    </row>
    <row r="93" spans="1:103" s="2" customFormat="1" ht="14.45" customHeight="1" x14ac:dyDescent="0.25">
      <c r="A93" s="36" t="s">
        <v>500</v>
      </c>
      <c r="B93" s="34" t="s">
        <v>498</v>
      </c>
      <c r="C93" s="85" t="s">
        <v>498</v>
      </c>
      <c r="D93" s="85"/>
      <c r="E93" s="85" t="s">
        <v>59</v>
      </c>
      <c r="F93" s="85" t="s">
        <v>499</v>
      </c>
      <c r="G93" s="29">
        <v>2680</v>
      </c>
      <c r="H93" s="29">
        <f t="shared" ref="H93:H124" si="62">IF(I93="NC",26,20)</f>
        <v>20</v>
      </c>
      <c r="I93" s="85" t="s">
        <v>8</v>
      </c>
      <c r="J93" s="85" t="s">
        <v>101</v>
      </c>
      <c r="K93" s="85">
        <v>0</v>
      </c>
      <c r="L93" s="74">
        <v>8</v>
      </c>
      <c r="M93" s="74">
        <v>7</v>
      </c>
      <c r="N93" s="74">
        <v>7</v>
      </c>
      <c r="O93" s="74">
        <v>7</v>
      </c>
      <c r="P93" s="74">
        <v>7</v>
      </c>
      <c r="Q93" s="74">
        <v>7</v>
      </c>
      <c r="R93" s="74">
        <v>7</v>
      </c>
      <c r="S93" s="74">
        <v>7</v>
      </c>
      <c r="T93" s="74">
        <v>7</v>
      </c>
      <c r="U93" s="74">
        <v>7</v>
      </c>
      <c r="V93" s="74"/>
      <c r="W93" s="74"/>
      <c r="X93" s="74" t="s">
        <v>2612</v>
      </c>
      <c r="Y93" s="85">
        <v>1394</v>
      </c>
      <c r="Z93" s="85">
        <f t="shared" ref="Z93:Z124" si="63">VLOOKUP(Y93,AADT,2)</f>
        <v>0.5</v>
      </c>
      <c r="AA93" s="85" t="s">
        <v>197</v>
      </c>
      <c r="AB93" s="111">
        <f t="shared" si="44"/>
        <v>3.5</v>
      </c>
      <c r="AC93" s="85" t="s">
        <v>13</v>
      </c>
      <c r="AD93" s="47">
        <f t="shared" si="40"/>
        <v>10659.09090909091</v>
      </c>
      <c r="AE93" s="140"/>
      <c r="AF93" s="113">
        <f t="shared" si="45"/>
        <v>0</v>
      </c>
      <c r="AG93" s="106">
        <v>2025</v>
      </c>
      <c r="AH93" s="26" t="str">
        <f t="shared" si="34"/>
        <v/>
      </c>
      <c r="AI93" s="26" t="str">
        <f t="shared" si="46"/>
        <v/>
      </c>
      <c r="AJ93" s="26" t="str">
        <f t="shared" si="60"/>
        <v/>
      </c>
      <c r="AK93" s="26" t="str">
        <f t="shared" si="59"/>
        <v>Chip Seal and Fog</v>
      </c>
      <c r="AL93" s="26" t="str">
        <f t="shared" si="61"/>
        <v/>
      </c>
      <c r="AM93" s="26" t="str">
        <f t="shared" si="61"/>
        <v/>
      </c>
      <c r="AN93" s="26" t="str">
        <f t="shared" si="47"/>
        <v>Chip Seal and Fog</v>
      </c>
      <c r="AO93" s="26" t="str">
        <f t="shared" si="48"/>
        <v/>
      </c>
      <c r="AP93" s="26" t="str">
        <f t="shared" si="49"/>
        <v/>
      </c>
      <c r="AQ93" s="68">
        <f t="shared" si="41"/>
        <v>10</v>
      </c>
      <c r="AR93" s="68">
        <f t="shared" si="42"/>
        <v>6</v>
      </c>
      <c r="AS93" s="68">
        <f t="shared" si="50"/>
        <v>1</v>
      </c>
      <c r="AT93" s="68">
        <f t="shared" si="51"/>
        <v>1.05</v>
      </c>
      <c r="AU93" s="68">
        <f t="shared" si="52"/>
        <v>1.05</v>
      </c>
      <c r="AV93" s="68">
        <f t="shared" si="53"/>
        <v>1.05</v>
      </c>
      <c r="AW93" s="68">
        <f t="shared" si="54"/>
        <v>1.05</v>
      </c>
      <c r="AX93" s="68">
        <f t="shared" ca="1" si="43"/>
        <v>1.05</v>
      </c>
      <c r="AY93" s="106">
        <v>2015</v>
      </c>
      <c r="AZ93" s="106" t="s">
        <v>2075</v>
      </c>
      <c r="BA93" s="106" t="str">
        <f t="shared" si="55"/>
        <v/>
      </c>
      <c r="BB93" s="177"/>
      <c r="BC93" s="177">
        <v>3</v>
      </c>
      <c r="BD93" s="177"/>
      <c r="BE93" s="177"/>
      <c r="BF93" s="177"/>
      <c r="BG93" s="177"/>
      <c r="BH93" s="177"/>
      <c r="BI93" s="33"/>
      <c r="BK93" s="48">
        <f>$G93/5280*VLOOKUP($AC93,'Cost and Score'!$B$27:$O$40,6,0)</f>
        <v>0.10151515151515152</v>
      </c>
      <c r="BL93" s="48">
        <f>$G93/5280*VLOOKUP($AC93,'Cost and Score'!$B$27:$O$40,7,0)</f>
        <v>11.166666666666666</v>
      </c>
      <c r="BM93" s="48">
        <f>$G93/5280*VLOOKUP($AC93,'Cost and Score'!$B$27:$O$40,8,0)</f>
        <v>0</v>
      </c>
      <c r="BN93" s="48">
        <f>$G93/5280*VLOOKUP($AC93,'Cost and Score'!$B$27:$O$40,9,0)</f>
        <v>2284.090909090909</v>
      </c>
      <c r="BO93" s="48">
        <f>$G93/5280*VLOOKUP($AC93,'Cost and Score'!$B$27:$O$40,10,0)</f>
        <v>507.57575757575756</v>
      </c>
      <c r="BP93" s="48">
        <f>$G93/5280*VLOOKUP($AC93,'Cost and Score'!$B$27:$O$40,11,0)</f>
        <v>0</v>
      </c>
      <c r="BQ93" s="48">
        <f>$G93/5280*VLOOKUP($AC93,'Cost and Score'!$B$27:$O$40,12,0)</f>
        <v>50.757575757575758</v>
      </c>
      <c r="BR93" s="48">
        <f>$G93/5280*VLOOKUP($AC93,'Cost and Score'!$B$27:$O$40,13,0)</f>
        <v>60.909090909090907</v>
      </c>
      <c r="BS93" s="48">
        <f>$G93/5280*VLOOKUP($AC93,'Cost and Score'!$B$27:$O$40,14,0)</f>
        <v>0</v>
      </c>
      <c r="BT93" s="220">
        <f t="shared" si="56"/>
        <v>0.50757575757575757</v>
      </c>
    </row>
    <row r="94" spans="1:103" s="2" customFormat="1" ht="14.45" hidden="1" customHeight="1" x14ac:dyDescent="0.25">
      <c r="A94" s="31" t="s">
        <v>2102</v>
      </c>
      <c r="B94" s="34" t="s">
        <v>264</v>
      </c>
      <c r="C94" s="26" t="s">
        <v>264</v>
      </c>
      <c r="D94" s="26"/>
      <c r="E94" s="26" t="s">
        <v>265</v>
      </c>
      <c r="F94" s="26" t="s">
        <v>10</v>
      </c>
      <c r="G94" s="29">
        <v>1389</v>
      </c>
      <c r="H94" s="29">
        <f t="shared" si="62"/>
        <v>20</v>
      </c>
      <c r="I94" s="26" t="s">
        <v>8</v>
      </c>
      <c r="J94" s="26" t="s">
        <v>17</v>
      </c>
      <c r="K94" s="26">
        <f>VLOOKUP(J94,TOWNSHIPS,2,FALSE)</f>
        <v>0</v>
      </c>
      <c r="L94" s="42">
        <v>7</v>
      </c>
      <c r="M94" s="42">
        <v>7</v>
      </c>
      <c r="N94" s="42">
        <v>7</v>
      </c>
      <c r="O94" s="42">
        <v>7</v>
      </c>
      <c r="P94" s="42">
        <v>6</v>
      </c>
      <c r="Q94" s="42">
        <v>6</v>
      </c>
      <c r="R94" s="42">
        <v>6</v>
      </c>
      <c r="S94" s="42">
        <v>6</v>
      </c>
      <c r="T94" s="42">
        <v>7</v>
      </c>
      <c r="U94" s="42">
        <v>7</v>
      </c>
      <c r="V94" s="42"/>
      <c r="W94" s="42"/>
      <c r="X94" s="42"/>
      <c r="Y94" s="26">
        <v>50</v>
      </c>
      <c r="Z94" s="26">
        <f t="shared" si="63"/>
        <v>0</v>
      </c>
      <c r="AA94" s="26" t="s">
        <v>266</v>
      </c>
      <c r="AB94" s="111">
        <f t="shared" si="44"/>
        <v>4</v>
      </c>
      <c r="AC94" s="26" t="s">
        <v>13</v>
      </c>
      <c r="AD94" s="47">
        <f t="shared" si="40"/>
        <v>5524.431818181818</v>
      </c>
      <c r="AE94" s="140"/>
      <c r="AF94" s="113">
        <f t="shared" si="45"/>
        <v>0</v>
      </c>
      <c r="AG94" s="26">
        <v>2022</v>
      </c>
      <c r="AH94" s="26" t="str">
        <f t="shared" si="34"/>
        <v>Chip Seal and Fog</v>
      </c>
      <c r="AI94" s="26" t="str">
        <f t="shared" si="46"/>
        <v/>
      </c>
      <c r="AJ94" s="26" t="str">
        <f t="shared" si="60"/>
        <v/>
      </c>
      <c r="AK94" s="26" t="str">
        <f t="shared" si="59"/>
        <v/>
      </c>
      <c r="AL94" s="26" t="str">
        <f t="shared" si="61"/>
        <v/>
      </c>
      <c r="AM94" s="26" t="str">
        <f t="shared" si="61"/>
        <v/>
      </c>
      <c r="AN94" s="26" t="str">
        <f t="shared" si="47"/>
        <v>Chip Seal and Fog</v>
      </c>
      <c r="AO94" s="26" t="str">
        <f t="shared" si="48"/>
        <v/>
      </c>
      <c r="AP94" s="26" t="str">
        <f t="shared" si="49"/>
        <v/>
      </c>
      <c r="AQ94" s="68">
        <f t="shared" si="41"/>
        <v>10</v>
      </c>
      <c r="AR94" s="68">
        <f t="shared" si="42"/>
        <v>6</v>
      </c>
      <c r="AS94" s="68">
        <f t="shared" si="50"/>
        <v>1.05</v>
      </c>
      <c r="AT94" s="68">
        <f t="shared" si="51"/>
        <v>1.05</v>
      </c>
      <c r="AU94" s="68">
        <f t="shared" si="52"/>
        <v>1.05</v>
      </c>
      <c r="AV94" s="68">
        <f t="shared" si="53"/>
        <v>1.05</v>
      </c>
      <c r="AW94" s="68">
        <f t="shared" si="54"/>
        <v>1.1000000000000001</v>
      </c>
      <c r="AX94" s="68">
        <f t="shared" ca="1" si="43"/>
        <v>-2.1</v>
      </c>
      <c r="AY94" s="106"/>
      <c r="AZ94" s="106"/>
      <c r="BA94" s="106" t="str">
        <f t="shared" si="55"/>
        <v/>
      </c>
      <c r="BB94" s="177"/>
      <c r="BC94" s="177">
        <v>5</v>
      </c>
      <c r="BD94" s="177"/>
      <c r="BE94" s="177"/>
      <c r="BF94" s="177"/>
      <c r="BG94" s="177"/>
      <c r="BH94" s="177"/>
      <c r="BI94" s="33"/>
      <c r="BK94" s="48">
        <f>$G94/5280*VLOOKUP($AC94,'Cost and Score'!$B$27:$O$40,6,0)</f>
        <v>5.2613636363636362E-2</v>
      </c>
      <c r="BL94" s="48">
        <f>$G94/5280*VLOOKUP($AC94,'Cost and Score'!$B$27:$O$40,7,0)</f>
        <v>5.7874999999999996</v>
      </c>
      <c r="BM94" s="48">
        <f>$G94/5280*VLOOKUP($AC94,'Cost and Score'!$B$27:$O$40,8,0)</f>
        <v>0</v>
      </c>
      <c r="BN94" s="48">
        <f>$G94/5280*VLOOKUP($AC94,'Cost and Score'!$B$27:$O$40,9,0)</f>
        <v>1183.8068181818182</v>
      </c>
      <c r="BO94" s="48">
        <f>$G94/5280*VLOOKUP($AC94,'Cost and Score'!$B$27:$O$40,10,0)</f>
        <v>263.06818181818181</v>
      </c>
      <c r="BP94" s="48">
        <f>$G94/5280*VLOOKUP($AC94,'Cost and Score'!$B$27:$O$40,11,0)</f>
        <v>0</v>
      </c>
      <c r="BQ94" s="48">
        <f>$G94/5280*VLOOKUP($AC94,'Cost and Score'!$B$27:$O$40,12,0)</f>
        <v>26.30681818181818</v>
      </c>
      <c r="BR94" s="48">
        <f>$G94/5280*VLOOKUP($AC94,'Cost and Score'!$B$27:$O$40,13,0)</f>
        <v>31.568181818181817</v>
      </c>
      <c r="BS94" s="48">
        <f>$G94/5280*VLOOKUP($AC94,'Cost and Score'!$B$27:$O$40,14,0)</f>
        <v>0</v>
      </c>
      <c r="BT94" s="220">
        <f t="shared" si="56"/>
        <v>0.26306818181818181</v>
      </c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</row>
    <row r="95" spans="1:103" s="2" customFormat="1" ht="14.45" hidden="1" customHeight="1" x14ac:dyDescent="0.25">
      <c r="A95" s="15" t="s">
        <v>268</v>
      </c>
      <c r="B95" s="34" t="s">
        <v>267</v>
      </c>
      <c r="C95" s="26" t="s">
        <v>267</v>
      </c>
      <c r="D95" s="26"/>
      <c r="E95" s="26" t="s">
        <v>38</v>
      </c>
      <c r="F95" s="26" t="s">
        <v>20</v>
      </c>
      <c r="G95" s="29">
        <v>5325</v>
      </c>
      <c r="H95" s="29">
        <f t="shared" si="62"/>
        <v>20</v>
      </c>
      <c r="I95" s="26" t="s">
        <v>8</v>
      </c>
      <c r="J95" s="26" t="s">
        <v>17</v>
      </c>
      <c r="K95" s="26">
        <f>VLOOKUP(J95,TOWNSHIPS,2,FALSE)</f>
        <v>0</v>
      </c>
      <c r="L95" s="42">
        <v>7</v>
      </c>
      <c r="M95" s="42">
        <v>7</v>
      </c>
      <c r="N95" s="42">
        <v>7</v>
      </c>
      <c r="O95" s="42">
        <v>7</v>
      </c>
      <c r="P95" s="42">
        <v>7</v>
      </c>
      <c r="Q95" s="42">
        <v>6</v>
      </c>
      <c r="R95" s="42">
        <v>6</v>
      </c>
      <c r="S95" s="42">
        <v>6</v>
      </c>
      <c r="T95" s="42">
        <v>8</v>
      </c>
      <c r="U95" s="42">
        <v>8</v>
      </c>
      <c r="V95" s="42"/>
      <c r="W95" s="42"/>
      <c r="X95" s="42"/>
      <c r="Y95" s="26">
        <v>126</v>
      </c>
      <c r="Z95" s="26">
        <f t="shared" si="63"/>
        <v>0</v>
      </c>
      <c r="AA95" s="26" t="s">
        <v>52</v>
      </c>
      <c r="AB95" s="111">
        <f t="shared" si="44"/>
        <v>3</v>
      </c>
      <c r="AC95" s="82" t="s">
        <v>2072</v>
      </c>
      <c r="AD95" s="47">
        <f t="shared" si="40"/>
        <v>46392.045454545456</v>
      </c>
      <c r="AE95" s="140"/>
      <c r="AF95" s="113">
        <f t="shared" si="45"/>
        <v>0</v>
      </c>
      <c r="AG95" s="26">
        <v>2027</v>
      </c>
      <c r="AH95" s="26" t="str">
        <f t="shared" si="34"/>
        <v/>
      </c>
      <c r="AI95" s="26" t="str">
        <f t="shared" si="46"/>
        <v/>
      </c>
      <c r="AJ95" s="26" t="str">
        <f t="shared" si="60"/>
        <v/>
      </c>
      <c r="AK95" s="26" t="str">
        <f t="shared" si="59"/>
        <v/>
      </c>
      <c r="AL95" s="26" t="str">
        <f t="shared" si="61"/>
        <v/>
      </c>
      <c r="AM95" s="26" t="str">
        <f t="shared" si="61"/>
        <v>Chip Seal - Triple</v>
      </c>
      <c r="AN95" s="26" t="str">
        <f t="shared" si="47"/>
        <v>Chip Seal - Triple</v>
      </c>
      <c r="AO95" s="26" t="str">
        <f t="shared" si="48"/>
        <v>Chip Seal - Double and Fog</v>
      </c>
      <c r="AP95" s="26" t="str">
        <f t="shared" si="49"/>
        <v/>
      </c>
      <c r="AQ95" s="68">
        <f t="shared" si="41"/>
        <v>10</v>
      </c>
      <c r="AR95" s="68">
        <f t="shared" si="42"/>
        <v>8</v>
      </c>
      <c r="AS95" s="68">
        <f t="shared" si="50"/>
        <v>1.05</v>
      </c>
      <c r="AT95" s="68">
        <f t="shared" si="51"/>
        <v>1.05</v>
      </c>
      <c r="AU95" s="68">
        <f t="shared" si="52"/>
        <v>1.05</v>
      </c>
      <c r="AV95" s="68">
        <f t="shared" si="53"/>
        <v>1.05</v>
      </c>
      <c r="AW95" s="68">
        <f t="shared" si="54"/>
        <v>1.05</v>
      </c>
      <c r="AX95" s="68">
        <f t="shared" ca="1" si="43"/>
        <v>3.1500000000000004</v>
      </c>
      <c r="AY95" s="106">
        <v>2021</v>
      </c>
      <c r="AZ95" s="106" t="s">
        <v>2073</v>
      </c>
      <c r="BA95" s="106" t="str">
        <f t="shared" si="55"/>
        <v/>
      </c>
      <c r="BB95" s="177">
        <v>89</v>
      </c>
      <c r="BC95" s="177">
        <v>1</v>
      </c>
      <c r="BD95" s="177"/>
      <c r="BE95" s="177"/>
      <c r="BF95" s="177"/>
      <c r="BG95" s="177"/>
      <c r="BH95" s="177"/>
      <c r="BI95" s="33"/>
      <c r="BK95" s="48">
        <f>$G95/5280*VLOOKUP($AC95,'Cost and Score'!$B$27:$O$40,6,0)</f>
        <v>0.60511363636363635</v>
      </c>
      <c r="BL95" s="48">
        <f>$G95/5280*VLOOKUP($AC95,'Cost and Score'!$B$27:$O$40,7,0)</f>
        <v>126.06534090909091</v>
      </c>
      <c r="BM95" s="48">
        <f>$G95/5280*VLOOKUP($AC95,'Cost and Score'!$B$27:$O$40,8,0)</f>
        <v>201.70454545454547</v>
      </c>
      <c r="BN95" s="48">
        <f>$G95/5280*VLOOKUP($AC95,'Cost and Score'!$B$27:$O$40,9,0)</f>
        <v>2017.0454545454545</v>
      </c>
      <c r="BO95" s="48">
        <f>$G95/5280*VLOOKUP($AC95,'Cost and Score'!$B$27:$O$40,10,0)</f>
        <v>504.26136363636363</v>
      </c>
      <c r="BP95" s="48">
        <f>$G95/5280*VLOOKUP($AC95,'Cost and Score'!$B$27:$O$40,11,0)</f>
        <v>100.85227272727273</v>
      </c>
      <c r="BQ95" s="48">
        <f>$G95/5280*VLOOKUP($AC95,'Cost and Score'!$B$27:$O$40,12,0)</f>
        <v>806.81818181818187</v>
      </c>
      <c r="BR95" s="48">
        <f>$G95/5280*VLOOKUP($AC95,'Cost and Score'!$B$27:$O$40,13,0)</f>
        <v>80.681818181818187</v>
      </c>
      <c r="BS95" s="48">
        <f>$G95/5280*VLOOKUP($AC95,'Cost and Score'!$B$27:$O$40,14,0)</f>
        <v>0</v>
      </c>
      <c r="BT95" s="220">
        <f t="shared" si="56"/>
        <v>1.0085227272727273</v>
      </c>
    </row>
    <row r="96" spans="1:103" s="2" customFormat="1" ht="14.45" customHeight="1" x14ac:dyDescent="0.25">
      <c r="A96" s="15" t="s">
        <v>108</v>
      </c>
      <c r="B96" s="34" t="s">
        <v>106</v>
      </c>
      <c r="C96" s="26" t="s">
        <v>106</v>
      </c>
      <c r="D96" s="82"/>
      <c r="E96" s="82" t="s">
        <v>107</v>
      </c>
      <c r="F96" s="82" t="s">
        <v>104</v>
      </c>
      <c r="G96" s="29">
        <v>5350</v>
      </c>
      <c r="H96" s="29">
        <f t="shared" si="62"/>
        <v>20</v>
      </c>
      <c r="I96" s="26" t="s">
        <v>8</v>
      </c>
      <c r="J96" s="26" t="s">
        <v>6</v>
      </c>
      <c r="K96" s="26">
        <f>VLOOKUP(J96,TOWNSHIPS,2,FALSE)</f>
        <v>0</v>
      </c>
      <c r="L96" s="42">
        <v>7</v>
      </c>
      <c r="M96" s="42">
        <v>7</v>
      </c>
      <c r="N96" s="42">
        <v>7</v>
      </c>
      <c r="O96" s="83">
        <v>6</v>
      </c>
      <c r="P96" s="83">
        <v>6</v>
      </c>
      <c r="Q96" s="83">
        <v>8</v>
      </c>
      <c r="R96" s="83">
        <v>7</v>
      </c>
      <c r="S96" s="83">
        <v>7</v>
      </c>
      <c r="T96" s="83">
        <v>7</v>
      </c>
      <c r="U96" s="83">
        <v>7</v>
      </c>
      <c r="V96" s="42"/>
      <c r="W96" s="42"/>
      <c r="X96" s="42"/>
      <c r="Y96" s="26">
        <v>1303</v>
      </c>
      <c r="Z96" s="26">
        <f t="shared" si="63"/>
        <v>0.5</v>
      </c>
      <c r="AA96" s="82" t="s">
        <v>102</v>
      </c>
      <c r="AB96" s="111">
        <f t="shared" si="44"/>
        <v>4.5</v>
      </c>
      <c r="AC96" s="85" t="s">
        <v>13</v>
      </c>
      <c r="AD96" s="84">
        <f t="shared" si="40"/>
        <v>21278.409090909092</v>
      </c>
      <c r="AE96" s="140"/>
      <c r="AF96" s="113">
        <f t="shared" si="45"/>
        <v>0</v>
      </c>
      <c r="AG96" s="82">
        <v>2025</v>
      </c>
      <c r="AH96" s="26" t="str">
        <f t="shared" si="34"/>
        <v/>
      </c>
      <c r="AI96" s="26" t="str">
        <f t="shared" si="46"/>
        <v/>
      </c>
      <c r="AJ96" s="26" t="str">
        <f t="shared" si="60"/>
        <v/>
      </c>
      <c r="AK96" s="26" t="str">
        <f t="shared" si="59"/>
        <v>Chip Seal and Fog</v>
      </c>
      <c r="AL96" s="26" t="str">
        <f t="shared" si="61"/>
        <v/>
      </c>
      <c r="AM96" s="26" t="str">
        <f t="shared" si="61"/>
        <v/>
      </c>
      <c r="AN96" s="26" t="str">
        <f t="shared" si="47"/>
        <v>Chip Seal and Fog</v>
      </c>
      <c r="AO96" s="26" t="str">
        <f t="shared" si="48"/>
        <v/>
      </c>
      <c r="AP96" s="26" t="str">
        <f t="shared" si="49"/>
        <v/>
      </c>
      <c r="AQ96" s="68">
        <f t="shared" si="41"/>
        <v>8</v>
      </c>
      <c r="AR96" s="68">
        <f t="shared" si="42"/>
        <v>6</v>
      </c>
      <c r="AS96" s="68">
        <f t="shared" si="50"/>
        <v>1.05</v>
      </c>
      <c r="AT96" s="68">
        <f t="shared" si="51"/>
        <v>1.05</v>
      </c>
      <c r="AU96" s="68">
        <f t="shared" si="52"/>
        <v>1.05</v>
      </c>
      <c r="AV96" s="68">
        <f t="shared" si="53"/>
        <v>1.1000000000000001</v>
      </c>
      <c r="AW96" s="68">
        <f t="shared" si="54"/>
        <v>1.1000000000000001</v>
      </c>
      <c r="AX96" s="68">
        <f t="shared" ca="1" si="43"/>
        <v>1.05</v>
      </c>
      <c r="AY96" s="106">
        <v>2018</v>
      </c>
      <c r="AZ96" s="106" t="s">
        <v>13</v>
      </c>
      <c r="BA96" s="106" t="str">
        <f t="shared" si="55"/>
        <v>CS</v>
      </c>
      <c r="BB96" s="177"/>
      <c r="BC96" s="177">
        <v>8</v>
      </c>
      <c r="BD96" s="177"/>
      <c r="BE96" s="177"/>
      <c r="BF96" s="177"/>
      <c r="BG96" s="177"/>
      <c r="BH96" s="177"/>
      <c r="BI96" s="33" t="s">
        <v>2473</v>
      </c>
      <c r="BK96" s="48">
        <f>$G96/5280*VLOOKUP($AC96,'Cost and Score'!$B$27:$O$40,6,0)</f>
        <v>0.20265151515151514</v>
      </c>
      <c r="BL96" s="48">
        <f>$G96/5280*VLOOKUP($AC96,'Cost and Score'!$B$27:$O$40,7,0)</f>
        <v>22.291666666666664</v>
      </c>
      <c r="BM96" s="48">
        <f>$G96/5280*VLOOKUP($AC96,'Cost and Score'!$B$27:$O$40,8,0)</f>
        <v>0</v>
      </c>
      <c r="BN96" s="48">
        <f>$G96/5280*VLOOKUP($AC96,'Cost and Score'!$B$27:$O$40,9,0)</f>
        <v>4559.659090909091</v>
      </c>
      <c r="BO96" s="48">
        <f>$G96/5280*VLOOKUP($AC96,'Cost and Score'!$B$27:$O$40,10,0)</f>
        <v>1013.2575757575756</v>
      </c>
      <c r="BP96" s="48">
        <f>$G96/5280*VLOOKUP($AC96,'Cost and Score'!$B$27:$O$40,11,0)</f>
        <v>0</v>
      </c>
      <c r="BQ96" s="48">
        <f>$G96/5280*VLOOKUP($AC96,'Cost and Score'!$B$27:$O$40,12,0)</f>
        <v>101.32575757575756</v>
      </c>
      <c r="BR96" s="48">
        <f>$G96/5280*VLOOKUP($AC96,'Cost and Score'!$B$27:$O$40,13,0)</f>
        <v>121.59090909090908</v>
      </c>
      <c r="BS96" s="48">
        <f>$G96/5280*VLOOKUP($AC96,'Cost and Score'!$B$27:$O$40,14,0)</f>
        <v>0</v>
      </c>
      <c r="BT96" s="220">
        <f t="shared" si="56"/>
        <v>1.0132575757575757</v>
      </c>
      <c r="BY96" s="2" t="s">
        <v>2068</v>
      </c>
    </row>
    <row r="97" spans="1:103" s="2" customFormat="1" ht="14.45" customHeight="1" x14ac:dyDescent="0.25">
      <c r="A97" s="15" t="s">
        <v>166</v>
      </c>
      <c r="B97" s="34" t="s">
        <v>164</v>
      </c>
      <c r="C97" s="26" t="s">
        <v>164</v>
      </c>
      <c r="D97" s="82"/>
      <c r="E97" s="82" t="s">
        <v>59</v>
      </c>
      <c r="F97" s="82" t="s">
        <v>165</v>
      </c>
      <c r="G97" s="29">
        <v>7215</v>
      </c>
      <c r="H97" s="29">
        <f t="shared" si="62"/>
        <v>20</v>
      </c>
      <c r="I97" s="26" t="s">
        <v>8</v>
      </c>
      <c r="J97" s="26" t="s">
        <v>101</v>
      </c>
      <c r="K97" s="26">
        <v>0</v>
      </c>
      <c r="L97" s="42">
        <v>7</v>
      </c>
      <c r="M97" s="42">
        <v>8</v>
      </c>
      <c r="N97" s="42">
        <v>7</v>
      </c>
      <c r="O97" s="83">
        <v>5</v>
      </c>
      <c r="P97" s="83">
        <v>5</v>
      </c>
      <c r="Q97" s="83">
        <v>5</v>
      </c>
      <c r="R97" s="83">
        <v>9</v>
      </c>
      <c r="S97" s="83">
        <v>8</v>
      </c>
      <c r="T97" s="83">
        <v>7</v>
      </c>
      <c r="U97" s="83">
        <v>7</v>
      </c>
      <c r="V97" s="42"/>
      <c r="W97" s="42">
        <v>2020</v>
      </c>
      <c r="X97" s="42" t="s">
        <v>2612</v>
      </c>
      <c r="Y97" s="26">
        <v>1243</v>
      </c>
      <c r="Z97" s="26">
        <f t="shared" si="63"/>
        <v>0.5</v>
      </c>
      <c r="AA97" s="82" t="s">
        <v>100</v>
      </c>
      <c r="AB97" s="111">
        <f t="shared" si="44"/>
        <v>5.5</v>
      </c>
      <c r="AC97" s="85" t="s">
        <v>13</v>
      </c>
      <c r="AD97" s="84">
        <f t="shared" si="40"/>
        <v>28696.022727272728</v>
      </c>
      <c r="AE97" s="140"/>
      <c r="AF97" s="113">
        <f t="shared" si="45"/>
        <v>0</v>
      </c>
      <c r="AG97" s="106">
        <v>2025</v>
      </c>
      <c r="AH97" s="26" t="str">
        <f t="shared" si="34"/>
        <v/>
      </c>
      <c r="AI97" s="26" t="str">
        <f t="shared" si="46"/>
        <v/>
      </c>
      <c r="AJ97" s="26" t="str">
        <f t="shared" si="60"/>
        <v/>
      </c>
      <c r="AK97" s="26" t="str">
        <f t="shared" si="59"/>
        <v>Chip Seal and Fog</v>
      </c>
      <c r="AL97" s="26" t="str">
        <f t="shared" si="61"/>
        <v/>
      </c>
      <c r="AM97" s="26" t="str">
        <f t="shared" si="61"/>
        <v/>
      </c>
      <c r="AN97" s="26" t="str">
        <f t="shared" si="47"/>
        <v>Chip Seal and Fog</v>
      </c>
      <c r="AO97" s="26" t="str">
        <f t="shared" si="48"/>
        <v/>
      </c>
      <c r="AP97" s="26" t="str">
        <f t="shared" si="49"/>
        <v/>
      </c>
      <c r="AQ97" s="68">
        <f t="shared" si="41"/>
        <v>6</v>
      </c>
      <c r="AR97" s="68">
        <f t="shared" si="42"/>
        <v>6</v>
      </c>
      <c r="AS97" s="68">
        <f t="shared" si="50"/>
        <v>1.05</v>
      </c>
      <c r="AT97" s="68">
        <f t="shared" si="51"/>
        <v>1</v>
      </c>
      <c r="AU97" s="68">
        <f t="shared" si="52"/>
        <v>1.05</v>
      </c>
      <c r="AV97" s="68">
        <f t="shared" si="53"/>
        <v>1.25</v>
      </c>
      <c r="AW97" s="68">
        <f t="shared" si="54"/>
        <v>1.25</v>
      </c>
      <c r="AX97" s="68">
        <f t="shared" ca="1" si="43"/>
        <v>1.05</v>
      </c>
      <c r="AY97" s="106">
        <v>2019</v>
      </c>
      <c r="AZ97" s="106" t="s">
        <v>751</v>
      </c>
      <c r="BA97" s="106" t="str">
        <f t="shared" si="55"/>
        <v/>
      </c>
      <c r="BB97" s="177"/>
      <c r="BC97" s="177">
        <v>9</v>
      </c>
      <c r="BD97" s="177"/>
      <c r="BE97" s="177"/>
      <c r="BF97" s="177"/>
      <c r="BG97" s="177"/>
      <c r="BH97" s="177"/>
      <c r="BI97" s="33"/>
      <c r="BK97" s="48">
        <f>$G97/5280*VLOOKUP($AC97,'Cost and Score'!$B$27:$O$40,6,0)</f>
        <v>0.27329545454545456</v>
      </c>
      <c r="BL97" s="48">
        <f>$G97/5280*VLOOKUP($AC97,'Cost and Score'!$B$27:$O$40,7,0)</f>
        <v>30.0625</v>
      </c>
      <c r="BM97" s="48">
        <f>$G97/5280*VLOOKUP($AC97,'Cost and Score'!$B$27:$O$40,8,0)</f>
        <v>0</v>
      </c>
      <c r="BN97" s="48">
        <f>$G97/5280*VLOOKUP($AC97,'Cost and Score'!$B$27:$O$40,9,0)</f>
        <v>6149.147727272727</v>
      </c>
      <c r="BO97" s="48">
        <f>$G97/5280*VLOOKUP($AC97,'Cost and Score'!$B$27:$O$40,10,0)</f>
        <v>1366.4772727272727</v>
      </c>
      <c r="BP97" s="48">
        <f>$G97/5280*VLOOKUP($AC97,'Cost and Score'!$B$27:$O$40,11,0)</f>
        <v>0</v>
      </c>
      <c r="BQ97" s="48">
        <f>$G97/5280*VLOOKUP($AC97,'Cost and Score'!$B$27:$O$40,12,0)</f>
        <v>136.64772727272728</v>
      </c>
      <c r="BR97" s="48">
        <f>$G97/5280*VLOOKUP($AC97,'Cost and Score'!$B$27:$O$40,13,0)</f>
        <v>163.97727272727272</v>
      </c>
      <c r="BS97" s="48">
        <f>$G97/5280*VLOOKUP($AC97,'Cost and Score'!$B$27:$O$40,14,0)</f>
        <v>0</v>
      </c>
      <c r="BT97" s="220">
        <f t="shared" si="56"/>
        <v>1.3664772727272727</v>
      </c>
    </row>
    <row r="98" spans="1:103" s="2" customFormat="1" ht="14.45" customHeight="1" x14ac:dyDescent="0.25">
      <c r="A98" s="38" t="s">
        <v>1241</v>
      </c>
      <c r="B98" s="34" t="s">
        <v>1240</v>
      </c>
      <c r="C98" s="26" t="s">
        <v>1240</v>
      </c>
      <c r="D98" s="82"/>
      <c r="E98" s="82" t="s">
        <v>209</v>
      </c>
      <c r="F98" s="82" t="s">
        <v>984</v>
      </c>
      <c r="G98" s="29">
        <v>5100</v>
      </c>
      <c r="H98" s="29">
        <f t="shared" si="62"/>
        <v>20</v>
      </c>
      <c r="I98" s="26" t="s">
        <v>8</v>
      </c>
      <c r="J98" s="26" t="s">
        <v>160</v>
      </c>
      <c r="K98" s="26">
        <f t="shared" ref="K98:K110" si="64">VLOOKUP(J98,TOWNSHIPS,2,FALSE)</f>
        <v>0</v>
      </c>
      <c r="L98" s="42">
        <v>7</v>
      </c>
      <c r="M98" s="42">
        <v>7</v>
      </c>
      <c r="N98" s="42">
        <v>7</v>
      </c>
      <c r="O98" s="83">
        <v>7</v>
      </c>
      <c r="P98" s="83">
        <v>7</v>
      </c>
      <c r="Q98" s="83">
        <v>7</v>
      </c>
      <c r="R98" s="83">
        <v>7</v>
      </c>
      <c r="S98" s="83">
        <v>7</v>
      </c>
      <c r="T98" s="83">
        <v>7</v>
      </c>
      <c r="U98" s="83">
        <v>7</v>
      </c>
      <c r="V98" s="42">
        <v>2022</v>
      </c>
      <c r="W98" s="42">
        <v>2020</v>
      </c>
      <c r="X98" s="42" t="s">
        <v>2612</v>
      </c>
      <c r="Y98" s="26">
        <v>1204</v>
      </c>
      <c r="Z98" s="26">
        <f t="shared" si="63"/>
        <v>0.5</v>
      </c>
      <c r="AA98" s="82" t="s">
        <v>138</v>
      </c>
      <c r="AB98" s="111">
        <f t="shared" si="44"/>
        <v>3.5</v>
      </c>
      <c r="AC98" s="85" t="s">
        <v>13</v>
      </c>
      <c r="AD98" s="84">
        <f t="shared" si="40"/>
        <v>20284.090909090908</v>
      </c>
      <c r="AE98" s="140"/>
      <c r="AF98" s="113"/>
      <c r="AG98" s="106">
        <v>2025</v>
      </c>
      <c r="AH98" s="26" t="str">
        <f t="shared" si="34"/>
        <v/>
      </c>
      <c r="AI98" s="26" t="str">
        <f t="shared" ref="AI98:AI118" si="65">IF($AG98=AI$1,VLOOKUP($AC98,RSL,3,FALSE),"")</f>
        <v/>
      </c>
      <c r="AJ98" s="26" t="str">
        <f t="shared" si="60"/>
        <v/>
      </c>
      <c r="AK98" s="26" t="str">
        <f t="shared" si="59"/>
        <v>Chip Seal and Fog</v>
      </c>
      <c r="AL98" s="26" t="str">
        <f t="shared" si="61"/>
        <v/>
      </c>
      <c r="AM98" s="26" t="str">
        <f t="shared" si="61"/>
        <v/>
      </c>
      <c r="AN98" s="26" t="str">
        <f t="shared" si="47"/>
        <v>Chip Seal and Fog</v>
      </c>
      <c r="AO98" s="26" t="str">
        <f t="shared" ref="AO98:AO118" si="66">IF(AY98=AO$1,VLOOKUP(AZ98,RSL,3,FALSE),"")</f>
        <v/>
      </c>
      <c r="AP98" s="26" t="str">
        <f t="shared" si="49"/>
        <v/>
      </c>
      <c r="AQ98" s="68">
        <f t="shared" si="41"/>
        <v>10</v>
      </c>
      <c r="AR98" s="68">
        <f t="shared" si="42"/>
        <v>6</v>
      </c>
      <c r="AS98" s="68">
        <f t="shared" si="50"/>
        <v>1.05</v>
      </c>
      <c r="AT98" s="68">
        <f t="shared" si="51"/>
        <v>1.05</v>
      </c>
      <c r="AU98" s="68">
        <f t="shared" si="52"/>
        <v>1.05</v>
      </c>
      <c r="AV98" s="68">
        <f t="shared" si="53"/>
        <v>1.05</v>
      </c>
      <c r="AW98" s="68">
        <f t="shared" si="54"/>
        <v>1.05</v>
      </c>
      <c r="AX98" s="68">
        <f t="shared" ca="1" si="43"/>
        <v>1.05</v>
      </c>
      <c r="AY98" s="68">
        <v>2019</v>
      </c>
      <c r="AZ98" s="68" t="s">
        <v>13</v>
      </c>
      <c r="BA98" s="106" t="str">
        <f t="shared" si="55"/>
        <v/>
      </c>
      <c r="BB98" s="178"/>
      <c r="BC98" s="178">
        <v>8</v>
      </c>
      <c r="BD98" s="178"/>
      <c r="BE98" s="178"/>
      <c r="BF98" s="178"/>
      <c r="BG98" s="178"/>
      <c r="BH98" s="178"/>
      <c r="BI98" s="33"/>
      <c r="BK98" s="48">
        <f>$G98/5280*VLOOKUP($AC98,'Cost and Score'!$B$27:$O$40,6,0)</f>
        <v>0.1931818181818182</v>
      </c>
      <c r="BL98" s="48">
        <f>$G98/5280*VLOOKUP($AC98,'Cost and Score'!$B$27:$O$40,7,0)</f>
        <v>21.25</v>
      </c>
      <c r="BM98" s="48">
        <f>$G98/5280*VLOOKUP($AC98,'Cost and Score'!$B$27:$O$40,8,0)</f>
        <v>0</v>
      </c>
      <c r="BN98" s="48">
        <f>$G98/5280*VLOOKUP($AC98,'Cost and Score'!$B$27:$O$40,9,0)</f>
        <v>4346.590909090909</v>
      </c>
      <c r="BO98" s="48">
        <f>$G98/5280*VLOOKUP($AC98,'Cost and Score'!$B$27:$O$40,10,0)</f>
        <v>965.90909090909099</v>
      </c>
      <c r="BP98" s="48">
        <f>$G98/5280*VLOOKUP($AC98,'Cost and Score'!$B$27:$O$40,11,0)</f>
        <v>0</v>
      </c>
      <c r="BQ98" s="48">
        <f>$G98/5280*VLOOKUP($AC98,'Cost and Score'!$B$27:$O$40,12,0)</f>
        <v>96.590909090909093</v>
      </c>
      <c r="BR98" s="48">
        <f>$G98/5280*VLOOKUP($AC98,'Cost and Score'!$B$27:$O$40,13,0)</f>
        <v>115.90909090909091</v>
      </c>
      <c r="BS98" s="48">
        <f>$G98/5280*VLOOKUP($AC98,'Cost and Score'!$B$27:$O$40,14,0)</f>
        <v>0</v>
      </c>
      <c r="BT98" s="220">
        <f t="shared" si="56"/>
        <v>0.96590909090909094</v>
      </c>
      <c r="CR98" s="112"/>
    </row>
    <row r="99" spans="1:103" s="2" customFormat="1" ht="14.45" customHeight="1" x14ac:dyDescent="0.25">
      <c r="A99" s="36" t="s">
        <v>433</v>
      </c>
      <c r="B99" s="34" t="s">
        <v>432</v>
      </c>
      <c r="C99" s="26" t="s">
        <v>432</v>
      </c>
      <c r="D99" s="26"/>
      <c r="E99" s="26" t="s">
        <v>140</v>
      </c>
      <c r="F99" s="26" t="s">
        <v>147</v>
      </c>
      <c r="G99" s="29">
        <v>5438</v>
      </c>
      <c r="H99" s="29">
        <f t="shared" si="62"/>
        <v>20</v>
      </c>
      <c r="I99" s="26" t="s">
        <v>8</v>
      </c>
      <c r="J99" s="26" t="s">
        <v>26</v>
      </c>
      <c r="K99" s="26">
        <f t="shared" si="64"/>
        <v>0</v>
      </c>
      <c r="L99" s="42">
        <v>6</v>
      </c>
      <c r="M99" s="42">
        <v>6</v>
      </c>
      <c r="N99" s="42">
        <v>8</v>
      </c>
      <c r="O99" s="42">
        <v>8</v>
      </c>
      <c r="P99" s="42">
        <v>7</v>
      </c>
      <c r="Q99" s="42">
        <v>7</v>
      </c>
      <c r="R99" s="42">
        <v>7</v>
      </c>
      <c r="S99" s="42">
        <v>7</v>
      </c>
      <c r="T99" s="42">
        <v>7</v>
      </c>
      <c r="U99" s="42">
        <v>7</v>
      </c>
      <c r="V99" s="42">
        <v>2024</v>
      </c>
      <c r="W99" s="42">
        <v>2020</v>
      </c>
      <c r="X99" s="42" t="s">
        <v>2612</v>
      </c>
      <c r="Y99" s="26">
        <v>1172</v>
      </c>
      <c r="Z99" s="26">
        <f t="shared" si="63"/>
        <v>0.5</v>
      </c>
      <c r="AA99" s="26" t="s">
        <v>222</v>
      </c>
      <c r="AB99" s="111">
        <f t="shared" si="44"/>
        <v>3.5</v>
      </c>
      <c r="AC99" s="85" t="s">
        <v>13</v>
      </c>
      <c r="AD99" s="47">
        <f t="shared" si="40"/>
        <v>21628.409090909092</v>
      </c>
      <c r="AE99" s="140"/>
      <c r="AF99" s="113">
        <f t="shared" ref="AF99:AF130" si="67">AD99*AE99</f>
        <v>0</v>
      </c>
      <c r="AG99" s="106">
        <v>2025</v>
      </c>
      <c r="AH99" s="26" t="str">
        <f t="shared" si="34"/>
        <v/>
      </c>
      <c r="AI99" s="26" t="str">
        <f t="shared" si="65"/>
        <v/>
      </c>
      <c r="AJ99" s="26" t="str">
        <f t="shared" si="60"/>
        <v/>
      </c>
      <c r="AK99" s="26" t="str">
        <f t="shared" si="59"/>
        <v>Chip Seal and Fog</v>
      </c>
      <c r="AL99" s="26" t="str">
        <f t="shared" si="61"/>
        <v/>
      </c>
      <c r="AM99" s="26" t="str">
        <f t="shared" si="61"/>
        <v/>
      </c>
      <c r="AN99" s="26" t="str">
        <f t="shared" si="47"/>
        <v>Chip Seal and Fog</v>
      </c>
      <c r="AO99" s="26" t="str">
        <f t="shared" si="66"/>
        <v/>
      </c>
      <c r="AP99" s="26" t="str">
        <f t="shared" si="49"/>
        <v/>
      </c>
      <c r="AQ99" s="68">
        <f t="shared" si="41"/>
        <v>12</v>
      </c>
      <c r="AR99" s="68">
        <f t="shared" si="42"/>
        <v>6</v>
      </c>
      <c r="AS99" s="68">
        <f t="shared" si="50"/>
        <v>1.1000000000000001</v>
      </c>
      <c r="AT99" s="68">
        <f t="shared" si="51"/>
        <v>1.1000000000000001</v>
      </c>
      <c r="AU99" s="68">
        <f t="shared" si="52"/>
        <v>1</v>
      </c>
      <c r="AV99" s="68">
        <f t="shared" si="53"/>
        <v>1</v>
      </c>
      <c r="AW99" s="68">
        <f t="shared" si="54"/>
        <v>1.05</v>
      </c>
      <c r="AX99" s="68">
        <f t="shared" ca="1" si="43"/>
        <v>1</v>
      </c>
      <c r="AY99" s="106">
        <v>2019</v>
      </c>
      <c r="AZ99" s="106" t="s">
        <v>13</v>
      </c>
      <c r="BA99" s="106" t="str">
        <f t="shared" si="55"/>
        <v/>
      </c>
      <c r="BB99" s="177"/>
      <c r="BC99" s="177">
        <v>7</v>
      </c>
      <c r="BD99" s="177"/>
      <c r="BE99" s="177"/>
      <c r="BF99" s="177"/>
      <c r="BG99" s="177"/>
      <c r="BH99" s="177"/>
      <c r="BI99" s="33"/>
      <c r="BK99" s="48">
        <f>$G99/5280*VLOOKUP($AC99,'Cost and Score'!$B$27:$O$40,6,0)</f>
        <v>0.20598484848484852</v>
      </c>
      <c r="BL99" s="48">
        <f>$G99/5280*VLOOKUP($AC99,'Cost and Score'!$B$27:$O$40,7,0)</f>
        <v>22.658333333333335</v>
      </c>
      <c r="BM99" s="48">
        <f>$G99/5280*VLOOKUP($AC99,'Cost and Score'!$B$27:$O$40,8,0)</f>
        <v>0</v>
      </c>
      <c r="BN99" s="48">
        <f>$G99/5280*VLOOKUP($AC99,'Cost and Score'!$B$27:$O$40,9,0)</f>
        <v>4634.659090909091</v>
      </c>
      <c r="BO99" s="48">
        <f>$G99/5280*VLOOKUP($AC99,'Cost and Score'!$B$27:$O$40,10,0)</f>
        <v>1029.9242424242425</v>
      </c>
      <c r="BP99" s="48">
        <f>$G99/5280*VLOOKUP($AC99,'Cost and Score'!$B$27:$O$40,11,0)</f>
        <v>0</v>
      </c>
      <c r="BQ99" s="48">
        <f>$G99/5280*VLOOKUP($AC99,'Cost and Score'!$B$27:$O$40,12,0)</f>
        <v>102.99242424242425</v>
      </c>
      <c r="BR99" s="48">
        <f>$G99/5280*VLOOKUP($AC99,'Cost and Score'!$B$27:$O$40,13,0)</f>
        <v>123.59090909090911</v>
      </c>
      <c r="BS99" s="48">
        <f>$G99/5280*VLOOKUP($AC99,'Cost and Score'!$B$27:$O$40,14,0)</f>
        <v>0</v>
      </c>
      <c r="BT99" s="220">
        <f t="shared" si="56"/>
        <v>1.0299242424242425</v>
      </c>
    </row>
    <row r="100" spans="1:103" s="2" customFormat="1" ht="14.45" hidden="1" customHeight="1" x14ac:dyDescent="0.25">
      <c r="A100" s="15" t="s">
        <v>279</v>
      </c>
      <c r="B100" s="34" t="s">
        <v>278</v>
      </c>
      <c r="C100" s="26" t="s">
        <v>278</v>
      </c>
      <c r="D100" s="82"/>
      <c r="E100" s="82" t="s">
        <v>213</v>
      </c>
      <c r="F100" s="82" t="s">
        <v>39</v>
      </c>
      <c r="G100" s="29">
        <v>2100</v>
      </c>
      <c r="H100" s="29">
        <f t="shared" si="62"/>
        <v>20</v>
      </c>
      <c r="I100" s="26" t="s">
        <v>8</v>
      </c>
      <c r="J100" s="26" t="s">
        <v>17</v>
      </c>
      <c r="K100" s="26">
        <f t="shared" si="64"/>
        <v>0</v>
      </c>
      <c r="L100" s="42">
        <v>7</v>
      </c>
      <c r="M100" s="42">
        <v>7</v>
      </c>
      <c r="N100" s="42">
        <v>7</v>
      </c>
      <c r="O100" s="83">
        <v>7</v>
      </c>
      <c r="P100" s="83">
        <v>7</v>
      </c>
      <c r="Q100" s="83">
        <v>9</v>
      </c>
      <c r="R100" s="83">
        <v>8</v>
      </c>
      <c r="S100" s="83">
        <v>8</v>
      </c>
      <c r="T100" s="83">
        <v>8</v>
      </c>
      <c r="U100" s="83">
        <v>8</v>
      </c>
      <c r="V100" s="42">
        <v>2024</v>
      </c>
      <c r="W100" s="42">
        <v>2019</v>
      </c>
      <c r="X100" s="42" t="s">
        <v>2612</v>
      </c>
      <c r="Y100" s="26">
        <v>1230</v>
      </c>
      <c r="Z100" s="26">
        <f t="shared" si="63"/>
        <v>0.5</v>
      </c>
      <c r="AA100" s="82" t="s">
        <v>52</v>
      </c>
      <c r="AB100" s="111">
        <f t="shared" si="44"/>
        <v>3.5</v>
      </c>
      <c r="AC100" s="82" t="s">
        <v>13</v>
      </c>
      <c r="AD100" s="84">
        <f t="shared" si="40"/>
        <v>8352.2727272727279</v>
      </c>
      <c r="AE100" s="140"/>
      <c r="AF100" s="113">
        <f t="shared" si="67"/>
        <v>0</v>
      </c>
      <c r="AG100" s="82">
        <v>2024</v>
      </c>
      <c r="AH100" s="26" t="str">
        <f t="shared" si="34"/>
        <v/>
      </c>
      <c r="AI100" s="26" t="str">
        <f t="shared" si="65"/>
        <v/>
      </c>
      <c r="AJ100" s="26" t="str">
        <f t="shared" si="60"/>
        <v>Chip Seal and Fog</v>
      </c>
      <c r="AK100" s="26" t="str">
        <f t="shared" si="59"/>
        <v/>
      </c>
      <c r="AL100" s="26" t="str">
        <f t="shared" si="61"/>
        <v/>
      </c>
      <c r="AM100" s="26" t="str">
        <f t="shared" si="61"/>
        <v/>
      </c>
      <c r="AN100" s="26" t="str">
        <f t="shared" si="47"/>
        <v>Chip Seal and Fog</v>
      </c>
      <c r="AO100" s="26" t="str">
        <f t="shared" si="66"/>
        <v/>
      </c>
      <c r="AP100" s="26" t="str">
        <f t="shared" si="49"/>
        <v/>
      </c>
      <c r="AQ100" s="68">
        <f t="shared" si="41"/>
        <v>10</v>
      </c>
      <c r="AR100" s="68">
        <f t="shared" si="42"/>
        <v>6</v>
      </c>
      <c r="AS100" s="68">
        <f t="shared" si="50"/>
        <v>1.05</v>
      </c>
      <c r="AT100" s="68">
        <f t="shared" si="51"/>
        <v>1.05</v>
      </c>
      <c r="AU100" s="68">
        <f t="shared" si="52"/>
        <v>1.05</v>
      </c>
      <c r="AV100" s="68">
        <f t="shared" si="53"/>
        <v>1.05</v>
      </c>
      <c r="AW100" s="68">
        <f t="shared" si="54"/>
        <v>1.05</v>
      </c>
      <c r="AX100" s="68">
        <f t="shared" ca="1" si="43"/>
        <v>0</v>
      </c>
      <c r="AY100" s="106">
        <v>2018</v>
      </c>
      <c r="AZ100" s="106" t="s">
        <v>13</v>
      </c>
      <c r="BA100" s="106" t="str">
        <f t="shared" si="55"/>
        <v>CS</v>
      </c>
      <c r="BB100" s="177"/>
      <c r="BC100" s="177">
        <v>5</v>
      </c>
      <c r="BD100" s="177"/>
      <c r="BE100" s="177"/>
      <c r="BF100" s="177"/>
      <c r="BG100" s="177"/>
      <c r="BH100" s="177"/>
      <c r="BI100" s="33"/>
      <c r="BK100" s="48">
        <f>$G100/5280*VLOOKUP($AC100,'Cost and Score'!$B$27:$O$40,6,0)</f>
        <v>7.9545454545454544E-2</v>
      </c>
      <c r="BL100" s="48">
        <f>$G100/5280*VLOOKUP($AC100,'Cost and Score'!$B$27:$O$40,7,0)</f>
        <v>8.75</v>
      </c>
      <c r="BM100" s="48">
        <f>$G100/5280*VLOOKUP($AC100,'Cost and Score'!$B$27:$O$40,8,0)</f>
        <v>0</v>
      </c>
      <c r="BN100" s="48">
        <f>$G100/5280*VLOOKUP($AC100,'Cost and Score'!$B$27:$O$40,9,0)</f>
        <v>1789.7727272727273</v>
      </c>
      <c r="BO100" s="48">
        <f>$G100/5280*VLOOKUP($AC100,'Cost and Score'!$B$27:$O$40,10,0)</f>
        <v>397.72727272727269</v>
      </c>
      <c r="BP100" s="48">
        <f>$G100/5280*VLOOKUP($AC100,'Cost and Score'!$B$27:$O$40,11,0)</f>
        <v>0</v>
      </c>
      <c r="BQ100" s="48">
        <f>$G100/5280*VLOOKUP($AC100,'Cost and Score'!$B$27:$O$40,12,0)</f>
        <v>39.772727272727273</v>
      </c>
      <c r="BR100" s="48">
        <f>$G100/5280*VLOOKUP($AC100,'Cost and Score'!$B$27:$O$40,13,0)</f>
        <v>47.727272727272727</v>
      </c>
      <c r="BS100" s="48">
        <f>$G100/5280*VLOOKUP($AC100,'Cost and Score'!$B$27:$O$40,14,0)</f>
        <v>0</v>
      </c>
      <c r="BT100" s="220">
        <f t="shared" si="56"/>
        <v>0.39772727272727271</v>
      </c>
    </row>
    <row r="101" spans="1:103" s="2" customFormat="1" ht="14.45" hidden="1" customHeight="1" x14ac:dyDescent="0.25">
      <c r="A101" s="15" t="s">
        <v>282</v>
      </c>
      <c r="B101" s="34" t="s">
        <v>280</v>
      </c>
      <c r="C101" s="26" t="s">
        <v>280</v>
      </c>
      <c r="D101" s="26"/>
      <c r="E101" s="26" t="s">
        <v>281</v>
      </c>
      <c r="F101" s="26" t="s">
        <v>20</v>
      </c>
      <c r="G101" s="29">
        <v>2650</v>
      </c>
      <c r="H101" s="29">
        <f t="shared" si="62"/>
        <v>20</v>
      </c>
      <c r="I101" s="26" t="s">
        <v>8</v>
      </c>
      <c r="J101" s="26" t="s">
        <v>11</v>
      </c>
      <c r="K101" s="26">
        <f t="shared" si="64"/>
        <v>0</v>
      </c>
      <c r="L101" s="42">
        <v>7</v>
      </c>
      <c r="M101" s="42">
        <v>6</v>
      </c>
      <c r="N101" s="42">
        <v>6</v>
      </c>
      <c r="O101" s="42">
        <v>6</v>
      </c>
      <c r="P101" s="42">
        <v>6</v>
      </c>
      <c r="Q101" s="42">
        <v>5</v>
      </c>
      <c r="R101" s="42">
        <v>5</v>
      </c>
      <c r="S101" s="42">
        <v>5</v>
      </c>
      <c r="T101" s="42">
        <v>5</v>
      </c>
      <c r="U101" s="42">
        <v>5</v>
      </c>
      <c r="V101" s="42"/>
      <c r="W101" s="42"/>
      <c r="X101" s="42"/>
      <c r="Y101" s="26">
        <v>50</v>
      </c>
      <c r="Z101" s="26">
        <f t="shared" si="63"/>
        <v>0</v>
      </c>
      <c r="AA101" s="26" t="s">
        <v>55</v>
      </c>
      <c r="AB101" s="111">
        <f t="shared" si="44"/>
        <v>4</v>
      </c>
      <c r="AC101" s="26" t="s">
        <v>13</v>
      </c>
      <c r="AD101" s="47">
        <f t="shared" si="40"/>
        <v>10539.772727272728</v>
      </c>
      <c r="AE101" s="140"/>
      <c r="AF101" s="113">
        <f t="shared" si="67"/>
        <v>0</v>
      </c>
      <c r="AG101" s="26">
        <v>2022</v>
      </c>
      <c r="AH101" s="26" t="str">
        <f t="shared" si="34"/>
        <v>Chip Seal and Fog</v>
      </c>
      <c r="AI101" s="26" t="str">
        <f t="shared" si="65"/>
        <v/>
      </c>
      <c r="AJ101" s="26" t="str">
        <f t="shared" si="60"/>
        <v/>
      </c>
      <c r="AK101" s="26" t="str">
        <f t="shared" si="59"/>
        <v/>
      </c>
      <c r="AL101" s="26" t="str">
        <f t="shared" si="61"/>
        <v/>
      </c>
      <c r="AM101" s="26" t="str">
        <f t="shared" si="61"/>
        <v/>
      </c>
      <c r="AN101" s="26" t="str">
        <f t="shared" si="47"/>
        <v>Chip Seal and Fog</v>
      </c>
      <c r="AO101" s="26" t="str">
        <f t="shared" si="66"/>
        <v/>
      </c>
      <c r="AP101" s="26" t="str">
        <f t="shared" si="49"/>
        <v/>
      </c>
      <c r="AQ101" s="68">
        <f t="shared" si="41"/>
        <v>8</v>
      </c>
      <c r="AR101" s="68">
        <f t="shared" si="42"/>
        <v>6</v>
      </c>
      <c r="AS101" s="68">
        <f t="shared" si="50"/>
        <v>1.05</v>
      </c>
      <c r="AT101" s="68">
        <f t="shared" si="51"/>
        <v>1.1000000000000001</v>
      </c>
      <c r="AU101" s="68">
        <f t="shared" si="52"/>
        <v>1.1000000000000001</v>
      </c>
      <c r="AV101" s="68">
        <f t="shared" si="53"/>
        <v>1.1000000000000001</v>
      </c>
      <c r="AW101" s="68">
        <f t="shared" si="54"/>
        <v>1.1000000000000001</v>
      </c>
      <c r="AX101" s="68">
        <f t="shared" ca="1" si="43"/>
        <v>-2.2000000000000002</v>
      </c>
      <c r="AY101" s="106"/>
      <c r="AZ101" s="106"/>
      <c r="BA101" s="106" t="str">
        <f t="shared" si="55"/>
        <v/>
      </c>
      <c r="BB101" s="177">
        <v>8</v>
      </c>
      <c r="BC101" s="177">
        <v>4</v>
      </c>
      <c r="BD101" s="177"/>
      <c r="BE101" s="177"/>
      <c r="BF101" s="177"/>
      <c r="BG101" s="177"/>
      <c r="BH101" s="177"/>
      <c r="BI101" s="33"/>
      <c r="BK101" s="48">
        <f>$G101/5280*VLOOKUP($AC101,'Cost and Score'!$B$27:$O$40,6,0)</f>
        <v>0.1003787878787879</v>
      </c>
      <c r="BL101" s="48">
        <f>$G101/5280*VLOOKUP($AC101,'Cost and Score'!$B$27:$O$40,7,0)</f>
        <v>11.041666666666668</v>
      </c>
      <c r="BM101" s="48">
        <f>$G101/5280*VLOOKUP($AC101,'Cost and Score'!$B$27:$O$40,8,0)</f>
        <v>0</v>
      </c>
      <c r="BN101" s="48">
        <f>$G101/5280*VLOOKUP($AC101,'Cost and Score'!$B$27:$O$40,9,0)</f>
        <v>2258.5227272727275</v>
      </c>
      <c r="BO101" s="48">
        <f>$G101/5280*VLOOKUP($AC101,'Cost and Score'!$B$27:$O$40,10,0)</f>
        <v>501.89393939393943</v>
      </c>
      <c r="BP101" s="48">
        <f>$G101/5280*VLOOKUP($AC101,'Cost and Score'!$B$27:$O$40,11,0)</f>
        <v>0</v>
      </c>
      <c r="BQ101" s="48">
        <f>$G101/5280*VLOOKUP($AC101,'Cost and Score'!$B$27:$O$40,12,0)</f>
        <v>50.189393939393945</v>
      </c>
      <c r="BR101" s="48">
        <f>$G101/5280*VLOOKUP($AC101,'Cost and Score'!$B$27:$O$40,13,0)</f>
        <v>60.227272727272734</v>
      </c>
      <c r="BS101" s="48">
        <f>$G101/5280*VLOOKUP($AC101,'Cost and Score'!$B$27:$O$40,14,0)</f>
        <v>0</v>
      </c>
      <c r="BT101" s="220">
        <f t="shared" si="56"/>
        <v>0.50189393939393945</v>
      </c>
    </row>
    <row r="102" spans="1:103" s="2" customFormat="1" ht="14.45" customHeight="1" x14ac:dyDescent="0.25">
      <c r="A102" s="36" t="s">
        <v>435</v>
      </c>
      <c r="B102" s="34" t="s">
        <v>434</v>
      </c>
      <c r="C102" s="26" t="s">
        <v>434</v>
      </c>
      <c r="D102" s="26"/>
      <c r="E102" s="26" t="s">
        <v>147</v>
      </c>
      <c r="F102" s="26" t="s">
        <v>149</v>
      </c>
      <c r="G102" s="29">
        <v>2746</v>
      </c>
      <c r="H102" s="29">
        <f t="shared" si="62"/>
        <v>20</v>
      </c>
      <c r="I102" s="26" t="s">
        <v>8</v>
      </c>
      <c r="J102" s="26" t="s">
        <v>26</v>
      </c>
      <c r="K102" s="26">
        <f t="shared" si="64"/>
        <v>0</v>
      </c>
      <c r="L102" s="42">
        <v>5</v>
      </c>
      <c r="M102" s="42">
        <v>5</v>
      </c>
      <c r="N102" s="42">
        <v>8</v>
      </c>
      <c r="O102" s="42">
        <v>8</v>
      </c>
      <c r="P102" s="42">
        <v>7</v>
      </c>
      <c r="Q102" s="42">
        <v>7</v>
      </c>
      <c r="R102" s="42">
        <v>7</v>
      </c>
      <c r="S102" s="42">
        <v>7</v>
      </c>
      <c r="T102" s="42">
        <v>7</v>
      </c>
      <c r="U102" s="42">
        <v>7</v>
      </c>
      <c r="V102" s="42">
        <v>2024</v>
      </c>
      <c r="W102" s="42">
        <v>2020</v>
      </c>
      <c r="X102" s="42" t="s">
        <v>2612</v>
      </c>
      <c r="Y102" s="26">
        <v>1141</v>
      </c>
      <c r="Z102" s="26">
        <f t="shared" si="63"/>
        <v>0.5</v>
      </c>
      <c r="AA102" s="26" t="s">
        <v>222</v>
      </c>
      <c r="AB102" s="111">
        <f t="shared" si="44"/>
        <v>3.5</v>
      </c>
      <c r="AC102" s="85" t="s">
        <v>13</v>
      </c>
      <c r="AD102" s="47">
        <f t="shared" si="40"/>
        <v>10921.59090909091</v>
      </c>
      <c r="AE102" s="140"/>
      <c r="AF102" s="113">
        <f t="shared" si="67"/>
        <v>0</v>
      </c>
      <c r="AG102" s="106">
        <v>2025</v>
      </c>
      <c r="AH102" s="26" t="str">
        <f t="shared" si="34"/>
        <v/>
      </c>
      <c r="AI102" s="26" t="str">
        <f t="shared" si="65"/>
        <v/>
      </c>
      <c r="AJ102" s="26" t="str">
        <f t="shared" si="60"/>
        <v/>
      </c>
      <c r="AK102" s="26" t="str">
        <f t="shared" si="59"/>
        <v>Chip Seal and Fog</v>
      </c>
      <c r="AL102" s="26" t="str">
        <f t="shared" si="61"/>
        <v/>
      </c>
      <c r="AM102" s="26" t="str">
        <f t="shared" si="61"/>
        <v/>
      </c>
      <c r="AN102" s="26" t="str">
        <f t="shared" si="47"/>
        <v>Chip Seal and Fog</v>
      </c>
      <c r="AO102" s="26" t="str">
        <f t="shared" si="66"/>
        <v/>
      </c>
      <c r="AP102" s="26" t="str">
        <f t="shared" si="49"/>
        <v/>
      </c>
      <c r="AQ102" s="68">
        <f t="shared" si="41"/>
        <v>12</v>
      </c>
      <c r="AR102" s="68">
        <f t="shared" si="42"/>
        <v>6</v>
      </c>
      <c r="AS102" s="68">
        <f t="shared" si="50"/>
        <v>1.25</v>
      </c>
      <c r="AT102" s="68">
        <f t="shared" si="51"/>
        <v>1.25</v>
      </c>
      <c r="AU102" s="68">
        <f t="shared" si="52"/>
        <v>1</v>
      </c>
      <c r="AV102" s="68">
        <f t="shared" si="53"/>
        <v>1</v>
      </c>
      <c r="AW102" s="68">
        <f t="shared" si="54"/>
        <v>1.05</v>
      </c>
      <c r="AX102" s="68">
        <f t="shared" ca="1" si="43"/>
        <v>1</v>
      </c>
      <c r="AY102" s="106">
        <v>2019</v>
      </c>
      <c r="AZ102" s="106" t="s">
        <v>13</v>
      </c>
      <c r="BA102" s="106" t="str">
        <f t="shared" si="55"/>
        <v/>
      </c>
      <c r="BB102" s="177"/>
      <c r="BC102" s="177">
        <v>7</v>
      </c>
      <c r="BD102" s="177"/>
      <c r="BE102" s="177"/>
      <c r="BF102" s="177"/>
      <c r="BG102" s="177"/>
      <c r="BH102" s="177"/>
      <c r="BI102" s="33"/>
      <c r="BK102" s="48">
        <f>$G102/5280*VLOOKUP($AC102,'Cost and Score'!$B$27:$O$40,6,0)</f>
        <v>0.1040151515151515</v>
      </c>
      <c r="BL102" s="48">
        <f>$G102/5280*VLOOKUP($AC102,'Cost and Score'!$B$27:$O$40,7,0)</f>
        <v>11.441666666666666</v>
      </c>
      <c r="BM102" s="48">
        <f>$G102/5280*VLOOKUP($AC102,'Cost and Score'!$B$27:$O$40,8,0)</f>
        <v>0</v>
      </c>
      <c r="BN102" s="48">
        <f>$G102/5280*VLOOKUP($AC102,'Cost and Score'!$B$27:$O$40,9,0)</f>
        <v>2340.340909090909</v>
      </c>
      <c r="BO102" s="48">
        <f>$G102/5280*VLOOKUP($AC102,'Cost and Score'!$B$27:$O$40,10,0)</f>
        <v>520.07575757575751</v>
      </c>
      <c r="BP102" s="48">
        <f>$G102/5280*VLOOKUP($AC102,'Cost and Score'!$B$27:$O$40,11,0)</f>
        <v>0</v>
      </c>
      <c r="BQ102" s="48">
        <f>$G102/5280*VLOOKUP($AC102,'Cost and Score'!$B$27:$O$40,12,0)</f>
        <v>52.007575757575751</v>
      </c>
      <c r="BR102" s="48">
        <f>$G102/5280*VLOOKUP($AC102,'Cost and Score'!$B$27:$O$40,13,0)</f>
        <v>62.409090909090907</v>
      </c>
      <c r="BS102" s="48">
        <f>$G102/5280*VLOOKUP($AC102,'Cost and Score'!$B$27:$O$40,14,0)</f>
        <v>0</v>
      </c>
      <c r="BT102" s="220">
        <f t="shared" si="56"/>
        <v>0.52007575757575752</v>
      </c>
      <c r="CW102" s="112"/>
      <c r="CX102" s="112"/>
      <c r="CY102" s="112"/>
    </row>
    <row r="103" spans="1:103" s="2" customFormat="1" ht="14.45" customHeight="1" x14ac:dyDescent="0.25">
      <c r="A103" s="36" t="s">
        <v>431</v>
      </c>
      <c r="B103" s="34" t="s">
        <v>430</v>
      </c>
      <c r="C103" s="26" t="s">
        <v>430</v>
      </c>
      <c r="D103" s="26"/>
      <c r="E103" s="26" t="s">
        <v>73</v>
      </c>
      <c r="F103" s="26" t="s">
        <v>140</v>
      </c>
      <c r="G103" s="29">
        <v>4400</v>
      </c>
      <c r="H103" s="29">
        <f t="shared" si="62"/>
        <v>20</v>
      </c>
      <c r="I103" s="26" t="s">
        <v>8</v>
      </c>
      <c r="J103" s="26" t="s">
        <v>26</v>
      </c>
      <c r="K103" s="26">
        <f t="shared" si="64"/>
        <v>0</v>
      </c>
      <c r="L103" s="42">
        <v>6</v>
      </c>
      <c r="M103" s="42">
        <v>6</v>
      </c>
      <c r="N103" s="42">
        <v>8</v>
      </c>
      <c r="O103" s="42">
        <v>8</v>
      </c>
      <c r="P103" s="42">
        <v>7</v>
      </c>
      <c r="Q103" s="42">
        <v>7</v>
      </c>
      <c r="R103" s="42">
        <v>7</v>
      </c>
      <c r="S103" s="42">
        <v>7</v>
      </c>
      <c r="T103" s="42">
        <v>7</v>
      </c>
      <c r="U103" s="42">
        <v>7</v>
      </c>
      <c r="V103" s="42">
        <v>2024</v>
      </c>
      <c r="W103" s="42">
        <v>2020</v>
      </c>
      <c r="X103" s="42" t="s">
        <v>2612</v>
      </c>
      <c r="Y103" s="26">
        <v>1137</v>
      </c>
      <c r="Z103" s="26">
        <f t="shared" si="63"/>
        <v>0.5</v>
      </c>
      <c r="AA103" s="26" t="s">
        <v>222</v>
      </c>
      <c r="AB103" s="111">
        <f t="shared" si="44"/>
        <v>3.5</v>
      </c>
      <c r="AC103" s="85" t="s">
        <v>13</v>
      </c>
      <c r="AD103" s="47">
        <f t="shared" si="40"/>
        <v>17500</v>
      </c>
      <c r="AE103" s="140"/>
      <c r="AF103" s="113">
        <f t="shared" si="67"/>
        <v>0</v>
      </c>
      <c r="AG103" s="106">
        <v>2025</v>
      </c>
      <c r="AH103" s="26" t="str">
        <f t="shared" si="34"/>
        <v/>
      </c>
      <c r="AI103" s="26" t="str">
        <f t="shared" si="65"/>
        <v/>
      </c>
      <c r="AJ103" s="26" t="str">
        <f t="shared" si="60"/>
        <v/>
      </c>
      <c r="AK103" s="26" t="str">
        <f t="shared" si="59"/>
        <v>Chip Seal and Fog</v>
      </c>
      <c r="AL103" s="26" t="str">
        <f t="shared" si="61"/>
        <v/>
      </c>
      <c r="AM103" s="26" t="str">
        <f t="shared" si="61"/>
        <v/>
      </c>
      <c r="AN103" s="26" t="str">
        <f t="shared" si="47"/>
        <v>Chip Seal and Fog</v>
      </c>
      <c r="AO103" s="26" t="str">
        <f t="shared" si="66"/>
        <v/>
      </c>
      <c r="AP103" s="26" t="str">
        <f t="shared" si="49"/>
        <v/>
      </c>
      <c r="AQ103" s="68">
        <f t="shared" si="41"/>
        <v>12</v>
      </c>
      <c r="AR103" s="68">
        <f t="shared" si="42"/>
        <v>6</v>
      </c>
      <c r="AS103" s="68">
        <f t="shared" si="50"/>
        <v>1.1000000000000001</v>
      </c>
      <c r="AT103" s="68">
        <f t="shared" si="51"/>
        <v>1.1000000000000001</v>
      </c>
      <c r="AU103" s="68">
        <f t="shared" si="52"/>
        <v>1</v>
      </c>
      <c r="AV103" s="68">
        <f t="shared" si="53"/>
        <v>1</v>
      </c>
      <c r="AW103" s="68">
        <f t="shared" si="54"/>
        <v>1.05</v>
      </c>
      <c r="AX103" s="68">
        <f t="shared" ca="1" si="43"/>
        <v>1</v>
      </c>
      <c r="AY103" s="106">
        <v>2019</v>
      </c>
      <c r="AZ103" s="106" t="s">
        <v>13</v>
      </c>
      <c r="BA103" s="106" t="str">
        <f t="shared" si="55"/>
        <v/>
      </c>
      <c r="BB103" s="177"/>
      <c r="BC103" s="177">
        <v>7</v>
      </c>
      <c r="BD103" s="177"/>
      <c r="BE103" s="177"/>
      <c r="BF103" s="177"/>
      <c r="BG103" s="177"/>
      <c r="BH103" s="177"/>
      <c r="BI103" s="33"/>
      <c r="BK103" s="48">
        <f>$G103/5280*VLOOKUP($AC103,'Cost and Score'!$B$27:$O$40,6,0)</f>
        <v>0.16666666666666669</v>
      </c>
      <c r="BL103" s="48">
        <f>$G103/5280*VLOOKUP($AC103,'Cost and Score'!$B$27:$O$40,7,0)</f>
        <v>18.333333333333336</v>
      </c>
      <c r="BM103" s="48">
        <f>$G103/5280*VLOOKUP($AC103,'Cost and Score'!$B$27:$O$40,8,0)</f>
        <v>0</v>
      </c>
      <c r="BN103" s="48">
        <f>$G103/5280*VLOOKUP($AC103,'Cost and Score'!$B$27:$O$40,9,0)</f>
        <v>3750</v>
      </c>
      <c r="BO103" s="48">
        <f>$G103/5280*VLOOKUP($AC103,'Cost and Score'!$B$27:$O$40,10,0)</f>
        <v>833.33333333333337</v>
      </c>
      <c r="BP103" s="48">
        <f>$G103/5280*VLOOKUP($AC103,'Cost and Score'!$B$27:$O$40,11,0)</f>
        <v>0</v>
      </c>
      <c r="BQ103" s="48">
        <f>$G103/5280*VLOOKUP($AC103,'Cost and Score'!$B$27:$O$40,12,0)</f>
        <v>83.333333333333343</v>
      </c>
      <c r="BR103" s="48">
        <f>$G103/5280*VLOOKUP($AC103,'Cost and Score'!$B$27:$O$40,13,0)</f>
        <v>100</v>
      </c>
      <c r="BS103" s="48">
        <f>$G103/5280*VLOOKUP($AC103,'Cost and Score'!$B$27:$O$40,14,0)</f>
        <v>0</v>
      </c>
      <c r="BT103" s="220">
        <f t="shared" si="56"/>
        <v>0.83333333333333337</v>
      </c>
      <c r="CW103" s="112"/>
      <c r="CX103" s="112"/>
      <c r="CY103" s="112"/>
    </row>
    <row r="104" spans="1:103" s="2" customFormat="1" ht="14.45" hidden="1" customHeight="1" x14ac:dyDescent="0.25">
      <c r="A104" s="15" t="s">
        <v>285</v>
      </c>
      <c r="B104" s="34" t="s">
        <v>284</v>
      </c>
      <c r="C104" s="26" t="s">
        <v>284</v>
      </c>
      <c r="D104" s="26"/>
      <c r="E104" s="26" t="s">
        <v>104</v>
      </c>
      <c r="F104" s="26" t="s">
        <v>116</v>
      </c>
      <c r="G104" s="29">
        <v>4002</v>
      </c>
      <c r="H104" s="29">
        <f t="shared" si="62"/>
        <v>20</v>
      </c>
      <c r="I104" s="26" t="s">
        <v>13</v>
      </c>
      <c r="J104" s="26" t="s">
        <v>6</v>
      </c>
      <c r="K104" s="26">
        <f t="shared" si="64"/>
        <v>0</v>
      </c>
      <c r="L104" s="42">
        <v>5</v>
      </c>
      <c r="M104" s="42">
        <v>5</v>
      </c>
      <c r="N104" s="42">
        <v>10</v>
      </c>
      <c r="O104" s="42">
        <v>9</v>
      </c>
      <c r="P104" s="42">
        <v>9</v>
      </c>
      <c r="Q104" s="42">
        <v>8</v>
      </c>
      <c r="R104" s="42">
        <v>7</v>
      </c>
      <c r="S104" s="42">
        <v>7</v>
      </c>
      <c r="T104" s="42">
        <v>7</v>
      </c>
      <c r="U104" s="42">
        <v>7</v>
      </c>
      <c r="V104" s="42"/>
      <c r="W104" s="42"/>
      <c r="X104" s="42"/>
      <c r="Y104" s="26">
        <v>71</v>
      </c>
      <c r="Z104" s="26">
        <f t="shared" si="63"/>
        <v>0</v>
      </c>
      <c r="AA104" s="26" t="s">
        <v>55</v>
      </c>
      <c r="AB104" s="111">
        <f t="shared" si="44"/>
        <v>1</v>
      </c>
      <c r="AC104" s="26" t="s">
        <v>13</v>
      </c>
      <c r="AD104" s="47">
        <f t="shared" si="40"/>
        <v>15917.045454545454</v>
      </c>
      <c r="AE104" s="140">
        <v>1</v>
      </c>
      <c r="AF104" s="113">
        <f t="shared" si="67"/>
        <v>15917.045454545454</v>
      </c>
      <c r="AG104" s="26">
        <v>2023</v>
      </c>
      <c r="AH104" s="26" t="str">
        <f t="shared" si="34"/>
        <v/>
      </c>
      <c r="AI104" s="26" t="str">
        <f t="shared" si="65"/>
        <v>Chip Seal and Fog</v>
      </c>
      <c r="AJ104" s="26" t="str">
        <f t="shared" si="60"/>
        <v/>
      </c>
      <c r="AK104" s="26" t="str">
        <f t="shared" si="59"/>
        <v/>
      </c>
      <c r="AL104" s="26" t="str">
        <f t="shared" si="61"/>
        <v/>
      </c>
      <c r="AM104" s="26" t="str">
        <f t="shared" si="61"/>
        <v/>
      </c>
      <c r="AN104" s="26" t="str">
        <f t="shared" si="47"/>
        <v>Chip Seal and Fog</v>
      </c>
      <c r="AO104" s="26" t="str">
        <f t="shared" si="66"/>
        <v/>
      </c>
      <c r="AP104" s="26" t="str">
        <f t="shared" si="49"/>
        <v/>
      </c>
      <c r="AQ104" s="68">
        <f t="shared" si="41"/>
        <v>14</v>
      </c>
      <c r="AR104" s="68">
        <f t="shared" si="42"/>
        <v>6</v>
      </c>
      <c r="AS104" s="68">
        <f t="shared" si="50"/>
        <v>1.25</v>
      </c>
      <c r="AT104" s="68">
        <f t="shared" si="51"/>
        <v>1.25</v>
      </c>
      <c r="AU104" s="68">
        <f t="shared" si="52"/>
        <v>1</v>
      </c>
      <c r="AV104" s="68">
        <f t="shared" si="53"/>
        <v>1</v>
      </c>
      <c r="AW104" s="68">
        <f t="shared" si="54"/>
        <v>1</v>
      </c>
      <c r="AX104" s="68">
        <f t="shared" ca="1" si="43"/>
        <v>-1</v>
      </c>
      <c r="AY104" s="106">
        <v>2023</v>
      </c>
      <c r="AZ104" s="106" t="s">
        <v>13</v>
      </c>
      <c r="BA104" s="106" t="str">
        <f t="shared" si="55"/>
        <v/>
      </c>
      <c r="BB104" s="177"/>
      <c r="BC104" s="177">
        <v>8</v>
      </c>
      <c r="BD104" s="177"/>
      <c r="BE104" s="177"/>
      <c r="BF104" s="177"/>
      <c r="BG104" s="177"/>
      <c r="BH104" s="177"/>
      <c r="BI104" s="33"/>
      <c r="BK104" s="48">
        <f>$G104/5280*VLOOKUP($AC104,'Cost and Score'!$B$27:$O$40,6,0)</f>
        <v>0.15159090909090911</v>
      </c>
      <c r="BL104" s="48">
        <f>$G104/5280*VLOOKUP($AC104,'Cost and Score'!$B$27:$O$40,7,0)</f>
        <v>16.675000000000001</v>
      </c>
      <c r="BM104" s="48">
        <f>$G104/5280*VLOOKUP($AC104,'Cost and Score'!$B$27:$O$40,8,0)</f>
        <v>0</v>
      </c>
      <c r="BN104" s="48">
        <f>$G104/5280*VLOOKUP($AC104,'Cost and Score'!$B$27:$O$40,9,0)</f>
        <v>3410.7954545454545</v>
      </c>
      <c r="BO104" s="48">
        <f>$G104/5280*VLOOKUP($AC104,'Cost and Score'!$B$27:$O$40,10,0)</f>
        <v>757.95454545454538</v>
      </c>
      <c r="BP104" s="48">
        <f>$G104/5280*VLOOKUP($AC104,'Cost and Score'!$B$27:$O$40,11,0)</f>
        <v>0</v>
      </c>
      <c r="BQ104" s="48">
        <f>$G104/5280*VLOOKUP($AC104,'Cost and Score'!$B$27:$O$40,12,0)</f>
        <v>75.795454545454547</v>
      </c>
      <c r="BR104" s="48">
        <f>$G104/5280*VLOOKUP($AC104,'Cost and Score'!$B$27:$O$40,13,0)</f>
        <v>90.954545454545453</v>
      </c>
      <c r="BS104" s="48">
        <f>$G104/5280*VLOOKUP($AC104,'Cost and Score'!$B$27:$O$40,14,0)</f>
        <v>0</v>
      </c>
      <c r="BT104" s="220">
        <f t="shared" si="56"/>
        <v>0.75795454545454544</v>
      </c>
    </row>
    <row r="105" spans="1:103" s="112" customFormat="1" ht="14.45" hidden="1" customHeight="1" x14ac:dyDescent="0.25">
      <c r="A105" s="15" t="s">
        <v>2131</v>
      </c>
      <c r="B105" s="108" t="s">
        <v>287</v>
      </c>
      <c r="C105" s="106" t="s">
        <v>287</v>
      </c>
      <c r="D105" s="106"/>
      <c r="E105" s="106" t="s">
        <v>288</v>
      </c>
      <c r="F105" s="106" t="s">
        <v>153</v>
      </c>
      <c r="G105" s="109">
        <v>5350</v>
      </c>
      <c r="H105" s="109">
        <f t="shared" si="62"/>
        <v>20</v>
      </c>
      <c r="I105" s="106" t="s">
        <v>751</v>
      </c>
      <c r="J105" s="106" t="s">
        <v>26</v>
      </c>
      <c r="K105" s="106">
        <f t="shared" si="64"/>
        <v>0</v>
      </c>
      <c r="L105" s="110">
        <v>7</v>
      </c>
      <c r="M105" s="110">
        <v>6</v>
      </c>
      <c r="N105" s="110">
        <v>6</v>
      </c>
      <c r="O105" s="110">
        <v>6</v>
      </c>
      <c r="P105" s="110">
        <v>8</v>
      </c>
      <c r="Q105" s="110">
        <v>8</v>
      </c>
      <c r="R105" s="110">
        <v>8</v>
      </c>
      <c r="S105" s="110">
        <v>7</v>
      </c>
      <c r="T105" s="110">
        <v>7</v>
      </c>
      <c r="U105" s="110">
        <v>7</v>
      </c>
      <c r="V105" s="110"/>
      <c r="W105" s="110"/>
      <c r="X105" s="110"/>
      <c r="Y105" s="106">
        <v>50</v>
      </c>
      <c r="Z105" s="106">
        <f t="shared" si="63"/>
        <v>0</v>
      </c>
      <c r="AA105" s="106" t="s">
        <v>217</v>
      </c>
      <c r="AB105" s="111">
        <f t="shared" si="44"/>
        <v>2</v>
      </c>
      <c r="AC105" s="85" t="s">
        <v>2075</v>
      </c>
      <c r="AD105" s="107">
        <f t="shared" si="40"/>
        <v>5471.590909090909</v>
      </c>
      <c r="AE105" s="198"/>
      <c r="AF105" s="113">
        <f t="shared" si="67"/>
        <v>0</v>
      </c>
      <c r="AG105" s="106">
        <v>2022</v>
      </c>
      <c r="AH105" s="26" t="str">
        <f t="shared" si="34"/>
        <v>Crack Seal</v>
      </c>
      <c r="AI105" s="26" t="str">
        <f t="shared" si="65"/>
        <v/>
      </c>
      <c r="AJ105" s="26" t="str">
        <f t="shared" si="60"/>
        <v/>
      </c>
      <c r="AK105" s="26" t="str">
        <f t="shared" si="59"/>
        <v/>
      </c>
      <c r="AL105" s="26" t="str">
        <f t="shared" si="61"/>
        <v/>
      </c>
      <c r="AM105" s="26" t="str">
        <f t="shared" si="61"/>
        <v/>
      </c>
      <c r="AN105" s="26" t="str">
        <f t="shared" si="47"/>
        <v>Crack Seal</v>
      </c>
      <c r="AO105" s="26" t="str">
        <f t="shared" si="66"/>
        <v/>
      </c>
      <c r="AP105" s="26" t="str">
        <f t="shared" si="49"/>
        <v/>
      </c>
      <c r="AQ105" s="68">
        <f t="shared" si="41"/>
        <v>8</v>
      </c>
      <c r="AR105" s="68">
        <f t="shared" si="42"/>
        <v>3</v>
      </c>
      <c r="AS105" s="68">
        <f t="shared" si="50"/>
        <v>1.05</v>
      </c>
      <c r="AT105" s="68">
        <f t="shared" si="51"/>
        <v>1.1000000000000001</v>
      </c>
      <c r="AU105" s="68">
        <f t="shared" si="52"/>
        <v>1.1000000000000001</v>
      </c>
      <c r="AV105" s="68">
        <f t="shared" si="53"/>
        <v>1.1000000000000001</v>
      </c>
      <c r="AW105" s="68">
        <f t="shared" si="54"/>
        <v>1</v>
      </c>
      <c r="AX105" s="68">
        <f t="shared" ca="1" si="43"/>
        <v>-2.2000000000000002</v>
      </c>
      <c r="AY105" s="106">
        <v>2017</v>
      </c>
      <c r="AZ105" s="106" t="s">
        <v>751</v>
      </c>
      <c r="BA105" s="106" t="str">
        <f t="shared" si="55"/>
        <v/>
      </c>
      <c r="BB105" s="177"/>
      <c r="BC105" s="177">
        <v>7</v>
      </c>
      <c r="BD105" s="177"/>
      <c r="BE105" s="177"/>
      <c r="BF105" s="177"/>
      <c r="BG105" s="177"/>
      <c r="BH105" s="177"/>
      <c r="BI105" s="33"/>
      <c r="BJ105" s="2"/>
      <c r="BK105" s="48">
        <f>$G105/5280*VLOOKUP($AC105,'Cost and Score'!$B$27:$O$40,6,0)</f>
        <v>1.0132575757575757</v>
      </c>
      <c r="BL105" s="48">
        <f>$G105/5280*VLOOKUP($AC105,'Cost and Score'!$B$27:$O$40,7,0)</f>
        <v>0</v>
      </c>
      <c r="BM105" s="48">
        <f>$G105/5280*VLOOKUP($AC105,'Cost and Score'!$B$27:$O$40,8,0)</f>
        <v>0</v>
      </c>
      <c r="BN105" s="48">
        <f>$G105/5280*VLOOKUP($AC105,'Cost and Score'!$B$27:$O$40,9,0)</f>
        <v>0</v>
      </c>
      <c r="BO105" s="48">
        <f>$G105/5280*VLOOKUP($AC105,'Cost and Score'!$B$27:$O$40,10,0)</f>
        <v>0</v>
      </c>
      <c r="BP105" s="48">
        <f>$G105/5280*VLOOKUP($AC105,'Cost and Score'!$B$27:$O$40,11,0)</f>
        <v>0</v>
      </c>
      <c r="BQ105" s="48">
        <f>$G105/5280*VLOOKUP($AC105,'Cost and Score'!$B$27:$O$40,12,0)</f>
        <v>0</v>
      </c>
      <c r="BR105" s="48">
        <f>$G105/5280*VLOOKUP($AC105,'Cost and Score'!$B$27:$O$40,13,0)</f>
        <v>0</v>
      </c>
      <c r="BS105" s="48">
        <f>$G105/5280*VLOOKUP($AC105,'Cost and Score'!$B$27:$O$40,14,0)</f>
        <v>0</v>
      </c>
      <c r="BT105" s="220">
        <f t="shared" si="56"/>
        <v>1.0132575757575757</v>
      </c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</row>
    <row r="106" spans="1:103" s="2" customFormat="1" ht="14.45" hidden="1" customHeight="1" x14ac:dyDescent="0.25">
      <c r="A106" s="15" t="s">
        <v>290</v>
      </c>
      <c r="B106" s="34" t="s">
        <v>289</v>
      </c>
      <c r="C106" s="26" t="s">
        <v>289</v>
      </c>
      <c r="D106" s="82"/>
      <c r="E106" s="82" t="s">
        <v>131</v>
      </c>
      <c r="F106" s="82" t="s">
        <v>129</v>
      </c>
      <c r="G106" s="29">
        <v>6690</v>
      </c>
      <c r="H106" s="29">
        <f t="shared" si="62"/>
        <v>20</v>
      </c>
      <c r="I106" s="26" t="s">
        <v>13</v>
      </c>
      <c r="J106" s="26" t="s">
        <v>125</v>
      </c>
      <c r="K106" s="26">
        <f t="shared" si="64"/>
        <v>0</v>
      </c>
      <c r="L106" s="42">
        <v>7</v>
      </c>
      <c r="M106" s="42">
        <v>6</v>
      </c>
      <c r="N106" s="42">
        <v>6</v>
      </c>
      <c r="O106" s="83">
        <v>6</v>
      </c>
      <c r="P106" s="83">
        <v>5</v>
      </c>
      <c r="Q106" s="83">
        <v>3</v>
      </c>
      <c r="R106" s="83">
        <v>4</v>
      </c>
      <c r="S106" s="83">
        <v>8</v>
      </c>
      <c r="T106" s="83">
        <v>8</v>
      </c>
      <c r="U106" s="83">
        <v>7</v>
      </c>
      <c r="V106" s="42"/>
      <c r="W106" s="42"/>
      <c r="X106" s="42"/>
      <c r="Y106" s="26">
        <v>61</v>
      </c>
      <c r="Z106" s="26">
        <f t="shared" si="63"/>
        <v>0</v>
      </c>
      <c r="AA106" s="82" t="s">
        <v>217</v>
      </c>
      <c r="AB106" s="111">
        <f t="shared" si="44"/>
        <v>5</v>
      </c>
      <c r="AC106" s="85" t="s">
        <v>13</v>
      </c>
      <c r="AD106" s="221">
        <f t="shared" si="40"/>
        <v>26607.954545454544</v>
      </c>
      <c r="AE106" s="140"/>
      <c r="AF106" s="113">
        <f t="shared" si="67"/>
        <v>0</v>
      </c>
      <c r="AG106" s="85">
        <v>2026</v>
      </c>
      <c r="AH106" s="26" t="str">
        <f t="shared" si="34"/>
        <v/>
      </c>
      <c r="AI106" s="26" t="str">
        <f t="shared" si="65"/>
        <v/>
      </c>
      <c r="AJ106" s="26" t="str">
        <f t="shared" si="60"/>
        <v/>
      </c>
      <c r="AK106" s="26" t="str">
        <f t="shared" si="59"/>
        <v/>
      </c>
      <c r="AL106" s="26" t="str">
        <f t="shared" si="61"/>
        <v>Chip Seal and Fog</v>
      </c>
      <c r="AM106" s="26" t="str">
        <f t="shared" si="61"/>
        <v/>
      </c>
      <c r="AN106" s="26" t="str">
        <f t="shared" si="47"/>
        <v>Chip Seal and Fog</v>
      </c>
      <c r="AO106" s="26" t="str">
        <f t="shared" si="66"/>
        <v/>
      </c>
      <c r="AP106" s="26" t="str">
        <f t="shared" si="49"/>
        <v/>
      </c>
      <c r="AQ106" s="68">
        <f t="shared" si="41"/>
        <v>8</v>
      </c>
      <c r="AR106" s="68">
        <f t="shared" si="42"/>
        <v>6</v>
      </c>
      <c r="AS106" s="68">
        <f t="shared" si="50"/>
        <v>1.05</v>
      </c>
      <c r="AT106" s="68">
        <f t="shared" si="51"/>
        <v>1.1000000000000001</v>
      </c>
      <c r="AU106" s="68">
        <f t="shared" si="52"/>
        <v>1.1000000000000001</v>
      </c>
      <c r="AV106" s="68">
        <f t="shared" si="53"/>
        <v>1.1000000000000001</v>
      </c>
      <c r="AW106" s="68">
        <f t="shared" si="54"/>
        <v>1.25</v>
      </c>
      <c r="AX106" s="68">
        <f t="shared" ca="1" si="43"/>
        <v>2.2000000000000002</v>
      </c>
      <c r="AY106" s="106">
        <v>2020</v>
      </c>
      <c r="AZ106" s="106" t="s">
        <v>2072</v>
      </c>
      <c r="BA106" s="106" t="str">
        <f t="shared" si="55"/>
        <v/>
      </c>
      <c r="BB106" s="177"/>
      <c r="BC106" s="177">
        <v>6</v>
      </c>
      <c r="BD106" s="177"/>
      <c r="BE106" s="177"/>
      <c r="BF106" s="177"/>
      <c r="BG106" s="177"/>
      <c r="BH106" s="177"/>
      <c r="BI106" s="33"/>
      <c r="BK106" s="48">
        <f>$G106/5280*VLOOKUP($AC106,'Cost and Score'!$B$27:$O$40,6,0)</f>
        <v>0.25340909090909092</v>
      </c>
      <c r="BL106" s="48">
        <f>$G106/5280*VLOOKUP($AC106,'Cost and Score'!$B$27:$O$40,7,0)</f>
        <v>27.875</v>
      </c>
      <c r="BM106" s="48">
        <f>$G106/5280*VLOOKUP($AC106,'Cost and Score'!$B$27:$O$40,8,0)</f>
        <v>0</v>
      </c>
      <c r="BN106" s="48">
        <f>$G106/5280*VLOOKUP($AC106,'Cost and Score'!$B$27:$O$40,9,0)</f>
        <v>5701.704545454546</v>
      </c>
      <c r="BO106" s="48">
        <f>$G106/5280*VLOOKUP($AC106,'Cost and Score'!$B$27:$O$40,10,0)</f>
        <v>1267.0454545454545</v>
      </c>
      <c r="BP106" s="48">
        <f>$G106/5280*VLOOKUP($AC106,'Cost and Score'!$B$27:$O$40,11,0)</f>
        <v>0</v>
      </c>
      <c r="BQ106" s="48">
        <f>$G106/5280*VLOOKUP($AC106,'Cost and Score'!$B$27:$O$40,12,0)</f>
        <v>126.70454545454545</v>
      </c>
      <c r="BR106" s="48">
        <f>$G106/5280*VLOOKUP($AC106,'Cost and Score'!$B$27:$O$40,13,0)</f>
        <v>152.04545454545456</v>
      </c>
      <c r="BS106" s="48">
        <f>$G106/5280*VLOOKUP($AC106,'Cost and Score'!$B$27:$O$40,14,0)</f>
        <v>0</v>
      </c>
      <c r="BT106" s="220">
        <f t="shared" si="56"/>
        <v>1.2670454545454546</v>
      </c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</row>
    <row r="107" spans="1:103" s="112" customFormat="1" ht="14.45" hidden="1" customHeight="1" x14ac:dyDescent="0.25">
      <c r="A107" s="15" t="s">
        <v>2133</v>
      </c>
      <c r="B107" s="108" t="s">
        <v>291</v>
      </c>
      <c r="C107" s="106" t="s">
        <v>291</v>
      </c>
      <c r="D107" s="106"/>
      <c r="E107" s="106" t="s">
        <v>292</v>
      </c>
      <c r="F107" s="106" t="s">
        <v>138</v>
      </c>
      <c r="G107" s="109">
        <v>2620</v>
      </c>
      <c r="H107" s="109">
        <f t="shared" si="62"/>
        <v>20</v>
      </c>
      <c r="I107" s="106" t="s">
        <v>13</v>
      </c>
      <c r="J107" s="106" t="s">
        <v>125</v>
      </c>
      <c r="K107" s="106">
        <f t="shared" si="64"/>
        <v>0</v>
      </c>
      <c r="L107" s="110">
        <v>7</v>
      </c>
      <c r="M107" s="110">
        <v>7</v>
      </c>
      <c r="N107" s="110">
        <v>7</v>
      </c>
      <c r="O107" s="110">
        <v>7</v>
      </c>
      <c r="P107" s="110">
        <v>7</v>
      </c>
      <c r="Q107" s="110">
        <v>7</v>
      </c>
      <c r="R107" s="110">
        <v>7</v>
      </c>
      <c r="S107" s="110">
        <v>6</v>
      </c>
      <c r="T107" s="110">
        <v>6</v>
      </c>
      <c r="U107" s="110">
        <v>6</v>
      </c>
      <c r="V107" s="110"/>
      <c r="W107" s="110"/>
      <c r="X107" s="110"/>
      <c r="Y107" s="106">
        <v>518</v>
      </c>
      <c r="Z107" s="106">
        <f t="shared" si="63"/>
        <v>0.5</v>
      </c>
      <c r="AA107" s="106" t="s">
        <v>217</v>
      </c>
      <c r="AB107" s="111">
        <f t="shared" si="44"/>
        <v>3.5</v>
      </c>
      <c r="AC107" s="82" t="s">
        <v>751</v>
      </c>
      <c r="AD107" s="107">
        <f t="shared" si="40"/>
        <v>54583.333333333336</v>
      </c>
      <c r="AE107" s="198">
        <v>1</v>
      </c>
      <c r="AF107" s="113">
        <f t="shared" si="67"/>
        <v>54583.333333333336</v>
      </c>
      <c r="AG107" s="85">
        <v>2023</v>
      </c>
      <c r="AH107" s="26" t="str">
        <f t="shared" si="34"/>
        <v/>
      </c>
      <c r="AI107" s="26" t="str">
        <f t="shared" si="65"/>
        <v>Overlay - 2"</v>
      </c>
      <c r="AJ107" s="26" t="str">
        <f t="shared" si="60"/>
        <v/>
      </c>
      <c r="AK107" s="26" t="str">
        <f t="shared" si="59"/>
        <v/>
      </c>
      <c r="AL107" s="26" t="str">
        <f t="shared" si="61"/>
        <v/>
      </c>
      <c r="AM107" s="26" t="str">
        <f t="shared" si="61"/>
        <v/>
      </c>
      <c r="AN107" s="26" t="str">
        <f t="shared" si="47"/>
        <v>Overlay - 2"</v>
      </c>
      <c r="AO107" s="26" t="str">
        <f t="shared" si="66"/>
        <v/>
      </c>
      <c r="AP107" s="26" t="str">
        <f t="shared" si="49"/>
        <v/>
      </c>
      <c r="AQ107" s="68">
        <f t="shared" si="41"/>
        <v>10</v>
      </c>
      <c r="AR107" s="68">
        <f t="shared" si="42"/>
        <v>12</v>
      </c>
      <c r="AS107" s="68">
        <f t="shared" si="50"/>
        <v>1.05</v>
      </c>
      <c r="AT107" s="68">
        <f t="shared" si="51"/>
        <v>1.05</v>
      </c>
      <c r="AU107" s="68">
        <f t="shared" si="52"/>
        <v>1.05</v>
      </c>
      <c r="AV107" s="68">
        <f t="shared" si="53"/>
        <v>1.05</v>
      </c>
      <c r="AW107" s="68">
        <f t="shared" si="54"/>
        <v>1.05</v>
      </c>
      <c r="AX107" s="68">
        <f t="shared" ca="1" si="43"/>
        <v>-1.05</v>
      </c>
      <c r="AY107" s="106">
        <v>2023</v>
      </c>
      <c r="AZ107" s="106" t="s">
        <v>751</v>
      </c>
      <c r="BA107" s="106" t="str">
        <f t="shared" si="55"/>
        <v/>
      </c>
      <c r="BB107" s="177"/>
      <c r="BC107" s="177">
        <v>6</v>
      </c>
      <c r="BD107" s="177"/>
      <c r="BE107" s="177"/>
      <c r="BF107" s="177"/>
      <c r="BG107" s="177"/>
      <c r="BH107" s="177"/>
      <c r="BI107" s="33"/>
      <c r="BJ107" s="2"/>
      <c r="BK107" s="48">
        <f>$G107/5280*VLOOKUP($AC107,'Cost and Score'!$B$27:$O$40,6,0)</f>
        <v>1.1164772727272727</v>
      </c>
      <c r="BL107" s="48">
        <f>$G107/5280*VLOOKUP($AC107,'Cost and Score'!$B$27:$O$40,7,0)</f>
        <v>104.20454545454545</v>
      </c>
      <c r="BM107" s="48">
        <f>$G107/5280*VLOOKUP($AC107,'Cost and Score'!$B$27:$O$40,8,0)</f>
        <v>173.67424242424244</v>
      </c>
      <c r="BN107" s="48">
        <f>$G107/5280*VLOOKUP($AC107,'Cost and Score'!$B$27:$O$40,9,0)</f>
        <v>0</v>
      </c>
      <c r="BO107" s="48">
        <f>$G107/5280*VLOOKUP($AC107,'Cost and Score'!$B$27:$O$40,10,0)</f>
        <v>0</v>
      </c>
      <c r="BP107" s="48">
        <f>$G107/5280*VLOOKUP($AC107,'Cost and Score'!$B$27:$O$40,11,0)</f>
        <v>99.242424242424249</v>
      </c>
      <c r="BQ107" s="48">
        <f>$G107/5280*VLOOKUP($AC107,'Cost and Score'!$B$27:$O$40,12,0)</f>
        <v>843.56060606060612</v>
      </c>
      <c r="BR107" s="48">
        <f>$G107/5280*VLOOKUP($AC107,'Cost and Score'!$B$27:$O$40,13,0)</f>
        <v>0</v>
      </c>
      <c r="BS107" s="48">
        <f>$G107/5280*VLOOKUP($AC107,'Cost and Score'!$B$27:$O$40,14,0)</f>
        <v>0</v>
      </c>
      <c r="BT107" s="220">
        <f t="shared" si="56"/>
        <v>0.49621212121212122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</row>
    <row r="108" spans="1:103" s="2" customFormat="1" ht="14.45" hidden="1" customHeight="1" x14ac:dyDescent="0.25">
      <c r="A108" s="15" t="s">
        <v>2132</v>
      </c>
      <c r="B108" s="34" t="s">
        <v>293</v>
      </c>
      <c r="C108" s="26" t="s">
        <v>293</v>
      </c>
      <c r="D108" s="82"/>
      <c r="E108" s="82" t="s">
        <v>147</v>
      </c>
      <c r="F108" s="82" t="s">
        <v>140</v>
      </c>
      <c r="G108" s="29">
        <v>5380</v>
      </c>
      <c r="H108" s="29">
        <f t="shared" si="62"/>
        <v>20</v>
      </c>
      <c r="I108" s="26" t="s">
        <v>2073</v>
      </c>
      <c r="J108" s="26" t="s">
        <v>26</v>
      </c>
      <c r="K108" s="26">
        <f t="shared" si="64"/>
        <v>0</v>
      </c>
      <c r="L108" s="42">
        <v>6</v>
      </c>
      <c r="M108" s="42">
        <v>8</v>
      </c>
      <c r="N108" s="42">
        <v>8</v>
      </c>
      <c r="O108" s="83">
        <v>7</v>
      </c>
      <c r="P108" s="83">
        <v>7</v>
      </c>
      <c r="Q108" s="83">
        <v>7</v>
      </c>
      <c r="R108" s="83">
        <v>7</v>
      </c>
      <c r="S108" s="83">
        <v>7</v>
      </c>
      <c r="T108" s="83">
        <v>7</v>
      </c>
      <c r="U108" s="83">
        <v>7</v>
      </c>
      <c r="V108" s="42"/>
      <c r="W108" s="42"/>
      <c r="X108" s="42"/>
      <c r="Y108" s="26">
        <v>50</v>
      </c>
      <c r="Z108" s="26">
        <f t="shared" si="63"/>
        <v>0</v>
      </c>
      <c r="AA108" s="82" t="s">
        <v>217</v>
      </c>
      <c r="AB108" s="111">
        <f t="shared" si="44"/>
        <v>3</v>
      </c>
      <c r="AC108" s="85" t="s">
        <v>2073</v>
      </c>
      <c r="AD108" s="84">
        <f t="shared" si="40"/>
        <v>32606.060606060608</v>
      </c>
      <c r="AE108" s="140"/>
      <c r="AF108" s="113">
        <f t="shared" si="67"/>
        <v>0</v>
      </c>
      <c r="AG108" s="26">
        <v>2022</v>
      </c>
      <c r="AH108" s="26" t="str">
        <f t="shared" si="34"/>
        <v>Chip Seal - Double and Fog</v>
      </c>
      <c r="AI108" s="26" t="str">
        <f t="shared" si="65"/>
        <v/>
      </c>
      <c r="AJ108" s="26" t="str">
        <f t="shared" si="60"/>
        <v/>
      </c>
      <c r="AK108" s="26" t="str">
        <f t="shared" si="59"/>
        <v/>
      </c>
      <c r="AL108" s="26" t="str">
        <f t="shared" si="61"/>
        <v/>
      </c>
      <c r="AM108" s="26" t="str">
        <f t="shared" si="61"/>
        <v/>
      </c>
      <c r="AN108" s="26" t="str">
        <f t="shared" si="47"/>
        <v>Chip Seal - Double and Fog</v>
      </c>
      <c r="AO108" s="26" t="str">
        <f t="shared" si="66"/>
        <v/>
      </c>
      <c r="AP108" s="26" t="str">
        <f t="shared" si="49"/>
        <v>Chip Seal - Double and Fog</v>
      </c>
      <c r="AQ108" s="68">
        <f t="shared" si="41"/>
        <v>10</v>
      </c>
      <c r="AR108" s="68">
        <f t="shared" si="42"/>
        <v>6</v>
      </c>
      <c r="AS108" s="68">
        <f t="shared" si="50"/>
        <v>1.1000000000000001</v>
      </c>
      <c r="AT108" s="68">
        <f t="shared" si="51"/>
        <v>1</v>
      </c>
      <c r="AU108" s="68">
        <f t="shared" si="52"/>
        <v>1</v>
      </c>
      <c r="AV108" s="68">
        <f t="shared" si="53"/>
        <v>1.05</v>
      </c>
      <c r="AW108" s="68">
        <f t="shared" si="54"/>
        <v>1.05</v>
      </c>
      <c r="AX108" s="68">
        <f t="shared" ca="1" si="43"/>
        <v>-2</v>
      </c>
      <c r="AY108" s="106">
        <v>2022</v>
      </c>
      <c r="AZ108" s="106" t="s">
        <v>2073</v>
      </c>
      <c r="BA108" s="106" t="str">
        <f t="shared" si="55"/>
        <v/>
      </c>
      <c r="BB108" s="177">
        <v>11</v>
      </c>
      <c r="BC108" s="177">
        <v>7</v>
      </c>
      <c r="BD108" s="177"/>
      <c r="BE108" s="177"/>
      <c r="BF108" s="177"/>
      <c r="BG108" s="177"/>
      <c r="BH108" s="177"/>
      <c r="BI108" s="33"/>
      <c r="BK108" s="48">
        <f>$G108/5280*VLOOKUP($AC108,'Cost and Score'!$B$27:$O$40,6,0)</f>
        <v>0.50946969696969702</v>
      </c>
      <c r="BL108" s="48">
        <f>$G108/5280*VLOOKUP($AC108,'Cost and Score'!$B$27:$O$40,7,0)</f>
        <v>50.946969696969703</v>
      </c>
      <c r="BM108" s="48">
        <f>$G108/5280*VLOOKUP($AC108,'Cost and Score'!$B$27:$O$40,8,0)</f>
        <v>0</v>
      </c>
      <c r="BN108" s="48">
        <f>$G108/5280*VLOOKUP($AC108,'Cost and Score'!$B$27:$O$40,9,0)</f>
        <v>9679.9242424242439</v>
      </c>
      <c r="BO108" s="48">
        <f>$G108/5280*VLOOKUP($AC108,'Cost and Score'!$B$27:$O$40,10,0)</f>
        <v>1018.939393939394</v>
      </c>
      <c r="BP108" s="48">
        <f>$G108/5280*VLOOKUP($AC108,'Cost and Score'!$B$27:$O$40,11,0)</f>
        <v>0</v>
      </c>
      <c r="BQ108" s="48">
        <f>$G108/5280*VLOOKUP($AC108,'Cost and Score'!$B$27:$O$40,12,0)</f>
        <v>203.78787878787881</v>
      </c>
      <c r="BR108" s="48">
        <f>$G108/5280*VLOOKUP($AC108,'Cost and Score'!$B$27:$O$40,13,0)</f>
        <v>183.40909090909093</v>
      </c>
      <c r="BS108" s="48">
        <f>$G108/5280*VLOOKUP($AC108,'Cost and Score'!$B$27:$O$40,14,0)</f>
        <v>244.54545454545456</v>
      </c>
      <c r="BT108" s="220">
        <f t="shared" si="56"/>
        <v>1.018939393939394</v>
      </c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V108" s="112"/>
    </row>
    <row r="109" spans="1:103" s="112" customFormat="1" ht="14.45" hidden="1" customHeight="1" x14ac:dyDescent="0.25">
      <c r="A109" s="15" t="s">
        <v>2130</v>
      </c>
      <c r="B109" s="108" t="s">
        <v>294</v>
      </c>
      <c r="C109" s="106" t="s">
        <v>294</v>
      </c>
      <c r="D109" s="106"/>
      <c r="E109" s="106" t="s">
        <v>288</v>
      </c>
      <c r="F109" s="106" t="s">
        <v>295</v>
      </c>
      <c r="G109" s="109">
        <v>2680</v>
      </c>
      <c r="H109" s="109">
        <f t="shared" si="62"/>
        <v>20</v>
      </c>
      <c r="I109" s="106" t="s">
        <v>13</v>
      </c>
      <c r="J109" s="106" t="s">
        <v>26</v>
      </c>
      <c r="K109" s="106">
        <f t="shared" si="64"/>
        <v>0</v>
      </c>
      <c r="L109" s="110">
        <v>4</v>
      </c>
      <c r="M109" s="110">
        <v>4</v>
      </c>
      <c r="N109" s="110">
        <v>4</v>
      </c>
      <c r="O109" s="110">
        <v>4</v>
      </c>
      <c r="P109" s="110">
        <v>9</v>
      </c>
      <c r="Q109" s="110">
        <v>9</v>
      </c>
      <c r="R109" s="110">
        <v>8</v>
      </c>
      <c r="S109" s="110">
        <v>8</v>
      </c>
      <c r="T109" s="110">
        <v>7</v>
      </c>
      <c r="U109" s="110">
        <v>7</v>
      </c>
      <c r="V109" s="110"/>
      <c r="W109" s="110"/>
      <c r="X109" s="110"/>
      <c r="Y109" s="106">
        <v>50</v>
      </c>
      <c r="Z109" s="106">
        <f t="shared" si="63"/>
        <v>0</v>
      </c>
      <c r="AA109" s="106" t="s">
        <v>217</v>
      </c>
      <c r="AB109" s="111">
        <f t="shared" si="44"/>
        <v>1</v>
      </c>
      <c r="AC109" s="106" t="s">
        <v>13</v>
      </c>
      <c r="AD109" s="229">
        <f t="shared" si="40"/>
        <v>10659.09090909091</v>
      </c>
      <c r="AE109" s="198">
        <v>1</v>
      </c>
      <c r="AF109" s="113">
        <f t="shared" si="67"/>
        <v>10659.09090909091</v>
      </c>
      <c r="AG109" s="26">
        <v>2023</v>
      </c>
      <c r="AH109" s="26" t="str">
        <f t="shared" si="34"/>
        <v/>
      </c>
      <c r="AI109" s="26" t="str">
        <f t="shared" si="65"/>
        <v>Chip Seal and Fog</v>
      </c>
      <c r="AJ109" s="26" t="str">
        <f t="shared" si="60"/>
        <v/>
      </c>
      <c r="AK109" s="26" t="str">
        <f t="shared" si="59"/>
        <v/>
      </c>
      <c r="AL109" s="26" t="str">
        <f t="shared" ref="AL109:AM130" si="68">IF($AG109=AL$1,VLOOKUP($AC109,RSL,3,FALSE),"")</f>
        <v/>
      </c>
      <c r="AM109" s="26" t="str">
        <f t="shared" si="68"/>
        <v/>
      </c>
      <c r="AN109" s="26" t="str">
        <f t="shared" si="47"/>
        <v>Chip Seal and Fog</v>
      </c>
      <c r="AO109" s="26" t="str">
        <f t="shared" si="66"/>
        <v/>
      </c>
      <c r="AP109" s="26" t="str">
        <f t="shared" si="49"/>
        <v/>
      </c>
      <c r="AQ109" s="68">
        <f t="shared" si="41"/>
        <v>3</v>
      </c>
      <c r="AR109" s="68">
        <f t="shared" si="42"/>
        <v>6</v>
      </c>
      <c r="AS109" s="68">
        <f t="shared" si="50"/>
        <v>1.5</v>
      </c>
      <c r="AT109" s="68">
        <f t="shared" si="51"/>
        <v>1.5</v>
      </c>
      <c r="AU109" s="68">
        <f t="shared" si="52"/>
        <v>1.5</v>
      </c>
      <c r="AV109" s="68">
        <f t="shared" si="53"/>
        <v>1.5</v>
      </c>
      <c r="AW109" s="68">
        <f t="shared" si="54"/>
        <v>1</v>
      </c>
      <c r="AX109" s="68">
        <f t="shared" ca="1" si="43"/>
        <v>-1.5</v>
      </c>
      <c r="AY109" s="106">
        <v>2023</v>
      </c>
      <c r="AZ109" s="106" t="s">
        <v>13</v>
      </c>
      <c r="BA109" s="106" t="str">
        <f t="shared" si="55"/>
        <v/>
      </c>
      <c r="BB109" s="177"/>
      <c r="BC109" s="177">
        <v>7</v>
      </c>
      <c r="BD109" s="177"/>
      <c r="BE109" s="177"/>
      <c r="BF109" s="177"/>
      <c r="BG109" s="177"/>
      <c r="BH109" s="177"/>
      <c r="BI109" s="33"/>
      <c r="BJ109" s="2"/>
      <c r="BK109" s="48">
        <f>$G109/5280*VLOOKUP($AC109,'Cost and Score'!$B$27:$O$40,6,0)</f>
        <v>0.10151515151515152</v>
      </c>
      <c r="BL109" s="48">
        <f>$G109/5280*VLOOKUP($AC109,'Cost and Score'!$B$27:$O$40,7,0)</f>
        <v>11.166666666666666</v>
      </c>
      <c r="BM109" s="48">
        <f>$G109/5280*VLOOKUP($AC109,'Cost and Score'!$B$27:$O$40,8,0)</f>
        <v>0</v>
      </c>
      <c r="BN109" s="48">
        <f>$G109/5280*VLOOKUP($AC109,'Cost and Score'!$B$27:$O$40,9,0)</f>
        <v>2284.090909090909</v>
      </c>
      <c r="BO109" s="48">
        <f>$G109/5280*VLOOKUP($AC109,'Cost and Score'!$B$27:$O$40,10,0)</f>
        <v>507.57575757575756</v>
      </c>
      <c r="BP109" s="48">
        <f>$G109/5280*VLOOKUP($AC109,'Cost and Score'!$B$27:$O$40,11,0)</f>
        <v>0</v>
      </c>
      <c r="BQ109" s="48">
        <f>$G109/5280*VLOOKUP($AC109,'Cost and Score'!$B$27:$O$40,12,0)</f>
        <v>50.757575757575758</v>
      </c>
      <c r="BR109" s="48">
        <f>$G109/5280*VLOOKUP($AC109,'Cost and Score'!$B$27:$O$40,13,0)</f>
        <v>60.909090909090907</v>
      </c>
      <c r="BS109" s="48">
        <f>$G109/5280*VLOOKUP($AC109,'Cost and Score'!$B$27:$O$40,14,0)</f>
        <v>0</v>
      </c>
      <c r="BT109" s="220">
        <f t="shared" si="56"/>
        <v>0.50757575757575757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</row>
    <row r="110" spans="1:103" s="2" customFormat="1" ht="14.45" hidden="1" customHeight="1" x14ac:dyDescent="0.25">
      <c r="A110" s="15" t="s">
        <v>298</v>
      </c>
      <c r="B110" s="34" t="s">
        <v>296</v>
      </c>
      <c r="C110" s="26" t="s">
        <v>296</v>
      </c>
      <c r="D110" s="82"/>
      <c r="E110" s="82" t="s">
        <v>297</v>
      </c>
      <c r="F110" s="82" t="s">
        <v>149</v>
      </c>
      <c r="G110" s="29">
        <v>2715</v>
      </c>
      <c r="H110" s="29">
        <f t="shared" si="62"/>
        <v>20</v>
      </c>
      <c r="I110" s="26" t="s">
        <v>13</v>
      </c>
      <c r="J110" s="26" t="s">
        <v>172</v>
      </c>
      <c r="K110" s="26">
        <f t="shared" si="64"/>
        <v>0</v>
      </c>
      <c r="L110" s="42">
        <v>8</v>
      </c>
      <c r="M110" s="42">
        <v>7</v>
      </c>
      <c r="N110" s="42">
        <v>7</v>
      </c>
      <c r="O110" s="83">
        <v>7</v>
      </c>
      <c r="P110" s="83">
        <v>7</v>
      </c>
      <c r="Q110" s="83">
        <v>7</v>
      </c>
      <c r="R110" s="83">
        <v>6</v>
      </c>
      <c r="S110" s="83">
        <v>6</v>
      </c>
      <c r="T110" s="83">
        <v>6</v>
      </c>
      <c r="U110" s="83">
        <v>7</v>
      </c>
      <c r="V110" s="42"/>
      <c r="W110" s="42"/>
      <c r="X110" s="42"/>
      <c r="Y110" s="26">
        <v>50</v>
      </c>
      <c r="Z110" s="26">
        <f t="shared" si="63"/>
        <v>0</v>
      </c>
      <c r="AA110" s="82" t="s">
        <v>299</v>
      </c>
      <c r="AB110" s="111">
        <f t="shared" si="44"/>
        <v>3</v>
      </c>
      <c r="AC110" s="82" t="s">
        <v>2073</v>
      </c>
      <c r="AD110" s="84">
        <f t="shared" si="40"/>
        <v>16454.545454545456</v>
      </c>
      <c r="AE110" s="140"/>
      <c r="AF110" s="113">
        <f t="shared" si="67"/>
        <v>0</v>
      </c>
      <c r="AG110" s="26">
        <v>2022</v>
      </c>
      <c r="AH110" s="26" t="str">
        <f t="shared" si="34"/>
        <v>Chip Seal - Double and Fog</v>
      </c>
      <c r="AI110" s="26" t="str">
        <f t="shared" si="65"/>
        <v/>
      </c>
      <c r="AJ110" s="26" t="str">
        <f t="shared" si="60"/>
        <v/>
      </c>
      <c r="AK110" s="26" t="str">
        <f t="shared" si="59"/>
        <v/>
      </c>
      <c r="AL110" s="26" t="str">
        <f t="shared" si="68"/>
        <v/>
      </c>
      <c r="AM110" s="26" t="str">
        <f t="shared" si="68"/>
        <v/>
      </c>
      <c r="AN110" s="26" t="str">
        <f t="shared" si="47"/>
        <v>Chip Seal - Double and Fog</v>
      </c>
      <c r="AO110" s="26" t="str">
        <f t="shared" si="66"/>
        <v>Overlay - 2"</v>
      </c>
      <c r="AP110" s="26" t="str">
        <f t="shared" si="49"/>
        <v/>
      </c>
      <c r="AQ110" s="68">
        <f t="shared" si="41"/>
        <v>10</v>
      </c>
      <c r="AR110" s="68">
        <f t="shared" si="42"/>
        <v>6</v>
      </c>
      <c r="AS110" s="68">
        <f t="shared" si="50"/>
        <v>1</v>
      </c>
      <c r="AT110" s="68">
        <f t="shared" si="51"/>
        <v>1.05</v>
      </c>
      <c r="AU110" s="68">
        <f t="shared" si="52"/>
        <v>1.05</v>
      </c>
      <c r="AV110" s="68">
        <f t="shared" si="53"/>
        <v>1.05</v>
      </c>
      <c r="AW110" s="68">
        <f t="shared" si="54"/>
        <v>1.05</v>
      </c>
      <c r="AX110" s="68">
        <f t="shared" ca="1" si="43"/>
        <v>-2.1</v>
      </c>
      <c r="AY110" s="106">
        <v>2021</v>
      </c>
      <c r="AZ110" s="106" t="s">
        <v>751</v>
      </c>
      <c r="BA110" s="106" t="str">
        <f t="shared" si="55"/>
        <v/>
      </c>
      <c r="BB110" s="177">
        <v>9</v>
      </c>
      <c r="BC110" s="177">
        <v>7</v>
      </c>
      <c r="BD110" s="177"/>
      <c r="BE110" s="177"/>
      <c r="BF110" s="177"/>
      <c r="BG110" s="177"/>
      <c r="BH110" s="177"/>
      <c r="BI110" s="33"/>
      <c r="BK110" s="48">
        <f>$G110/5280*VLOOKUP($AC110,'Cost and Score'!$B$27:$O$40,6,0)</f>
        <v>0.25710227272727271</v>
      </c>
      <c r="BL110" s="48">
        <f>$G110/5280*VLOOKUP($AC110,'Cost and Score'!$B$27:$O$40,7,0)</f>
        <v>25.71022727272727</v>
      </c>
      <c r="BM110" s="48">
        <f>$G110/5280*VLOOKUP($AC110,'Cost and Score'!$B$27:$O$40,8,0)</f>
        <v>0</v>
      </c>
      <c r="BN110" s="48">
        <f>$G110/5280*VLOOKUP($AC110,'Cost and Score'!$B$27:$O$40,9,0)</f>
        <v>4884.9431818181811</v>
      </c>
      <c r="BO110" s="48">
        <f>$G110/5280*VLOOKUP($AC110,'Cost and Score'!$B$27:$O$40,10,0)</f>
        <v>514.20454545454538</v>
      </c>
      <c r="BP110" s="48">
        <f>$G110/5280*VLOOKUP($AC110,'Cost and Score'!$B$27:$O$40,11,0)</f>
        <v>0</v>
      </c>
      <c r="BQ110" s="48">
        <f>$G110/5280*VLOOKUP($AC110,'Cost and Score'!$B$27:$O$40,12,0)</f>
        <v>102.84090909090908</v>
      </c>
      <c r="BR110" s="48">
        <f>$G110/5280*VLOOKUP($AC110,'Cost and Score'!$B$27:$O$40,13,0)</f>
        <v>92.556818181818173</v>
      </c>
      <c r="BS110" s="48">
        <f>$G110/5280*VLOOKUP($AC110,'Cost and Score'!$B$27:$O$40,14,0)</f>
        <v>123.40909090909091</v>
      </c>
      <c r="BT110" s="220">
        <f t="shared" si="56"/>
        <v>0.51420454545454541</v>
      </c>
      <c r="CV110" s="112"/>
    </row>
    <row r="111" spans="1:103" s="2" customFormat="1" ht="14.45" hidden="1" customHeight="1" x14ac:dyDescent="0.25">
      <c r="A111" s="37" t="s">
        <v>301</v>
      </c>
      <c r="B111" s="34" t="s">
        <v>300</v>
      </c>
      <c r="C111" s="26" t="s">
        <v>300</v>
      </c>
      <c r="D111" s="82"/>
      <c r="E111" s="85" t="s">
        <v>307</v>
      </c>
      <c r="F111" s="82" t="s">
        <v>119</v>
      </c>
      <c r="G111" s="29">
        <v>5930</v>
      </c>
      <c r="H111" s="29">
        <f t="shared" si="62"/>
        <v>20</v>
      </c>
      <c r="I111" s="26" t="s">
        <v>13</v>
      </c>
      <c r="J111" s="26" t="s">
        <v>101</v>
      </c>
      <c r="K111" s="26">
        <v>0</v>
      </c>
      <c r="L111" s="42">
        <v>8</v>
      </c>
      <c r="M111" s="42">
        <v>7</v>
      </c>
      <c r="N111" s="42">
        <v>7</v>
      </c>
      <c r="O111" s="83">
        <v>7</v>
      </c>
      <c r="P111" s="83">
        <v>6</v>
      </c>
      <c r="Q111" s="83">
        <v>6</v>
      </c>
      <c r="R111" s="83">
        <v>5</v>
      </c>
      <c r="S111" s="83">
        <v>5</v>
      </c>
      <c r="T111" s="83">
        <v>5</v>
      </c>
      <c r="U111" s="83">
        <v>8</v>
      </c>
      <c r="V111" s="42"/>
      <c r="W111" s="42"/>
      <c r="X111" s="42"/>
      <c r="Y111" s="26">
        <v>294</v>
      </c>
      <c r="Z111" s="26">
        <f t="shared" si="63"/>
        <v>0</v>
      </c>
      <c r="AA111" s="82" t="s">
        <v>117</v>
      </c>
      <c r="AB111" s="111">
        <f t="shared" si="44"/>
        <v>4</v>
      </c>
      <c r="AC111" s="82" t="s">
        <v>13</v>
      </c>
      <c r="AD111" s="84">
        <f t="shared" si="40"/>
        <v>23585.227272727272</v>
      </c>
      <c r="AE111" s="140"/>
      <c r="AF111" s="113">
        <f t="shared" si="67"/>
        <v>0</v>
      </c>
      <c r="AG111" s="82">
        <v>2022</v>
      </c>
      <c r="AH111" s="26" t="str">
        <f t="shared" si="34"/>
        <v>Chip Seal and Fog</v>
      </c>
      <c r="AI111" s="26" t="str">
        <f t="shared" si="65"/>
        <v/>
      </c>
      <c r="AJ111" s="26" t="str">
        <f t="shared" si="60"/>
        <v/>
      </c>
      <c r="AK111" s="26" t="str">
        <f t="shared" si="59"/>
        <v/>
      </c>
      <c r="AL111" s="26" t="str">
        <f t="shared" si="68"/>
        <v/>
      </c>
      <c r="AM111" s="26" t="str">
        <f t="shared" si="68"/>
        <v/>
      </c>
      <c r="AN111" s="26" t="str">
        <f t="shared" si="47"/>
        <v>Chip Seal and Fog</v>
      </c>
      <c r="AO111" s="26" t="str">
        <f t="shared" si="66"/>
        <v/>
      </c>
      <c r="AP111" s="26" t="str">
        <f t="shared" si="49"/>
        <v/>
      </c>
      <c r="AQ111" s="68">
        <f t="shared" si="41"/>
        <v>10</v>
      </c>
      <c r="AR111" s="68">
        <f t="shared" si="42"/>
        <v>6</v>
      </c>
      <c r="AS111" s="68">
        <f t="shared" si="50"/>
        <v>1</v>
      </c>
      <c r="AT111" s="68">
        <f t="shared" si="51"/>
        <v>1.05</v>
      </c>
      <c r="AU111" s="68">
        <f t="shared" si="52"/>
        <v>1.05</v>
      </c>
      <c r="AV111" s="68">
        <f t="shared" si="53"/>
        <v>1.05</v>
      </c>
      <c r="AW111" s="68">
        <f t="shared" si="54"/>
        <v>1.1000000000000001</v>
      </c>
      <c r="AX111" s="68">
        <f t="shared" ca="1" si="43"/>
        <v>-2.1</v>
      </c>
      <c r="AY111" s="106"/>
      <c r="AZ111" s="106"/>
      <c r="BA111" s="106" t="str">
        <f t="shared" si="55"/>
        <v/>
      </c>
      <c r="BB111" s="177">
        <v>10</v>
      </c>
      <c r="BC111" s="177">
        <v>6</v>
      </c>
      <c r="BD111" s="177"/>
      <c r="BE111" s="177"/>
      <c r="BF111" s="177"/>
      <c r="BG111" s="177"/>
      <c r="BH111" s="177"/>
      <c r="BI111" s="33"/>
      <c r="BK111" s="48">
        <f>$G111/5280*VLOOKUP($AC111,'Cost and Score'!$B$27:$O$40,6,0)</f>
        <v>0.22462121212121211</v>
      </c>
      <c r="BL111" s="48">
        <f>$G111/5280*VLOOKUP($AC111,'Cost and Score'!$B$27:$O$40,7,0)</f>
        <v>24.708333333333332</v>
      </c>
      <c r="BM111" s="48">
        <f>$G111/5280*VLOOKUP($AC111,'Cost and Score'!$B$27:$O$40,8,0)</f>
        <v>0</v>
      </c>
      <c r="BN111" s="48">
        <f>$G111/5280*VLOOKUP($AC111,'Cost and Score'!$B$27:$O$40,9,0)</f>
        <v>5053.9772727272721</v>
      </c>
      <c r="BO111" s="48">
        <f>$G111/5280*VLOOKUP($AC111,'Cost and Score'!$B$27:$O$40,10,0)</f>
        <v>1123.1060606060605</v>
      </c>
      <c r="BP111" s="48">
        <f>$G111/5280*VLOOKUP($AC111,'Cost and Score'!$B$27:$O$40,11,0)</f>
        <v>0</v>
      </c>
      <c r="BQ111" s="48">
        <f>$G111/5280*VLOOKUP($AC111,'Cost and Score'!$B$27:$O$40,12,0)</f>
        <v>112.31060606060606</v>
      </c>
      <c r="BR111" s="48">
        <f>$G111/5280*VLOOKUP($AC111,'Cost and Score'!$B$27:$O$40,13,0)</f>
        <v>134.77272727272725</v>
      </c>
      <c r="BS111" s="48">
        <f>$G111/5280*VLOOKUP($AC111,'Cost and Score'!$B$27:$O$40,14,0)</f>
        <v>0</v>
      </c>
      <c r="BT111" s="220">
        <f t="shared" si="56"/>
        <v>1.1231060606060606</v>
      </c>
      <c r="CF111" s="112"/>
      <c r="CR111" s="112"/>
    </row>
    <row r="112" spans="1:103" s="2" customFormat="1" ht="14.45" hidden="1" customHeight="1" x14ac:dyDescent="0.25">
      <c r="A112" s="37" t="s">
        <v>303</v>
      </c>
      <c r="B112" s="34" t="s">
        <v>302</v>
      </c>
      <c r="C112" s="26" t="s">
        <v>302</v>
      </c>
      <c r="D112" s="26"/>
      <c r="E112" s="26" t="s">
        <v>100</v>
      </c>
      <c r="F112" s="26" t="s">
        <v>99</v>
      </c>
      <c r="G112" s="29">
        <v>5320</v>
      </c>
      <c r="H112" s="29">
        <f t="shared" si="62"/>
        <v>20</v>
      </c>
      <c r="I112" s="26" t="s">
        <v>13</v>
      </c>
      <c r="J112" s="26" t="s">
        <v>101</v>
      </c>
      <c r="K112" s="26">
        <v>0</v>
      </c>
      <c r="L112" s="42">
        <v>6</v>
      </c>
      <c r="M112" s="42">
        <v>6</v>
      </c>
      <c r="N112" s="42">
        <v>8</v>
      </c>
      <c r="O112" s="42">
        <v>8</v>
      </c>
      <c r="P112" s="42">
        <v>8</v>
      </c>
      <c r="Q112" s="42">
        <v>8</v>
      </c>
      <c r="R112" s="42">
        <v>8</v>
      </c>
      <c r="S112" s="42">
        <v>7</v>
      </c>
      <c r="T112" s="42">
        <v>6</v>
      </c>
      <c r="U112" s="42">
        <v>6</v>
      </c>
      <c r="V112" s="42"/>
      <c r="W112" s="42"/>
      <c r="X112" s="42"/>
      <c r="Y112" s="26">
        <v>536</v>
      </c>
      <c r="Z112" s="26">
        <f t="shared" si="63"/>
        <v>0.5</v>
      </c>
      <c r="AA112" s="26" t="s">
        <v>117</v>
      </c>
      <c r="AB112" s="111">
        <f t="shared" si="44"/>
        <v>2.5</v>
      </c>
      <c r="AC112" s="26" t="s">
        <v>13</v>
      </c>
      <c r="AD112" s="47">
        <f t="shared" si="40"/>
        <v>21159.090909090908</v>
      </c>
      <c r="AE112" s="140"/>
      <c r="AF112" s="113">
        <f t="shared" si="67"/>
        <v>0</v>
      </c>
      <c r="AG112" s="26">
        <v>2024</v>
      </c>
      <c r="AH112" s="26" t="str">
        <f t="shared" si="34"/>
        <v/>
      </c>
      <c r="AI112" s="26" t="str">
        <f t="shared" si="65"/>
        <v/>
      </c>
      <c r="AJ112" s="26" t="str">
        <f t="shared" si="60"/>
        <v>Chip Seal and Fog</v>
      </c>
      <c r="AK112" s="26" t="str">
        <f t="shared" si="59"/>
        <v/>
      </c>
      <c r="AL112" s="26" t="str">
        <f t="shared" si="68"/>
        <v/>
      </c>
      <c r="AM112" s="26" t="str">
        <f t="shared" si="68"/>
        <v/>
      </c>
      <c r="AN112" s="26" t="str">
        <f t="shared" si="47"/>
        <v>Chip Seal and Fog</v>
      </c>
      <c r="AO112" s="26" t="str">
        <f t="shared" si="66"/>
        <v/>
      </c>
      <c r="AP112" s="26" t="str">
        <f t="shared" si="49"/>
        <v/>
      </c>
      <c r="AQ112" s="68">
        <f t="shared" si="41"/>
        <v>12</v>
      </c>
      <c r="AR112" s="68">
        <f t="shared" si="42"/>
        <v>6</v>
      </c>
      <c r="AS112" s="68">
        <f t="shared" si="50"/>
        <v>1.1000000000000001</v>
      </c>
      <c r="AT112" s="68">
        <f t="shared" si="51"/>
        <v>1.1000000000000001</v>
      </c>
      <c r="AU112" s="68">
        <f t="shared" si="52"/>
        <v>1</v>
      </c>
      <c r="AV112" s="68">
        <f t="shared" si="53"/>
        <v>1</v>
      </c>
      <c r="AW112" s="68">
        <f t="shared" si="54"/>
        <v>1</v>
      </c>
      <c r="AX112" s="68">
        <f t="shared" ca="1" si="43"/>
        <v>0</v>
      </c>
      <c r="AY112" s="106">
        <v>2016</v>
      </c>
      <c r="AZ112" s="106" t="s">
        <v>2075</v>
      </c>
      <c r="BA112" s="106" t="str">
        <f t="shared" si="55"/>
        <v/>
      </c>
      <c r="BB112" s="177"/>
      <c r="BC112" s="177">
        <v>8</v>
      </c>
      <c r="BD112" s="177"/>
      <c r="BE112" s="177"/>
      <c r="BF112" s="177"/>
      <c r="BG112" s="177"/>
      <c r="BH112" s="177"/>
      <c r="BI112" s="33"/>
      <c r="BK112" s="48">
        <f>$G112/5280*VLOOKUP($AC112,'Cost and Score'!$B$27:$O$40,6,0)</f>
        <v>0.20151515151515154</v>
      </c>
      <c r="BL112" s="48">
        <f>$G112/5280*VLOOKUP($AC112,'Cost and Score'!$B$27:$O$40,7,0)</f>
        <v>22.166666666666668</v>
      </c>
      <c r="BM112" s="48">
        <f>$G112/5280*VLOOKUP($AC112,'Cost and Score'!$B$27:$O$40,8,0)</f>
        <v>0</v>
      </c>
      <c r="BN112" s="48">
        <f>$G112/5280*VLOOKUP($AC112,'Cost and Score'!$B$27:$O$40,9,0)</f>
        <v>4534.090909090909</v>
      </c>
      <c r="BO112" s="48">
        <f>$G112/5280*VLOOKUP($AC112,'Cost and Score'!$B$27:$O$40,10,0)</f>
        <v>1007.5757575757576</v>
      </c>
      <c r="BP112" s="48">
        <f>$G112/5280*VLOOKUP($AC112,'Cost and Score'!$B$27:$O$40,11,0)</f>
        <v>0</v>
      </c>
      <c r="BQ112" s="48">
        <f>$G112/5280*VLOOKUP($AC112,'Cost and Score'!$B$27:$O$40,12,0)</f>
        <v>100.75757575757575</v>
      </c>
      <c r="BR112" s="48">
        <f>$G112/5280*VLOOKUP($AC112,'Cost and Score'!$B$27:$O$40,13,0)</f>
        <v>120.90909090909091</v>
      </c>
      <c r="BS112" s="48">
        <f>$G112/5280*VLOOKUP($AC112,'Cost and Score'!$B$27:$O$40,14,0)</f>
        <v>0</v>
      </c>
      <c r="BT112" s="220">
        <f t="shared" si="56"/>
        <v>1.0075757575757576</v>
      </c>
    </row>
    <row r="113" spans="1:103" s="2" customFormat="1" ht="14.45" hidden="1" customHeight="1" x14ac:dyDescent="0.25">
      <c r="A113" s="15" t="s">
        <v>305</v>
      </c>
      <c r="B113" s="34" t="s">
        <v>304</v>
      </c>
      <c r="C113" s="26" t="s">
        <v>304</v>
      </c>
      <c r="D113" s="26"/>
      <c r="E113" s="26" t="s">
        <v>99</v>
      </c>
      <c r="F113" s="26" t="s">
        <v>104</v>
      </c>
      <c r="G113" s="29">
        <v>5335</v>
      </c>
      <c r="H113" s="29">
        <f t="shared" si="62"/>
        <v>20</v>
      </c>
      <c r="I113" s="26" t="s">
        <v>62</v>
      </c>
      <c r="J113" s="26" t="s">
        <v>6</v>
      </c>
      <c r="K113" s="26">
        <f>VLOOKUP(J113,TOWNSHIPS,2,FALSE)</f>
        <v>0</v>
      </c>
      <c r="L113" s="42">
        <v>10</v>
      </c>
      <c r="M113" s="42">
        <v>8</v>
      </c>
      <c r="N113" s="42">
        <v>8</v>
      </c>
      <c r="O113" s="42">
        <v>7</v>
      </c>
      <c r="P113" s="42">
        <v>7</v>
      </c>
      <c r="Q113" s="42">
        <v>7</v>
      </c>
      <c r="R113" s="42">
        <v>7</v>
      </c>
      <c r="S113" s="42">
        <v>7</v>
      </c>
      <c r="T113" s="42">
        <v>7</v>
      </c>
      <c r="U113" s="42">
        <v>7</v>
      </c>
      <c r="V113" s="42"/>
      <c r="W113" s="42"/>
      <c r="X113" s="42"/>
      <c r="Y113" s="26">
        <v>50</v>
      </c>
      <c r="Z113" s="26">
        <f t="shared" si="63"/>
        <v>0</v>
      </c>
      <c r="AA113" s="26" t="s">
        <v>117</v>
      </c>
      <c r="AB113" s="111">
        <f t="shared" si="44"/>
        <v>3</v>
      </c>
      <c r="AC113" s="26" t="s">
        <v>2073</v>
      </c>
      <c r="AD113" s="47">
        <f t="shared" si="40"/>
        <v>32333.333333333332</v>
      </c>
      <c r="AE113" s="140"/>
      <c r="AF113" s="113">
        <f t="shared" si="67"/>
        <v>0</v>
      </c>
      <c r="AG113" s="26">
        <v>2024</v>
      </c>
      <c r="AH113" s="26" t="str">
        <f t="shared" si="34"/>
        <v/>
      </c>
      <c r="AI113" s="26" t="str">
        <f t="shared" si="65"/>
        <v/>
      </c>
      <c r="AJ113" s="26" t="str">
        <f t="shared" si="60"/>
        <v>Chip Seal - Double and Fog</v>
      </c>
      <c r="AK113" s="26" t="str">
        <f t="shared" si="59"/>
        <v/>
      </c>
      <c r="AL113" s="26" t="str">
        <f t="shared" si="68"/>
        <v/>
      </c>
      <c r="AM113" s="26" t="str">
        <f t="shared" si="68"/>
        <v/>
      </c>
      <c r="AN113" s="26" t="str">
        <f t="shared" si="47"/>
        <v>Chip Seal - Double and Fog</v>
      </c>
      <c r="AO113" s="26" t="str">
        <f t="shared" si="66"/>
        <v/>
      </c>
      <c r="AP113" s="26" t="str">
        <f t="shared" si="49"/>
        <v/>
      </c>
      <c r="AQ113" s="68">
        <f t="shared" si="41"/>
        <v>10</v>
      </c>
      <c r="AR113" s="68">
        <f t="shared" si="42"/>
        <v>6</v>
      </c>
      <c r="AS113" s="68">
        <f t="shared" si="50"/>
        <v>1</v>
      </c>
      <c r="AT113" s="68">
        <f t="shared" si="51"/>
        <v>1</v>
      </c>
      <c r="AU113" s="68">
        <f t="shared" si="52"/>
        <v>1</v>
      </c>
      <c r="AV113" s="68">
        <f t="shared" si="53"/>
        <v>1.05</v>
      </c>
      <c r="AW113" s="68">
        <f t="shared" si="54"/>
        <v>1.05</v>
      </c>
      <c r="AX113" s="68">
        <f t="shared" ca="1" si="43"/>
        <v>0</v>
      </c>
      <c r="AY113" s="106"/>
      <c r="AZ113" s="106"/>
      <c r="BA113" s="106" t="str">
        <f t="shared" si="55"/>
        <v/>
      </c>
      <c r="BB113" s="177"/>
      <c r="BC113" s="177">
        <v>8</v>
      </c>
      <c r="BD113" s="177"/>
      <c r="BE113" s="177"/>
      <c r="BF113" s="177"/>
      <c r="BG113" s="177"/>
      <c r="BH113" s="177"/>
      <c r="BI113" s="33"/>
      <c r="BK113" s="48">
        <f>$G113/5280*VLOOKUP($AC113,'Cost and Score'!$B$27:$O$40,6,0)</f>
        <v>0.50520833333333337</v>
      </c>
      <c r="BL113" s="48">
        <f>$G113/5280*VLOOKUP($AC113,'Cost and Score'!$B$27:$O$40,7,0)</f>
        <v>50.520833333333336</v>
      </c>
      <c r="BM113" s="48">
        <f>$G113/5280*VLOOKUP($AC113,'Cost and Score'!$B$27:$O$40,8,0)</f>
        <v>0</v>
      </c>
      <c r="BN113" s="48">
        <f>$G113/5280*VLOOKUP($AC113,'Cost and Score'!$B$27:$O$40,9,0)</f>
        <v>9598.9583333333339</v>
      </c>
      <c r="BO113" s="48">
        <f>$G113/5280*VLOOKUP($AC113,'Cost and Score'!$B$27:$O$40,10,0)</f>
        <v>1010.4166666666667</v>
      </c>
      <c r="BP113" s="48">
        <f>$G113/5280*VLOOKUP($AC113,'Cost and Score'!$B$27:$O$40,11,0)</f>
        <v>0</v>
      </c>
      <c r="BQ113" s="48">
        <f>$G113/5280*VLOOKUP($AC113,'Cost and Score'!$B$27:$O$40,12,0)</f>
        <v>202.08333333333334</v>
      </c>
      <c r="BR113" s="48">
        <f>$G113/5280*VLOOKUP($AC113,'Cost and Score'!$B$27:$O$40,13,0)</f>
        <v>181.875</v>
      </c>
      <c r="BS113" s="48">
        <f>$G113/5280*VLOOKUP($AC113,'Cost and Score'!$B$27:$O$40,14,0)</f>
        <v>242.50000000000003</v>
      </c>
      <c r="BT113" s="220">
        <f t="shared" si="56"/>
        <v>1.0104166666666667</v>
      </c>
      <c r="BY113" s="2" t="s">
        <v>2079</v>
      </c>
      <c r="BZ113" s="27">
        <v>300000</v>
      </c>
      <c r="CA113" s="2" t="s">
        <v>2080</v>
      </c>
      <c r="CS113" s="112"/>
      <c r="CT113" s="112"/>
      <c r="CU113" s="112"/>
    </row>
    <row r="114" spans="1:103" s="2" customFormat="1" ht="14.45" hidden="1" customHeight="1" x14ac:dyDescent="0.25">
      <c r="A114" s="37" t="s">
        <v>308</v>
      </c>
      <c r="B114" s="34" t="s">
        <v>306</v>
      </c>
      <c r="C114" s="26" t="s">
        <v>306</v>
      </c>
      <c r="D114" s="26"/>
      <c r="E114" s="26" t="s">
        <v>307</v>
      </c>
      <c r="F114" s="26" t="s">
        <v>100</v>
      </c>
      <c r="G114" s="29">
        <v>3845</v>
      </c>
      <c r="H114" s="29">
        <f t="shared" si="62"/>
        <v>20</v>
      </c>
      <c r="I114" s="106" t="s">
        <v>751</v>
      </c>
      <c r="J114" s="26" t="s">
        <v>101</v>
      </c>
      <c r="K114" s="26">
        <v>0</v>
      </c>
      <c r="L114" s="42">
        <v>5</v>
      </c>
      <c r="M114" s="42">
        <v>5</v>
      </c>
      <c r="N114" s="42">
        <v>5</v>
      </c>
      <c r="O114" s="42">
        <v>9</v>
      </c>
      <c r="P114" s="42">
        <v>8</v>
      </c>
      <c r="Q114" s="42">
        <v>8</v>
      </c>
      <c r="R114" s="42">
        <v>7</v>
      </c>
      <c r="S114" s="42">
        <v>7</v>
      </c>
      <c r="T114" s="42">
        <v>7</v>
      </c>
      <c r="U114" s="42">
        <v>7</v>
      </c>
      <c r="V114" s="42"/>
      <c r="W114" s="42"/>
      <c r="X114" s="42"/>
      <c r="Y114" s="26">
        <v>448</v>
      </c>
      <c r="Z114" s="26">
        <f t="shared" si="63"/>
        <v>0</v>
      </c>
      <c r="AA114" s="26" t="s">
        <v>117</v>
      </c>
      <c r="AB114" s="111">
        <f t="shared" si="44"/>
        <v>2</v>
      </c>
      <c r="AC114" s="85" t="s">
        <v>2073</v>
      </c>
      <c r="AD114" s="47">
        <f t="shared" si="40"/>
        <v>23303.030303030304</v>
      </c>
      <c r="AE114" s="140"/>
      <c r="AF114" s="113">
        <f t="shared" si="67"/>
        <v>0</v>
      </c>
      <c r="AG114" s="26">
        <v>2027</v>
      </c>
      <c r="AH114" s="26" t="str">
        <f t="shared" si="34"/>
        <v/>
      </c>
      <c r="AI114" s="26" t="str">
        <f t="shared" si="65"/>
        <v/>
      </c>
      <c r="AJ114" s="26" t="str">
        <f t="shared" si="60"/>
        <v/>
      </c>
      <c r="AK114" s="26" t="str">
        <f t="shared" si="59"/>
        <v/>
      </c>
      <c r="AL114" s="26" t="str">
        <f t="shared" si="68"/>
        <v/>
      </c>
      <c r="AM114" s="26" t="str">
        <f t="shared" si="68"/>
        <v>Chip Seal - Double and Fog</v>
      </c>
      <c r="AN114" s="26" t="str">
        <f t="shared" si="47"/>
        <v>Chip Seal - Double and Fog</v>
      </c>
      <c r="AO114" s="26" t="str">
        <f t="shared" si="66"/>
        <v>Crack Seal</v>
      </c>
      <c r="AP114" s="26" t="str">
        <f t="shared" si="49"/>
        <v/>
      </c>
      <c r="AQ114" s="68">
        <f t="shared" si="41"/>
        <v>14</v>
      </c>
      <c r="AR114" s="68">
        <f t="shared" si="42"/>
        <v>6</v>
      </c>
      <c r="AS114" s="68">
        <f t="shared" si="50"/>
        <v>1.25</v>
      </c>
      <c r="AT114" s="68">
        <f t="shared" si="51"/>
        <v>1.25</v>
      </c>
      <c r="AU114" s="68">
        <f t="shared" si="52"/>
        <v>1.25</v>
      </c>
      <c r="AV114" s="68">
        <f t="shared" si="53"/>
        <v>1</v>
      </c>
      <c r="AW114" s="68">
        <f t="shared" si="54"/>
        <v>1</v>
      </c>
      <c r="AX114" s="68">
        <f t="shared" ca="1" si="43"/>
        <v>3.75</v>
      </c>
      <c r="AY114" s="106">
        <v>2021</v>
      </c>
      <c r="AZ114" s="106" t="s">
        <v>2075</v>
      </c>
      <c r="BA114" s="106" t="str">
        <f t="shared" si="55"/>
        <v/>
      </c>
      <c r="BB114" s="177"/>
      <c r="BC114" s="177">
        <v>8</v>
      </c>
      <c r="BD114" s="177"/>
      <c r="BE114" s="177"/>
      <c r="BF114" s="177"/>
      <c r="BG114" s="177"/>
      <c r="BH114" s="177"/>
      <c r="BI114" s="33"/>
      <c r="BK114" s="48">
        <f>$G114/5280*VLOOKUP($AC114,'Cost and Score'!$B$27:$O$40,6,0)</f>
        <v>0.36410984848484851</v>
      </c>
      <c r="BL114" s="48">
        <f>$G114/5280*VLOOKUP($AC114,'Cost and Score'!$B$27:$O$40,7,0)</f>
        <v>36.410984848484851</v>
      </c>
      <c r="BM114" s="48">
        <f>$G114/5280*VLOOKUP($AC114,'Cost and Score'!$B$27:$O$40,8,0)</f>
        <v>0</v>
      </c>
      <c r="BN114" s="48">
        <f>$G114/5280*VLOOKUP($AC114,'Cost and Score'!$B$27:$O$40,9,0)</f>
        <v>6918.0871212121219</v>
      </c>
      <c r="BO114" s="48">
        <f>$G114/5280*VLOOKUP($AC114,'Cost and Score'!$B$27:$O$40,10,0)</f>
        <v>728.219696969697</v>
      </c>
      <c r="BP114" s="48">
        <f>$G114/5280*VLOOKUP($AC114,'Cost and Score'!$B$27:$O$40,11,0)</f>
        <v>0</v>
      </c>
      <c r="BQ114" s="48">
        <f>$G114/5280*VLOOKUP($AC114,'Cost and Score'!$B$27:$O$40,12,0)</f>
        <v>145.64393939393941</v>
      </c>
      <c r="BR114" s="48">
        <f>$G114/5280*VLOOKUP($AC114,'Cost and Score'!$B$27:$O$40,13,0)</f>
        <v>131.07954545454547</v>
      </c>
      <c r="BS114" s="48">
        <f>$G114/5280*VLOOKUP($AC114,'Cost and Score'!$B$27:$O$40,14,0)</f>
        <v>174.77272727272728</v>
      </c>
      <c r="BT114" s="220">
        <f t="shared" si="56"/>
        <v>0.72821969696969702</v>
      </c>
    </row>
    <row r="115" spans="1:103" s="2" customFormat="1" ht="14.45" hidden="1" customHeight="1" x14ac:dyDescent="0.25">
      <c r="A115" s="15" t="s">
        <v>310</v>
      </c>
      <c r="B115" s="34" t="s">
        <v>309</v>
      </c>
      <c r="C115" s="26" t="s">
        <v>309</v>
      </c>
      <c r="D115" s="82"/>
      <c r="E115" s="82" t="s">
        <v>210</v>
      </c>
      <c r="F115" s="82" t="s">
        <v>209</v>
      </c>
      <c r="G115" s="29">
        <v>2820</v>
      </c>
      <c r="H115" s="29">
        <f t="shared" si="62"/>
        <v>20</v>
      </c>
      <c r="I115" s="26" t="s">
        <v>8</v>
      </c>
      <c r="J115" s="26" t="s">
        <v>6</v>
      </c>
      <c r="K115" s="26">
        <f>VLOOKUP(J115,TOWNSHIPS,2,FALSE)</f>
        <v>0</v>
      </c>
      <c r="L115" s="42">
        <v>7</v>
      </c>
      <c r="M115" s="42">
        <v>9</v>
      </c>
      <c r="N115" s="42">
        <v>8</v>
      </c>
      <c r="O115" s="83">
        <v>7</v>
      </c>
      <c r="P115" s="83">
        <v>7</v>
      </c>
      <c r="Q115" s="83">
        <v>7</v>
      </c>
      <c r="R115" s="83">
        <v>7</v>
      </c>
      <c r="S115" s="83">
        <v>7</v>
      </c>
      <c r="T115" s="83">
        <v>7</v>
      </c>
      <c r="U115" s="83">
        <v>7</v>
      </c>
      <c r="V115" s="42"/>
      <c r="W115" s="42"/>
      <c r="X115" s="42"/>
      <c r="Y115" s="26">
        <v>132</v>
      </c>
      <c r="Z115" s="26">
        <f t="shared" si="63"/>
        <v>0</v>
      </c>
      <c r="AA115" s="82" t="s">
        <v>117</v>
      </c>
      <c r="AB115" s="111">
        <f t="shared" si="44"/>
        <v>3</v>
      </c>
      <c r="AC115" s="82" t="s">
        <v>13</v>
      </c>
      <c r="AD115" s="84">
        <f t="shared" si="40"/>
        <v>11215.90909090909</v>
      </c>
      <c r="AE115" s="140"/>
      <c r="AF115" s="113">
        <f t="shared" si="67"/>
        <v>0</v>
      </c>
      <c r="AG115" s="82">
        <v>2022</v>
      </c>
      <c r="AH115" s="26" t="str">
        <f t="shared" si="34"/>
        <v>Chip Seal and Fog</v>
      </c>
      <c r="AI115" s="26" t="str">
        <f t="shared" si="65"/>
        <v/>
      </c>
      <c r="AJ115" s="26" t="str">
        <f t="shared" si="60"/>
        <v/>
      </c>
      <c r="AK115" s="26" t="str">
        <f t="shared" si="59"/>
        <v/>
      </c>
      <c r="AL115" s="26" t="str">
        <f t="shared" si="68"/>
        <v/>
      </c>
      <c r="AM115" s="26" t="str">
        <f t="shared" si="68"/>
        <v/>
      </c>
      <c r="AN115" s="26" t="str">
        <f t="shared" si="47"/>
        <v>Chip Seal and Fog</v>
      </c>
      <c r="AO115" s="26" t="str">
        <f t="shared" si="66"/>
        <v/>
      </c>
      <c r="AP115" s="26" t="str">
        <f t="shared" si="49"/>
        <v/>
      </c>
      <c r="AQ115" s="68">
        <f t="shared" si="41"/>
        <v>10</v>
      </c>
      <c r="AR115" s="68">
        <f t="shared" si="42"/>
        <v>6</v>
      </c>
      <c r="AS115" s="68">
        <f t="shared" si="50"/>
        <v>1.05</v>
      </c>
      <c r="AT115" s="68">
        <f t="shared" si="51"/>
        <v>1</v>
      </c>
      <c r="AU115" s="68">
        <f t="shared" si="52"/>
        <v>1</v>
      </c>
      <c r="AV115" s="68">
        <f t="shared" si="53"/>
        <v>1.05</v>
      </c>
      <c r="AW115" s="68">
        <f t="shared" si="54"/>
        <v>1.05</v>
      </c>
      <c r="AX115" s="68">
        <f t="shared" ca="1" si="43"/>
        <v>-2</v>
      </c>
      <c r="AY115" s="106">
        <v>2014</v>
      </c>
      <c r="AZ115" s="106" t="s">
        <v>13</v>
      </c>
      <c r="BA115" s="106" t="str">
        <f t="shared" si="55"/>
        <v/>
      </c>
      <c r="BB115" s="177"/>
      <c r="BC115" s="177">
        <v>8</v>
      </c>
      <c r="BD115" s="177"/>
      <c r="BE115" s="177"/>
      <c r="BF115" s="177"/>
      <c r="BG115" s="177"/>
      <c r="BH115" s="177"/>
      <c r="BI115" s="33"/>
      <c r="BK115" s="48">
        <f>$G115/5280*VLOOKUP($AC115,'Cost and Score'!$B$27:$O$40,6,0)</f>
        <v>0.10681818181818181</v>
      </c>
      <c r="BL115" s="48">
        <f>$G115/5280*VLOOKUP($AC115,'Cost and Score'!$B$27:$O$40,7,0)</f>
        <v>11.75</v>
      </c>
      <c r="BM115" s="48">
        <f>$G115/5280*VLOOKUP($AC115,'Cost and Score'!$B$27:$O$40,8,0)</f>
        <v>0</v>
      </c>
      <c r="BN115" s="48">
        <f>$G115/5280*VLOOKUP($AC115,'Cost and Score'!$B$27:$O$40,9,0)</f>
        <v>2403.409090909091</v>
      </c>
      <c r="BO115" s="48">
        <f>$G115/5280*VLOOKUP($AC115,'Cost and Score'!$B$27:$O$40,10,0)</f>
        <v>534.09090909090901</v>
      </c>
      <c r="BP115" s="48">
        <f>$G115/5280*VLOOKUP($AC115,'Cost and Score'!$B$27:$O$40,11,0)</f>
        <v>0</v>
      </c>
      <c r="BQ115" s="48">
        <f>$G115/5280*VLOOKUP($AC115,'Cost and Score'!$B$27:$O$40,12,0)</f>
        <v>53.409090909090907</v>
      </c>
      <c r="BR115" s="48">
        <f>$G115/5280*VLOOKUP($AC115,'Cost and Score'!$B$27:$O$40,13,0)</f>
        <v>64.090909090909093</v>
      </c>
      <c r="BS115" s="48">
        <f>$G115/5280*VLOOKUP($AC115,'Cost and Score'!$B$27:$O$40,14,0)</f>
        <v>0</v>
      </c>
      <c r="BT115" s="220">
        <f t="shared" si="56"/>
        <v>0.53409090909090906</v>
      </c>
    </row>
    <row r="116" spans="1:103" s="2" customFormat="1" ht="14.45" customHeight="1" x14ac:dyDescent="0.25">
      <c r="A116" s="36" t="s">
        <v>538</v>
      </c>
      <c r="B116" s="34" t="s">
        <v>537</v>
      </c>
      <c r="C116" s="85" t="s">
        <v>537</v>
      </c>
      <c r="D116" s="85"/>
      <c r="E116" s="85" t="s">
        <v>4</v>
      </c>
      <c r="F116" s="85" t="s">
        <v>455</v>
      </c>
      <c r="G116" s="29">
        <v>4000</v>
      </c>
      <c r="H116" s="29">
        <f t="shared" si="62"/>
        <v>20</v>
      </c>
      <c r="I116" s="85" t="s">
        <v>8</v>
      </c>
      <c r="J116" s="85" t="s">
        <v>6</v>
      </c>
      <c r="K116" s="85">
        <f>VLOOKUP(J116,TOWNSHIPS,2,FALSE)</f>
        <v>0</v>
      </c>
      <c r="L116" s="74">
        <v>8</v>
      </c>
      <c r="M116" s="74">
        <v>7</v>
      </c>
      <c r="N116" s="74">
        <v>7</v>
      </c>
      <c r="O116" s="74">
        <v>7</v>
      </c>
      <c r="P116" s="74">
        <v>8</v>
      </c>
      <c r="Q116" s="74">
        <v>8</v>
      </c>
      <c r="R116" s="74">
        <v>8</v>
      </c>
      <c r="S116" s="74">
        <v>8</v>
      </c>
      <c r="T116" s="74">
        <v>8</v>
      </c>
      <c r="U116" s="74">
        <v>8</v>
      </c>
      <c r="V116" s="74"/>
      <c r="W116" s="74"/>
      <c r="X116" s="74"/>
      <c r="Y116" s="85">
        <v>1107</v>
      </c>
      <c r="Z116" s="85">
        <f t="shared" si="63"/>
        <v>0.5</v>
      </c>
      <c r="AA116" s="85" t="s">
        <v>104</v>
      </c>
      <c r="AB116" s="111">
        <f t="shared" si="44"/>
        <v>2.5</v>
      </c>
      <c r="AC116" s="85" t="s">
        <v>13</v>
      </c>
      <c r="AD116" s="47">
        <f t="shared" si="40"/>
        <v>15909.09090909091</v>
      </c>
      <c r="AE116" s="140"/>
      <c r="AF116" s="113">
        <f t="shared" si="67"/>
        <v>0</v>
      </c>
      <c r="AG116" s="106">
        <v>2025</v>
      </c>
      <c r="AH116" s="26" t="str">
        <f t="shared" si="34"/>
        <v/>
      </c>
      <c r="AI116" s="26" t="str">
        <f t="shared" si="65"/>
        <v/>
      </c>
      <c r="AJ116" s="26" t="str">
        <f t="shared" si="60"/>
        <v/>
      </c>
      <c r="AK116" s="26" t="str">
        <f t="shared" si="59"/>
        <v>Chip Seal and Fog</v>
      </c>
      <c r="AL116" s="26" t="str">
        <f t="shared" si="68"/>
        <v/>
      </c>
      <c r="AM116" s="26" t="str">
        <f t="shared" si="68"/>
        <v/>
      </c>
      <c r="AN116" s="26" t="str">
        <f t="shared" si="47"/>
        <v>Chip Seal and Fog</v>
      </c>
      <c r="AO116" s="26" t="str">
        <f t="shared" si="66"/>
        <v/>
      </c>
      <c r="AP116" s="26" t="str">
        <f t="shared" si="49"/>
        <v/>
      </c>
      <c r="AQ116" s="68">
        <f t="shared" si="41"/>
        <v>10</v>
      </c>
      <c r="AR116" s="68">
        <f t="shared" si="42"/>
        <v>6</v>
      </c>
      <c r="AS116" s="68">
        <f t="shared" si="50"/>
        <v>1</v>
      </c>
      <c r="AT116" s="68">
        <f t="shared" si="51"/>
        <v>1.05</v>
      </c>
      <c r="AU116" s="68">
        <f t="shared" si="52"/>
        <v>1.05</v>
      </c>
      <c r="AV116" s="68">
        <f t="shared" si="53"/>
        <v>1.05</v>
      </c>
      <c r="AW116" s="68">
        <f t="shared" si="54"/>
        <v>1</v>
      </c>
      <c r="AX116" s="68">
        <f t="shared" ca="1" si="43"/>
        <v>1.05</v>
      </c>
      <c r="AY116" s="106">
        <v>2015</v>
      </c>
      <c r="AZ116" s="106" t="s">
        <v>2075</v>
      </c>
      <c r="BA116" s="106" t="str">
        <f t="shared" si="55"/>
        <v/>
      </c>
      <c r="BB116" s="177"/>
      <c r="BC116" s="177">
        <v>9</v>
      </c>
      <c r="BD116" s="177"/>
      <c r="BE116" s="177"/>
      <c r="BF116" s="177"/>
      <c r="BG116" s="177"/>
      <c r="BH116" s="177"/>
      <c r="BI116" s="33"/>
      <c r="BK116" s="48">
        <f>$G116/5280*VLOOKUP($AC116,'Cost and Score'!$B$27:$O$40,6,0)</f>
        <v>0.15151515151515152</v>
      </c>
      <c r="BL116" s="48">
        <f>$G116/5280*VLOOKUP($AC116,'Cost and Score'!$B$27:$O$40,7,0)</f>
        <v>16.666666666666668</v>
      </c>
      <c r="BM116" s="48">
        <f>$G116/5280*VLOOKUP($AC116,'Cost and Score'!$B$27:$O$40,8,0)</f>
        <v>0</v>
      </c>
      <c r="BN116" s="48">
        <f>$G116/5280*VLOOKUP($AC116,'Cost and Score'!$B$27:$O$40,9,0)</f>
        <v>3409.090909090909</v>
      </c>
      <c r="BO116" s="48">
        <f>$G116/5280*VLOOKUP($AC116,'Cost and Score'!$B$27:$O$40,10,0)</f>
        <v>757.57575757575762</v>
      </c>
      <c r="BP116" s="48">
        <f>$G116/5280*VLOOKUP($AC116,'Cost and Score'!$B$27:$O$40,11,0)</f>
        <v>0</v>
      </c>
      <c r="BQ116" s="48">
        <f>$G116/5280*VLOOKUP($AC116,'Cost and Score'!$B$27:$O$40,12,0)</f>
        <v>75.757575757575751</v>
      </c>
      <c r="BR116" s="48">
        <f>$G116/5280*VLOOKUP($AC116,'Cost and Score'!$B$27:$O$40,13,0)</f>
        <v>90.909090909090907</v>
      </c>
      <c r="BS116" s="48">
        <f>$G116/5280*VLOOKUP($AC116,'Cost and Score'!$B$27:$O$40,14,0)</f>
        <v>0</v>
      </c>
      <c r="BT116" s="220">
        <f t="shared" si="56"/>
        <v>0.75757575757575757</v>
      </c>
    </row>
    <row r="117" spans="1:103" s="112" customFormat="1" ht="14.45" hidden="1" customHeight="1" x14ac:dyDescent="0.25">
      <c r="A117" s="15" t="s">
        <v>315</v>
      </c>
      <c r="B117" s="108" t="s">
        <v>314</v>
      </c>
      <c r="C117" s="106" t="s">
        <v>314</v>
      </c>
      <c r="D117" s="106"/>
      <c r="E117" s="106" t="s">
        <v>116</v>
      </c>
      <c r="F117" s="106" t="s">
        <v>121</v>
      </c>
      <c r="G117" s="109">
        <v>1088</v>
      </c>
      <c r="H117" s="109">
        <f t="shared" si="62"/>
        <v>20</v>
      </c>
      <c r="I117" s="106" t="s">
        <v>13</v>
      </c>
      <c r="J117" s="106" t="s">
        <v>101</v>
      </c>
      <c r="K117" s="106">
        <v>0</v>
      </c>
      <c r="L117" s="110">
        <v>7</v>
      </c>
      <c r="M117" s="110">
        <v>7</v>
      </c>
      <c r="N117" s="110">
        <v>7</v>
      </c>
      <c r="O117" s="110">
        <v>7</v>
      </c>
      <c r="P117" s="110">
        <v>7</v>
      </c>
      <c r="Q117" s="110">
        <v>7</v>
      </c>
      <c r="R117" s="110">
        <v>7</v>
      </c>
      <c r="S117" s="110">
        <v>7</v>
      </c>
      <c r="T117" s="110">
        <v>7</v>
      </c>
      <c r="U117" s="110">
        <v>7</v>
      </c>
      <c r="V117" s="110">
        <v>2024</v>
      </c>
      <c r="W117" s="110">
        <v>2022</v>
      </c>
      <c r="X117" s="110" t="s">
        <v>2612</v>
      </c>
      <c r="Y117" s="106">
        <v>3700</v>
      </c>
      <c r="Z117" s="106">
        <f t="shared" si="63"/>
        <v>1.5</v>
      </c>
      <c r="AA117" s="106" t="s">
        <v>193</v>
      </c>
      <c r="AB117" s="111">
        <f t="shared" si="44"/>
        <v>4.5</v>
      </c>
      <c r="AC117" s="26" t="s">
        <v>751</v>
      </c>
      <c r="AD117" s="107">
        <f t="shared" si="40"/>
        <v>22666.666666666668</v>
      </c>
      <c r="AE117" s="198">
        <v>1</v>
      </c>
      <c r="AF117" s="113">
        <f t="shared" si="67"/>
        <v>22666.666666666668</v>
      </c>
      <c r="AG117" s="26">
        <v>2024</v>
      </c>
      <c r="AH117" s="26" t="str">
        <f t="shared" si="34"/>
        <v/>
      </c>
      <c r="AI117" s="26" t="str">
        <f t="shared" si="65"/>
        <v/>
      </c>
      <c r="AJ117" s="26" t="str">
        <f t="shared" si="60"/>
        <v>Overlay - 2"</v>
      </c>
      <c r="AK117" s="26" t="str">
        <f t="shared" si="59"/>
        <v/>
      </c>
      <c r="AL117" s="26" t="str">
        <f t="shared" si="68"/>
        <v/>
      </c>
      <c r="AM117" s="26" t="str">
        <f t="shared" si="68"/>
        <v/>
      </c>
      <c r="AN117" s="26" t="str">
        <f t="shared" si="47"/>
        <v>Overlay - 2"</v>
      </c>
      <c r="AO117" s="26" t="str">
        <f t="shared" si="66"/>
        <v/>
      </c>
      <c r="AP117" s="26" t="str">
        <f t="shared" si="49"/>
        <v/>
      </c>
      <c r="AQ117" s="68">
        <f t="shared" si="41"/>
        <v>10</v>
      </c>
      <c r="AR117" s="68">
        <f t="shared" si="42"/>
        <v>12</v>
      </c>
      <c r="AS117" s="68">
        <f t="shared" si="50"/>
        <v>1.05</v>
      </c>
      <c r="AT117" s="68">
        <f t="shared" si="51"/>
        <v>1.05</v>
      </c>
      <c r="AU117" s="68">
        <f t="shared" si="52"/>
        <v>1.05</v>
      </c>
      <c r="AV117" s="68">
        <f t="shared" si="53"/>
        <v>1.05</v>
      </c>
      <c r="AW117" s="68">
        <f t="shared" si="54"/>
        <v>1.05</v>
      </c>
      <c r="AX117" s="68">
        <f t="shared" ca="1" si="43"/>
        <v>0</v>
      </c>
      <c r="AY117" s="106">
        <v>2017</v>
      </c>
      <c r="AZ117" s="111" t="s">
        <v>2073</v>
      </c>
      <c r="BA117" s="106" t="str">
        <f t="shared" si="55"/>
        <v/>
      </c>
      <c r="BB117" s="110"/>
      <c r="BC117" s="110">
        <v>6</v>
      </c>
      <c r="BD117" s="110"/>
      <c r="BE117" s="110"/>
      <c r="BF117" s="110"/>
      <c r="BG117" s="110"/>
      <c r="BH117" s="110"/>
      <c r="BI117" s="33" t="s">
        <v>2629</v>
      </c>
      <c r="BJ117" s="2"/>
      <c r="BK117" s="48">
        <f>$G117/5280*VLOOKUP($AC117,'Cost and Score'!$B$27:$O$40,6,0)</f>
        <v>0.46363636363636362</v>
      </c>
      <c r="BL117" s="48">
        <f>$G117/5280*VLOOKUP($AC117,'Cost and Score'!$B$27:$O$40,7,0)</f>
        <v>43.272727272727273</v>
      </c>
      <c r="BM117" s="48">
        <f>$G117/5280*VLOOKUP($AC117,'Cost and Score'!$B$27:$O$40,8,0)</f>
        <v>72.121212121212125</v>
      </c>
      <c r="BN117" s="48">
        <f>$G117/5280*VLOOKUP($AC117,'Cost and Score'!$B$27:$O$40,9,0)</f>
        <v>0</v>
      </c>
      <c r="BO117" s="48">
        <f>$G117/5280*VLOOKUP($AC117,'Cost and Score'!$B$27:$O$40,10,0)</f>
        <v>0</v>
      </c>
      <c r="BP117" s="48">
        <f>$G117/5280*VLOOKUP($AC117,'Cost and Score'!$B$27:$O$40,11,0)</f>
        <v>41.212121212121211</v>
      </c>
      <c r="BQ117" s="48">
        <f>$G117/5280*VLOOKUP($AC117,'Cost and Score'!$B$27:$O$40,12,0)</f>
        <v>350.30303030303031</v>
      </c>
      <c r="BR117" s="48">
        <f>$G117/5280*VLOOKUP($AC117,'Cost and Score'!$B$27:$O$40,13,0)</f>
        <v>0</v>
      </c>
      <c r="BS117" s="48">
        <f>$G117/5280*VLOOKUP($AC117,'Cost and Score'!$B$27:$O$40,14,0)</f>
        <v>0</v>
      </c>
      <c r="BT117" s="220">
        <f t="shared" si="56"/>
        <v>0.20606060606060606</v>
      </c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</row>
    <row r="118" spans="1:103" s="112" customFormat="1" hidden="1" x14ac:dyDescent="0.25">
      <c r="A118" s="15" t="s">
        <v>317</v>
      </c>
      <c r="B118" s="108" t="s">
        <v>316</v>
      </c>
      <c r="C118" s="106" t="s">
        <v>316</v>
      </c>
      <c r="D118" s="106"/>
      <c r="E118" s="106" t="s">
        <v>121</v>
      </c>
      <c r="F118" s="106" t="s">
        <v>124</v>
      </c>
      <c r="G118" s="109">
        <v>5324</v>
      </c>
      <c r="H118" s="109">
        <f t="shared" si="62"/>
        <v>20</v>
      </c>
      <c r="I118" s="106" t="s">
        <v>13</v>
      </c>
      <c r="J118" s="106" t="s">
        <v>125</v>
      </c>
      <c r="K118" s="106">
        <f>VLOOKUP(J118,TOWNSHIPS,2,FALSE)</f>
        <v>0</v>
      </c>
      <c r="L118" s="110">
        <v>7</v>
      </c>
      <c r="M118" s="110">
        <v>7</v>
      </c>
      <c r="N118" s="110">
        <v>7</v>
      </c>
      <c r="O118" s="110">
        <v>6</v>
      </c>
      <c r="P118" s="110">
        <v>8</v>
      </c>
      <c r="Q118" s="110">
        <v>7</v>
      </c>
      <c r="R118" s="110">
        <v>7</v>
      </c>
      <c r="S118" s="110">
        <v>7</v>
      </c>
      <c r="T118" s="110">
        <v>7</v>
      </c>
      <c r="U118" s="110">
        <v>7</v>
      </c>
      <c r="V118" s="110">
        <v>2024</v>
      </c>
      <c r="W118" s="110">
        <v>2022</v>
      </c>
      <c r="X118" s="110" t="s">
        <v>2612</v>
      </c>
      <c r="Y118" s="106">
        <v>2563</v>
      </c>
      <c r="Z118" s="106">
        <f t="shared" si="63"/>
        <v>1.5</v>
      </c>
      <c r="AA118" s="106" t="s">
        <v>193</v>
      </c>
      <c r="AB118" s="111">
        <f t="shared" si="44"/>
        <v>3.5</v>
      </c>
      <c r="AC118" s="85" t="s">
        <v>13</v>
      </c>
      <c r="AD118" s="107">
        <f t="shared" si="40"/>
        <v>21175</v>
      </c>
      <c r="AE118" s="198">
        <v>1</v>
      </c>
      <c r="AF118" s="113">
        <f t="shared" si="67"/>
        <v>21175</v>
      </c>
      <c r="AG118" s="85">
        <v>2023</v>
      </c>
      <c r="AH118" s="26" t="str">
        <f t="shared" si="34"/>
        <v/>
      </c>
      <c r="AI118" s="26" t="str">
        <f t="shared" si="65"/>
        <v>Chip Seal and Fog</v>
      </c>
      <c r="AJ118" s="26" t="str">
        <f t="shared" si="60"/>
        <v/>
      </c>
      <c r="AK118" s="26" t="str">
        <f t="shared" si="59"/>
        <v/>
      </c>
      <c r="AL118" s="26" t="str">
        <f t="shared" si="68"/>
        <v/>
      </c>
      <c r="AM118" s="26" t="str">
        <f t="shared" si="68"/>
        <v/>
      </c>
      <c r="AN118" s="26" t="str">
        <f t="shared" si="47"/>
        <v>Chip Seal and Fog</v>
      </c>
      <c r="AO118" s="26" t="str">
        <f t="shared" si="66"/>
        <v/>
      </c>
      <c r="AP118" s="26" t="str">
        <f t="shared" si="49"/>
        <v/>
      </c>
      <c r="AQ118" s="68">
        <f t="shared" si="41"/>
        <v>8</v>
      </c>
      <c r="AR118" s="68">
        <f t="shared" si="42"/>
        <v>6</v>
      </c>
      <c r="AS118" s="68">
        <f t="shared" si="50"/>
        <v>1.05</v>
      </c>
      <c r="AT118" s="68">
        <f t="shared" si="51"/>
        <v>1.05</v>
      </c>
      <c r="AU118" s="68">
        <f t="shared" si="52"/>
        <v>1.05</v>
      </c>
      <c r="AV118" s="68">
        <f t="shared" si="53"/>
        <v>1.1000000000000001</v>
      </c>
      <c r="AW118" s="68">
        <f t="shared" si="54"/>
        <v>1</v>
      </c>
      <c r="AX118" s="68">
        <f t="shared" ca="1" si="43"/>
        <v>-1.05</v>
      </c>
      <c r="AY118" s="106">
        <v>2023</v>
      </c>
      <c r="AZ118" s="106" t="s">
        <v>13</v>
      </c>
      <c r="BA118" s="106" t="str">
        <f t="shared" si="55"/>
        <v/>
      </c>
      <c r="BB118" s="177"/>
      <c r="BC118" s="177">
        <v>6</v>
      </c>
      <c r="BD118" s="177"/>
      <c r="BE118" s="177"/>
      <c r="BF118" s="177"/>
      <c r="BG118" s="177"/>
      <c r="BH118" s="177"/>
      <c r="BI118" s="33"/>
      <c r="BJ118" s="2"/>
      <c r="BK118" s="48">
        <f>$G118/5280*VLOOKUP($AC118,'Cost and Score'!$B$27:$O$40,6,0)</f>
        <v>0.20166666666666666</v>
      </c>
      <c r="BL118" s="48">
        <f>$G118/5280*VLOOKUP($AC118,'Cost and Score'!$B$27:$O$40,7,0)</f>
        <v>22.183333333333334</v>
      </c>
      <c r="BM118" s="48">
        <f>$G118/5280*VLOOKUP($AC118,'Cost and Score'!$B$27:$O$40,8,0)</f>
        <v>0</v>
      </c>
      <c r="BN118" s="48">
        <f>$G118/5280*VLOOKUP($AC118,'Cost and Score'!$B$27:$O$40,9,0)</f>
        <v>4537.5</v>
      </c>
      <c r="BO118" s="48">
        <f>$G118/5280*VLOOKUP($AC118,'Cost and Score'!$B$27:$O$40,10,0)</f>
        <v>1008.3333333333333</v>
      </c>
      <c r="BP118" s="48">
        <f>$G118/5280*VLOOKUP($AC118,'Cost and Score'!$B$27:$O$40,11,0)</f>
        <v>0</v>
      </c>
      <c r="BQ118" s="48">
        <f>$G118/5280*VLOOKUP($AC118,'Cost and Score'!$B$27:$O$40,12,0)</f>
        <v>100.83333333333333</v>
      </c>
      <c r="BR118" s="48">
        <f>$G118/5280*VLOOKUP($AC118,'Cost and Score'!$B$27:$O$40,13,0)</f>
        <v>121</v>
      </c>
      <c r="BS118" s="48">
        <f>$G118/5280*VLOOKUP($AC118,'Cost and Score'!$B$27:$O$40,14,0)</f>
        <v>0</v>
      </c>
      <c r="BT118" s="220">
        <f t="shared" si="56"/>
        <v>1.0083333333333333</v>
      </c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G118" s="2"/>
      <c r="CH118" s="2"/>
      <c r="CI118" s="2"/>
      <c r="CJ118" s="2"/>
      <c r="CK118" s="2"/>
      <c r="CL118" s="2"/>
      <c r="CM118" s="2"/>
      <c r="CW118" s="2"/>
      <c r="CX118" s="2"/>
      <c r="CY118" s="2"/>
    </row>
    <row r="119" spans="1:103" s="112" customFormat="1" hidden="1" x14ac:dyDescent="0.25">
      <c r="A119" s="36" t="s">
        <v>319</v>
      </c>
      <c r="B119" s="34" t="s">
        <v>318</v>
      </c>
      <c r="C119" s="85" t="s">
        <v>318</v>
      </c>
      <c r="D119" s="85"/>
      <c r="E119" s="85" t="s">
        <v>124</v>
      </c>
      <c r="F119" s="85" t="s">
        <v>127</v>
      </c>
      <c r="G119" s="29">
        <v>2680</v>
      </c>
      <c r="H119" s="29">
        <f t="shared" si="62"/>
        <v>20</v>
      </c>
      <c r="I119" s="85" t="s">
        <v>8</v>
      </c>
      <c r="J119" s="85" t="s">
        <v>125</v>
      </c>
      <c r="K119" s="85">
        <f>VLOOKUP(J119,TOWNSHIPS,2,FALSE)</f>
        <v>0</v>
      </c>
      <c r="L119" s="74">
        <v>8</v>
      </c>
      <c r="M119" s="74">
        <v>7</v>
      </c>
      <c r="N119" s="74">
        <v>7</v>
      </c>
      <c r="O119" s="74">
        <v>7</v>
      </c>
      <c r="P119" s="74">
        <v>7</v>
      </c>
      <c r="Q119" s="74">
        <v>7</v>
      </c>
      <c r="R119" s="74">
        <v>7</v>
      </c>
      <c r="S119" s="74">
        <v>7</v>
      </c>
      <c r="T119" s="74">
        <v>7</v>
      </c>
      <c r="U119" s="74">
        <v>7</v>
      </c>
      <c r="V119" s="74">
        <v>2024</v>
      </c>
      <c r="W119" s="74">
        <v>2022</v>
      </c>
      <c r="X119" s="74" t="s">
        <v>2612</v>
      </c>
      <c r="Y119" s="85">
        <v>2864</v>
      </c>
      <c r="Z119" s="85">
        <f t="shared" si="63"/>
        <v>1.5</v>
      </c>
      <c r="AA119" s="85" t="s">
        <v>193</v>
      </c>
      <c r="AB119" s="111">
        <f t="shared" si="44"/>
        <v>4.5</v>
      </c>
      <c r="AC119" s="85" t="s">
        <v>2371</v>
      </c>
      <c r="AD119" s="47">
        <f t="shared" si="40"/>
        <v>40606.060606060608</v>
      </c>
      <c r="AE119" s="140">
        <v>1</v>
      </c>
      <c r="AF119" s="113">
        <f t="shared" si="67"/>
        <v>40606.060606060608</v>
      </c>
      <c r="AG119" s="85">
        <v>2024</v>
      </c>
      <c r="AH119" s="26" t="str">
        <f t="shared" ref="AH119:AH182" si="69">IF($AG119=AH$1,VLOOKUP($AC119,RSL,3,FALSE),"")</f>
        <v/>
      </c>
      <c r="AI119" s="26" t="s">
        <v>2575</v>
      </c>
      <c r="AJ119" s="26" t="str">
        <f t="shared" ref="AJ119:AJ130" si="70">IF($AG119=AJ$1,VLOOKUP($AC119,RSL,3,FALSE),"")</f>
        <v>Microsurface double</v>
      </c>
      <c r="AK119" s="26" t="s">
        <v>2628</v>
      </c>
      <c r="AL119" s="26" t="str">
        <f t="shared" si="68"/>
        <v/>
      </c>
      <c r="AM119" s="26" t="str">
        <f t="shared" si="68"/>
        <v/>
      </c>
      <c r="AN119" s="26" t="str">
        <f t="shared" si="47"/>
        <v>Microsurface double</v>
      </c>
      <c r="AO119" s="26" t="s">
        <v>2575</v>
      </c>
      <c r="AP119" s="26" t="str">
        <f t="shared" si="49"/>
        <v/>
      </c>
      <c r="AQ119" s="68">
        <f t="shared" si="41"/>
        <v>10</v>
      </c>
      <c r="AR119" s="68">
        <f t="shared" si="42"/>
        <v>10</v>
      </c>
      <c r="AS119" s="68">
        <f t="shared" si="50"/>
        <v>1</v>
      </c>
      <c r="AT119" s="68">
        <f t="shared" si="51"/>
        <v>1.05</v>
      </c>
      <c r="AU119" s="68">
        <f t="shared" si="52"/>
        <v>1.05</v>
      </c>
      <c r="AV119" s="68">
        <f t="shared" si="53"/>
        <v>1.05</v>
      </c>
      <c r="AW119" s="68">
        <f t="shared" si="54"/>
        <v>1.05</v>
      </c>
      <c r="AX119" s="68">
        <f t="shared" ca="1" si="43"/>
        <v>0</v>
      </c>
      <c r="AY119" s="106">
        <v>2015</v>
      </c>
      <c r="AZ119" s="106" t="s">
        <v>2075</v>
      </c>
      <c r="BA119" s="106" t="str">
        <f t="shared" si="55"/>
        <v/>
      </c>
      <c r="BB119" s="177"/>
      <c r="BC119" s="177">
        <v>6</v>
      </c>
      <c r="BD119" s="177"/>
      <c r="BE119" s="177"/>
      <c r="BF119" s="177"/>
      <c r="BG119" s="177"/>
      <c r="BH119" s="177"/>
      <c r="BI119" s="33" t="s">
        <v>2629</v>
      </c>
      <c r="BJ119" s="2"/>
      <c r="BK119" s="48">
        <f>$G119/5280*VLOOKUP($AC119,'Cost and Score'!$B$27:$O$40,6,0)</f>
        <v>0.25378787878787878</v>
      </c>
      <c r="BL119" s="48">
        <f>$G119/5280*VLOOKUP($AC119,'Cost and Score'!$B$27:$O$40,7,0)</f>
        <v>0</v>
      </c>
      <c r="BM119" s="48">
        <f>$G119/5280*VLOOKUP($AC119,'Cost and Score'!$B$27:$O$40,8,0)</f>
        <v>0</v>
      </c>
      <c r="BN119" s="48">
        <f>$G119/5280*VLOOKUP($AC119,'Cost and Score'!$B$27:$O$40,9,0)</f>
        <v>0</v>
      </c>
      <c r="BO119" s="48">
        <f>$G119/5280*VLOOKUP($AC119,'Cost and Score'!$B$27:$O$40,10,0)</f>
        <v>0</v>
      </c>
      <c r="BP119" s="48">
        <f>$G119/5280*VLOOKUP($AC119,'Cost and Score'!$B$27:$O$40,11,0)</f>
        <v>0</v>
      </c>
      <c r="BQ119" s="48">
        <f>$G119/5280*VLOOKUP($AC119,'Cost and Score'!$B$27:$O$40,12,0)</f>
        <v>0</v>
      </c>
      <c r="BR119" s="48">
        <f>$G119/5280*VLOOKUP($AC119,'Cost and Score'!$B$27:$O$40,13,0)</f>
        <v>0</v>
      </c>
      <c r="BS119" s="48">
        <f>$G119/5280*VLOOKUP($AC119,'Cost and Score'!$B$27:$O$40,14,0)</f>
        <v>0</v>
      </c>
      <c r="BT119" s="220">
        <f t="shared" si="56"/>
        <v>0.50757575757575757</v>
      </c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R119" s="2"/>
      <c r="CW119" s="2"/>
      <c r="CX119" s="2"/>
      <c r="CY119" s="2"/>
    </row>
    <row r="120" spans="1:103" s="2" customFormat="1" ht="14.45" hidden="1" customHeight="1" x14ac:dyDescent="0.25">
      <c r="A120" s="15" t="s">
        <v>321</v>
      </c>
      <c r="B120" s="108" t="s">
        <v>320</v>
      </c>
      <c r="C120" s="106" t="s">
        <v>320</v>
      </c>
      <c r="D120" s="106"/>
      <c r="E120" s="106" t="s">
        <v>127</v>
      </c>
      <c r="F120" s="106" t="s">
        <v>129</v>
      </c>
      <c r="G120" s="109">
        <v>2664</v>
      </c>
      <c r="H120" s="109">
        <f t="shared" si="62"/>
        <v>20</v>
      </c>
      <c r="I120" s="106" t="s">
        <v>13</v>
      </c>
      <c r="J120" s="106" t="s">
        <v>125</v>
      </c>
      <c r="K120" s="106">
        <f>VLOOKUP(J120,TOWNSHIPS,2,FALSE)</f>
        <v>0</v>
      </c>
      <c r="L120" s="110">
        <v>7</v>
      </c>
      <c r="M120" s="110">
        <v>7</v>
      </c>
      <c r="N120" s="110">
        <v>7</v>
      </c>
      <c r="O120" s="110">
        <v>7</v>
      </c>
      <c r="P120" s="110">
        <v>7</v>
      </c>
      <c r="Q120" s="110">
        <v>7</v>
      </c>
      <c r="R120" s="110">
        <v>7</v>
      </c>
      <c r="S120" s="110">
        <v>7</v>
      </c>
      <c r="T120" s="110">
        <v>7</v>
      </c>
      <c r="U120" s="110">
        <v>7</v>
      </c>
      <c r="V120" s="110">
        <v>2024</v>
      </c>
      <c r="W120" s="110">
        <v>2022</v>
      </c>
      <c r="X120" s="110" t="s">
        <v>2612</v>
      </c>
      <c r="Y120" s="106">
        <v>2901</v>
      </c>
      <c r="Z120" s="106">
        <f t="shared" si="63"/>
        <v>1.5</v>
      </c>
      <c r="AA120" s="106" t="s">
        <v>193</v>
      </c>
      <c r="AB120" s="111">
        <f t="shared" si="44"/>
        <v>4.5</v>
      </c>
      <c r="AC120" s="85" t="s">
        <v>2371</v>
      </c>
      <c r="AD120" s="107">
        <f t="shared" si="40"/>
        <v>40363.63636363636</v>
      </c>
      <c r="AE120" s="140">
        <v>1</v>
      </c>
      <c r="AF120" s="113">
        <f t="shared" si="67"/>
        <v>40363.63636363636</v>
      </c>
      <c r="AG120" s="85">
        <v>2024</v>
      </c>
      <c r="AH120" s="26" t="str">
        <f t="shared" si="69"/>
        <v/>
      </c>
      <c r="AI120" s="26" t="s">
        <v>2575</v>
      </c>
      <c r="AJ120" s="26" t="str">
        <f t="shared" si="70"/>
        <v>Microsurface double</v>
      </c>
      <c r="AK120" s="26" t="s">
        <v>2628</v>
      </c>
      <c r="AL120" s="26" t="str">
        <f t="shared" si="68"/>
        <v/>
      </c>
      <c r="AM120" s="26" t="str">
        <f t="shared" si="68"/>
        <v/>
      </c>
      <c r="AN120" s="26" t="str">
        <f t="shared" si="47"/>
        <v>Microsurface double</v>
      </c>
      <c r="AO120" s="26" t="s">
        <v>2575</v>
      </c>
      <c r="AP120" s="26" t="str">
        <f t="shared" si="49"/>
        <v/>
      </c>
      <c r="AQ120" s="68">
        <f t="shared" si="41"/>
        <v>10</v>
      </c>
      <c r="AR120" s="68">
        <f t="shared" si="42"/>
        <v>10</v>
      </c>
      <c r="AS120" s="68">
        <f t="shared" si="50"/>
        <v>1.05</v>
      </c>
      <c r="AT120" s="68">
        <f t="shared" si="51"/>
        <v>1.05</v>
      </c>
      <c r="AU120" s="68">
        <f t="shared" si="52"/>
        <v>1.05</v>
      </c>
      <c r="AV120" s="68">
        <f t="shared" si="53"/>
        <v>1.05</v>
      </c>
      <c r="AW120" s="68">
        <f t="shared" si="54"/>
        <v>1.05</v>
      </c>
      <c r="AX120" s="68">
        <f t="shared" ca="1" si="43"/>
        <v>0</v>
      </c>
      <c r="AY120" s="106">
        <v>2018</v>
      </c>
      <c r="AZ120" s="106" t="s">
        <v>2075</v>
      </c>
      <c r="BA120" s="106" t="str">
        <f t="shared" si="55"/>
        <v>CRACK</v>
      </c>
      <c r="BB120" s="177"/>
      <c r="BC120" s="177">
        <v>6</v>
      </c>
      <c r="BD120" s="177"/>
      <c r="BE120" s="177"/>
      <c r="BF120" s="177"/>
      <c r="BG120" s="177"/>
      <c r="BH120" s="177"/>
      <c r="BI120" s="33" t="s">
        <v>2629</v>
      </c>
      <c r="BK120" s="48">
        <f>$G120/5280*VLOOKUP($AC120,'Cost and Score'!$B$27:$O$40,6,0)</f>
        <v>0.25227272727272726</v>
      </c>
      <c r="BL120" s="48">
        <f>$G120/5280*VLOOKUP($AC120,'Cost and Score'!$B$27:$O$40,7,0)</f>
        <v>0</v>
      </c>
      <c r="BM120" s="48">
        <f>$G120/5280*VLOOKUP($AC120,'Cost and Score'!$B$27:$O$40,8,0)</f>
        <v>0</v>
      </c>
      <c r="BN120" s="48">
        <f>$G120/5280*VLOOKUP($AC120,'Cost and Score'!$B$27:$O$40,9,0)</f>
        <v>0</v>
      </c>
      <c r="BO120" s="48">
        <f>$G120/5280*VLOOKUP($AC120,'Cost and Score'!$B$27:$O$40,10,0)</f>
        <v>0</v>
      </c>
      <c r="BP120" s="48">
        <f>$G120/5280*VLOOKUP($AC120,'Cost and Score'!$B$27:$O$40,11,0)</f>
        <v>0</v>
      </c>
      <c r="BQ120" s="48">
        <f>$G120/5280*VLOOKUP($AC120,'Cost and Score'!$B$27:$O$40,12,0)</f>
        <v>0</v>
      </c>
      <c r="BR120" s="48">
        <f>$G120/5280*VLOOKUP($AC120,'Cost and Score'!$B$27:$O$40,13,0)</f>
        <v>0</v>
      </c>
      <c r="BS120" s="48">
        <f>$G120/5280*VLOOKUP($AC120,'Cost and Score'!$B$27:$O$40,14,0)</f>
        <v>0</v>
      </c>
      <c r="BT120" s="220">
        <f t="shared" si="56"/>
        <v>0.50454545454545452</v>
      </c>
      <c r="CF120" s="112"/>
      <c r="CN120" s="112"/>
      <c r="CO120" s="112"/>
      <c r="CP120" s="112"/>
      <c r="CQ120" s="112"/>
      <c r="CR120" s="112"/>
      <c r="CV120" s="112"/>
    </row>
    <row r="121" spans="1:103" s="112" customFormat="1" ht="14.45" hidden="1" customHeight="1" x14ac:dyDescent="0.25">
      <c r="A121" s="15" t="s">
        <v>324</v>
      </c>
      <c r="B121" s="34" t="s">
        <v>322</v>
      </c>
      <c r="C121" s="26" t="s">
        <v>322</v>
      </c>
      <c r="D121" s="26"/>
      <c r="E121" s="26" t="s">
        <v>323</v>
      </c>
      <c r="F121" s="26" t="s">
        <v>59</v>
      </c>
      <c r="G121" s="29">
        <v>4003</v>
      </c>
      <c r="H121" s="29">
        <f t="shared" si="62"/>
        <v>20</v>
      </c>
      <c r="I121" s="26" t="s">
        <v>8</v>
      </c>
      <c r="J121" s="26" t="s">
        <v>101</v>
      </c>
      <c r="K121" s="26">
        <v>0</v>
      </c>
      <c r="L121" s="42">
        <v>10</v>
      </c>
      <c r="M121" s="42">
        <v>10</v>
      </c>
      <c r="N121" s="42">
        <v>10</v>
      </c>
      <c r="O121" s="42">
        <v>9</v>
      </c>
      <c r="P121" s="42">
        <v>9</v>
      </c>
      <c r="Q121" s="42">
        <v>8</v>
      </c>
      <c r="R121" s="42">
        <v>7</v>
      </c>
      <c r="S121" s="42">
        <v>7</v>
      </c>
      <c r="T121" s="42">
        <v>7</v>
      </c>
      <c r="U121" s="42">
        <v>7</v>
      </c>
      <c r="V121" s="42">
        <v>2022</v>
      </c>
      <c r="W121" s="42">
        <v>2022</v>
      </c>
      <c r="X121" s="42" t="s">
        <v>2612</v>
      </c>
      <c r="Y121" s="26">
        <v>2802</v>
      </c>
      <c r="Z121" s="26">
        <f t="shared" si="63"/>
        <v>1.5</v>
      </c>
      <c r="AA121" s="26" t="s">
        <v>193</v>
      </c>
      <c r="AB121" s="111">
        <f t="shared" si="44"/>
        <v>2.5</v>
      </c>
      <c r="AC121" s="85" t="s">
        <v>13</v>
      </c>
      <c r="AD121" s="47">
        <f t="shared" si="40"/>
        <v>15921.022727272728</v>
      </c>
      <c r="AE121" s="140"/>
      <c r="AF121" s="113">
        <f t="shared" si="67"/>
        <v>0</v>
      </c>
      <c r="AG121" s="85">
        <v>2026</v>
      </c>
      <c r="AH121" s="26" t="str">
        <f t="shared" si="69"/>
        <v/>
      </c>
      <c r="AI121" s="26" t="str">
        <f>IF($AG121=AI$1,VLOOKUP($AC121,RSL,3,FALSE),"")</f>
        <v/>
      </c>
      <c r="AJ121" s="26" t="str">
        <f t="shared" si="70"/>
        <v/>
      </c>
      <c r="AK121" s="26" t="str">
        <f>IF($AG121=AK$1,VLOOKUP($AC121,RSL,3,FALSE),"")</f>
        <v/>
      </c>
      <c r="AL121" s="26" t="str">
        <f t="shared" si="68"/>
        <v>Chip Seal and Fog</v>
      </c>
      <c r="AM121" s="26" t="str">
        <f t="shared" si="68"/>
        <v/>
      </c>
      <c r="AN121" s="26" t="str">
        <f t="shared" si="47"/>
        <v>Chip Seal and Fog</v>
      </c>
      <c r="AO121" s="26" t="str">
        <f>IF(AY121=AO$1,VLOOKUP(AZ121,RSL,3,FALSE),"")</f>
        <v/>
      </c>
      <c r="AP121" s="26" t="str">
        <f t="shared" si="49"/>
        <v/>
      </c>
      <c r="AQ121" s="68">
        <f t="shared" si="41"/>
        <v>14</v>
      </c>
      <c r="AR121" s="68">
        <f t="shared" si="42"/>
        <v>6</v>
      </c>
      <c r="AS121" s="68">
        <f t="shared" si="50"/>
        <v>1</v>
      </c>
      <c r="AT121" s="68">
        <f t="shared" si="51"/>
        <v>1</v>
      </c>
      <c r="AU121" s="68">
        <f t="shared" si="52"/>
        <v>1</v>
      </c>
      <c r="AV121" s="68">
        <f t="shared" si="53"/>
        <v>1</v>
      </c>
      <c r="AW121" s="68">
        <f t="shared" si="54"/>
        <v>1</v>
      </c>
      <c r="AX121" s="68">
        <f t="shared" ca="1" si="43"/>
        <v>2</v>
      </c>
      <c r="AY121" s="106">
        <v>2020</v>
      </c>
      <c r="AZ121" s="106" t="s">
        <v>2075</v>
      </c>
      <c r="BA121" s="106" t="str">
        <f t="shared" si="55"/>
        <v/>
      </c>
      <c r="BB121" s="177">
        <v>12</v>
      </c>
      <c r="BC121" s="177">
        <v>3</v>
      </c>
      <c r="BD121" s="177"/>
      <c r="BE121" s="177"/>
      <c r="BF121" s="177"/>
      <c r="BG121" s="177"/>
      <c r="BH121" s="177"/>
      <c r="BI121" s="33"/>
      <c r="BJ121" s="2"/>
      <c r="BK121" s="48">
        <f>$G121/5280*VLOOKUP($AC121,'Cost and Score'!$B$27:$O$40,6,0)</f>
        <v>0.15162878787878789</v>
      </c>
      <c r="BL121" s="48">
        <f>$G121/5280*VLOOKUP($AC121,'Cost and Score'!$B$27:$O$40,7,0)</f>
        <v>16.679166666666667</v>
      </c>
      <c r="BM121" s="48">
        <f>$G121/5280*VLOOKUP($AC121,'Cost and Score'!$B$27:$O$40,8,0)</f>
        <v>0</v>
      </c>
      <c r="BN121" s="48">
        <f>$G121/5280*VLOOKUP($AC121,'Cost and Score'!$B$27:$O$40,9,0)</f>
        <v>3411.6477272727275</v>
      </c>
      <c r="BO121" s="48">
        <f>$G121/5280*VLOOKUP($AC121,'Cost and Score'!$B$27:$O$40,10,0)</f>
        <v>758.14393939393938</v>
      </c>
      <c r="BP121" s="48">
        <f>$G121/5280*VLOOKUP($AC121,'Cost and Score'!$B$27:$O$40,11,0)</f>
        <v>0</v>
      </c>
      <c r="BQ121" s="48">
        <f>$G121/5280*VLOOKUP($AC121,'Cost and Score'!$B$27:$O$40,12,0)</f>
        <v>75.814393939393938</v>
      </c>
      <c r="BR121" s="48">
        <f>$G121/5280*VLOOKUP($AC121,'Cost and Score'!$B$27:$O$40,13,0)</f>
        <v>90.977272727272734</v>
      </c>
      <c r="BS121" s="48">
        <f>$G121/5280*VLOOKUP($AC121,'Cost and Score'!$B$27:$O$40,14,0)</f>
        <v>0</v>
      </c>
      <c r="BT121" s="220">
        <f t="shared" si="56"/>
        <v>0.75814393939393943</v>
      </c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N121" s="2"/>
      <c r="CO121" s="2"/>
      <c r="CP121" s="2"/>
      <c r="CQ121" s="2"/>
      <c r="CR121" s="2"/>
      <c r="CV121" s="2"/>
    </row>
    <row r="122" spans="1:103" s="2" customFormat="1" ht="14.45" hidden="1" customHeight="1" x14ac:dyDescent="0.25">
      <c r="A122" s="15" t="s">
        <v>326</v>
      </c>
      <c r="B122" s="108" t="s">
        <v>325</v>
      </c>
      <c r="C122" s="106" t="s">
        <v>325</v>
      </c>
      <c r="D122" s="106"/>
      <c r="E122" s="106" t="s">
        <v>129</v>
      </c>
      <c r="F122" s="106" t="s">
        <v>131</v>
      </c>
      <c r="G122" s="109">
        <v>6729</v>
      </c>
      <c r="H122" s="109">
        <f t="shared" si="62"/>
        <v>20</v>
      </c>
      <c r="I122" s="106" t="s">
        <v>13</v>
      </c>
      <c r="J122" s="106" t="s">
        <v>125</v>
      </c>
      <c r="K122" s="106">
        <f>VLOOKUP(J122,TOWNSHIPS,2,FALSE)</f>
        <v>0</v>
      </c>
      <c r="L122" s="110">
        <v>7</v>
      </c>
      <c r="M122" s="110">
        <v>7</v>
      </c>
      <c r="N122" s="110">
        <v>7</v>
      </c>
      <c r="O122" s="110">
        <v>6</v>
      </c>
      <c r="P122" s="110">
        <v>7</v>
      </c>
      <c r="Q122" s="110">
        <v>7</v>
      </c>
      <c r="R122" s="110">
        <v>7</v>
      </c>
      <c r="S122" s="110">
        <v>7</v>
      </c>
      <c r="T122" s="110">
        <v>7</v>
      </c>
      <c r="U122" s="110">
        <v>7</v>
      </c>
      <c r="V122" s="110">
        <v>2024</v>
      </c>
      <c r="W122" s="110">
        <v>2022</v>
      </c>
      <c r="X122" s="110" t="s">
        <v>2612</v>
      </c>
      <c r="Y122" s="106">
        <v>2884</v>
      </c>
      <c r="Z122" s="106">
        <f t="shared" si="63"/>
        <v>1.5</v>
      </c>
      <c r="AA122" s="106" t="s">
        <v>193</v>
      </c>
      <c r="AB122" s="111">
        <f t="shared" si="44"/>
        <v>4.5</v>
      </c>
      <c r="AC122" s="85" t="s">
        <v>2371</v>
      </c>
      <c r="AD122" s="107">
        <f t="shared" si="40"/>
        <v>101954.54545454546</v>
      </c>
      <c r="AE122" s="198">
        <v>1</v>
      </c>
      <c r="AF122" s="113">
        <f t="shared" si="67"/>
        <v>101954.54545454546</v>
      </c>
      <c r="AG122" s="106">
        <v>2024</v>
      </c>
      <c r="AH122" s="26" t="str">
        <f t="shared" si="69"/>
        <v/>
      </c>
      <c r="AI122" s="26" t="s">
        <v>2575</v>
      </c>
      <c r="AJ122" s="26" t="str">
        <f t="shared" si="70"/>
        <v>Microsurface double</v>
      </c>
      <c r="AK122" s="26" t="s">
        <v>2628</v>
      </c>
      <c r="AL122" s="26" t="str">
        <f t="shared" si="68"/>
        <v/>
      </c>
      <c r="AM122" s="26" t="str">
        <f t="shared" si="68"/>
        <v/>
      </c>
      <c r="AN122" s="26" t="str">
        <f t="shared" si="47"/>
        <v>Microsurface double</v>
      </c>
      <c r="AO122" s="26" t="s">
        <v>2575</v>
      </c>
      <c r="AP122" s="26" t="str">
        <f t="shared" si="49"/>
        <v/>
      </c>
      <c r="AQ122" s="68">
        <f t="shared" si="41"/>
        <v>8</v>
      </c>
      <c r="AR122" s="68">
        <f t="shared" si="42"/>
        <v>10</v>
      </c>
      <c r="AS122" s="68">
        <f t="shared" si="50"/>
        <v>1.05</v>
      </c>
      <c r="AT122" s="68">
        <f t="shared" si="51"/>
        <v>1.05</v>
      </c>
      <c r="AU122" s="68">
        <f t="shared" si="52"/>
        <v>1.05</v>
      </c>
      <c r="AV122" s="68">
        <f t="shared" si="53"/>
        <v>1.1000000000000001</v>
      </c>
      <c r="AW122" s="68">
        <f t="shared" si="54"/>
        <v>1.05</v>
      </c>
      <c r="AX122" s="68">
        <f t="shared" ca="1" si="43"/>
        <v>0</v>
      </c>
      <c r="AY122" s="106">
        <v>2017</v>
      </c>
      <c r="AZ122" s="106" t="s">
        <v>13</v>
      </c>
      <c r="BA122" s="106" t="str">
        <f t="shared" si="55"/>
        <v/>
      </c>
      <c r="BB122" s="177"/>
      <c r="BC122" s="177">
        <v>6</v>
      </c>
      <c r="BD122" s="177"/>
      <c r="BE122" s="177"/>
      <c r="BF122" s="177"/>
      <c r="BG122" s="177"/>
      <c r="BH122" s="177"/>
      <c r="BI122" s="33" t="s">
        <v>2629</v>
      </c>
      <c r="BK122" s="48">
        <f>$G122/5280*VLOOKUP($AC122,'Cost and Score'!$B$27:$O$40,6,0)</f>
        <v>0.63721590909090908</v>
      </c>
      <c r="BL122" s="48">
        <f>$G122/5280*VLOOKUP($AC122,'Cost and Score'!$B$27:$O$40,7,0)</f>
        <v>0</v>
      </c>
      <c r="BM122" s="48">
        <f>$G122/5280*VLOOKUP($AC122,'Cost and Score'!$B$27:$O$40,8,0)</f>
        <v>0</v>
      </c>
      <c r="BN122" s="48">
        <f>$G122/5280*VLOOKUP($AC122,'Cost and Score'!$B$27:$O$40,9,0)</f>
        <v>0</v>
      </c>
      <c r="BO122" s="48">
        <f>$G122/5280*VLOOKUP($AC122,'Cost and Score'!$B$27:$O$40,10,0)</f>
        <v>0</v>
      </c>
      <c r="BP122" s="48">
        <f>$G122/5280*VLOOKUP($AC122,'Cost and Score'!$B$27:$O$40,11,0)</f>
        <v>0</v>
      </c>
      <c r="BQ122" s="48">
        <f>$G122/5280*VLOOKUP($AC122,'Cost and Score'!$B$27:$O$40,12,0)</f>
        <v>0</v>
      </c>
      <c r="BR122" s="48">
        <f>$G122/5280*VLOOKUP($AC122,'Cost and Score'!$B$27:$O$40,13,0)</f>
        <v>0</v>
      </c>
      <c r="BS122" s="48">
        <f>$G122/5280*VLOOKUP($AC122,'Cost and Score'!$B$27:$O$40,14,0)</f>
        <v>0</v>
      </c>
      <c r="BT122" s="220">
        <f t="shared" si="56"/>
        <v>1.2744318181818182</v>
      </c>
      <c r="CF122" s="112"/>
      <c r="CN122" s="112"/>
      <c r="CO122" s="112"/>
      <c r="CP122" s="112"/>
      <c r="CQ122" s="112"/>
      <c r="CV122" s="112"/>
    </row>
    <row r="123" spans="1:103" s="112" customFormat="1" ht="14.45" hidden="1" customHeight="1" x14ac:dyDescent="0.25">
      <c r="A123" s="15" t="s">
        <v>328</v>
      </c>
      <c r="B123" s="34" t="s">
        <v>327</v>
      </c>
      <c r="C123" s="26" t="s">
        <v>327</v>
      </c>
      <c r="D123" s="26"/>
      <c r="E123" s="26" t="s">
        <v>64</v>
      </c>
      <c r="F123" s="26" t="s">
        <v>59</v>
      </c>
      <c r="G123" s="29">
        <v>5390</v>
      </c>
      <c r="H123" s="29">
        <f t="shared" si="62"/>
        <v>20</v>
      </c>
      <c r="I123" s="26" t="s">
        <v>8</v>
      </c>
      <c r="J123" s="26" t="s">
        <v>101</v>
      </c>
      <c r="K123" s="26">
        <v>0</v>
      </c>
      <c r="L123" s="42">
        <v>9</v>
      </c>
      <c r="M123" s="42">
        <v>8</v>
      </c>
      <c r="N123" s="42">
        <v>8</v>
      </c>
      <c r="O123" s="42">
        <v>7</v>
      </c>
      <c r="P123" s="42">
        <v>7</v>
      </c>
      <c r="Q123" s="42">
        <v>7</v>
      </c>
      <c r="R123" s="42">
        <v>7</v>
      </c>
      <c r="S123" s="42">
        <v>7</v>
      </c>
      <c r="T123" s="42">
        <v>7</v>
      </c>
      <c r="U123" s="42">
        <v>7</v>
      </c>
      <c r="V123" s="42">
        <v>2022</v>
      </c>
      <c r="W123" s="42">
        <v>2022</v>
      </c>
      <c r="X123" s="42" t="s">
        <v>2612</v>
      </c>
      <c r="Y123" s="26">
        <v>2786</v>
      </c>
      <c r="Z123" s="26">
        <f t="shared" si="63"/>
        <v>1.5</v>
      </c>
      <c r="AA123" s="26" t="s">
        <v>193</v>
      </c>
      <c r="AB123" s="111">
        <f t="shared" si="44"/>
        <v>4.5</v>
      </c>
      <c r="AC123" s="26" t="s">
        <v>751</v>
      </c>
      <c r="AD123" s="47">
        <f t="shared" si="40"/>
        <v>112291.66666666667</v>
      </c>
      <c r="AE123" s="140"/>
      <c r="AF123" s="113">
        <f t="shared" si="67"/>
        <v>0</v>
      </c>
      <c r="AG123" s="26">
        <v>2027</v>
      </c>
      <c r="AH123" s="26" t="str">
        <f t="shared" si="69"/>
        <v/>
      </c>
      <c r="AI123" s="26" t="str">
        <f t="shared" ref="AI123:AI130" si="71">IF($AG123=AI$1,VLOOKUP($AC123,RSL,3,FALSE),"")</f>
        <v/>
      </c>
      <c r="AJ123" s="26" t="str">
        <f t="shared" si="70"/>
        <v/>
      </c>
      <c r="AK123" s="26" t="str">
        <f t="shared" ref="AK123:AK186" si="72">IF($AG123=AK$1,VLOOKUP($AC123,RSL,3,FALSE),"")</f>
        <v/>
      </c>
      <c r="AL123" s="26" t="str">
        <f t="shared" si="68"/>
        <v/>
      </c>
      <c r="AM123" s="26" t="str">
        <f t="shared" si="68"/>
        <v>Overlay - 2"</v>
      </c>
      <c r="AN123" s="26" t="str">
        <f t="shared" si="47"/>
        <v>Overlay - 2"</v>
      </c>
      <c r="AO123" s="26" t="str">
        <f t="shared" ref="AO123:AO130" si="73">IF(AY123=AO$1,VLOOKUP(AZ123,RSL,3,FALSE),"")</f>
        <v>Chip Seal and Fog</v>
      </c>
      <c r="AP123" s="26" t="str">
        <f t="shared" si="49"/>
        <v/>
      </c>
      <c r="AQ123" s="68">
        <f t="shared" si="41"/>
        <v>10</v>
      </c>
      <c r="AR123" s="68">
        <f t="shared" si="42"/>
        <v>12</v>
      </c>
      <c r="AS123" s="68">
        <f t="shared" si="50"/>
        <v>1</v>
      </c>
      <c r="AT123" s="68">
        <f t="shared" si="51"/>
        <v>1</v>
      </c>
      <c r="AU123" s="68">
        <f t="shared" si="52"/>
        <v>1</v>
      </c>
      <c r="AV123" s="68">
        <f t="shared" si="53"/>
        <v>1.05</v>
      </c>
      <c r="AW123" s="68">
        <f t="shared" si="54"/>
        <v>1.05</v>
      </c>
      <c r="AX123" s="68">
        <f t="shared" ca="1" si="43"/>
        <v>3</v>
      </c>
      <c r="AY123" s="106">
        <v>2021</v>
      </c>
      <c r="AZ123" s="106" t="s">
        <v>13</v>
      </c>
      <c r="BA123" s="106" t="str">
        <f t="shared" si="55"/>
        <v/>
      </c>
      <c r="BB123" s="177"/>
      <c r="BC123" s="177">
        <v>3</v>
      </c>
      <c r="BD123" s="177"/>
      <c r="BE123" s="177"/>
      <c r="BF123" s="177"/>
      <c r="BG123" s="177"/>
      <c r="BH123" s="177"/>
      <c r="BI123" s="33"/>
      <c r="BJ123" s="2"/>
      <c r="BK123" s="48">
        <f>$G123/5280*VLOOKUP($AC123,'Cost and Score'!$B$27:$O$40,6,0)</f>
        <v>2.296875</v>
      </c>
      <c r="BL123" s="48">
        <f>$G123/5280*VLOOKUP($AC123,'Cost and Score'!$B$27:$O$40,7,0)</f>
        <v>214.37499999999997</v>
      </c>
      <c r="BM123" s="48">
        <f>$G123/5280*VLOOKUP($AC123,'Cost and Score'!$B$27:$O$40,8,0)</f>
        <v>357.29166666666663</v>
      </c>
      <c r="BN123" s="48">
        <f>$G123/5280*VLOOKUP($AC123,'Cost and Score'!$B$27:$O$40,9,0)</f>
        <v>0</v>
      </c>
      <c r="BO123" s="48">
        <f>$G123/5280*VLOOKUP($AC123,'Cost and Score'!$B$27:$O$40,10,0)</f>
        <v>0</v>
      </c>
      <c r="BP123" s="48">
        <f>$G123/5280*VLOOKUP($AC123,'Cost and Score'!$B$27:$O$40,11,0)</f>
        <v>204.16666666666666</v>
      </c>
      <c r="BQ123" s="48">
        <f>$G123/5280*VLOOKUP($AC123,'Cost and Score'!$B$27:$O$40,12,0)</f>
        <v>1735.4166666666665</v>
      </c>
      <c r="BR123" s="48">
        <f>$G123/5280*VLOOKUP($AC123,'Cost and Score'!$B$27:$O$40,13,0)</f>
        <v>0</v>
      </c>
      <c r="BS123" s="48">
        <f>$G123/5280*VLOOKUP($AC123,'Cost and Score'!$B$27:$O$40,14,0)</f>
        <v>0</v>
      </c>
      <c r="BT123" s="220">
        <f t="shared" si="56"/>
        <v>1.0208333333333333</v>
      </c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</row>
    <row r="124" spans="1:103" s="2" customFormat="1" ht="14.45" hidden="1" customHeight="1" x14ac:dyDescent="0.25">
      <c r="A124" s="15" t="s">
        <v>330</v>
      </c>
      <c r="B124" s="34" t="s">
        <v>329</v>
      </c>
      <c r="C124" s="26" t="s">
        <v>329</v>
      </c>
      <c r="D124" s="26"/>
      <c r="E124" s="26" t="s">
        <v>131</v>
      </c>
      <c r="F124" s="26" t="s">
        <v>135</v>
      </c>
      <c r="G124" s="29">
        <v>3545</v>
      </c>
      <c r="H124" s="29">
        <f t="shared" si="62"/>
        <v>20</v>
      </c>
      <c r="I124" s="26" t="s">
        <v>8</v>
      </c>
      <c r="J124" s="26" t="s">
        <v>125</v>
      </c>
      <c r="K124" s="26">
        <f>VLOOKUP(J124,TOWNSHIPS,2,FALSE)</f>
        <v>0</v>
      </c>
      <c r="L124" s="42">
        <v>6</v>
      </c>
      <c r="M124" s="42">
        <v>6</v>
      </c>
      <c r="N124" s="42">
        <v>6</v>
      </c>
      <c r="O124" s="42">
        <v>9</v>
      </c>
      <c r="P124" s="42">
        <v>8</v>
      </c>
      <c r="Q124" s="42">
        <v>7</v>
      </c>
      <c r="R124" s="42">
        <v>7</v>
      </c>
      <c r="S124" s="42">
        <v>7</v>
      </c>
      <c r="T124" s="42">
        <v>7</v>
      </c>
      <c r="U124" s="42">
        <v>7</v>
      </c>
      <c r="V124" s="42">
        <v>2022</v>
      </c>
      <c r="W124" s="42">
        <v>2022</v>
      </c>
      <c r="X124" s="42" t="s">
        <v>2612</v>
      </c>
      <c r="Y124" s="26">
        <v>3064</v>
      </c>
      <c r="Z124" s="26">
        <f t="shared" si="63"/>
        <v>1.5</v>
      </c>
      <c r="AA124" s="26" t="s">
        <v>193</v>
      </c>
      <c r="AB124" s="111">
        <f t="shared" si="44"/>
        <v>3.5</v>
      </c>
      <c r="AC124" s="26" t="s">
        <v>2075</v>
      </c>
      <c r="AD124" s="47">
        <f t="shared" si="40"/>
        <v>3625.568181818182</v>
      </c>
      <c r="AE124" s="140"/>
      <c r="AF124" s="113">
        <f t="shared" si="67"/>
        <v>0</v>
      </c>
      <c r="AG124" s="26">
        <v>2022</v>
      </c>
      <c r="AH124" s="26" t="str">
        <f t="shared" si="69"/>
        <v>Crack Seal</v>
      </c>
      <c r="AI124" s="26" t="str">
        <f t="shared" si="71"/>
        <v/>
      </c>
      <c r="AJ124" s="26" t="str">
        <f t="shared" si="70"/>
        <v/>
      </c>
      <c r="AK124" s="26" t="str">
        <f t="shared" si="72"/>
        <v/>
      </c>
      <c r="AL124" s="26" t="str">
        <f t="shared" si="68"/>
        <v/>
      </c>
      <c r="AM124" s="26" t="str">
        <f t="shared" si="68"/>
        <v/>
      </c>
      <c r="AN124" s="26" t="str">
        <f t="shared" si="47"/>
        <v>Crack Seal</v>
      </c>
      <c r="AO124" s="26" t="str">
        <f t="shared" si="73"/>
        <v/>
      </c>
      <c r="AP124" s="26" t="str">
        <f t="shared" si="49"/>
        <v/>
      </c>
      <c r="AQ124" s="68">
        <f t="shared" si="41"/>
        <v>14</v>
      </c>
      <c r="AR124" s="68">
        <f t="shared" si="42"/>
        <v>3</v>
      </c>
      <c r="AS124" s="68">
        <f t="shared" si="50"/>
        <v>1.1000000000000001</v>
      </c>
      <c r="AT124" s="68">
        <f t="shared" si="51"/>
        <v>1.1000000000000001</v>
      </c>
      <c r="AU124" s="68">
        <f t="shared" si="52"/>
        <v>1.1000000000000001</v>
      </c>
      <c r="AV124" s="68">
        <f t="shared" si="53"/>
        <v>1</v>
      </c>
      <c r="AW124" s="68">
        <f t="shared" si="54"/>
        <v>1</v>
      </c>
      <c r="AX124" s="68">
        <f t="shared" ca="1" si="43"/>
        <v>-2.2000000000000002</v>
      </c>
      <c r="AY124" s="106">
        <v>2016</v>
      </c>
      <c r="AZ124" s="106" t="s">
        <v>751</v>
      </c>
      <c r="BA124" s="106" t="str">
        <f t="shared" si="55"/>
        <v/>
      </c>
      <c r="BB124" s="177"/>
      <c r="BC124" s="177">
        <v>6</v>
      </c>
      <c r="BD124" s="177"/>
      <c r="BE124" s="177"/>
      <c r="BF124" s="177"/>
      <c r="BG124" s="177"/>
      <c r="BH124" s="177"/>
      <c r="BI124" s="33"/>
      <c r="BK124" s="48">
        <f>$G124/5280*VLOOKUP($AC124,'Cost and Score'!$B$27:$O$40,6,0)</f>
        <v>0.67140151515151514</v>
      </c>
      <c r="BL124" s="48">
        <f>$G124/5280*VLOOKUP($AC124,'Cost and Score'!$B$27:$O$40,7,0)</f>
        <v>0</v>
      </c>
      <c r="BM124" s="48">
        <f>$G124/5280*VLOOKUP($AC124,'Cost and Score'!$B$27:$O$40,8,0)</f>
        <v>0</v>
      </c>
      <c r="BN124" s="48">
        <f>$G124/5280*VLOOKUP($AC124,'Cost and Score'!$B$27:$O$40,9,0)</f>
        <v>0</v>
      </c>
      <c r="BO124" s="48">
        <f>$G124/5280*VLOOKUP($AC124,'Cost and Score'!$B$27:$O$40,10,0)</f>
        <v>0</v>
      </c>
      <c r="BP124" s="48">
        <f>$G124/5280*VLOOKUP($AC124,'Cost and Score'!$B$27:$O$40,11,0)</f>
        <v>0</v>
      </c>
      <c r="BQ124" s="48">
        <f>$G124/5280*VLOOKUP($AC124,'Cost and Score'!$B$27:$O$40,12,0)</f>
        <v>0</v>
      </c>
      <c r="BR124" s="48">
        <f>$G124/5280*VLOOKUP($AC124,'Cost and Score'!$B$27:$O$40,13,0)</f>
        <v>0</v>
      </c>
      <c r="BS124" s="48">
        <f>$G124/5280*VLOOKUP($AC124,'Cost and Score'!$B$27:$O$40,14,0)</f>
        <v>0</v>
      </c>
      <c r="BT124" s="220">
        <f t="shared" si="56"/>
        <v>0.67140151515151514</v>
      </c>
      <c r="CN124" s="112"/>
      <c r="CO124" s="112"/>
      <c r="CP124" s="112"/>
      <c r="CQ124" s="112"/>
      <c r="CV124" s="112"/>
    </row>
    <row r="125" spans="1:103" s="2" customFormat="1" ht="14.45" hidden="1" customHeight="1" x14ac:dyDescent="0.25">
      <c r="A125" s="15" t="s">
        <v>332</v>
      </c>
      <c r="B125" s="34" t="s">
        <v>331</v>
      </c>
      <c r="C125" s="26" t="s">
        <v>331</v>
      </c>
      <c r="D125" s="26"/>
      <c r="E125" s="26" t="s">
        <v>73</v>
      </c>
      <c r="F125" s="26" t="s">
        <v>64</v>
      </c>
      <c r="G125" s="29">
        <v>5330</v>
      </c>
      <c r="H125" s="29">
        <f t="shared" ref="H125:H156" si="74">IF(I125="NC",26,20)</f>
        <v>20</v>
      </c>
      <c r="I125" s="26" t="s">
        <v>8</v>
      </c>
      <c r="J125" s="26" t="s">
        <v>26</v>
      </c>
      <c r="K125" s="26">
        <f>VLOOKUP(J125,TOWNSHIPS,2,FALSE)</f>
        <v>0</v>
      </c>
      <c r="L125" s="42">
        <v>10</v>
      </c>
      <c r="M125" s="42">
        <v>9</v>
      </c>
      <c r="N125" s="42">
        <v>9</v>
      </c>
      <c r="O125" s="42">
        <v>9</v>
      </c>
      <c r="P125" s="42">
        <v>8</v>
      </c>
      <c r="Q125" s="42">
        <v>8</v>
      </c>
      <c r="R125" s="42">
        <v>8</v>
      </c>
      <c r="S125" s="42">
        <v>7</v>
      </c>
      <c r="T125" s="42">
        <v>7</v>
      </c>
      <c r="U125" s="42">
        <v>7</v>
      </c>
      <c r="V125" s="42">
        <v>2022</v>
      </c>
      <c r="W125" s="42">
        <v>2022</v>
      </c>
      <c r="X125" s="42" t="s">
        <v>2612</v>
      </c>
      <c r="Y125" s="26">
        <v>2564</v>
      </c>
      <c r="Z125" s="26">
        <f t="shared" ref="Z125:Z156" si="75">VLOOKUP(Y125,AADT,2)</f>
        <v>1.5</v>
      </c>
      <c r="AA125" s="26" t="s">
        <v>193</v>
      </c>
      <c r="AB125" s="111">
        <f t="shared" si="44"/>
        <v>3.5</v>
      </c>
      <c r="AC125" s="26" t="s">
        <v>751</v>
      </c>
      <c r="AD125" s="47">
        <f t="shared" ref="AD125:AD188" si="76">VLOOKUP(AC125,Cost,2,FALSE)*G125/5280</f>
        <v>111041.66666666667</v>
      </c>
      <c r="AE125" s="140"/>
      <c r="AF125" s="113">
        <f t="shared" si="67"/>
        <v>0</v>
      </c>
      <c r="AG125" s="26">
        <v>2027</v>
      </c>
      <c r="AH125" s="26" t="str">
        <f t="shared" si="69"/>
        <v/>
      </c>
      <c r="AI125" s="26" t="str">
        <f t="shared" si="71"/>
        <v/>
      </c>
      <c r="AJ125" s="26" t="str">
        <f t="shared" si="70"/>
        <v/>
      </c>
      <c r="AK125" s="26" t="str">
        <f t="shared" si="72"/>
        <v/>
      </c>
      <c r="AL125" s="26" t="str">
        <f t="shared" si="68"/>
        <v/>
      </c>
      <c r="AM125" s="26" t="str">
        <f t="shared" si="68"/>
        <v>Overlay - 2"</v>
      </c>
      <c r="AN125" s="26" t="str">
        <f t="shared" si="47"/>
        <v>Overlay - 2"</v>
      </c>
      <c r="AO125" s="26" t="str">
        <f t="shared" si="73"/>
        <v>Chip Seal and Fog</v>
      </c>
      <c r="AP125" s="26" t="str">
        <f t="shared" si="49"/>
        <v/>
      </c>
      <c r="AQ125" s="68">
        <f t="shared" ref="AQ125:AQ188" si="77">VLOOKUP(O125,RSLrem,2,FALSE)</f>
        <v>14</v>
      </c>
      <c r="AR125" s="68">
        <f t="shared" ref="AR125:AR188" si="78">VLOOKUP(AC125,RSL,5,FALSE)</f>
        <v>12</v>
      </c>
      <c r="AS125" s="68">
        <f t="shared" si="50"/>
        <v>1</v>
      </c>
      <c r="AT125" s="68">
        <f t="shared" si="51"/>
        <v>1</v>
      </c>
      <c r="AU125" s="68">
        <f t="shared" si="52"/>
        <v>1</v>
      </c>
      <c r="AV125" s="68">
        <f t="shared" si="53"/>
        <v>1</v>
      </c>
      <c r="AW125" s="68">
        <f t="shared" si="54"/>
        <v>1</v>
      </c>
      <c r="AX125" s="68">
        <f t="shared" ref="AX125:AX188" ca="1" si="79">AU125*(AG125-YEAR(TODAY()))</f>
        <v>3</v>
      </c>
      <c r="AY125" s="106">
        <v>2021</v>
      </c>
      <c r="AZ125" s="106" t="s">
        <v>13</v>
      </c>
      <c r="BA125" s="106" t="str">
        <f t="shared" si="55"/>
        <v/>
      </c>
      <c r="BB125" s="177">
        <v>13</v>
      </c>
      <c r="BC125" s="177">
        <v>3</v>
      </c>
      <c r="BD125" s="177"/>
      <c r="BE125" s="177"/>
      <c r="BF125" s="177"/>
      <c r="BG125" s="177"/>
      <c r="BH125" s="177"/>
      <c r="BI125" s="33"/>
      <c r="BK125" s="48">
        <f>$G125/5280*VLOOKUP($AC125,'Cost and Score'!$B$27:$O$40,6,0)</f>
        <v>2.2713068181818183</v>
      </c>
      <c r="BL125" s="48">
        <f>$G125/5280*VLOOKUP($AC125,'Cost and Score'!$B$27:$O$40,7,0)</f>
        <v>211.98863636363637</v>
      </c>
      <c r="BM125" s="48">
        <f>$G125/5280*VLOOKUP($AC125,'Cost and Score'!$B$27:$O$40,8,0)</f>
        <v>353.31439393939394</v>
      </c>
      <c r="BN125" s="48">
        <f>$G125/5280*VLOOKUP($AC125,'Cost and Score'!$B$27:$O$40,9,0)</f>
        <v>0</v>
      </c>
      <c r="BO125" s="48">
        <f>$G125/5280*VLOOKUP($AC125,'Cost and Score'!$B$27:$O$40,10,0)</f>
        <v>0</v>
      </c>
      <c r="BP125" s="48">
        <f>$G125/5280*VLOOKUP($AC125,'Cost and Score'!$B$27:$O$40,11,0)</f>
        <v>201.89393939393941</v>
      </c>
      <c r="BQ125" s="48">
        <f>$G125/5280*VLOOKUP($AC125,'Cost and Score'!$B$27:$O$40,12,0)</f>
        <v>1716.098484848485</v>
      </c>
      <c r="BR125" s="48">
        <f>$G125/5280*VLOOKUP($AC125,'Cost and Score'!$B$27:$O$40,13,0)</f>
        <v>0</v>
      </c>
      <c r="BS125" s="48">
        <f>$G125/5280*VLOOKUP($AC125,'Cost and Score'!$B$27:$O$40,14,0)</f>
        <v>0</v>
      </c>
      <c r="BT125" s="220">
        <f t="shared" si="56"/>
        <v>1.009469696969697</v>
      </c>
    </row>
    <row r="126" spans="1:103" s="2" customFormat="1" ht="14.45" hidden="1" customHeight="1" x14ac:dyDescent="0.25">
      <c r="A126" s="15" t="s">
        <v>334</v>
      </c>
      <c r="B126" s="34" t="s">
        <v>333</v>
      </c>
      <c r="C126" s="26" t="s">
        <v>333</v>
      </c>
      <c r="D126" s="82"/>
      <c r="E126" s="82" t="s">
        <v>135</v>
      </c>
      <c r="F126" s="82" t="s">
        <v>138</v>
      </c>
      <c r="G126" s="29">
        <v>5616</v>
      </c>
      <c r="H126" s="29">
        <f t="shared" si="74"/>
        <v>20</v>
      </c>
      <c r="I126" s="26" t="s">
        <v>8</v>
      </c>
      <c r="J126" s="26" t="s">
        <v>125</v>
      </c>
      <c r="K126" s="26">
        <f>VLOOKUP(J126,TOWNSHIPS,2,FALSE)</f>
        <v>0</v>
      </c>
      <c r="L126" s="42">
        <v>7</v>
      </c>
      <c r="M126" s="42">
        <v>7</v>
      </c>
      <c r="N126" s="42">
        <v>6</v>
      </c>
      <c r="O126" s="83">
        <v>6</v>
      </c>
      <c r="P126" s="83">
        <v>6</v>
      </c>
      <c r="Q126" s="83">
        <v>6</v>
      </c>
      <c r="R126" s="83">
        <v>5</v>
      </c>
      <c r="S126" s="83">
        <v>8</v>
      </c>
      <c r="T126" s="83">
        <v>7</v>
      </c>
      <c r="U126" s="83">
        <v>7</v>
      </c>
      <c r="V126" s="42"/>
      <c r="W126" s="42"/>
      <c r="X126" s="42" t="s">
        <v>2612</v>
      </c>
      <c r="Y126" s="26">
        <v>996</v>
      </c>
      <c r="Z126" s="26">
        <f t="shared" si="75"/>
        <v>0.5</v>
      </c>
      <c r="AA126" s="82" t="s">
        <v>193</v>
      </c>
      <c r="AB126" s="111">
        <f t="shared" si="44"/>
        <v>4.5</v>
      </c>
      <c r="AC126" s="85" t="s">
        <v>13</v>
      </c>
      <c r="AD126" s="84">
        <f t="shared" si="76"/>
        <v>22336.363636363636</v>
      </c>
      <c r="AE126" s="140"/>
      <c r="AF126" s="113">
        <f t="shared" si="67"/>
        <v>0</v>
      </c>
      <c r="AG126" s="85">
        <v>2026</v>
      </c>
      <c r="AH126" s="26" t="str">
        <f t="shared" si="69"/>
        <v/>
      </c>
      <c r="AI126" s="26" t="str">
        <f t="shared" si="71"/>
        <v/>
      </c>
      <c r="AJ126" s="26" t="str">
        <f t="shared" si="70"/>
        <v/>
      </c>
      <c r="AK126" s="26" t="str">
        <f t="shared" si="72"/>
        <v/>
      </c>
      <c r="AL126" s="26" t="str">
        <f t="shared" si="68"/>
        <v>Chip Seal and Fog</v>
      </c>
      <c r="AM126" s="26" t="str">
        <f t="shared" si="68"/>
        <v/>
      </c>
      <c r="AN126" s="26" t="str">
        <f t="shared" si="47"/>
        <v>Chip Seal and Fog</v>
      </c>
      <c r="AO126" s="26" t="str">
        <f t="shared" si="73"/>
        <v/>
      </c>
      <c r="AP126" s="26" t="str">
        <f t="shared" si="49"/>
        <v/>
      </c>
      <c r="AQ126" s="68">
        <f t="shared" si="77"/>
        <v>8</v>
      </c>
      <c r="AR126" s="68">
        <f t="shared" si="78"/>
        <v>6</v>
      </c>
      <c r="AS126" s="68">
        <f t="shared" si="50"/>
        <v>1.05</v>
      </c>
      <c r="AT126" s="68">
        <f t="shared" si="51"/>
        <v>1.05</v>
      </c>
      <c r="AU126" s="68">
        <f t="shared" si="52"/>
        <v>1.1000000000000001</v>
      </c>
      <c r="AV126" s="68">
        <f t="shared" si="53"/>
        <v>1.1000000000000001</v>
      </c>
      <c r="AW126" s="68">
        <f t="shared" si="54"/>
        <v>1.1000000000000001</v>
      </c>
      <c r="AX126" s="68">
        <f t="shared" ca="1" si="79"/>
        <v>2.2000000000000002</v>
      </c>
      <c r="AY126" s="106">
        <v>2020</v>
      </c>
      <c r="AZ126" s="106" t="s">
        <v>751</v>
      </c>
      <c r="BA126" s="106" t="str">
        <f t="shared" si="55"/>
        <v/>
      </c>
      <c r="BB126" s="177"/>
      <c r="BC126" s="177">
        <v>6</v>
      </c>
      <c r="BD126" s="177"/>
      <c r="BE126" s="177"/>
      <c r="BF126" s="177"/>
      <c r="BG126" s="177"/>
      <c r="BH126" s="177"/>
      <c r="BI126" s="33"/>
      <c r="BK126" s="48">
        <f>$G126/5280*VLOOKUP($AC126,'Cost and Score'!$B$27:$O$40,6,0)</f>
        <v>0.21272727272727276</v>
      </c>
      <c r="BL126" s="48">
        <f>$G126/5280*VLOOKUP($AC126,'Cost and Score'!$B$27:$O$40,7,0)</f>
        <v>23.400000000000002</v>
      </c>
      <c r="BM126" s="48">
        <f>$G126/5280*VLOOKUP($AC126,'Cost and Score'!$B$27:$O$40,8,0)</f>
        <v>0</v>
      </c>
      <c r="BN126" s="48">
        <f>$G126/5280*VLOOKUP($AC126,'Cost and Score'!$B$27:$O$40,9,0)</f>
        <v>4786.3636363636369</v>
      </c>
      <c r="BO126" s="48">
        <f>$G126/5280*VLOOKUP($AC126,'Cost and Score'!$B$27:$O$40,10,0)</f>
        <v>1063.6363636363637</v>
      </c>
      <c r="BP126" s="48">
        <f>$G126/5280*VLOOKUP($AC126,'Cost and Score'!$B$27:$O$40,11,0)</f>
        <v>0</v>
      </c>
      <c r="BQ126" s="48">
        <f>$G126/5280*VLOOKUP($AC126,'Cost and Score'!$B$27:$O$40,12,0)</f>
        <v>106.36363636363637</v>
      </c>
      <c r="BR126" s="48">
        <f>$G126/5280*VLOOKUP($AC126,'Cost and Score'!$B$27:$O$40,13,0)</f>
        <v>127.63636363636364</v>
      </c>
      <c r="BS126" s="48">
        <f>$G126/5280*VLOOKUP($AC126,'Cost and Score'!$B$27:$O$40,14,0)</f>
        <v>0</v>
      </c>
      <c r="BT126" s="220">
        <f t="shared" si="56"/>
        <v>1.0636363636363637</v>
      </c>
    </row>
    <row r="127" spans="1:103" s="2" customFormat="1" ht="14.45" hidden="1" customHeight="1" x14ac:dyDescent="0.25">
      <c r="A127" s="15" t="s">
        <v>336</v>
      </c>
      <c r="B127" s="34" t="s">
        <v>335</v>
      </c>
      <c r="C127" s="26" t="s">
        <v>335</v>
      </c>
      <c r="D127" s="26"/>
      <c r="E127" s="26" t="s">
        <v>140</v>
      </c>
      <c r="F127" s="26" t="s">
        <v>73</v>
      </c>
      <c r="G127" s="29">
        <v>4365</v>
      </c>
      <c r="H127" s="29">
        <f t="shared" si="74"/>
        <v>20</v>
      </c>
      <c r="I127" s="26" t="s">
        <v>8</v>
      </c>
      <c r="J127" s="26" t="s">
        <v>26</v>
      </c>
      <c r="K127" s="26">
        <f>VLOOKUP(J127,TOWNSHIPS,2,FALSE)</f>
        <v>0</v>
      </c>
      <c r="L127" s="42">
        <v>7</v>
      </c>
      <c r="M127" s="42">
        <v>7</v>
      </c>
      <c r="N127" s="42">
        <v>6</v>
      </c>
      <c r="O127" s="42">
        <v>5</v>
      </c>
      <c r="P127" s="42">
        <v>5</v>
      </c>
      <c r="Q127" s="42">
        <v>5</v>
      </c>
      <c r="R127" s="42">
        <v>5</v>
      </c>
      <c r="S127" s="42">
        <v>7</v>
      </c>
      <c r="T127" s="42">
        <v>7</v>
      </c>
      <c r="U127" s="42">
        <v>7</v>
      </c>
      <c r="V127" s="42"/>
      <c r="W127" s="42"/>
      <c r="X127" s="42"/>
      <c r="Y127" s="26">
        <v>277</v>
      </c>
      <c r="Z127" s="26">
        <f t="shared" si="75"/>
        <v>0</v>
      </c>
      <c r="AA127" s="26" t="s">
        <v>193</v>
      </c>
      <c r="AB127" s="111">
        <f t="shared" si="44"/>
        <v>5</v>
      </c>
      <c r="AC127" s="26" t="s">
        <v>13</v>
      </c>
      <c r="AD127" s="47">
        <f t="shared" si="76"/>
        <v>17360.795454545456</v>
      </c>
      <c r="AE127" s="140"/>
      <c r="AF127" s="113">
        <f t="shared" si="67"/>
        <v>0</v>
      </c>
      <c r="AG127" s="85">
        <v>2026</v>
      </c>
      <c r="AH127" s="26" t="str">
        <f t="shared" si="69"/>
        <v/>
      </c>
      <c r="AI127" s="26" t="str">
        <f t="shared" si="71"/>
        <v/>
      </c>
      <c r="AJ127" s="26" t="str">
        <f t="shared" si="70"/>
        <v/>
      </c>
      <c r="AK127" s="26" t="str">
        <f t="shared" si="72"/>
        <v/>
      </c>
      <c r="AL127" s="26" t="str">
        <f t="shared" si="68"/>
        <v>Chip Seal and Fog</v>
      </c>
      <c r="AM127" s="26" t="str">
        <f t="shared" si="68"/>
        <v/>
      </c>
      <c r="AN127" s="26" t="str">
        <f t="shared" si="47"/>
        <v>Chip Seal and Fog</v>
      </c>
      <c r="AO127" s="26" t="str">
        <f t="shared" si="73"/>
        <v/>
      </c>
      <c r="AP127" s="26" t="str">
        <f t="shared" si="49"/>
        <v/>
      </c>
      <c r="AQ127" s="68">
        <f t="shared" si="77"/>
        <v>6</v>
      </c>
      <c r="AR127" s="68">
        <f t="shared" si="78"/>
        <v>6</v>
      </c>
      <c r="AS127" s="68">
        <f t="shared" si="50"/>
        <v>1.05</v>
      </c>
      <c r="AT127" s="68">
        <f t="shared" si="51"/>
        <v>1.05</v>
      </c>
      <c r="AU127" s="68">
        <f t="shared" si="52"/>
        <v>1.1000000000000001</v>
      </c>
      <c r="AV127" s="68">
        <f t="shared" si="53"/>
        <v>1.25</v>
      </c>
      <c r="AW127" s="68">
        <f t="shared" si="54"/>
        <v>1.25</v>
      </c>
      <c r="AX127" s="68">
        <f t="shared" ca="1" si="79"/>
        <v>2.2000000000000002</v>
      </c>
      <c r="AY127" s="106">
        <v>2020</v>
      </c>
      <c r="AZ127" s="106" t="s">
        <v>13</v>
      </c>
      <c r="BA127" s="106" t="str">
        <f t="shared" si="55"/>
        <v/>
      </c>
      <c r="BB127" s="177">
        <v>14</v>
      </c>
      <c r="BC127" s="177">
        <v>7</v>
      </c>
      <c r="BD127" s="177"/>
      <c r="BE127" s="177"/>
      <c r="BF127" s="177"/>
      <c r="BG127" s="177"/>
      <c r="BH127" s="177"/>
      <c r="BI127" s="33"/>
      <c r="BK127" s="48">
        <f>$G127/5280*VLOOKUP($AC127,'Cost and Score'!$B$27:$O$40,6,0)</f>
        <v>0.16534090909090909</v>
      </c>
      <c r="BL127" s="48">
        <f>$G127/5280*VLOOKUP($AC127,'Cost and Score'!$B$27:$O$40,7,0)</f>
        <v>18.1875</v>
      </c>
      <c r="BM127" s="48">
        <f>$G127/5280*VLOOKUP($AC127,'Cost and Score'!$B$27:$O$40,8,0)</f>
        <v>0</v>
      </c>
      <c r="BN127" s="48">
        <f>$G127/5280*VLOOKUP($AC127,'Cost and Score'!$B$27:$O$40,9,0)</f>
        <v>3720.1704545454545</v>
      </c>
      <c r="BO127" s="48">
        <f>$G127/5280*VLOOKUP($AC127,'Cost and Score'!$B$27:$O$40,10,0)</f>
        <v>826.70454545454538</v>
      </c>
      <c r="BP127" s="48">
        <f>$G127/5280*VLOOKUP($AC127,'Cost and Score'!$B$27:$O$40,11,0)</f>
        <v>0</v>
      </c>
      <c r="BQ127" s="48">
        <f>$G127/5280*VLOOKUP($AC127,'Cost and Score'!$B$27:$O$40,12,0)</f>
        <v>82.670454545454547</v>
      </c>
      <c r="BR127" s="48">
        <f>$G127/5280*VLOOKUP($AC127,'Cost and Score'!$B$27:$O$40,13,0)</f>
        <v>99.204545454545453</v>
      </c>
      <c r="BS127" s="48">
        <f>$G127/5280*VLOOKUP($AC127,'Cost and Score'!$B$27:$O$40,14,0)</f>
        <v>0</v>
      </c>
      <c r="BT127" s="220">
        <f t="shared" si="56"/>
        <v>0.82670454545454541</v>
      </c>
      <c r="CW127" s="112"/>
      <c r="CX127" s="112"/>
      <c r="CY127" s="112"/>
    </row>
    <row r="128" spans="1:103" s="2" customFormat="1" x14ac:dyDescent="0.25">
      <c r="A128" s="15" t="s">
        <v>647</v>
      </c>
      <c r="B128" s="34" t="s">
        <v>646</v>
      </c>
      <c r="C128" s="26" t="s">
        <v>646</v>
      </c>
      <c r="D128" s="82"/>
      <c r="E128" s="82" t="s">
        <v>119</v>
      </c>
      <c r="F128" s="82" t="s">
        <v>193</v>
      </c>
      <c r="G128" s="29">
        <v>5330</v>
      </c>
      <c r="H128" s="29">
        <f t="shared" si="74"/>
        <v>20</v>
      </c>
      <c r="I128" s="26" t="s">
        <v>8</v>
      </c>
      <c r="J128" s="26" t="s">
        <v>101</v>
      </c>
      <c r="K128" s="26">
        <v>0</v>
      </c>
      <c r="L128" s="42">
        <v>7</v>
      </c>
      <c r="M128" s="42">
        <v>9</v>
      </c>
      <c r="N128" s="42">
        <v>8</v>
      </c>
      <c r="O128" s="83">
        <v>8</v>
      </c>
      <c r="P128" s="83">
        <v>8</v>
      </c>
      <c r="Q128" s="83">
        <v>7</v>
      </c>
      <c r="R128" s="83">
        <v>8</v>
      </c>
      <c r="S128" s="83">
        <v>7</v>
      </c>
      <c r="T128" s="83">
        <v>7</v>
      </c>
      <c r="U128" s="83">
        <v>7</v>
      </c>
      <c r="V128" s="42"/>
      <c r="W128" s="42"/>
      <c r="X128" s="42"/>
      <c r="Y128" s="26">
        <v>1000</v>
      </c>
      <c r="Z128" s="26">
        <f t="shared" si="75"/>
        <v>0.5</v>
      </c>
      <c r="AA128" s="82" t="s">
        <v>59</v>
      </c>
      <c r="AB128" s="111">
        <f t="shared" si="44"/>
        <v>2.5</v>
      </c>
      <c r="AC128" s="85" t="s">
        <v>13</v>
      </c>
      <c r="AD128" s="84">
        <f t="shared" si="76"/>
        <v>21198.863636363636</v>
      </c>
      <c r="AE128" s="140"/>
      <c r="AF128" s="113">
        <f t="shared" si="67"/>
        <v>0</v>
      </c>
      <c r="AG128" s="106">
        <v>2025</v>
      </c>
      <c r="AH128" s="26" t="str">
        <f t="shared" si="69"/>
        <v/>
      </c>
      <c r="AI128" s="26" t="str">
        <f t="shared" si="71"/>
        <v/>
      </c>
      <c r="AJ128" s="26" t="str">
        <f t="shared" si="70"/>
        <v/>
      </c>
      <c r="AK128" s="26" t="str">
        <f t="shared" si="72"/>
        <v>Chip Seal and Fog</v>
      </c>
      <c r="AL128" s="26" t="str">
        <f t="shared" si="68"/>
        <v/>
      </c>
      <c r="AM128" s="26" t="str">
        <f t="shared" si="68"/>
        <v/>
      </c>
      <c r="AN128" s="26" t="str">
        <f t="shared" si="47"/>
        <v>Chip Seal and Fog</v>
      </c>
      <c r="AO128" s="26" t="str">
        <f t="shared" si="73"/>
        <v/>
      </c>
      <c r="AP128" s="26" t="str">
        <f t="shared" si="49"/>
        <v/>
      </c>
      <c r="AQ128" s="68">
        <f t="shared" si="77"/>
        <v>12</v>
      </c>
      <c r="AR128" s="68">
        <f t="shared" si="78"/>
        <v>6</v>
      </c>
      <c r="AS128" s="68">
        <f t="shared" si="50"/>
        <v>1.05</v>
      </c>
      <c r="AT128" s="68">
        <f t="shared" si="51"/>
        <v>1</v>
      </c>
      <c r="AU128" s="68">
        <f t="shared" si="52"/>
        <v>1</v>
      </c>
      <c r="AV128" s="68">
        <f t="shared" si="53"/>
        <v>1</v>
      </c>
      <c r="AW128" s="68">
        <f t="shared" si="54"/>
        <v>1</v>
      </c>
      <c r="AX128" s="68">
        <f t="shared" ca="1" si="79"/>
        <v>1</v>
      </c>
      <c r="AY128" s="106">
        <v>2019</v>
      </c>
      <c r="AZ128" s="106" t="s">
        <v>13</v>
      </c>
      <c r="BA128" s="106" t="str">
        <f t="shared" si="55"/>
        <v/>
      </c>
      <c r="BB128" s="177"/>
      <c r="BC128" s="177">
        <v>3</v>
      </c>
      <c r="BD128" s="177"/>
      <c r="BE128" s="177"/>
      <c r="BF128" s="177"/>
      <c r="BG128" s="177"/>
      <c r="BH128" s="177"/>
      <c r="BI128" s="33"/>
      <c r="BK128" s="48">
        <f>$G128/5280*VLOOKUP($AC128,'Cost and Score'!$B$27:$O$40,6,0)</f>
        <v>0.2018939393939394</v>
      </c>
      <c r="BL128" s="48">
        <f>$G128/5280*VLOOKUP($AC128,'Cost and Score'!$B$27:$O$40,7,0)</f>
        <v>22.208333333333336</v>
      </c>
      <c r="BM128" s="48">
        <f>$G128/5280*VLOOKUP($AC128,'Cost and Score'!$B$27:$O$40,8,0)</f>
        <v>0</v>
      </c>
      <c r="BN128" s="48">
        <f>$G128/5280*VLOOKUP($AC128,'Cost and Score'!$B$27:$O$40,9,0)</f>
        <v>4542.6136363636369</v>
      </c>
      <c r="BO128" s="48">
        <f>$G128/5280*VLOOKUP($AC128,'Cost and Score'!$B$27:$O$40,10,0)</f>
        <v>1009.469696969697</v>
      </c>
      <c r="BP128" s="48">
        <f>$G128/5280*VLOOKUP($AC128,'Cost and Score'!$B$27:$O$40,11,0)</f>
        <v>0</v>
      </c>
      <c r="BQ128" s="48">
        <f>$G128/5280*VLOOKUP($AC128,'Cost and Score'!$B$27:$O$40,12,0)</f>
        <v>100.9469696969697</v>
      </c>
      <c r="BR128" s="48">
        <f>$G128/5280*VLOOKUP($AC128,'Cost and Score'!$B$27:$O$40,13,0)</f>
        <v>121.13636363636364</v>
      </c>
      <c r="BS128" s="48">
        <f>$G128/5280*VLOOKUP($AC128,'Cost and Score'!$B$27:$O$40,14,0)</f>
        <v>0</v>
      </c>
      <c r="BT128" s="220">
        <f t="shared" si="56"/>
        <v>1.009469696969697</v>
      </c>
    </row>
    <row r="129" spans="1:103" s="2" customFormat="1" ht="14.45" hidden="1" customHeight="1" x14ac:dyDescent="0.25">
      <c r="A129" s="15" t="s">
        <v>341</v>
      </c>
      <c r="B129" s="34" t="s">
        <v>339</v>
      </c>
      <c r="C129" s="26" t="s">
        <v>339</v>
      </c>
      <c r="D129" s="82"/>
      <c r="E129" s="82" t="s">
        <v>142</v>
      </c>
      <c r="F129" s="82" t="s">
        <v>340</v>
      </c>
      <c r="G129" s="29">
        <v>2624</v>
      </c>
      <c r="H129" s="29">
        <f t="shared" si="74"/>
        <v>20</v>
      </c>
      <c r="I129" s="26" t="s">
        <v>8</v>
      </c>
      <c r="J129" s="26" t="s">
        <v>125</v>
      </c>
      <c r="K129" s="26">
        <f>VLOOKUP(J129,TOWNSHIPS,2,FALSE)</f>
        <v>0</v>
      </c>
      <c r="L129" s="42">
        <v>7</v>
      </c>
      <c r="M129" s="42">
        <v>6</v>
      </c>
      <c r="N129" s="42">
        <v>5</v>
      </c>
      <c r="O129" s="83">
        <v>4</v>
      </c>
      <c r="P129" s="83">
        <v>4</v>
      </c>
      <c r="Q129" s="83">
        <v>9</v>
      </c>
      <c r="R129" s="83">
        <v>6</v>
      </c>
      <c r="S129" s="83">
        <v>6</v>
      </c>
      <c r="T129" s="83">
        <v>6</v>
      </c>
      <c r="U129" s="83">
        <v>6</v>
      </c>
      <c r="V129" s="42">
        <v>2024</v>
      </c>
      <c r="W129" s="42">
        <v>2019</v>
      </c>
      <c r="X129" s="42" t="s">
        <v>2612</v>
      </c>
      <c r="Y129" s="26">
        <v>2245</v>
      </c>
      <c r="Z129" s="26">
        <f t="shared" si="75"/>
        <v>1</v>
      </c>
      <c r="AA129" s="82" t="s">
        <v>193</v>
      </c>
      <c r="AB129" s="111">
        <f t="shared" si="44"/>
        <v>7</v>
      </c>
      <c r="AC129" s="85" t="s">
        <v>751</v>
      </c>
      <c r="AD129" s="84">
        <f t="shared" si="76"/>
        <v>54666.666666666664</v>
      </c>
      <c r="AE129" s="140">
        <v>1</v>
      </c>
      <c r="AF129" s="113">
        <f t="shared" si="67"/>
        <v>54666.666666666664</v>
      </c>
      <c r="AG129" s="26">
        <v>2024</v>
      </c>
      <c r="AH129" s="26" t="str">
        <f t="shared" si="69"/>
        <v/>
      </c>
      <c r="AI129" s="26" t="str">
        <f t="shared" si="71"/>
        <v/>
      </c>
      <c r="AJ129" s="26" t="str">
        <f t="shared" si="70"/>
        <v>Overlay - 2"</v>
      </c>
      <c r="AK129" s="26" t="str">
        <f t="shared" si="72"/>
        <v/>
      </c>
      <c r="AL129" s="26" t="str">
        <f t="shared" si="68"/>
        <v/>
      </c>
      <c r="AM129" s="26" t="str">
        <f t="shared" si="68"/>
        <v/>
      </c>
      <c r="AN129" s="26" t="str">
        <f t="shared" si="47"/>
        <v>Overlay - 2"</v>
      </c>
      <c r="AO129" s="26" t="str">
        <f t="shared" si="73"/>
        <v/>
      </c>
      <c r="AP129" s="26" t="str">
        <f t="shared" si="49"/>
        <v/>
      </c>
      <c r="AQ129" s="68">
        <f t="shared" si="77"/>
        <v>3</v>
      </c>
      <c r="AR129" s="68">
        <f t="shared" si="78"/>
        <v>12</v>
      </c>
      <c r="AS129" s="68">
        <f t="shared" si="50"/>
        <v>1.05</v>
      </c>
      <c r="AT129" s="68">
        <f t="shared" si="51"/>
        <v>1.1000000000000001</v>
      </c>
      <c r="AU129" s="68">
        <f t="shared" si="52"/>
        <v>1.25</v>
      </c>
      <c r="AV129" s="68">
        <f t="shared" si="53"/>
        <v>1.5</v>
      </c>
      <c r="AW129" s="68">
        <f t="shared" si="54"/>
        <v>1.5</v>
      </c>
      <c r="AX129" s="68">
        <f t="shared" ca="1" si="79"/>
        <v>0</v>
      </c>
      <c r="AY129" s="106">
        <v>2018</v>
      </c>
      <c r="AZ129" s="106" t="s">
        <v>2072</v>
      </c>
      <c r="BA129" s="106" t="str">
        <f t="shared" si="55"/>
        <v>SP/CS</v>
      </c>
      <c r="BB129" s="177"/>
      <c r="BC129" s="177">
        <v>2</v>
      </c>
      <c r="BD129" s="177"/>
      <c r="BE129" s="177"/>
      <c r="BF129" s="177"/>
      <c r="BG129" s="177"/>
      <c r="BH129" s="177"/>
      <c r="BI129" s="33"/>
      <c r="BK129" s="48">
        <f>$G129/5280*VLOOKUP($AC129,'Cost and Score'!$B$27:$O$40,6,0)</f>
        <v>1.1181818181818182</v>
      </c>
      <c r="BL129" s="48">
        <f>$G129/5280*VLOOKUP($AC129,'Cost and Score'!$B$27:$O$40,7,0)</f>
        <v>104.36363636363636</v>
      </c>
      <c r="BM129" s="48">
        <f>$G129/5280*VLOOKUP($AC129,'Cost and Score'!$B$27:$O$40,8,0)</f>
        <v>173.93939393939394</v>
      </c>
      <c r="BN129" s="48">
        <f>$G129/5280*VLOOKUP($AC129,'Cost and Score'!$B$27:$O$40,9,0)</f>
        <v>0</v>
      </c>
      <c r="BO129" s="48">
        <f>$G129/5280*VLOOKUP($AC129,'Cost and Score'!$B$27:$O$40,10,0)</f>
        <v>0</v>
      </c>
      <c r="BP129" s="48">
        <f>$G129/5280*VLOOKUP($AC129,'Cost and Score'!$B$27:$O$40,11,0)</f>
        <v>99.393939393939391</v>
      </c>
      <c r="BQ129" s="48">
        <f>$G129/5280*VLOOKUP($AC129,'Cost and Score'!$B$27:$O$40,12,0)</f>
        <v>844.84848484848476</v>
      </c>
      <c r="BR129" s="48">
        <f>$G129/5280*VLOOKUP($AC129,'Cost and Score'!$B$27:$O$40,13,0)</f>
        <v>0</v>
      </c>
      <c r="BS129" s="48">
        <f>$G129/5280*VLOOKUP($AC129,'Cost and Score'!$B$27:$O$40,14,0)</f>
        <v>0</v>
      </c>
      <c r="BT129" s="220">
        <f t="shared" si="56"/>
        <v>0.49696969696969695</v>
      </c>
      <c r="CW129" s="112"/>
      <c r="CX129" s="112"/>
      <c r="CY129" s="112"/>
    </row>
    <row r="130" spans="1:103" s="2" customFormat="1" ht="14.45" hidden="1" customHeight="1" x14ac:dyDescent="0.25">
      <c r="A130" s="15" t="s">
        <v>343</v>
      </c>
      <c r="B130" s="34" t="s">
        <v>342</v>
      </c>
      <c r="C130" s="26" t="s">
        <v>342</v>
      </c>
      <c r="D130" s="82"/>
      <c r="E130" s="82" t="s">
        <v>288</v>
      </c>
      <c r="F130" s="82" t="s">
        <v>295</v>
      </c>
      <c r="G130" s="29">
        <v>2710</v>
      </c>
      <c r="H130" s="29">
        <f t="shared" si="74"/>
        <v>20</v>
      </c>
      <c r="I130" s="26" t="s">
        <v>13</v>
      </c>
      <c r="J130" s="26" t="s">
        <v>26</v>
      </c>
      <c r="K130" s="26">
        <f>VLOOKUP(J130,TOWNSHIPS,2,FALSE)</f>
        <v>0</v>
      </c>
      <c r="L130" s="42">
        <v>5</v>
      </c>
      <c r="M130" s="42">
        <v>5</v>
      </c>
      <c r="N130" s="42">
        <v>5</v>
      </c>
      <c r="O130" s="83">
        <v>4</v>
      </c>
      <c r="P130" s="83">
        <v>4</v>
      </c>
      <c r="Q130" s="83">
        <v>8</v>
      </c>
      <c r="R130" s="83">
        <v>8</v>
      </c>
      <c r="S130" s="83">
        <v>8</v>
      </c>
      <c r="T130" s="83">
        <v>7</v>
      </c>
      <c r="U130" s="83">
        <v>7</v>
      </c>
      <c r="V130" s="42"/>
      <c r="W130" s="42"/>
      <c r="X130" s="42"/>
      <c r="Y130" s="26">
        <v>50</v>
      </c>
      <c r="Z130" s="26">
        <f t="shared" si="75"/>
        <v>0</v>
      </c>
      <c r="AA130" s="82" t="s">
        <v>193</v>
      </c>
      <c r="AB130" s="111">
        <f t="shared" ref="AB130:AB193" si="80">(10-P130)+Z130+K130</f>
        <v>6</v>
      </c>
      <c r="AC130" s="85" t="s">
        <v>13</v>
      </c>
      <c r="AD130" s="84">
        <f t="shared" si="76"/>
        <v>10778.40909090909</v>
      </c>
      <c r="AE130" s="140"/>
      <c r="AF130" s="113">
        <f t="shared" si="67"/>
        <v>0</v>
      </c>
      <c r="AG130" s="26">
        <v>2026</v>
      </c>
      <c r="AH130" s="26" t="str">
        <f t="shared" si="69"/>
        <v/>
      </c>
      <c r="AI130" s="26" t="str">
        <f t="shared" si="71"/>
        <v/>
      </c>
      <c r="AJ130" s="26" t="str">
        <f t="shared" si="70"/>
        <v/>
      </c>
      <c r="AK130" s="26" t="str">
        <f t="shared" si="72"/>
        <v/>
      </c>
      <c r="AL130" s="26" t="str">
        <f t="shared" si="68"/>
        <v>Chip Seal and Fog</v>
      </c>
      <c r="AM130" s="26" t="str">
        <f t="shared" si="68"/>
        <v/>
      </c>
      <c r="AN130" s="26" t="str">
        <f t="shared" ref="AN130:AN193" si="81">VLOOKUP($AC130,RSL,3,FALSE)</f>
        <v>Chip Seal and Fog</v>
      </c>
      <c r="AO130" s="26" t="str">
        <f t="shared" si="73"/>
        <v/>
      </c>
      <c r="AP130" s="26" t="str">
        <f t="shared" ref="AP130:AP193" si="82">IF(AY130=AP$1,VLOOKUP(AZ130,RSL,3,FALSE),"")</f>
        <v/>
      </c>
      <c r="AQ130" s="68">
        <f t="shared" si="77"/>
        <v>3</v>
      </c>
      <c r="AR130" s="68">
        <f t="shared" si="78"/>
        <v>6</v>
      </c>
      <c r="AS130" s="68">
        <f t="shared" ref="AS130:AS193" si="83">IF(L130 &lt;&gt; "",VLOOKUP(L130,RSLloss,3,FALSE),0)</f>
        <v>1.25</v>
      </c>
      <c r="AT130" s="68">
        <f t="shared" ref="AT130:AT193" si="84">IF(M130 &lt;&gt; "",VLOOKUP(M130,RSLloss,3,FALSE),0)</f>
        <v>1.25</v>
      </c>
      <c r="AU130" s="68">
        <f t="shared" ref="AU130:AU193" si="85">IF(N130 &lt;&gt; "",VLOOKUP(N130,RSLloss,3,FALSE),0)</f>
        <v>1.25</v>
      </c>
      <c r="AV130" s="68">
        <f t="shared" ref="AV130:AV193" si="86">IF(O130 &lt;&gt; "",VLOOKUP(O130,RSLloss,3,FALSE),0)</f>
        <v>1.5</v>
      </c>
      <c r="AW130" s="68">
        <f t="shared" ref="AW130:AW193" si="87">IF(P130 &lt;&gt; "",VLOOKUP(P130,RSLloss,3,FALSE),0)</f>
        <v>1.5</v>
      </c>
      <c r="AX130" s="68">
        <f t="shared" ca="1" si="79"/>
        <v>2.5</v>
      </c>
      <c r="AY130" s="68">
        <v>2018</v>
      </c>
      <c r="AZ130" s="68" t="s">
        <v>2072</v>
      </c>
      <c r="BA130" s="106" t="str">
        <f t="shared" ref="BA130:BA193" si="88">IF(AY130=2018,AZ130,"")</f>
        <v>SP/CS</v>
      </c>
      <c r="BB130" s="178"/>
      <c r="BC130" s="178">
        <v>7</v>
      </c>
      <c r="BD130" s="178"/>
      <c r="BE130" s="178"/>
      <c r="BF130" s="178"/>
      <c r="BG130" s="178"/>
      <c r="BH130" s="178"/>
      <c r="BI130" s="33"/>
      <c r="BK130" s="48">
        <f>$G130/5280*VLOOKUP($AC130,'Cost and Score'!$B$27:$O$40,6,0)</f>
        <v>0.10265151515151516</v>
      </c>
      <c r="BL130" s="48">
        <f>$G130/5280*VLOOKUP($AC130,'Cost and Score'!$B$27:$O$40,7,0)</f>
        <v>11.291666666666668</v>
      </c>
      <c r="BM130" s="48">
        <f>$G130/5280*VLOOKUP($AC130,'Cost and Score'!$B$27:$O$40,8,0)</f>
        <v>0</v>
      </c>
      <c r="BN130" s="48">
        <f>$G130/5280*VLOOKUP($AC130,'Cost and Score'!$B$27:$O$40,9,0)</f>
        <v>2309.659090909091</v>
      </c>
      <c r="BO130" s="48">
        <f>$G130/5280*VLOOKUP($AC130,'Cost and Score'!$B$27:$O$40,10,0)</f>
        <v>513.25757575757575</v>
      </c>
      <c r="BP130" s="48">
        <f>$G130/5280*VLOOKUP($AC130,'Cost and Score'!$B$27:$O$40,11,0)</f>
        <v>0</v>
      </c>
      <c r="BQ130" s="48">
        <f>$G130/5280*VLOOKUP($AC130,'Cost and Score'!$B$27:$O$40,12,0)</f>
        <v>51.325757575757578</v>
      </c>
      <c r="BR130" s="48">
        <f>$G130/5280*VLOOKUP($AC130,'Cost and Score'!$B$27:$O$40,13,0)</f>
        <v>61.590909090909093</v>
      </c>
      <c r="BS130" s="48">
        <f>$G130/5280*VLOOKUP($AC130,'Cost and Score'!$B$27:$O$40,14,0)</f>
        <v>0</v>
      </c>
      <c r="BT130" s="220">
        <f t="shared" ref="BT130:BT193" si="89">G130/5280</f>
        <v>0.5132575757575758</v>
      </c>
      <c r="CR130" s="112"/>
    </row>
    <row r="131" spans="1:103" s="2" customFormat="1" ht="14.45" hidden="1" customHeight="1" x14ac:dyDescent="0.25">
      <c r="A131" s="15" t="s">
        <v>2421</v>
      </c>
      <c r="B131" s="108" t="s">
        <v>2422</v>
      </c>
      <c r="C131" s="106" t="s">
        <v>314</v>
      </c>
      <c r="D131" s="106"/>
      <c r="E131" s="106" t="s">
        <v>155</v>
      </c>
      <c r="F131" s="106" t="s">
        <v>116</v>
      </c>
      <c r="G131" s="109">
        <v>1088</v>
      </c>
      <c r="H131" s="109">
        <f t="shared" si="74"/>
        <v>20</v>
      </c>
      <c r="I131" s="106" t="s">
        <v>13</v>
      </c>
      <c r="J131" s="106" t="s">
        <v>101</v>
      </c>
      <c r="K131" s="106">
        <v>0</v>
      </c>
      <c r="L131" s="110">
        <v>7</v>
      </c>
      <c r="M131" s="110">
        <v>7</v>
      </c>
      <c r="N131" s="110">
        <v>7</v>
      </c>
      <c r="O131" s="110">
        <v>7</v>
      </c>
      <c r="P131" s="110">
        <v>7</v>
      </c>
      <c r="Q131" s="110">
        <v>7</v>
      </c>
      <c r="R131" s="110">
        <v>7</v>
      </c>
      <c r="S131" s="110">
        <v>7</v>
      </c>
      <c r="T131" s="110">
        <v>7</v>
      </c>
      <c r="U131" s="110">
        <v>7</v>
      </c>
      <c r="V131" s="110">
        <v>2024</v>
      </c>
      <c r="W131" s="110">
        <v>2022</v>
      </c>
      <c r="X131" s="110" t="s">
        <v>2612</v>
      </c>
      <c r="Y131" s="106">
        <v>3693</v>
      </c>
      <c r="Z131" s="106">
        <f t="shared" si="75"/>
        <v>1.5</v>
      </c>
      <c r="AA131" s="106" t="s">
        <v>193</v>
      </c>
      <c r="AB131" s="111">
        <f t="shared" si="80"/>
        <v>4.5</v>
      </c>
      <c r="AC131" s="26" t="s">
        <v>751</v>
      </c>
      <c r="AD131" s="107">
        <f t="shared" si="76"/>
        <v>22666.666666666668</v>
      </c>
      <c r="AE131" s="198">
        <v>1</v>
      </c>
      <c r="AF131" s="113">
        <f t="shared" ref="AF131:AF162" si="90">AD131*AE131</f>
        <v>22666.666666666668</v>
      </c>
      <c r="AG131" s="26">
        <v>2024</v>
      </c>
      <c r="AH131" s="26" t="str">
        <f t="shared" si="69"/>
        <v/>
      </c>
      <c r="AI131" s="26"/>
      <c r="AJ131" s="26" t="s">
        <v>2575</v>
      </c>
      <c r="AK131" s="26" t="str">
        <f t="shared" si="72"/>
        <v/>
      </c>
      <c r="AL131" s="26"/>
      <c r="AM131" s="26" t="str">
        <f t="shared" ref="AM131:AM194" si="91">IF($AG131=AM$1,VLOOKUP($AC131,RSL,3,FALSE),"")</f>
        <v/>
      </c>
      <c r="AN131" s="26" t="str">
        <f t="shared" si="81"/>
        <v>Overlay - 2"</v>
      </c>
      <c r="AO131" s="26" t="s">
        <v>2575</v>
      </c>
      <c r="AP131" s="26" t="str">
        <f t="shared" si="82"/>
        <v/>
      </c>
      <c r="AQ131" s="68">
        <f t="shared" si="77"/>
        <v>10</v>
      </c>
      <c r="AR131" s="68">
        <f t="shared" si="78"/>
        <v>12</v>
      </c>
      <c r="AS131" s="68">
        <f t="shared" si="83"/>
        <v>1.05</v>
      </c>
      <c r="AT131" s="68">
        <f t="shared" si="84"/>
        <v>1.05</v>
      </c>
      <c r="AU131" s="68">
        <f t="shared" si="85"/>
        <v>1.05</v>
      </c>
      <c r="AV131" s="68">
        <f t="shared" si="86"/>
        <v>1.05</v>
      </c>
      <c r="AW131" s="68">
        <f t="shared" si="87"/>
        <v>1.05</v>
      </c>
      <c r="AX131" s="68">
        <f t="shared" ca="1" si="79"/>
        <v>0</v>
      </c>
      <c r="AY131" s="106">
        <v>2017</v>
      </c>
      <c r="AZ131" s="111" t="s">
        <v>2073</v>
      </c>
      <c r="BA131" s="106" t="str">
        <f t="shared" si="88"/>
        <v/>
      </c>
      <c r="BB131" s="110"/>
      <c r="BC131" s="110">
        <v>6</v>
      </c>
      <c r="BD131" s="110"/>
      <c r="BE131" s="110"/>
      <c r="BF131" s="110"/>
      <c r="BG131" s="110"/>
      <c r="BH131" s="110"/>
      <c r="BI131" s="33" t="s">
        <v>2629</v>
      </c>
      <c r="BK131" s="48">
        <f>$G131/5280*VLOOKUP($AC131,'Cost and Score'!$B$27:$O$40,6,0)</f>
        <v>0.46363636363636362</v>
      </c>
      <c r="BL131" s="48">
        <f>$G131/5280*VLOOKUP($AC131,'Cost and Score'!$B$27:$O$40,7,0)</f>
        <v>43.272727272727273</v>
      </c>
      <c r="BM131" s="48">
        <f>$G131/5280*VLOOKUP($AC131,'Cost and Score'!$B$27:$O$40,8,0)</f>
        <v>72.121212121212125</v>
      </c>
      <c r="BN131" s="48">
        <f>$G131/5280*VLOOKUP($AC131,'Cost and Score'!$B$27:$O$40,9,0)</f>
        <v>0</v>
      </c>
      <c r="BO131" s="48">
        <f>$G131/5280*VLOOKUP($AC131,'Cost and Score'!$B$27:$O$40,10,0)</f>
        <v>0</v>
      </c>
      <c r="BP131" s="48">
        <f>$G131/5280*VLOOKUP($AC131,'Cost and Score'!$B$27:$O$40,11,0)</f>
        <v>41.212121212121211</v>
      </c>
      <c r="BQ131" s="48">
        <f>$G131/5280*VLOOKUP($AC131,'Cost and Score'!$B$27:$O$40,12,0)</f>
        <v>350.30303030303031</v>
      </c>
      <c r="BR131" s="48">
        <f>$G131/5280*VLOOKUP($AC131,'Cost and Score'!$B$27:$O$40,13,0)</f>
        <v>0</v>
      </c>
      <c r="BS131" s="48">
        <f>$G131/5280*VLOOKUP($AC131,'Cost and Score'!$B$27:$O$40,14,0)</f>
        <v>0</v>
      </c>
      <c r="BT131" s="220">
        <f t="shared" si="89"/>
        <v>0.20606060606060606</v>
      </c>
      <c r="CF131" s="112"/>
      <c r="CG131" s="112"/>
      <c r="CH131" s="112"/>
      <c r="CI131" s="112"/>
      <c r="CJ131" s="112"/>
      <c r="CK131" s="112"/>
      <c r="CL131" s="112"/>
      <c r="CM131" s="112"/>
      <c r="CR131" s="112"/>
      <c r="CS131" s="112"/>
      <c r="CT131" s="112"/>
      <c r="CU131" s="112"/>
      <c r="CW131" s="112"/>
      <c r="CX131" s="112"/>
      <c r="CY131" s="112"/>
    </row>
    <row r="132" spans="1:103" s="2" customFormat="1" ht="15" hidden="1" customHeight="1" x14ac:dyDescent="0.25">
      <c r="A132" s="15" t="s">
        <v>2137</v>
      </c>
      <c r="B132" s="34" t="s">
        <v>344</v>
      </c>
      <c r="C132" s="26" t="s">
        <v>344</v>
      </c>
      <c r="D132" s="82"/>
      <c r="E132" s="82" t="s">
        <v>155</v>
      </c>
      <c r="F132" s="82" t="s">
        <v>102</v>
      </c>
      <c r="G132" s="29">
        <v>5046</v>
      </c>
      <c r="H132" s="29">
        <f t="shared" si="74"/>
        <v>20</v>
      </c>
      <c r="I132" s="26" t="s">
        <v>8</v>
      </c>
      <c r="J132" s="26" t="s">
        <v>101</v>
      </c>
      <c r="K132" s="26">
        <v>0</v>
      </c>
      <c r="L132" s="42">
        <v>7</v>
      </c>
      <c r="M132" s="42">
        <v>7</v>
      </c>
      <c r="N132" s="42">
        <v>7</v>
      </c>
      <c r="O132" s="83">
        <v>7</v>
      </c>
      <c r="P132" s="83">
        <v>7</v>
      </c>
      <c r="Q132" s="83">
        <v>6</v>
      </c>
      <c r="R132" s="83">
        <v>6</v>
      </c>
      <c r="S132" s="83">
        <v>7</v>
      </c>
      <c r="T132" s="83">
        <v>7</v>
      </c>
      <c r="U132" s="83">
        <v>7</v>
      </c>
      <c r="V132" s="42"/>
      <c r="W132" s="42"/>
      <c r="X132" s="42"/>
      <c r="Y132" s="26">
        <v>488</v>
      </c>
      <c r="Z132" s="26">
        <f t="shared" si="75"/>
        <v>0</v>
      </c>
      <c r="AA132" s="82" t="s">
        <v>99</v>
      </c>
      <c r="AB132" s="111">
        <f t="shared" si="80"/>
        <v>3</v>
      </c>
      <c r="AC132" s="82" t="s">
        <v>13</v>
      </c>
      <c r="AD132" s="84">
        <f t="shared" si="76"/>
        <v>20069.31818181818</v>
      </c>
      <c r="AE132" s="140"/>
      <c r="AF132" s="113">
        <f t="shared" si="90"/>
        <v>0</v>
      </c>
      <c r="AG132" s="85">
        <v>2026</v>
      </c>
      <c r="AH132" s="26" t="str">
        <f t="shared" si="69"/>
        <v/>
      </c>
      <c r="AI132" s="26" t="str">
        <f t="shared" ref="AI132:AJ151" si="92">IF($AG132=AI$1,VLOOKUP($AC132,RSL,3,FALSE),"")</f>
        <v/>
      </c>
      <c r="AJ132" s="26" t="str">
        <f t="shared" si="92"/>
        <v/>
      </c>
      <c r="AK132" s="26" t="str">
        <f t="shared" si="72"/>
        <v/>
      </c>
      <c r="AL132" s="26" t="str">
        <f t="shared" ref="AL132:AL195" si="93">IF($AG132=AL$1,VLOOKUP($AC132,RSL,3,FALSE),"")</f>
        <v>Chip Seal and Fog</v>
      </c>
      <c r="AM132" s="26" t="str">
        <f t="shared" si="91"/>
        <v/>
      </c>
      <c r="AN132" s="26" t="str">
        <f t="shared" si="81"/>
        <v>Chip Seal and Fog</v>
      </c>
      <c r="AO132" s="26" t="str">
        <f t="shared" ref="AO132:AO195" si="94">IF(AY132=AO$1,VLOOKUP(AZ132,RSL,3,FALSE),"")</f>
        <v/>
      </c>
      <c r="AP132" s="26" t="str">
        <f t="shared" si="82"/>
        <v/>
      </c>
      <c r="AQ132" s="68">
        <f t="shared" si="77"/>
        <v>10</v>
      </c>
      <c r="AR132" s="68">
        <f t="shared" si="78"/>
        <v>6</v>
      </c>
      <c r="AS132" s="68">
        <f t="shared" si="83"/>
        <v>1.05</v>
      </c>
      <c r="AT132" s="68">
        <f t="shared" si="84"/>
        <v>1.05</v>
      </c>
      <c r="AU132" s="68">
        <f t="shared" si="85"/>
        <v>1.05</v>
      </c>
      <c r="AV132" s="68">
        <f t="shared" si="86"/>
        <v>1.05</v>
      </c>
      <c r="AW132" s="68">
        <f t="shared" si="87"/>
        <v>1.05</v>
      </c>
      <c r="AX132" s="68">
        <f t="shared" ca="1" si="79"/>
        <v>2.1</v>
      </c>
      <c r="AY132" s="106">
        <v>2020</v>
      </c>
      <c r="AZ132" s="106" t="s">
        <v>13</v>
      </c>
      <c r="BA132" s="106" t="str">
        <f t="shared" si="88"/>
        <v/>
      </c>
      <c r="BB132" s="177"/>
      <c r="BC132" s="177">
        <v>8</v>
      </c>
      <c r="BD132" s="177"/>
      <c r="BE132" s="177"/>
      <c r="BF132" s="177"/>
      <c r="BG132" s="177"/>
      <c r="BH132" s="177"/>
      <c r="BI132" s="33"/>
      <c r="BK132" s="48">
        <f>$G132/5280*VLOOKUP($AC132,'Cost and Score'!$B$27:$O$40,6,0)</f>
        <v>0.19113636363636366</v>
      </c>
      <c r="BL132" s="48">
        <f>$G132/5280*VLOOKUP($AC132,'Cost and Score'!$B$27:$O$40,7,0)</f>
        <v>21.024999999999999</v>
      </c>
      <c r="BM132" s="48">
        <f>$G132/5280*VLOOKUP($AC132,'Cost and Score'!$B$27:$O$40,8,0)</f>
        <v>0</v>
      </c>
      <c r="BN132" s="48">
        <f>$G132/5280*VLOOKUP($AC132,'Cost and Score'!$B$27:$O$40,9,0)</f>
        <v>4300.568181818182</v>
      </c>
      <c r="BO132" s="48">
        <f>$G132/5280*VLOOKUP($AC132,'Cost and Score'!$B$27:$O$40,10,0)</f>
        <v>955.68181818181824</v>
      </c>
      <c r="BP132" s="48">
        <f>$G132/5280*VLOOKUP($AC132,'Cost and Score'!$B$27:$O$40,11,0)</f>
        <v>0</v>
      </c>
      <c r="BQ132" s="48">
        <f>$G132/5280*VLOOKUP($AC132,'Cost and Score'!$B$27:$O$40,12,0)</f>
        <v>95.568181818181813</v>
      </c>
      <c r="BR132" s="48">
        <f>$G132/5280*VLOOKUP($AC132,'Cost and Score'!$B$27:$O$40,13,0)</f>
        <v>114.68181818181819</v>
      </c>
      <c r="BS132" s="48">
        <f>$G132/5280*VLOOKUP($AC132,'Cost and Score'!$B$27:$O$40,14,0)</f>
        <v>0</v>
      </c>
      <c r="BT132" s="220">
        <f t="shared" si="89"/>
        <v>0.95568181818181819</v>
      </c>
      <c r="CF132" s="112"/>
    </row>
    <row r="133" spans="1:103" s="2" customFormat="1" ht="14.45" hidden="1" customHeight="1" x14ac:dyDescent="0.25">
      <c r="A133" s="15" t="s">
        <v>2136</v>
      </c>
      <c r="B133" s="34" t="s">
        <v>345</v>
      </c>
      <c r="C133" s="26" t="s">
        <v>345</v>
      </c>
      <c r="D133" s="82"/>
      <c r="E133" s="82" t="s">
        <v>121</v>
      </c>
      <c r="F133" s="82" t="s">
        <v>117</v>
      </c>
      <c r="G133" s="29">
        <v>3250</v>
      </c>
      <c r="H133" s="29">
        <f t="shared" si="74"/>
        <v>20</v>
      </c>
      <c r="I133" s="26" t="s">
        <v>8</v>
      </c>
      <c r="J133" s="26" t="s">
        <v>101</v>
      </c>
      <c r="K133" s="26">
        <v>0</v>
      </c>
      <c r="L133" s="42">
        <v>7</v>
      </c>
      <c r="M133" s="42">
        <v>7</v>
      </c>
      <c r="N133" s="42">
        <v>8</v>
      </c>
      <c r="O133" s="83">
        <v>7</v>
      </c>
      <c r="P133" s="83">
        <v>7</v>
      </c>
      <c r="Q133" s="83">
        <v>6</v>
      </c>
      <c r="R133" s="83">
        <v>6</v>
      </c>
      <c r="S133" s="83">
        <v>7</v>
      </c>
      <c r="T133" s="83">
        <v>7</v>
      </c>
      <c r="U133" s="83">
        <v>7</v>
      </c>
      <c r="V133" s="42"/>
      <c r="W133" s="42"/>
      <c r="X133" s="42"/>
      <c r="Y133" s="26">
        <v>497</v>
      </c>
      <c r="Z133" s="26">
        <f t="shared" si="75"/>
        <v>0</v>
      </c>
      <c r="AA133" s="82" t="s">
        <v>99</v>
      </c>
      <c r="AB133" s="111">
        <f t="shared" si="80"/>
        <v>3</v>
      </c>
      <c r="AC133" s="82" t="s">
        <v>13</v>
      </c>
      <c r="AD133" s="84">
        <f t="shared" si="76"/>
        <v>12926.136363636364</v>
      </c>
      <c r="AE133" s="140"/>
      <c r="AF133" s="113">
        <f t="shared" si="90"/>
        <v>0</v>
      </c>
      <c r="AG133" s="85">
        <v>2026</v>
      </c>
      <c r="AH133" s="26" t="str">
        <f t="shared" si="69"/>
        <v/>
      </c>
      <c r="AI133" s="26" t="str">
        <f t="shared" si="92"/>
        <v/>
      </c>
      <c r="AJ133" s="26" t="str">
        <f t="shared" si="92"/>
        <v/>
      </c>
      <c r="AK133" s="26" t="str">
        <f t="shared" si="72"/>
        <v/>
      </c>
      <c r="AL133" s="26" t="str">
        <f t="shared" si="93"/>
        <v>Chip Seal and Fog</v>
      </c>
      <c r="AM133" s="26" t="str">
        <f t="shared" si="91"/>
        <v/>
      </c>
      <c r="AN133" s="26" t="str">
        <f t="shared" si="81"/>
        <v>Chip Seal and Fog</v>
      </c>
      <c r="AO133" s="26" t="str">
        <f t="shared" si="94"/>
        <v/>
      </c>
      <c r="AP133" s="26" t="str">
        <f t="shared" si="82"/>
        <v/>
      </c>
      <c r="AQ133" s="68">
        <f t="shared" si="77"/>
        <v>10</v>
      </c>
      <c r="AR133" s="68">
        <f t="shared" si="78"/>
        <v>6</v>
      </c>
      <c r="AS133" s="68">
        <f t="shared" si="83"/>
        <v>1.05</v>
      </c>
      <c r="AT133" s="68">
        <f t="shared" si="84"/>
        <v>1.05</v>
      </c>
      <c r="AU133" s="68">
        <f t="shared" si="85"/>
        <v>1</v>
      </c>
      <c r="AV133" s="68">
        <f t="shared" si="86"/>
        <v>1.05</v>
      </c>
      <c r="AW133" s="68">
        <f t="shared" si="87"/>
        <v>1.05</v>
      </c>
      <c r="AX133" s="68">
        <f t="shared" ca="1" si="79"/>
        <v>2</v>
      </c>
      <c r="AY133" s="106">
        <v>2020</v>
      </c>
      <c r="AZ133" s="106" t="s">
        <v>13</v>
      </c>
      <c r="BA133" s="106" t="str">
        <f t="shared" si="88"/>
        <v/>
      </c>
      <c r="BB133" s="177"/>
      <c r="BC133" s="177">
        <v>8</v>
      </c>
      <c r="BD133" s="177"/>
      <c r="BE133" s="177"/>
      <c r="BF133" s="177"/>
      <c r="BG133" s="177"/>
      <c r="BH133" s="177"/>
      <c r="BI133" s="33"/>
      <c r="BK133" s="48">
        <f>$G133/5280*VLOOKUP($AC133,'Cost and Score'!$B$27:$O$40,6,0)</f>
        <v>0.12310606060606061</v>
      </c>
      <c r="BL133" s="48">
        <f>$G133/5280*VLOOKUP($AC133,'Cost and Score'!$B$27:$O$40,7,0)</f>
        <v>13.541666666666666</v>
      </c>
      <c r="BM133" s="48">
        <f>$G133/5280*VLOOKUP($AC133,'Cost and Score'!$B$27:$O$40,8,0)</f>
        <v>0</v>
      </c>
      <c r="BN133" s="48">
        <f>$G133/5280*VLOOKUP($AC133,'Cost and Score'!$B$27:$O$40,9,0)</f>
        <v>2769.8863636363635</v>
      </c>
      <c r="BO133" s="48">
        <f>$G133/5280*VLOOKUP($AC133,'Cost and Score'!$B$27:$O$40,10,0)</f>
        <v>615.530303030303</v>
      </c>
      <c r="BP133" s="48">
        <f>$G133/5280*VLOOKUP($AC133,'Cost and Score'!$B$27:$O$40,11,0)</f>
        <v>0</v>
      </c>
      <c r="BQ133" s="48">
        <f>$G133/5280*VLOOKUP($AC133,'Cost and Score'!$B$27:$O$40,12,0)</f>
        <v>61.553030303030297</v>
      </c>
      <c r="BR133" s="48">
        <f>$G133/5280*VLOOKUP($AC133,'Cost and Score'!$B$27:$O$40,13,0)</f>
        <v>73.86363636363636</v>
      </c>
      <c r="BS133" s="48">
        <f>$G133/5280*VLOOKUP($AC133,'Cost and Score'!$B$27:$O$40,14,0)</f>
        <v>0</v>
      </c>
      <c r="BT133" s="220">
        <f t="shared" si="89"/>
        <v>0.61553030303030298</v>
      </c>
    </row>
    <row r="134" spans="1:103" s="2" customFormat="1" ht="14.25" hidden="1" customHeight="1" x14ac:dyDescent="0.25">
      <c r="A134" s="15" t="s">
        <v>347</v>
      </c>
      <c r="B134" s="34" t="s">
        <v>346</v>
      </c>
      <c r="C134" s="26" t="s">
        <v>346</v>
      </c>
      <c r="D134" s="82"/>
      <c r="E134" s="82" t="s">
        <v>158</v>
      </c>
      <c r="F134" s="82" t="s">
        <v>121</v>
      </c>
      <c r="G134" s="29">
        <v>2640</v>
      </c>
      <c r="H134" s="29">
        <f t="shared" si="74"/>
        <v>20</v>
      </c>
      <c r="I134" s="26" t="s">
        <v>8</v>
      </c>
      <c r="J134" s="26" t="s">
        <v>160</v>
      </c>
      <c r="K134" s="26">
        <f>VLOOKUP(J134,TOWNSHIPS,2,FALSE)</f>
        <v>0</v>
      </c>
      <c r="L134" s="42">
        <v>4</v>
      </c>
      <c r="M134" s="42">
        <v>4</v>
      </c>
      <c r="N134" s="42">
        <v>4</v>
      </c>
      <c r="O134" s="83">
        <v>4</v>
      </c>
      <c r="P134" s="83">
        <v>4</v>
      </c>
      <c r="Q134" s="83">
        <v>9</v>
      </c>
      <c r="R134" s="83">
        <v>7</v>
      </c>
      <c r="S134" s="83">
        <v>7</v>
      </c>
      <c r="T134" s="83">
        <v>7</v>
      </c>
      <c r="U134" s="83">
        <v>7</v>
      </c>
      <c r="V134" s="42"/>
      <c r="W134" s="42"/>
      <c r="X134" s="42"/>
      <c r="Y134" s="26">
        <v>292</v>
      </c>
      <c r="Z134" s="26">
        <f t="shared" si="75"/>
        <v>0</v>
      </c>
      <c r="AA134" s="82" t="s">
        <v>99</v>
      </c>
      <c r="AB134" s="111">
        <f t="shared" si="80"/>
        <v>6</v>
      </c>
      <c r="AC134" s="85" t="s">
        <v>13</v>
      </c>
      <c r="AD134" s="84">
        <f t="shared" si="76"/>
        <v>10500</v>
      </c>
      <c r="AE134" s="140"/>
      <c r="AF134" s="113">
        <f t="shared" si="90"/>
        <v>0</v>
      </c>
      <c r="AG134" s="26">
        <v>2026</v>
      </c>
      <c r="AH134" s="26" t="str">
        <f t="shared" si="69"/>
        <v/>
      </c>
      <c r="AI134" s="26" t="str">
        <f t="shared" si="92"/>
        <v/>
      </c>
      <c r="AJ134" s="26" t="str">
        <f t="shared" si="92"/>
        <v/>
      </c>
      <c r="AK134" s="26" t="str">
        <f t="shared" si="72"/>
        <v/>
      </c>
      <c r="AL134" s="26" t="str">
        <f t="shared" si="93"/>
        <v>Chip Seal and Fog</v>
      </c>
      <c r="AM134" s="26" t="str">
        <f t="shared" si="91"/>
        <v/>
      </c>
      <c r="AN134" s="26" t="str">
        <f t="shared" si="81"/>
        <v>Chip Seal and Fog</v>
      </c>
      <c r="AO134" s="26" t="str">
        <f t="shared" si="94"/>
        <v/>
      </c>
      <c r="AP134" s="26" t="str">
        <f t="shared" si="82"/>
        <v/>
      </c>
      <c r="AQ134" s="68">
        <f t="shared" si="77"/>
        <v>3</v>
      </c>
      <c r="AR134" s="68">
        <f t="shared" si="78"/>
        <v>6</v>
      </c>
      <c r="AS134" s="68">
        <f t="shared" si="83"/>
        <v>1.5</v>
      </c>
      <c r="AT134" s="68">
        <f t="shared" si="84"/>
        <v>1.5</v>
      </c>
      <c r="AU134" s="68">
        <f t="shared" si="85"/>
        <v>1.5</v>
      </c>
      <c r="AV134" s="68">
        <f t="shared" si="86"/>
        <v>1.5</v>
      </c>
      <c r="AW134" s="68">
        <f t="shared" si="87"/>
        <v>1.5</v>
      </c>
      <c r="AX134" s="68">
        <f t="shared" ca="1" si="79"/>
        <v>3</v>
      </c>
      <c r="AY134" s="68">
        <v>2018</v>
      </c>
      <c r="AZ134" s="68" t="s">
        <v>751</v>
      </c>
      <c r="BA134" s="106" t="str">
        <f t="shared" si="88"/>
        <v>P</v>
      </c>
      <c r="BB134" s="178"/>
      <c r="BC134" s="178">
        <v>8</v>
      </c>
      <c r="BD134" s="178"/>
      <c r="BE134" s="178"/>
      <c r="BF134" s="178"/>
      <c r="BG134" s="178"/>
      <c r="BH134" s="178"/>
      <c r="BI134" s="33"/>
      <c r="BK134" s="48">
        <f>$G134/5280*VLOOKUP($AC134,'Cost and Score'!$B$27:$O$40,6,0)</f>
        <v>0.1</v>
      </c>
      <c r="BL134" s="48">
        <f>$G134/5280*VLOOKUP($AC134,'Cost and Score'!$B$27:$O$40,7,0)</f>
        <v>11</v>
      </c>
      <c r="BM134" s="48">
        <f>$G134/5280*VLOOKUP($AC134,'Cost and Score'!$B$27:$O$40,8,0)</f>
        <v>0</v>
      </c>
      <c r="BN134" s="48">
        <f>$G134/5280*VLOOKUP($AC134,'Cost and Score'!$B$27:$O$40,9,0)</f>
        <v>2250</v>
      </c>
      <c r="BO134" s="48">
        <f>$G134/5280*VLOOKUP($AC134,'Cost and Score'!$B$27:$O$40,10,0)</f>
        <v>500</v>
      </c>
      <c r="BP134" s="48">
        <f>$G134/5280*VLOOKUP($AC134,'Cost and Score'!$B$27:$O$40,11,0)</f>
        <v>0</v>
      </c>
      <c r="BQ134" s="48">
        <f>$G134/5280*VLOOKUP($AC134,'Cost and Score'!$B$27:$O$40,12,0)</f>
        <v>50</v>
      </c>
      <c r="BR134" s="48">
        <f>$G134/5280*VLOOKUP($AC134,'Cost and Score'!$B$27:$O$40,13,0)</f>
        <v>60</v>
      </c>
      <c r="BS134" s="48">
        <f>$G134/5280*VLOOKUP($AC134,'Cost and Score'!$B$27:$O$40,14,0)</f>
        <v>0</v>
      </c>
      <c r="BT134" s="220">
        <f t="shared" si="89"/>
        <v>0.5</v>
      </c>
      <c r="CW134" s="112"/>
      <c r="CX134" s="112"/>
      <c r="CY134" s="112"/>
    </row>
    <row r="135" spans="1:103" s="2" customFormat="1" ht="14.25" hidden="1" customHeight="1" x14ac:dyDescent="0.25">
      <c r="A135" s="15" t="s">
        <v>349</v>
      </c>
      <c r="B135" s="34" t="s">
        <v>348</v>
      </c>
      <c r="C135" s="26" t="s">
        <v>348</v>
      </c>
      <c r="D135" s="82"/>
      <c r="E135" s="82" t="s">
        <v>158</v>
      </c>
      <c r="F135" s="82" t="s">
        <v>124</v>
      </c>
      <c r="G135" s="29">
        <v>2693</v>
      </c>
      <c r="H135" s="29">
        <f t="shared" si="74"/>
        <v>20</v>
      </c>
      <c r="I135" s="26" t="s">
        <v>8</v>
      </c>
      <c r="J135" s="26" t="s">
        <v>160</v>
      </c>
      <c r="K135" s="26">
        <f>VLOOKUP(J135,TOWNSHIPS,2,FALSE)</f>
        <v>0</v>
      </c>
      <c r="L135" s="42">
        <v>7</v>
      </c>
      <c r="M135" s="42">
        <v>7</v>
      </c>
      <c r="N135" s="42">
        <v>7</v>
      </c>
      <c r="O135" s="83">
        <v>7</v>
      </c>
      <c r="P135" s="83">
        <v>7</v>
      </c>
      <c r="Q135" s="83">
        <v>7</v>
      </c>
      <c r="R135" s="83">
        <v>7</v>
      </c>
      <c r="S135" s="83">
        <v>7</v>
      </c>
      <c r="T135" s="83">
        <v>7</v>
      </c>
      <c r="U135" s="83">
        <v>7</v>
      </c>
      <c r="V135" s="42"/>
      <c r="W135" s="42"/>
      <c r="X135" s="42"/>
      <c r="Y135" s="26">
        <v>443</v>
      </c>
      <c r="Z135" s="26">
        <f t="shared" si="75"/>
        <v>0</v>
      </c>
      <c r="AA135" s="82" t="s">
        <v>99</v>
      </c>
      <c r="AB135" s="111">
        <f t="shared" si="80"/>
        <v>3</v>
      </c>
      <c r="AC135" s="82" t="s">
        <v>13</v>
      </c>
      <c r="AD135" s="84">
        <f t="shared" si="76"/>
        <v>10710.795454545454</v>
      </c>
      <c r="AE135" s="140"/>
      <c r="AF135" s="113">
        <f t="shared" si="90"/>
        <v>0</v>
      </c>
      <c r="AG135" s="85">
        <v>2026</v>
      </c>
      <c r="AH135" s="26" t="str">
        <f t="shared" si="69"/>
        <v/>
      </c>
      <c r="AI135" s="26" t="str">
        <f t="shared" si="92"/>
        <v/>
      </c>
      <c r="AJ135" s="26" t="str">
        <f t="shared" si="92"/>
        <v/>
      </c>
      <c r="AK135" s="26" t="str">
        <f t="shared" si="72"/>
        <v/>
      </c>
      <c r="AL135" s="26" t="str">
        <f t="shared" si="93"/>
        <v>Chip Seal and Fog</v>
      </c>
      <c r="AM135" s="26" t="str">
        <f t="shared" si="91"/>
        <v/>
      </c>
      <c r="AN135" s="26" t="str">
        <f t="shared" si="81"/>
        <v>Chip Seal and Fog</v>
      </c>
      <c r="AO135" s="26" t="str">
        <f t="shared" si="94"/>
        <v/>
      </c>
      <c r="AP135" s="26" t="str">
        <f t="shared" si="82"/>
        <v/>
      </c>
      <c r="AQ135" s="68">
        <f t="shared" si="77"/>
        <v>10</v>
      </c>
      <c r="AR135" s="68">
        <f t="shared" si="78"/>
        <v>6</v>
      </c>
      <c r="AS135" s="68">
        <f t="shared" si="83"/>
        <v>1.05</v>
      </c>
      <c r="AT135" s="68">
        <f t="shared" si="84"/>
        <v>1.05</v>
      </c>
      <c r="AU135" s="68">
        <f t="shared" si="85"/>
        <v>1.05</v>
      </c>
      <c r="AV135" s="68">
        <f t="shared" si="86"/>
        <v>1.05</v>
      </c>
      <c r="AW135" s="68">
        <f t="shared" si="87"/>
        <v>1.05</v>
      </c>
      <c r="AX135" s="68">
        <f t="shared" ca="1" si="79"/>
        <v>2.1</v>
      </c>
      <c r="AY135" s="106">
        <v>2020</v>
      </c>
      <c r="AZ135" s="106" t="s">
        <v>13</v>
      </c>
      <c r="BA135" s="106" t="str">
        <f t="shared" si="88"/>
        <v/>
      </c>
      <c r="BB135" s="177"/>
      <c r="BC135" s="177">
        <v>8</v>
      </c>
      <c r="BD135" s="177"/>
      <c r="BE135" s="177"/>
      <c r="BF135" s="177"/>
      <c r="BG135" s="177"/>
      <c r="BH135" s="177"/>
      <c r="BI135" s="33"/>
      <c r="BK135" s="48">
        <f>$G135/5280*VLOOKUP($AC135,'Cost and Score'!$B$27:$O$40,6,0)</f>
        <v>0.10200757575757576</v>
      </c>
      <c r="BL135" s="48">
        <f>$G135/5280*VLOOKUP($AC135,'Cost and Score'!$B$27:$O$40,7,0)</f>
        <v>11.220833333333333</v>
      </c>
      <c r="BM135" s="48">
        <f>$G135/5280*VLOOKUP($AC135,'Cost and Score'!$B$27:$O$40,8,0)</f>
        <v>0</v>
      </c>
      <c r="BN135" s="48">
        <f>$G135/5280*VLOOKUP($AC135,'Cost and Score'!$B$27:$O$40,9,0)</f>
        <v>2295.1704545454545</v>
      </c>
      <c r="BO135" s="48">
        <f>$G135/5280*VLOOKUP($AC135,'Cost and Score'!$B$27:$O$40,10,0)</f>
        <v>510.03787878787875</v>
      </c>
      <c r="BP135" s="48">
        <f>$G135/5280*VLOOKUP($AC135,'Cost and Score'!$B$27:$O$40,11,0)</f>
        <v>0</v>
      </c>
      <c r="BQ135" s="48">
        <f>$G135/5280*VLOOKUP($AC135,'Cost and Score'!$B$27:$O$40,12,0)</f>
        <v>51.003787878787875</v>
      </c>
      <c r="BR135" s="48">
        <f>$G135/5280*VLOOKUP($AC135,'Cost and Score'!$B$27:$O$40,13,0)</f>
        <v>61.204545454545453</v>
      </c>
      <c r="BS135" s="48">
        <f>$G135/5280*VLOOKUP($AC135,'Cost and Score'!$B$27:$O$40,14,0)</f>
        <v>0</v>
      </c>
      <c r="BT135" s="220">
        <f t="shared" si="89"/>
        <v>0.51003787878787876</v>
      </c>
    </row>
    <row r="136" spans="1:103" s="2" customFormat="1" hidden="1" x14ac:dyDescent="0.25">
      <c r="A136" s="15" t="s">
        <v>351</v>
      </c>
      <c r="B136" s="34" t="s">
        <v>350</v>
      </c>
      <c r="C136" s="26" t="s">
        <v>350</v>
      </c>
      <c r="D136" s="82"/>
      <c r="E136" s="82" t="s">
        <v>162</v>
      </c>
      <c r="F136" s="82" t="s">
        <v>124</v>
      </c>
      <c r="G136" s="29">
        <v>1373</v>
      </c>
      <c r="H136" s="29">
        <f t="shared" si="74"/>
        <v>20</v>
      </c>
      <c r="I136" s="26" t="s">
        <v>8</v>
      </c>
      <c r="J136" s="26" t="s">
        <v>160</v>
      </c>
      <c r="K136" s="26">
        <f>VLOOKUP(J136,TOWNSHIPS,2,FALSE)</f>
        <v>0</v>
      </c>
      <c r="L136" s="42">
        <v>7</v>
      </c>
      <c r="M136" s="42">
        <v>7</v>
      </c>
      <c r="N136" s="42">
        <v>6</v>
      </c>
      <c r="O136" s="83">
        <v>6</v>
      </c>
      <c r="P136" s="83">
        <v>6</v>
      </c>
      <c r="Q136" s="83">
        <v>8</v>
      </c>
      <c r="R136" s="83">
        <v>8</v>
      </c>
      <c r="S136" s="83">
        <v>8</v>
      </c>
      <c r="T136" s="83">
        <v>7</v>
      </c>
      <c r="U136" s="83">
        <v>7</v>
      </c>
      <c r="V136" s="42"/>
      <c r="W136" s="42"/>
      <c r="X136" s="42"/>
      <c r="Y136" s="26">
        <v>811</v>
      </c>
      <c r="Z136" s="26">
        <f t="shared" si="75"/>
        <v>0.5</v>
      </c>
      <c r="AA136" s="82" t="s">
        <v>99</v>
      </c>
      <c r="AB136" s="111">
        <f t="shared" si="80"/>
        <v>4.5</v>
      </c>
      <c r="AC136" s="82" t="s">
        <v>13</v>
      </c>
      <c r="AD136" s="84">
        <f t="shared" si="76"/>
        <v>5460.795454545455</v>
      </c>
      <c r="AE136" s="140"/>
      <c r="AF136" s="113">
        <f t="shared" si="90"/>
        <v>0</v>
      </c>
      <c r="AG136" s="85">
        <v>2026</v>
      </c>
      <c r="AH136" s="26" t="str">
        <f t="shared" si="69"/>
        <v/>
      </c>
      <c r="AI136" s="26" t="str">
        <f t="shared" si="92"/>
        <v/>
      </c>
      <c r="AJ136" s="26" t="str">
        <f t="shared" si="92"/>
        <v/>
      </c>
      <c r="AK136" s="26" t="str">
        <f t="shared" si="72"/>
        <v/>
      </c>
      <c r="AL136" s="26" t="str">
        <f t="shared" si="93"/>
        <v>Chip Seal and Fog</v>
      </c>
      <c r="AM136" s="26" t="str">
        <f t="shared" si="91"/>
        <v/>
      </c>
      <c r="AN136" s="26" t="str">
        <f t="shared" si="81"/>
        <v>Chip Seal and Fog</v>
      </c>
      <c r="AO136" s="26" t="str">
        <f t="shared" si="94"/>
        <v/>
      </c>
      <c r="AP136" s="26" t="str">
        <f t="shared" si="82"/>
        <v/>
      </c>
      <c r="AQ136" s="68">
        <f t="shared" si="77"/>
        <v>8</v>
      </c>
      <c r="AR136" s="68">
        <f t="shared" si="78"/>
        <v>6</v>
      </c>
      <c r="AS136" s="68">
        <f t="shared" si="83"/>
        <v>1.05</v>
      </c>
      <c r="AT136" s="68">
        <f t="shared" si="84"/>
        <v>1.05</v>
      </c>
      <c r="AU136" s="68">
        <f t="shared" si="85"/>
        <v>1.1000000000000001</v>
      </c>
      <c r="AV136" s="68">
        <f t="shared" si="86"/>
        <v>1.1000000000000001</v>
      </c>
      <c r="AW136" s="68">
        <f t="shared" si="87"/>
        <v>1.1000000000000001</v>
      </c>
      <c r="AX136" s="68">
        <f t="shared" ca="1" si="79"/>
        <v>2.2000000000000002</v>
      </c>
      <c r="AY136" s="106">
        <v>2020</v>
      </c>
      <c r="AZ136" s="106" t="s">
        <v>13</v>
      </c>
      <c r="BA136" s="106" t="str">
        <f t="shared" si="88"/>
        <v/>
      </c>
      <c r="BB136" s="177"/>
      <c r="BC136" s="177">
        <v>8</v>
      </c>
      <c r="BD136" s="177"/>
      <c r="BE136" s="177"/>
      <c r="BF136" s="177"/>
      <c r="BG136" s="177"/>
      <c r="BH136" s="177"/>
      <c r="BI136" s="33"/>
      <c r="BK136" s="48">
        <f>$G136/5280*VLOOKUP($AC136,'Cost and Score'!$B$27:$O$40,6,0)</f>
        <v>5.2007575757575752E-2</v>
      </c>
      <c r="BL136" s="48">
        <f>$G136/5280*VLOOKUP($AC136,'Cost and Score'!$B$27:$O$40,7,0)</f>
        <v>5.7208333333333332</v>
      </c>
      <c r="BM136" s="48">
        <f>$G136/5280*VLOOKUP($AC136,'Cost and Score'!$B$27:$O$40,8,0)</f>
        <v>0</v>
      </c>
      <c r="BN136" s="48">
        <f>$G136/5280*VLOOKUP($AC136,'Cost and Score'!$B$27:$O$40,9,0)</f>
        <v>1170.1704545454545</v>
      </c>
      <c r="BO136" s="48">
        <f>$G136/5280*VLOOKUP($AC136,'Cost and Score'!$B$27:$O$40,10,0)</f>
        <v>260.03787878787875</v>
      </c>
      <c r="BP136" s="48">
        <f>$G136/5280*VLOOKUP($AC136,'Cost and Score'!$B$27:$O$40,11,0)</f>
        <v>0</v>
      </c>
      <c r="BQ136" s="48">
        <f>$G136/5280*VLOOKUP($AC136,'Cost and Score'!$B$27:$O$40,12,0)</f>
        <v>26.003787878787875</v>
      </c>
      <c r="BR136" s="48">
        <f>$G136/5280*VLOOKUP($AC136,'Cost and Score'!$B$27:$O$40,13,0)</f>
        <v>31.204545454545453</v>
      </c>
      <c r="BS136" s="48">
        <f>$G136/5280*VLOOKUP($AC136,'Cost and Score'!$B$27:$O$40,14,0)</f>
        <v>0</v>
      </c>
      <c r="BT136" s="220">
        <f t="shared" si="89"/>
        <v>0.26003787878787876</v>
      </c>
    </row>
    <row r="137" spans="1:103" s="2" customFormat="1" ht="14.45" hidden="1" customHeight="1" x14ac:dyDescent="0.25">
      <c r="A137" s="15" t="s">
        <v>2138</v>
      </c>
      <c r="B137" s="34" t="s">
        <v>352</v>
      </c>
      <c r="C137" s="26" t="s">
        <v>352</v>
      </c>
      <c r="D137" s="82"/>
      <c r="E137" s="82" t="s">
        <v>165</v>
      </c>
      <c r="F137" s="82" t="s">
        <v>59</v>
      </c>
      <c r="G137" s="29">
        <v>4000</v>
      </c>
      <c r="H137" s="29">
        <f t="shared" si="74"/>
        <v>20</v>
      </c>
      <c r="I137" s="26" t="s">
        <v>8</v>
      </c>
      <c r="J137" s="26" t="s">
        <v>101</v>
      </c>
      <c r="K137" s="26">
        <v>0</v>
      </c>
      <c r="L137" s="42">
        <v>6</v>
      </c>
      <c r="M137" s="42">
        <v>6</v>
      </c>
      <c r="N137" s="42">
        <v>6</v>
      </c>
      <c r="O137" s="83">
        <v>4</v>
      </c>
      <c r="P137" s="83">
        <v>4</v>
      </c>
      <c r="Q137" s="83">
        <v>7</v>
      </c>
      <c r="R137" s="83">
        <v>7</v>
      </c>
      <c r="S137" s="83">
        <v>7</v>
      </c>
      <c r="T137" s="83">
        <v>7</v>
      </c>
      <c r="U137" s="83">
        <v>7</v>
      </c>
      <c r="V137" s="42"/>
      <c r="W137" s="42"/>
      <c r="X137" s="42"/>
      <c r="Y137" s="26">
        <v>105</v>
      </c>
      <c r="Z137" s="26">
        <f t="shared" si="75"/>
        <v>0</v>
      </c>
      <c r="AA137" s="82" t="s">
        <v>99</v>
      </c>
      <c r="AB137" s="111">
        <f t="shared" si="80"/>
        <v>6</v>
      </c>
      <c r="AC137" s="85" t="s">
        <v>13</v>
      </c>
      <c r="AD137" s="84">
        <f t="shared" si="76"/>
        <v>15909.09090909091</v>
      </c>
      <c r="AE137" s="140"/>
      <c r="AF137" s="113">
        <f t="shared" si="90"/>
        <v>0</v>
      </c>
      <c r="AG137" s="26">
        <v>2024</v>
      </c>
      <c r="AH137" s="26" t="str">
        <f t="shared" si="69"/>
        <v/>
      </c>
      <c r="AI137" s="26" t="str">
        <f t="shared" si="92"/>
        <v/>
      </c>
      <c r="AJ137" s="26" t="str">
        <f t="shared" si="92"/>
        <v>Chip Seal and Fog</v>
      </c>
      <c r="AK137" s="26" t="str">
        <f t="shared" si="72"/>
        <v/>
      </c>
      <c r="AL137" s="26" t="str">
        <f t="shared" si="93"/>
        <v/>
      </c>
      <c r="AM137" s="26" t="str">
        <f t="shared" si="91"/>
        <v/>
      </c>
      <c r="AN137" s="26" t="str">
        <f t="shared" si="81"/>
        <v>Chip Seal and Fog</v>
      </c>
      <c r="AO137" s="26" t="str">
        <f t="shared" si="94"/>
        <v/>
      </c>
      <c r="AP137" s="26" t="str">
        <f t="shared" si="82"/>
        <v/>
      </c>
      <c r="AQ137" s="68">
        <f t="shared" si="77"/>
        <v>3</v>
      </c>
      <c r="AR137" s="68">
        <f t="shared" si="78"/>
        <v>6</v>
      </c>
      <c r="AS137" s="68">
        <f t="shared" si="83"/>
        <v>1.1000000000000001</v>
      </c>
      <c r="AT137" s="68">
        <f t="shared" si="84"/>
        <v>1.1000000000000001</v>
      </c>
      <c r="AU137" s="68">
        <f t="shared" si="85"/>
        <v>1.1000000000000001</v>
      </c>
      <c r="AV137" s="68">
        <f t="shared" si="86"/>
        <v>1.5</v>
      </c>
      <c r="AW137" s="68">
        <f t="shared" si="87"/>
        <v>1.5</v>
      </c>
      <c r="AX137" s="68">
        <f t="shared" ca="1" si="79"/>
        <v>0</v>
      </c>
      <c r="AY137" s="106">
        <v>2018</v>
      </c>
      <c r="AZ137" s="106" t="s">
        <v>2073</v>
      </c>
      <c r="BA137" s="106" t="str">
        <f t="shared" si="88"/>
        <v>DS</v>
      </c>
      <c r="BB137" s="177"/>
      <c r="BC137" s="177">
        <v>9</v>
      </c>
      <c r="BD137" s="177"/>
      <c r="BE137" s="177"/>
      <c r="BF137" s="177"/>
      <c r="BG137" s="177"/>
      <c r="BH137" s="177"/>
      <c r="BI137" s="33"/>
      <c r="BK137" s="48">
        <f>$G137/5280*VLOOKUP($AC137,'Cost and Score'!$B$27:$O$40,6,0)</f>
        <v>0.15151515151515152</v>
      </c>
      <c r="BL137" s="48">
        <f>$G137/5280*VLOOKUP($AC137,'Cost and Score'!$B$27:$O$40,7,0)</f>
        <v>16.666666666666668</v>
      </c>
      <c r="BM137" s="48">
        <f>$G137/5280*VLOOKUP($AC137,'Cost and Score'!$B$27:$O$40,8,0)</f>
        <v>0</v>
      </c>
      <c r="BN137" s="48">
        <f>$G137/5280*VLOOKUP($AC137,'Cost and Score'!$B$27:$O$40,9,0)</f>
        <v>3409.090909090909</v>
      </c>
      <c r="BO137" s="48">
        <f>$G137/5280*VLOOKUP($AC137,'Cost and Score'!$B$27:$O$40,10,0)</f>
        <v>757.57575757575762</v>
      </c>
      <c r="BP137" s="48">
        <f>$G137/5280*VLOOKUP($AC137,'Cost and Score'!$B$27:$O$40,11,0)</f>
        <v>0</v>
      </c>
      <c r="BQ137" s="48">
        <f>$G137/5280*VLOOKUP($AC137,'Cost and Score'!$B$27:$O$40,12,0)</f>
        <v>75.757575757575751</v>
      </c>
      <c r="BR137" s="48">
        <f>$G137/5280*VLOOKUP($AC137,'Cost and Score'!$B$27:$O$40,13,0)</f>
        <v>90.909090909090907</v>
      </c>
      <c r="BS137" s="48">
        <f>$G137/5280*VLOOKUP($AC137,'Cost and Score'!$B$27:$O$40,14,0)</f>
        <v>0</v>
      </c>
      <c r="BT137" s="220">
        <f t="shared" si="89"/>
        <v>0.75757575757575757</v>
      </c>
    </row>
    <row r="138" spans="1:103" s="2" customFormat="1" ht="14.25" hidden="1" customHeight="1" x14ac:dyDescent="0.25">
      <c r="A138" s="15" t="s">
        <v>355</v>
      </c>
      <c r="B138" s="34" t="s">
        <v>353</v>
      </c>
      <c r="C138" s="26" t="s">
        <v>353</v>
      </c>
      <c r="D138" s="82"/>
      <c r="E138" s="82" t="s">
        <v>129</v>
      </c>
      <c r="F138" s="82" t="s">
        <v>354</v>
      </c>
      <c r="G138" s="29">
        <v>1326</v>
      </c>
      <c r="H138" s="29">
        <f t="shared" si="74"/>
        <v>20</v>
      </c>
      <c r="I138" s="26" t="s">
        <v>8</v>
      </c>
      <c r="J138" s="26" t="s">
        <v>160</v>
      </c>
      <c r="K138" s="26">
        <f t="shared" ref="K138:K150" si="95">VLOOKUP(J138,TOWNSHIPS,2,FALSE)</f>
        <v>0</v>
      </c>
      <c r="L138" s="42">
        <v>7</v>
      </c>
      <c r="M138" s="42">
        <v>6</v>
      </c>
      <c r="N138" s="42">
        <v>8</v>
      </c>
      <c r="O138" s="83">
        <v>8</v>
      </c>
      <c r="P138" s="83">
        <v>8</v>
      </c>
      <c r="Q138" s="83">
        <v>7</v>
      </c>
      <c r="R138" s="83">
        <v>7</v>
      </c>
      <c r="S138" s="83">
        <v>7</v>
      </c>
      <c r="T138" s="83">
        <v>7</v>
      </c>
      <c r="U138" s="83">
        <v>7</v>
      </c>
      <c r="V138" s="42">
        <v>2024</v>
      </c>
      <c r="W138" s="42"/>
      <c r="X138" s="42" t="s">
        <v>2619</v>
      </c>
      <c r="Y138" s="26">
        <v>746</v>
      </c>
      <c r="Z138" s="26">
        <f t="shared" si="75"/>
        <v>0.5</v>
      </c>
      <c r="AA138" s="82" t="s">
        <v>99</v>
      </c>
      <c r="AB138" s="111">
        <f t="shared" si="80"/>
        <v>2.5</v>
      </c>
      <c r="AC138" s="82" t="s">
        <v>13</v>
      </c>
      <c r="AD138" s="84">
        <f t="shared" si="76"/>
        <v>5273.863636363636</v>
      </c>
      <c r="AE138" s="140"/>
      <c r="AF138" s="113">
        <f t="shared" si="90"/>
        <v>0</v>
      </c>
      <c r="AG138" s="85">
        <v>2026</v>
      </c>
      <c r="AH138" s="26" t="str">
        <f t="shared" si="69"/>
        <v/>
      </c>
      <c r="AI138" s="26" t="str">
        <f t="shared" si="92"/>
        <v/>
      </c>
      <c r="AJ138" s="26" t="str">
        <f t="shared" si="92"/>
        <v/>
      </c>
      <c r="AK138" s="26" t="str">
        <f t="shared" si="72"/>
        <v/>
      </c>
      <c r="AL138" s="26" t="str">
        <f t="shared" si="93"/>
        <v>Chip Seal and Fog</v>
      </c>
      <c r="AM138" s="26" t="str">
        <f t="shared" si="91"/>
        <v/>
      </c>
      <c r="AN138" s="26" t="str">
        <f t="shared" si="81"/>
        <v>Chip Seal and Fog</v>
      </c>
      <c r="AO138" s="26" t="str">
        <f t="shared" si="94"/>
        <v/>
      </c>
      <c r="AP138" s="26" t="str">
        <f t="shared" si="82"/>
        <v/>
      </c>
      <c r="AQ138" s="68">
        <f t="shared" si="77"/>
        <v>12</v>
      </c>
      <c r="AR138" s="68">
        <f t="shared" si="78"/>
        <v>6</v>
      </c>
      <c r="AS138" s="68">
        <f t="shared" si="83"/>
        <v>1.05</v>
      </c>
      <c r="AT138" s="68">
        <f t="shared" si="84"/>
        <v>1.1000000000000001</v>
      </c>
      <c r="AU138" s="68">
        <f t="shared" si="85"/>
        <v>1</v>
      </c>
      <c r="AV138" s="68">
        <f t="shared" si="86"/>
        <v>1</v>
      </c>
      <c r="AW138" s="68">
        <f t="shared" si="87"/>
        <v>1</v>
      </c>
      <c r="AX138" s="68">
        <f t="shared" ca="1" si="79"/>
        <v>2</v>
      </c>
      <c r="AY138" s="106">
        <v>2020</v>
      </c>
      <c r="AZ138" s="106" t="s">
        <v>13</v>
      </c>
      <c r="BA138" s="106" t="str">
        <f t="shared" si="88"/>
        <v/>
      </c>
      <c r="BB138" s="177"/>
      <c r="BC138" s="177">
        <v>8</v>
      </c>
      <c r="BD138" s="177"/>
      <c r="BE138" s="177"/>
      <c r="BF138" s="177"/>
      <c r="BG138" s="177"/>
      <c r="BH138" s="177"/>
      <c r="BI138" s="33"/>
      <c r="BK138" s="48">
        <f>$G138/5280*VLOOKUP($AC138,'Cost and Score'!$B$27:$O$40,6,0)</f>
        <v>5.0227272727272732E-2</v>
      </c>
      <c r="BL138" s="48">
        <f>$G138/5280*VLOOKUP($AC138,'Cost and Score'!$B$27:$O$40,7,0)</f>
        <v>5.5250000000000004</v>
      </c>
      <c r="BM138" s="48">
        <f>$G138/5280*VLOOKUP($AC138,'Cost and Score'!$B$27:$O$40,8,0)</f>
        <v>0</v>
      </c>
      <c r="BN138" s="48">
        <f>$G138/5280*VLOOKUP($AC138,'Cost and Score'!$B$27:$O$40,9,0)</f>
        <v>1130.1136363636365</v>
      </c>
      <c r="BO138" s="48">
        <f>$G138/5280*VLOOKUP($AC138,'Cost and Score'!$B$27:$O$40,10,0)</f>
        <v>251.13636363636365</v>
      </c>
      <c r="BP138" s="48">
        <f>$G138/5280*VLOOKUP($AC138,'Cost and Score'!$B$27:$O$40,11,0)</f>
        <v>0</v>
      </c>
      <c r="BQ138" s="48">
        <f>$G138/5280*VLOOKUP($AC138,'Cost and Score'!$B$27:$O$40,12,0)</f>
        <v>25.113636363636367</v>
      </c>
      <c r="BR138" s="48">
        <f>$G138/5280*VLOOKUP($AC138,'Cost and Score'!$B$27:$O$40,13,0)</f>
        <v>30.13636363636364</v>
      </c>
      <c r="BS138" s="48">
        <f>$G138/5280*VLOOKUP($AC138,'Cost and Score'!$B$27:$O$40,14,0)</f>
        <v>0</v>
      </c>
      <c r="BT138" s="220">
        <f t="shared" si="89"/>
        <v>0.25113636363636366</v>
      </c>
    </row>
    <row r="139" spans="1:103" s="2" customFormat="1" ht="14.25" hidden="1" customHeight="1" x14ac:dyDescent="0.25">
      <c r="A139" s="36" t="s">
        <v>357</v>
      </c>
      <c r="B139" s="34" t="s">
        <v>356</v>
      </c>
      <c r="C139" s="26" t="s">
        <v>356</v>
      </c>
      <c r="D139" s="26"/>
      <c r="E139" s="26" t="s">
        <v>354</v>
      </c>
      <c r="F139" s="26" t="s">
        <v>168</v>
      </c>
      <c r="G139" s="29">
        <v>2874</v>
      </c>
      <c r="H139" s="29">
        <f t="shared" si="74"/>
        <v>20</v>
      </c>
      <c r="I139" s="26" t="s">
        <v>8</v>
      </c>
      <c r="J139" s="26" t="s">
        <v>160</v>
      </c>
      <c r="K139" s="26">
        <f t="shared" si="95"/>
        <v>0</v>
      </c>
      <c r="L139" s="42">
        <v>5</v>
      </c>
      <c r="M139" s="42">
        <v>5</v>
      </c>
      <c r="N139" s="42">
        <v>8</v>
      </c>
      <c r="O139" s="42">
        <v>8</v>
      </c>
      <c r="P139" s="42">
        <v>8</v>
      </c>
      <c r="Q139" s="42">
        <v>8</v>
      </c>
      <c r="R139" s="42">
        <v>8</v>
      </c>
      <c r="S139" s="42">
        <v>7</v>
      </c>
      <c r="T139" s="42">
        <v>7</v>
      </c>
      <c r="U139" s="42">
        <v>7</v>
      </c>
      <c r="V139" s="42">
        <v>2024</v>
      </c>
      <c r="W139" s="42"/>
      <c r="X139" s="42" t="s">
        <v>2619</v>
      </c>
      <c r="Y139" s="26">
        <v>1652</v>
      </c>
      <c r="Z139" s="26">
        <f t="shared" si="75"/>
        <v>1</v>
      </c>
      <c r="AA139" s="26" t="s">
        <v>99</v>
      </c>
      <c r="AB139" s="111">
        <f t="shared" si="80"/>
        <v>3</v>
      </c>
      <c r="AC139" s="85" t="s">
        <v>2075</v>
      </c>
      <c r="AD139" s="47">
        <f t="shared" si="76"/>
        <v>2939.318181818182</v>
      </c>
      <c r="AE139" s="140"/>
      <c r="AF139" s="113">
        <f t="shared" si="90"/>
        <v>0</v>
      </c>
      <c r="AG139" s="26">
        <v>2022</v>
      </c>
      <c r="AH139" s="26" t="str">
        <f t="shared" si="69"/>
        <v>Crack Seal</v>
      </c>
      <c r="AI139" s="26" t="str">
        <f t="shared" si="92"/>
        <v/>
      </c>
      <c r="AJ139" s="26" t="str">
        <f t="shared" si="92"/>
        <v/>
      </c>
      <c r="AK139" s="26" t="str">
        <f t="shared" si="72"/>
        <v/>
      </c>
      <c r="AL139" s="26" t="str">
        <f t="shared" si="93"/>
        <v/>
      </c>
      <c r="AM139" s="26" t="str">
        <f t="shared" si="91"/>
        <v/>
      </c>
      <c r="AN139" s="26" t="str">
        <f t="shared" si="81"/>
        <v>Crack Seal</v>
      </c>
      <c r="AO139" s="26" t="str">
        <f t="shared" si="94"/>
        <v/>
      </c>
      <c r="AP139" s="26" t="str">
        <f t="shared" si="82"/>
        <v/>
      </c>
      <c r="AQ139" s="68">
        <f t="shared" si="77"/>
        <v>12</v>
      </c>
      <c r="AR139" s="68">
        <f t="shared" si="78"/>
        <v>3</v>
      </c>
      <c r="AS139" s="68">
        <f t="shared" si="83"/>
        <v>1.25</v>
      </c>
      <c r="AT139" s="68">
        <f t="shared" si="84"/>
        <v>1.25</v>
      </c>
      <c r="AU139" s="68">
        <f t="shared" si="85"/>
        <v>1</v>
      </c>
      <c r="AV139" s="68">
        <f t="shared" si="86"/>
        <v>1</v>
      </c>
      <c r="AW139" s="68">
        <f t="shared" si="87"/>
        <v>1</v>
      </c>
      <c r="AX139" s="68">
        <f t="shared" ca="1" si="79"/>
        <v>-2</v>
      </c>
      <c r="AY139" s="106">
        <v>2015</v>
      </c>
      <c r="AZ139" s="106" t="s">
        <v>2072</v>
      </c>
      <c r="BA139" s="106" t="str">
        <f t="shared" si="88"/>
        <v/>
      </c>
      <c r="BB139" s="177"/>
      <c r="BC139" s="177">
        <v>8</v>
      </c>
      <c r="BD139" s="177"/>
      <c r="BE139" s="177"/>
      <c r="BF139" s="177"/>
      <c r="BG139" s="177"/>
      <c r="BH139" s="177"/>
      <c r="BI139" s="33"/>
      <c r="BK139" s="48">
        <f>$G139/5280*VLOOKUP($AC139,'Cost and Score'!$B$27:$O$40,6,0)</f>
        <v>0.54431818181818181</v>
      </c>
      <c r="BL139" s="48">
        <f>$G139/5280*VLOOKUP($AC139,'Cost and Score'!$B$27:$O$40,7,0)</f>
        <v>0</v>
      </c>
      <c r="BM139" s="48">
        <f>$G139/5280*VLOOKUP($AC139,'Cost and Score'!$B$27:$O$40,8,0)</f>
        <v>0</v>
      </c>
      <c r="BN139" s="48">
        <f>$G139/5280*VLOOKUP($AC139,'Cost and Score'!$B$27:$O$40,9,0)</f>
        <v>0</v>
      </c>
      <c r="BO139" s="48">
        <f>$G139/5280*VLOOKUP($AC139,'Cost and Score'!$B$27:$O$40,10,0)</f>
        <v>0</v>
      </c>
      <c r="BP139" s="48">
        <f>$G139/5280*VLOOKUP($AC139,'Cost and Score'!$B$27:$O$40,11,0)</f>
        <v>0</v>
      </c>
      <c r="BQ139" s="48">
        <f>$G139/5280*VLOOKUP($AC139,'Cost and Score'!$B$27:$O$40,12,0)</f>
        <v>0</v>
      </c>
      <c r="BR139" s="48">
        <f>$G139/5280*VLOOKUP($AC139,'Cost and Score'!$B$27:$O$40,13,0)</f>
        <v>0</v>
      </c>
      <c r="BS139" s="48">
        <f>$G139/5280*VLOOKUP($AC139,'Cost and Score'!$B$27:$O$40,14,0)</f>
        <v>0</v>
      </c>
      <c r="BT139" s="220">
        <f t="shared" si="89"/>
        <v>0.54431818181818181</v>
      </c>
      <c r="CS139" s="112"/>
      <c r="CT139" s="112"/>
      <c r="CU139" s="112"/>
    </row>
    <row r="140" spans="1:103" s="2" customFormat="1" ht="14.45" customHeight="1" x14ac:dyDescent="0.25">
      <c r="A140" s="38" t="s">
        <v>1010</v>
      </c>
      <c r="B140" s="34" t="s">
        <v>1009</v>
      </c>
      <c r="C140" s="26" t="s">
        <v>1009</v>
      </c>
      <c r="D140" s="82"/>
      <c r="E140" s="82" t="s">
        <v>107</v>
      </c>
      <c r="F140" s="82" t="s">
        <v>104</v>
      </c>
      <c r="G140" s="29">
        <v>5365</v>
      </c>
      <c r="H140" s="29">
        <f t="shared" si="74"/>
        <v>20</v>
      </c>
      <c r="I140" s="26" t="s">
        <v>8</v>
      </c>
      <c r="J140" s="26" t="s">
        <v>172</v>
      </c>
      <c r="K140" s="26">
        <f t="shared" si="95"/>
        <v>0</v>
      </c>
      <c r="L140" s="42">
        <v>7</v>
      </c>
      <c r="M140" s="42">
        <v>6</v>
      </c>
      <c r="N140" s="42">
        <v>6</v>
      </c>
      <c r="O140" s="83">
        <v>5</v>
      </c>
      <c r="P140" s="83">
        <v>5</v>
      </c>
      <c r="Q140" s="83">
        <v>7</v>
      </c>
      <c r="R140" s="83">
        <v>7</v>
      </c>
      <c r="S140" s="83">
        <v>7</v>
      </c>
      <c r="T140" s="83">
        <v>7</v>
      </c>
      <c r="U140" s="83">
        <v>7</v>
      </c>
      <c r="V140" s="42"/>
      <c r="W140" s="42">
        <v>2020</v>
      </c>
      <c r="X140" s="42" t="s">
        <v>2612</v>
      </c>
      <c r="Y140" s="26">
        <v>921</v>
      </c>
      <c r="Z140" s="26">
        <f t="shared" si="75"/>
        <v>0.5</v>
      </c>
      <c r="AA140" s="82" t="s">
        <v>73</v>
      </c>
      <c r="AB140" s="111">
        <f t="shared" si="80"/>
        <v>5.5</v>
      </c>
      <c r="AC140" s="85" t="s">
        <v>13</v>
      </c>
      <c r="AD140" s="84">
        <f t="shared" si="76"/>
        <v>21338.06818181818</v>
      </c>
      <c r="AE140" s="140"/>
      <c r="AF140" s="113">
        <f t="shared" si="90"/>
        <v>0</v>
      </c>
      <c r="AG140" s="106">
        <v>2025</v>
      </c>
      <c r="AH140" s="26" t="str">
        <f t="shared" si="69"/>
        <v/>
      </c>
      <c r="AI140" s="26" t="str">
        <f t="shared" si="92"/>
        <v/>
      </c>
      <c r="AJ140" s="26" t="str">
        <f t="shared" si="92"/>
        <v/>
      </c>
      <c r="AK140" s="26" t="str">
        <f t="shared" si="72"/>
        <v>Chip Seal and Fog</v>
      </c>
      <c r="AL140" s="26" t="str">
        <f t="shared" si="93"/>
        <v/>
      </c>
      <c r="AM140" s="26" t="str">
        <f t="shared" si="91"/>
        <v/>
      </c>
      <c r="AN140" s="26" t="str">
        <f t="shared" si="81"/>
        <v>Chip Seal and Fog</v>
      </c>
      <c r="AO140" s="26" t="str">
        <f t="shared" si="94"/>
        <v/>
      </c>
      <c r="AP140" s="26" t="str">
        <f t="shared" si="82"/>
        <v/>
      </c>
      <c r="AQ140" s="68">
        <f t="shared" si="77"/>
        <v>6</v>
      </c>
      <c r="AR140" s="68">
        <f t="shared" si="78"/>
        <v>6</v>
      </c>
      <c r="AS140" s="68">
        <f t="shared" si="83"/>
        <v>1.05</v>
      </c>
      <c r="AT140" s="68">
        <f t="shared" si="84"/>
        <v>1.1000000000000001</v>
      </c>
      <c r="AU140" s="68">
        <f t="shared" si="85"/>
        <v>1.1000000000000001</v>
      </c>
      <c r="AV140" s="68">
        <f t="shared" si="86"/>
        <v>1.25</v>
      </c>
      <c r="AW140" s="68">
        <f t="shared" si="87"/>
        <v>1.25</v>
      </c>
      <c r="AX140" s="68">
        <f t="shared" ca="1" si="79"/>
        <v>1.1000000000000001</v>
      </c>
      <c r="AY140" s="68">
        <v>2019</v>
      </c>
      <c r="AZ140" s="68" t="s">
        <v>751</v>
      </c>
      <c r="BA140" s="106" t="str">
        <f t="shared" si="88"/>
        <v/>
      </c>
      <c r="BB140" s="178"/>
      <c r="BC140" s="178">
        <v>9</v>
      </c>
      <c r="BD140" s="178"/>
      <c r="BE140" s="178"/>
      <c r="BF140" s="178"/>
      <c r="BG140" s="178"/>
      <c r="BH140" s="178"/>
      <c r="BI140" s="33"/>
      <c r="BJ140" s="2" t="s">
        <v>2538</v>
      </c>
      <c r="BK140" s="48">
        <f>$G140/5280*VLOOKUP($AC140,'Cost and Score'!$B$27:$O$40,6,0)</f>
        <v>0.20321969696969699</v>
      </c>
      <c r="BL140" s="48">
        <f>$G140/5280*VLOOKUP($AC140,'Cost and Score'!$B$27:$O$40,7,0)</f>
        <v>22.354166666666668</v>
      </c>
      <c r="BM140" s="48">
        <f>$G140/5280*VLOOKUP($AC140,'Cost and Score'!$B$27:$O$40,8,0)</f>
        <v>0</v>
      </c>
      <c r="BN140" s="48">
        <f>$G140/5280*VLOOKUP($AC140,'Cost and Score'!$B$27:$O$40,9,0)</f>
        <v>4572.443181818182</v>
      </c>
      <c r="BO140" s="48">
        <f>$G140/5280*VLOOKUP($AC140,'Cost and Score'!$B$27:$O$40,10,0)</f>
        <v>1016.0984848484849</v>
      </c>
      <c r="BP140" s="48">
        <f>$G140/5280*VLOOKUP($AC140,'Cost and Score'!$B$27:$O$40,11,0)</f>
        <v>0</v>
      </c>
      <c r="BQ140" s="48">
        <f>$G140/5280*VLOOKUP($AC140,'Cost and Score'!$B$27:$O$40,12,0)</f>
        <v>101.60984848484848</v>
      </c>
      <c r="BR140" s="48">
        <f>$G140/5280*VLOOKUP($AC140,'Cost and Score'!$B$27:$O$40,13,0)</f>
        <v>121.93181818181819</v>
      </c>
      <c r="BS140" s="48">
        <f>$G140/5280*VLOOKUP($AC140,'Cost and Score'!$B$27:$O$40,14,0)</f>
        <v>0</v>
      </c>
      <c r="BT140" s="220">
        <f t="shared" si="89"/>
        <v>1.0160984848484849</v>
      </c>
    </row>
    <row r="141" spans="1:103" s="2" customFormat="1" ht="14.25" hidden="1" customHeight="1" x14ac:dyDescent="0.25">
      <c r="A141" s="15" t="s">
        <v>361</v>
      </c>
      <c r="B141" s="34" t="s">
        <v>360</v>
      </c>
      <c r="C141" s="26" t="s">
        <v>360</v>
      </c>
      <c r="D141" s="82"/>
      <c r="E141" s="82" t="s">
        <v>135</v>
      </c>
      <c r="F141" s="82" t="s">
        <v>168</v>
      </c>
      <c r="G141" s="29">
        <v>5125</v>
      </c>
      <c r="H141" s="29">
        <f t="shared" si="74"/>
        <v>20</v>
      </c>
      <c r="I141" s="26" t="s">
        <v>8</v>
      </c>
      <c r="J141" s="26" t="s">
        <v>160</v>
      </c>
      <c r="K141" s="26">
        <f t="shared" si="95"/>
        <v>0</v>
      </c>
      <c r="L141" s="42">
        <v>7</v>
      </c>
      <c r="M141" s="42">
        <v>6</v>
      </c>
      <c r="N141" s="42">
        <v>6</v>
      </c>
      <c r="O141" s="83">
        <v>5</v>
      </c>
      <c r="P141" s="83">
        <v>5</v>
      </c>
      <c r="Q141" s="83">
        <v>8</v>
      </c>
      <c r="R141" s="83">
        <v>7</v>
      </c>
      <c r="S141" s="83">
        <v>7</v>
      </c>
      <c r="T141" s="83">
        <v>7</v>
      </c>
      <c r="U141" s="83">
        <v>7</v>
      </c>
      <c r="V141" s="42">
        <v>2024</v>
      </c>
      <c r="W141" s="42"/>
      <c r="X141" s="42" t="s">
        <v>2619</v>
      </c>
      <c r="Y141" s="26">
        <v>1578</v>
      </c>
      <c r="Z141" s="26">
        <f t="shared" si="75"/>
        <v>1</v>
      </c>
      <c r="AA141" s="82" t="s">
        <v>99</v>
      </c>
      <c r="AB141" s="111">
        <f t="shared" si="80"/>
        <v>6</v>
      </c>
      <c r="AC141" s="85" t="s">
        <v>13</v>
      </c>
      <c r="AD141" s="84">
        <f t="shared" si="76"/>
        <v>20383.522727272728</v>
      </c>
      <c r="AE141" s="140"/>
      <c r="AF141" s="113">
        <f t="shared" si="90"/>
        <v>0</v>
      </c>
      <c r="AG141" s="26">
        <v>2024</v>
      </c>
      <c r="AH141" s="26" t="str">
        <f t="shared" si="69"/>
        <v/>
      </c>
      <c r="AI141" s="26" t="str">
        <f t="shared" si="92"/>
        <v/>
      </c>
      <c r="AJ141" s="26" t="str">
        <f t="shared" si="92"/>
        <v>Chip Seal and Fog</v>
      </c>
      <c r="AK141" s="26" t="str">
        <f t="shared" si="72"/>
        <v/>
      </c>
      <c r="AL141" s="26" t="str">
        <f t="shared" si="93"/>
        <v/>
      </c>
      <c r="AM141" s="26" t="str">
        <f t="shared" si="91"/>
        <v/>
      </c>
      <c r="AN141" s="26" t="str">
        <f t="shared" si="81"/>
        <v>Chip Seal and Fog</v>
      </c>
      <c r="AO141" s="26" t="str">
        <f t="shared" si="94"/>
        <v/>
      </c>
      <c r="AP141" s="26" t="str">
        <f t="shared" si="82"/>
        <v/>
      </c>
      <c r="AQ141" s="68">
        <f t="shared" si="77"/>
        <v>6</v>
      </c>
      <c r="AR141" s="68">
        <f t="shared" si="78"/>
        <v>6</v>
      </c>
      <c r="AS141" s="68">
        <f t="shared" si="83"/>
        <v>1.05</v>
      </c>
      <c r="AT141" s="68">
        <f t="shared" si="84"/>
        <v>1.1000000000000001</v>
      </c>
      <c r="AU141" s="68">
        <f t="shared" si="85"/>
        <v>1.1000000000000001</v>
      </c>
      <c r="AV141" s="68">
        <f t="shared" si="86"/>
        <v>1.25</v>
      </c>
      <c r="AW141" s="68">
        <f t="shared" si="87"/>
        <v>1.25</v>
      </c>
      <c r="AX141" s="68">
        <f t="shared" ca="1" si="79"/>
        <v>0</v>
      </c>
      <c r="AY141" s="106">
        <v>2018</v>
      </c>
      <c r="AZ141" s="106" t="s">
        <v>2072</v>
      </c>
      <c r="BA141" s="106" t="str">
        <f t="shared" si="88"/>
        <v>SP/CS</v>
      </c>
      <c r="BB141" s="177"/>
      <c r="BC141" s="177">
        <v>8</v>
      </c>
      <c r="BD141" s="177"/>
      <c r="BE141" s="177"/>
      <c r="BF141" s="177"/>
      <c r="BG141" s="177"/>
      <c r="BH141" s="177"/>
      <c r="BI141" s="33"/>
      <c r="BK141" s="48">
        <f>$G141/5280*VLOOKUP($AC141,'Cost and Score'!$B$27:$O$40,6,0)</f>
        <v>0.1941287878787879</v>
      </c>
      <c r="BL141" s="48">
        <f>$G141/5280*VLOOKUP($AC141,'Cost and Score'!$B$27:$O$40,7,0)</f>
        <v>21.354166666666668</v>
      </c>
      <c r="BM141" s="48">
        <f>$G141/5280*VLOOKUP($AC141,'Cost and Score'!$B$27:$O$40,8,0)</f>
        <v>0</v>
      </c>
      <c r="BN141" s="48">
        <f>$G141/5280*VLOOKUP($AC141,'Cost and Score'!$B$27:$O$40,9,0)</f>
        <v>4367.8977272727279</v>
      </c>
      <c r="BO141" s="48">
        <f>$G141/5280*VLOOKUP($AC141,'Cost and Score'!$B$27:$O$40,10,0)</f>
        <v>970.64393939393949</v>
      </c>
      <c r="BP141" s="48">
        <f>$G141/5280*VLOOKUP($AC141,'Cost and Score'!$B$27:$O$40,11,0)</f>
        <v>0</v>
      </c>
      <c r="BQ141" s="48">
        <f>$G141/5280*VLOOKUP($AC141,'Cost and Score'!$B$27:$O$40,12,0)</f>
        <v>97.064393939393938</v>
      </c>
      <c r="BR141" s="48">
        <f>$G141/5280*VLOOKUP($AC141,'Cost and Score'!$B$27:$O$40,13,0)</f>
        <v>116.47727272727273</v>
      </c>
      <c r="BS141" s="48">
        <f>$G141/5280*VLOOKUP($AC141,'Cost and Score'!$B$27:$O$40,14,0)</f>
        <v>0</v>
      </c>
      <c r="BT141" s="220">
        <f t="shared" si="89"/>
        <v>0.97064393939393945</v>
      </c>
    </row>
    <row r="142" spans="1:103" s="2" customFormat="1" ht="14.45" hidden="1" customHeight="1" x14ac:dyDescent="0.25">
      <c r="A142" s="15" t="s">
        <v>363</v>
      </c>
      <c r="B142" s="34" t="s">
        <v>362</v>
      </c>
      <c r="C142" s="26" t="s">
        <v>362</v>
      </c>
      <c r="D142" s="82"/>
      <c r="E142" s="82" t="s">
        <v>64</v>
      </c>
      <c r="F142" s="82" t="s">
        <v>73</v>
      </c>
      <c r="G142" s="29">
        <v>5310</v>
      </c>
      <c r="H142" s="29">
        <f t="shared" si="74"/>
        <v>20</v>
      </c>
      <c r="I142" s="26" t="s">
        <v>13</v>
      </c>
      <c r="J142" s="26" t="s">
        <v>172</v>
      </c>
      <c r="K142" s="26">
        <f t="shared" si="95"/>
        <v>0</v>
      </c>
      <c r="L142" s="42">
        <v>5</v>
      </c>
      <c r="M142" s="42">
        <v>5</v>
      </c>
      <c r="N142" s="42">
        <v>5</v>
      </c>
      <c r="O142" s="83">
        <v>5</v>
      </c>
      <c r="P142" s="83">
        <v>4</v>
      </c>
      <c r="Q142" s="83">
        <v>8</v>
      </c>
      <c r="R142" s="83">
        <v>8</v>
      </c>
      <c r="S142" s="83">
        <v>8</v>
      </c>
      <c r="T142" s="83">
        <v>7</v>
      </c>
      <c r="U142" s="83">
        <v>7</v>
      </c>
      <c r="V142" s="42"/>
      <c r="W142" s="42"/>
      <c r="X142" s="42"/>
      <c r="Y142" s="26">
        <v>132</v>
      </c>
      <c r="Z142" s="26">
        <f t="shared" si="75"/>
        <v>0</v>
      </c>
      <c r="AA142" s="82" t="s">
        <v>99</v>
      </c>
      <c r="AB142" s="111">
        <f t="shared" si="80"/>
        <v>6</v>
      </c>
      <c r="AC142" s="85" t="s">
        <v>13</v>
      </c>
      <c r="AD142" s="84">
        <f t="shared" si="76"/>
        <v>21119.31818181818</v>
      </c>
      <c r="AE142" s="140"/>
      <c r="AF142" s="113">
        <f t="shared" si="90"/>
        <v>0</v>
      </c>
      <c r="AG142" s="26">
        <v>2024</v>
      </c>
      <c r="AH142" s="26" t="str">
        <f t="shared" si="69"/>
        <v/>
      </c>
      <c r="AI142" s="26" t="str">
        <f t="shared" si="92"/>
        <v/>
      </c>
      <c r="AJ142" s="26" t="str">
        <f t="shared" si="92"/>
        <v>Chip Seal and Fog</v>
      </c>
      <c r="AK142" s="26" t="str">
        <f t="shared" si="72"/>
        <v/>
      </c>
      <c r="AL142" s="26" t="str">
        <f t="shared" si="93"/>
        <v/>
      </c>
      <c r="AM142" s="26" t="str">
        <f t="shared" si="91"/>
        <v/>
      </c>
      <c r="AN142" s="26" t="str">
        <f t="shared" si="81"/>
        <v>Chip Seal and Fog</v>
      </c>
      <c r="AO142" s="26" t="str">
        <f t="shared" si="94"/>
        <v/>
      </c>
      <c r="AP142" s="26" t="str">
        <f t="shared" si="82"/>
        <v/>
      </c>
      <c r="AQ142" s="68">
        <f t="shared" si="77"/>
        <v>6</v>
      </c>
      <c r="AR142" s="68">
        <f t="shared" si="78"/>
        <v>6</v>
      </c>
      <c r="AS142" s="68">
        <f t="shared" si="83"/>
        <v>1.25</v>
      </c>
      <c r="AT142" s="68">
        <f t="shared" si="84"/>
        <v>1.25</v>
      </c>
      <c r="AU142" s="68">
        <f t="shared" si="85"/>
        <v>1.25</v>
      </c>
      <c r="AV142" s="68">
        <f t="shared" si="86"/>
        <v>1.25</v>
      </c>
      <c r="AW142" s="68">
        <f t="shared" si="87"/>
        <v>1.5</v>
      </c>
      <c r="AX142" s="68">
        <f t="shared" ca="1" si="79"/>
        <v>0</v>
      </c>
      <c r="AY142" s="106">
        <v>2018</v>
      </c>
      <c r="AZ142" s="106" t="s">
        <v>2072</v>
      </c>
      <c r="BA142" s="106" t="str">
        <f t="shared" si="88"/>
        <v>SP/CS</v>
      </c>
      <c r="BB142" s="177"/>
      <c r="BC142" s="177">
        <v>9</v>
      </c>
      <c r="BD142" s="177"/>
      <c r="BE142" s="177"/>
      <c r="BF142" s="177"/>
      <c r="BG142" s="177"/>
      <c r="BH142" s="177"/>
      <c r="BI142" s="33"/>
      <c r="BK142" s="48">
        <f>$G142/5280*VLOOKUP($AC142,'Cost and Score'!$B$27:$O$40,6,0)</f>
        <v>0.20113636363636364</v>
      </c>
      <c r="BL142" s="48">
        <f>$G142/5280*VLOOKUP($AC142,'Cost and Score'!$B$27:$O$40,7,0)</f>
        <v>22.125</v>
      </c>
      <c r="BM142" s="48">
        <f>$G142/5280*VLOOKUP($AC142,'Cost and Score'!$B$27:$O$40,8,0)</f>
        <v>0</v>
      </c>
      <c r="BN142" s="48">
        <f>$G142/5280*VLOOKUP($AC142,'Cost and Score'!$B$27:$O$40,9,0)</f>
        <v>4525.568181818182</v>
      </c>
      <c r="BO142" s="48">
        <f>$G142/5280*VLOOKUP($AC142,'Cost and Score'!$B$27:$O$40,10,0)</f>
        <v>1005.6818181818181</v>
      </c>
      <c r="BP142" s="48">
        <f>$G142/5280*VLOOKUP($AC142,'Cost and Score'!$B$27:$O$40,11,0)</f>
        <v>0</v>
      </c>
      <c r="BQ142" s="48">
        <f>$G142/5280*VLOOKUP($AC142,'Cost and Score'!$B$27:$O$40,12,0)</f>
        <v>100.56818181818181</v>
      </c>
      <c r="BR142" s="48">
        <f>$G142/5280*VLOOKUP($AC142,'Cost and Score'!$B$27:$O$40,13,0)</f>
        <v>120.68181818181817</v>
      </c>
      <c r="BS142" s="48">
        <f>$G142/5280*VLOOKUP($AC142,'Cost and Score'!$B$27:$O$40,14,0)</f>
        <v>0</v>
      </c>
      <c r="BT142" s="220">
        <f t="shared" si="89"/>
        <v>1.0056818181818181</v>
      </c>
    </row>
    <row r="143" spans="1:103" s="112" customFormat="1" hidden="1" x14ac:dyDescent="0.25">
      <c r="A143" s="15" t="s">
        <v>365</v>
      </c>
      <c r="B143" s="108" t="s">
        <v>364</v>
      </c>
      <c r="C143" s="106" t="s">
        <v>364</v>
      </c>
      <c r="D143" s="106"/>
      <c r="E143" s="106" t="s">
        <v>138</v>
      </c>
      <c r="F143" s="106" t="s">
        <v>135</v>
      </c>
      <c r="G143" s="109">
        <v>5340</v>
      </c>
      <c r="H143" s="109">
        <f t="shared" si="74"/>
        <v>20</v>
      </c>
      <c r="I143" s="106" t="s">
        <v>8</v>
      </c>
      <c r="J143" s="106" t="s">
        <v>160</v>
      </c>
      <c r="K143" s="106">
        <f t="shared" si="95"/>
        <v>0</v>
      </c>
      <c r="L143" s="110">
        <v>7</v>
      </c>
      <c r="M143" s="110">
        <v>7</v>
      </c>
      <c r="N143" s="110">
        <v>8</v>
      </c>
      <c r="O143" s="110">
        <v>8</v>
      </c>
      <c r="P143" s="110">
        <v>7</v>
      </c>
      <c r="Q143" s="110">
        <v>7</v>
      </c>
      <c r="R143" s="110">
        <v>7</v>
      </c>
      <c r="S143" s="110">
        <v>7</v>
      </c>
      <c r="T143" s="110">
        <v>7</v>
      </c>
      <c r="U143" s="110">
        <v>7</v>
      </c>
      <c r="V143" s="110">
        <v>2024</v>
      </c>
      <c r="W143" s="110"/>
      <c r="X143" s="110" t="s">
        <v>2619</v>
      </c>
      <c r="Y143" s="106">
        <v>1768</v>
      </c>
      <c r="Z143" s="106">
        <f t="shared" si="75"/>
        <v>1</v>
      </c>
      <c r="AA143" s="106" t="s">
        <v>99</v>
      </c>
      <c r="AB143" s="111">
        <f t="shared" si="80"/>
        <v>4</v>
      </c>
      <c r="AC143" s="106" t="s">
        <v>13</v>
      </c>
      <c r="AD143" s="107">
        <f t="shared" si="76"/>
        <v>21238.636363636364</v>
      </c>
      <c r="AE143" s="198"/>
      <c r="AF143" s="113">
        <f t="shared" si="90"/>
        <v>0</v>
      </c>
      <c r="AG143" s="26">
        <v>2026</v>
      </c>
      <c r="AH143" s="26" t="str">
        <f t="shared" si="69"/>
        <v/>
      </c>
      <c r="AI143" s="26" t="str">
        <f t="shared" si="92"/>
        <v/>
      </c>
      <c r="AJ143" s="26" t="str">
        <f t="shared" si="92"/>
        <v/>
      </c>
      <c r="AK143" s="26" t="str">
        <f t="shared" si="72"/>
        <v/>
      </c>
      <c r="AL143" s="26" t="str">
        <f t="shared" si="93"/>
        <v>Chip Seal and Fog</v>
      </c>
      <c r="AM143" s="26" t="str">
        <f t="shared" si="91"/>
        <v/>
      </c>
      <c r="AN143" s="26" t="str">
        <f t="shared" si="81"/>
        <v>Chip Seal and Fog</v>
      </c>
      <c r="AO143" s="26" t="str">
        <f t="shared" si="94"/>
        <v/>
      </c>
      <c r="AP143" s="26" t="str">
        <f t="shared" si="82"/>
        <v>Overlay - 2"</v>
      </c>
      <c r="AQ143" s="68">
        <f t="shared" si="77"/>
        <v>12</v>
      </c>
      <c r="AR143" s="68">
        <f t="shared" si="78"/>
        <v>6</v>
      </c>
      <c r="AS143" s="68">
        <f t="shared" si="83"/>
        <v>1.05</v>
      </c>
      <c r="AT143" s="68">
        <f t="shared" si="84"/>
        <v>1.05</v>
      </c>
      <c r="AU143" s="68">
        <f t="shared" si="85"/>
        <v>1</v>
      </c>
      <c r="AV143" s="68">
        <f t="shared" si="86"/>
        <v>1</v>
      </c>
      <c r="AW143" s="68">
        <f t="shared" si="87"/>
        <v>1.05</v>
      </c>
      <c r="AX143" s="68">
        <f t="shared" ca="1" si="79"/>
        <v>2</v>
      </c>
      <c r="AY143" s="106">
        <v>2022</v>
      </c>
      <c r="AZ143" s="106" t="s">
        <v>751</v>
      </c>
      <c r="BA143" s="106" t="str">
        <f t="shared" si="88"/>
        <v/>
      </c>
      <c r="BB143" s="177"/>
      <c r="BC143" s="177">
        <v>8</v>
      </c>
      <c r="BD143" s="177"/>
      <c r="BE143" s="177"/>
      <c r="BF143" s="177"/>
      <c r="BG143" s="177"/>
      <c r="BH143" s="177"/>
      <c r="BI143" s="33"/>
      <c r="BJ143" s="2"/>
      <c r="BK143" s="48">
        <f>$G143/5280*VLOOKUP($AC143,'Cost and Score'!$B$27:$O$40,6,0)</f>
        <v>0.2022727272727273</v>
      </c>
      <c r="BL143" s="48">
        <f>$G143/5280*VLOOKUP($AC143,'Cost and Score'!$B$27:$O$40,7,0)</f>
        <v>22.250000000000004</v>
      </c>
      <c r="BM143" s="48">
        <f>$G143/5280*VLOOKUP($AC143,'Cost and Score'!$B$27:$O$40,8,0)</f>
        <v>0</v>
      </c>
      <c r="BN143" s="48">
        <f>$G143/5280*VLOOKUP($AC143,'Cost and Score'!$B$27:$O$40,9,0)</f>
        <v>4551.136363636364</v>
      </c>
      <c r="BO143" s="48">
        <f>$G143/5280*VLOOKUP($AC143,'Cost and Score'!$B$27:$O$40,10,0)</f>
        <v>1011.3636363636365</v>
      </c>
      <c r="BP143" s="48">
        <f>$G143/5280*VLOOKUP($AC143,'Cost and Score'!$B$27:$O$40,11,0)</f>
        <v>0</v>
      </c>
      <c r="BQ143" s="48">
        <f>$G143/5280*VLOOKUP($AC143,'Cost and Score'!$B$27:$O$40,12,0)</f>
        <v>101.13636363636364</v>
      </c>
      <c r="BR143" s="48">
        <f>$G143/5280*VLOOKUP($AC143,'Cost and Score'!$B$27:$O$40,13,0)</f>
        <v>121.36363636363637</v>
      </c>
      <c r="BS143" s="48">
        <f>$G143/5280*VLOOKUP($AC143,'Cost and Score'!$B$27:$O$40,14,0)</f>
        <v>0</v>
      </c>
      <c r="BT143" s="220">
        <f t="shared" si="89"/>
        <v>1.0113636363636365</v>
      </c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</row>
    <row r="144" spans="1:103" s="2" customFormat="1" ht="14.45" hidden="1" customHeight="1" x14ac:dyDescent="0.25">
      <c r="A144" s="15" t="s">
        <v>367</v>
      </c>
      <c r="B144" s="34" t="s">
        <v>366</v>
      </c>
      <c r="C144" s="26" t="s">
        <v>366</v>
      </c>
      <c r="D144" s="26"/>
      <c r="E144" s="26" t="s">
        <v>73</v>
      </c>
      <c r="F144" s="26" t="s">
        <v>79</v>
      </c>
      <c r="G144" s="29">
        <v>3660</v>
      </c>
      <c r="H144" s="29">
        <f t="shared" si="74"/>
        <v>20</v>
      </c>
      <c r="I144" s="26" t="s">
        <v>13</v>
      </c>
      <c r="J144" s="26" t="s">
        <v>172</v>
      </c>
      <c r="K144" s="26">
        <f t="shared" si="95"/>
        <v>0</v>
      </c>
      <c r="L144" s="42">
        <v>6</v>
      </c>
      <c r="M144" s="42">
        <v>8</v>
      </c>
      <c r="N144" s="42">
        <v>8</v>
      </c>
      <c r="O144" s="42">
        <v>9</v>
      </c>
      <c r="P144" s="42">
        <v>8</v>
      </c>
      <c r="Q144" s="42">
        <v>7</v>
      </c>
      <c r="R144" s="42">
        <v>7</v>
      </c>
      <c r="S144" s="42">
        <v>7</v>
      </c>
      <c r="T144" s="42">
        <v>7</v>
      </c>
      <c r="U144" s="42">
        <v>7</v>
      </c>
      <c r="V144" s="42"/>
      <c r="W144" s="42"/>
      <c r="X144" s="42"/>
      <c r="Y144" s="26">
        <v>50</v>
      </c>
      <c r="Z144" s="26">
        <f t="shared" si="75"/>
        <v>0</v>
      </c>
      <c r="AA144" s="26" t="s">
        <v>99</v>
      </c>
      <c r="AB144" s="111">
        <f t="shared" si="80"/>
        <v>2</v>
      </c>
      <c r="AC144" s="26" t="s">
        <v>13</v>
      </c>
      <c r="AD144" s="47">
        <f t="shared" si="76"/>
        <v>14556.818181818182</v>
      </c>
      <c r="AE144" s="140"/>
      <c r="AF144" s="113">
        <f t="shared" si="90"/>
        <v>0</v>
      </c>
      <c r="AG144" s="26">
        <v>2024</v>
      </c>
      <c r="AH144" s="26" t="str">
        <f t="shared" si="69"/>
        <v/>
      </c>
      <c r="AI144" s="26" t="str">
        <f t="shared" si="92"/>
        <v/>
      </c>
      <c r="AJ144" s="26" t="str">
        <f t="shared" si="92"/>
        <v>Chip Seal and Fog</v>
      </c>
      <c r="AK144" s="26" t="str">
        <f t="shared" si="72"/>
        <v/>
      </c>
      <c r="AL144" s="26" t="str">
        <f t="shared" si="93"/>
        <v/>
      </c>
      <c r="AM144" s="26" t="str">
        <f t="shared" si="91"/>
        <v/>
      </c>
      <c r="AN144" s="26" t="str">
        <f t="shared" si="81"/>
        <v>Chip Seal and Fog</v>
      </c>
      <c r="AO144" s="26" t="str">
        <f t="shared" si="94"/>
        <v/>
      </c>
      <c r="AP144" s="26" t="str">
        <f t="shared" si="82"/>
        <v/>
      </c>
      <c r="AQ144" s="68">
        <f t="shared" si="77"/>
        <v>14</v>
      </c>
      <c r="AR144" s="68">
        <f t="shared" si="78"/>
        <v>6</v>
      </c>
      <c r="AS144" s="68">
        <f t="shared" si="83"/>
        <v>1.1000000000000001</v>
      </c>
      <c r="AT144" s="68">
        <f t="shared" si="84"/>
        <v>1</v>
      </c>
      <c r="AU144" s="68">
        <f t="shared" si="85"/>
        <v>1</v>
      </c>
      <c r="AV144" s="68">
        <f t="shared" si="86"/>
        <v>1</v>
      </c>
      <c r="AW144" s="68">
        <f t="shared" si="87"/>
        <v>1</v>
      </c>
      <c r="AX144" s="68">
        <f t="shared" ca="1" si="79"/>
        <v>0</v>
      </c>
      <c r="AY144" s="106">
        <v>2016</v>
      </c>
      <c r="AZ144" s="106" t="s">
        <v>751</v>
      </c>
      <c r="BA144" s="106" t="str">
        <f t="shared" si="88"/>
        <v/>
      </c>
      <c r="BB144" s="177"/>
      <c r="BC144" s="177">
        <v>7</v>
      </c>
      <c r="BD144" s="177"/>
      <c r="BE144" s="177"/>
      <c r="BF144" s="177"/>
      <c r="BG144" s="177"/>
      <c r="BH144" s="177"/>
      <c r="BI144" s="33"/>
      <c r="BK144" s="48">
        <f>$G144/5280*VLOOKUP($AC144,'Cost and Score'!$B$27:$O$40,6,0)</f>
        <v>0.13863636363636364</v>
      </c>
      <c r="BL144" s="48">
        <f>$G144/5280*VLOOKUP($AC144,'Cost and Score'!$B$27:$O$40,7,0)</f>
        <v>15.250000000000002</v>
      </c>
      <c r="BM144" s="48">
        <f>$G144/5280*VLOOKUP($AC144,'Cost and Score'!$B$27:$O$40,8,0)</f>
        <v>0</v>
      </c>
      <c r="BN144" s="48">
        <f>$G144/5280*VLOOKUP($AC144,'Cost and Score'!$B$27:$O$40,9,0)</f>
        <v>3119.318181818182</v>
      </c>
      <c r="BO144" s="48">
        <f>$G144/5280*VLOOKUP($AC144,'Cost and Score'!$B$27:$O$40,10,0)</f>
        <v>693.18181818181824</v>
      </c>
      <c r="BP144" s="48">
        <f>$G144/5280*VLOOKUP($AC144,'Cost and Score'!$B$27:$O$40,11,0)</f>
        <v>0</v>
      </c>
      <c r="BQ144" s="48">
        <f>$G144/5280*VLOOKUP($AC144,'Cost and Score'!$B$27:$O$40,12,0)</f>
        <v>69.318181818181827</v>
      </c>
      <c r="BR144" s="48">
        <f>$G144/5280*VLOOKUP($AC144,'Cost and Score'!$B$27:$O$40,13,0)</f>
        <v>83.181818181818187</v>
      </c>
      <c r="BS144" s="48">
        <f>$G144/5280*VLOOKUP($AC144,'Cost and Score'!$B$27:$O$40,14,0)</f>
        <v>0</v>
      </c>
      <c r="BT144" s="220">
        <f t="shared" si="89"/>
        <v>0.69318181818181823</v>
      </c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</row>
    <row r="145" spans="1:103" s="2" customFormat="1" ht="14.45" hidden="1" customHeight="1" x14ac:dyDescent="0.25">
      <c r="A145" s="15" t="s">
        <v>369</v>
      </c>
      <c r="B145" s="34" t="s">
        <v>368</v>
      </c>
      <c r="C145" s="26" t="s">
        <v>368</v>
      </c>
      <c r="D145" s="26"/>
      <c r="E145" s="26" t="s">
        <v>79</v>
      </c>
      <c r="F145" s="26" t="s">
        <v>140</v>
      </c>
      <c r="G145" s="29">
        <v>1320</v>
      </c>
      <c r="H145" s="29">
        <f t="shared" si="74"/>
        <v>20</v>
      </c>
      <c r="I145" s="26" t="s">
        <v>13</v>
      </c>
      <c r="J145" s="26" t="s">
        <v>172</v>
      </c>
      <c r="K145" s="26">
        <f t="shared" si="95"/>
        <v>0</v>
      </c>
      <c r="L145" s="42">
        <v>7</v>
      </c>
      <c r="M145" s="42">
        <v>6</v>
      </c>
      <c r="N145" s="42">
        <v>6</v>
      </c>
      <c r="O145" s="42">
        <v>9</v>
      </c>
      <c r="P145" s="42">
        <v>8</v>
      </c>
      <c r="Q145" s="42">
        <v>8</v>
      </c>
      <c r="R145" s="42">
        <v>7</v>
      </c>
      <c r="S145" s="42">
        <v>7</v>
      </c>
      <c r="T145" s="42">
        <v>7</v>
      </c>
      <c r="U145" s="42">
        <v>7</v>
      </c>
      <c r="V145" s="42"/>
      <c r="W145" s="42"/>
      <c r="X145" s="42"/>
      <c r="Y145" s="26">
        <v>50</v>
      </c>
      <c r="Z145" s="26">
        <f t="shared" si="75"/>
        <v>0</v>
      </c>
      <c r="AA145" s="26" t="s">
        <v>99</v>
      </c>
      <c r="AB145" s="111">
        <f t="shared" si="80"/>
        <v>2</v>
      </c>
      <c r="AC145" s="26" t="s">
        <v>13</v>
      </c>
      <c r="AD145" s="47">
        <f t="shared" si="76"/>
        <v>5250</v>
      </c>
      <c r="AE145" s="140"/>
      <c r="AF145" s="113">
        <f t="shared" si="90"/>
        <v>0</v>
      </c>
      <c r="AG145" s="26">
        <v>2022</v>
      </c>
      <c r="AH145" s="26" t="str">
        <f t="shared" si="69"/>
        <v>Chip Seal and Fog</v>
      </c>
      <c r="AI145" s="26" t="str">
        <f t="shared" si="92"/>
        <v/>
      </c>
      <c r="AJ145" s="26" t="str">
        <f t="shared" si="92"/>
        <v/>
      </c>
      <c r="AK145" s="26" t="str">
        <f t="shared" si="72"/>
        <v/>
      </c>
      <c r="AL145" s="26" t="str">
        <f t="shared" si="93"/>
        <v/>
      </c>
      <c r="AM145" s="26" t="str">
        <f t="shared" si="91"/>
        <v/>
      </c>
      <c r="AN145" s="26" t="str">
        <f t="shared" si="81"/>
        <v>Chip Seal and Fog</v>
      </c>
      <c r="AO145" s="26" t="str">
        <f t="shared" si="94"/>
        <v/>
      </c>
      <c r="AP145" s="26" t="str">
        <f t="shared" si="82"/>
        <v/>
      </c>
      <c r="AQ145" s="68">
        <f t="shared" si="77"/>
        <v>14</v>
      </c>
      <c r="AR145" s="68">
        <f t="shared" si="78"/>
        <v>6</v>
      </c>
      <c r="AS145" s="68">
        <f t="shared" si="83"/>
        <v>1.05</v>
      </c>
      <c r="AT145" s="68">
        <f t="shared" si="84"/>
        <v>1.1000000000000001</v>
      </c>
      <c r="AU145" s="68">
        <f t="shared" si="85"/>
        <v>1.1000000000000001</v>
      </c>
      <c r="AV145" s="68">
        <f t="shared" si="86"/>
        <v>1</v>
      </c>
      <c r="AW145" s="68">
        <f t="shared" si="87"/>
        <v>1</v>
      </c>
      <c r="AX145" s="68">
        <f t="shared" ca="1" si="79"/>
        <v>-2.2000000000000002</v>
      </c>
      <c r="AY145" s="106">
        <v>2016</v>
      </c>
      <c r="AZ145" s="106" t="s">
        <v>2075</v>
      </c>
      <c r="BA145" s="106" t="str">
        <f t="shared" si="88"/>
        <v/>
      </c>
      <c r="BB145" s="177"/>
      <c r="BC145" s="177">
        <v>7</v>
      </c>
      <c r="BD145" s="177"/>
      <c r="BE145" s="177"/>
      <c r="BF145" s="177"/>
      <c r="BG145" s="177"/>
      <c r="BH145" s="177"/>
      <c r="BI145" s="33"/>
      <c r="BK145" s="48">
        <f>$G145/5280*VLOOKUP($AC145,'Cost and Score'!$B$27:$O$40,6,0)</f>
        <v>0.05</v>
      </c>
      <c r="BL145" s="48">
        <f>$G145/5280*VLOOKUP($AC145,'Cost and Score'!$B$27:$O$40,7,0)</f>
        <v>5.5</v>
      </c>
      <c r="BM145" s="48">
        <f>$G145/5280*VLOOKUP($AC145,'Cost and Score'!$B$27:$O$40,8,0)</f>
        <v>0</v>
      </c>
      <c r="BN145" s="48">
        <f>$G145/5280*VLOOKUP($AC145,'Cost and Score'!$B$27:$O$40,9,0)</f>
        <v>1125</v>
      </c>
      <c r="BO145" s="48">
        <f>$G145/5280*VLOOKUP($AC145,'Cost and Score'!$B$27:$O$40,10,0)</f>
        <v>250</v>
      </c>
      <c r="BP145" s="48">
        <f>$G145/5280*VLOOKUP($AC145,'Cost and Score'!$B$27:$O$40,11,0)</f>
        <v>0</v>
      </c>
      <c r="BQ145" s="48">
        <f>$G145/5280*VLOOKUP($AC145,'Cost and Score'!$B$27:$O$40,12,0)</f>
        <v>25</v>
      </c>
      <c r="BR145" s="48">
        <f>$G145/5280*VLOOKUP($AC145,'Cost and Score'!$B$27:$O$40,13,0)</f>
        <v>30</v>
      </c>
      <c r="BS145" s="48">
        <f>$G145/5280*VLOOKUP($AC145,'Cost and Score'!$B$27:$O$40,14,0)</f>
        <v>0</v>
      </c>
      <c r="BT145" s="220">
        <f t="shared" si="89"/>
        <v>0.25</v>
      </c>
      <c r="CF145" s="112"/>
    </row>
    <row r="146" spans="1:103" s="2" customFormat="1" ht="14.25" customHeight="1" x14ac:dyDescent="0.25">
      <c r="A146" s="38" t="s">
        <v>2171</v>
      </c>
      <c r="B146" s="34" t="s">
        <v>1055</v>
      </c>
      <c r="C146" s="26" t="s">
        <v>1055</v>
      </c>
      <c r="D146" s="82"/>
      <c r="E146" s="82" t="s">
        <v>117</v>
      </c>
      <c r="F146" s="82" t="s">
        <v>116</v>
      </c>
      <c r="G146" s="29">
        <v>2983</v>
      </c>
      <c r="H146" s="29">
        <f t="shared" si="74"/>
        <v>20</v>
      </c>
      <c r="I146" s="26" t="s">
        <v>8</v>
      </c>
      <c r="J146" s="26" t="s">
        <v>6</v>
      </c>
      <c r="K146" s="26">
        <f t="shared" si="95"/>
        <v>0</v>
      </c>
      <c r="L146" s="42">
        <v>7</v>
      </c>
      <c r="M146" s="42">
        <v>7</v>
      </c>
      <c r="N146" s="42">
        <v>7</v>
      </c>
      <c r="O146" s="83">
        <v>6</v>
      </c>
      <c r="P146" s="83">
        <v>6</v>
      </c>
      <c r="Q146" s="83">
        <v>5</v>
      </c>
      <c r="R146" s="83">
        <v>9</v>
      </c>
      <c r="S146" s="83">
        <v>8</v>
      </c>
      <c r="T146" s="83">
        <v>7</v>
      </c>
      <c r="U146" s="83">
        <v>7</v>
      </c>
      <c r="V146" s="42"/>
      <c r="W146" s="42">
        <v>2020</v>
      </c>
      <c r="X146" s="42" t="s">
        <v>2612</v>
      </c>
      <c r="Y146" s="26">
        <v>913</v>
      </c>
      <c r="Z146" s="26">
        <f t="shared" si="75"/>
        <v>0.5</v>
      </c>
      <c r="AA146" s="82" t="s">
        <v>210</v>
      </c>
      <c r="AB146" s="111">
        <f t="shared" si="80"/>
        <v>4.5</v>
      </c>
      <c r="AC146" s="85" t="s">
        <v>13</v>
      </c>
      <c r="AD146" s="84">
        <f t="shared" si="76"/>
        <v>11864.204545454546</v>
      </c>
      <c r="AE146" s="140"/>
      <c r="AF146" s="113">
        <f t="shared" si="90"/>
        <v>0</v>
      </c>
      <c r="AG146" s="106">
        <v>2025</v>
      </c>
      <c r="AH146" s="26" t="str">
        <f t="shared" si="69"/>
        <v/>
      </c>
      <c r="AI146" s="26" t="str">
        <f t="shared" si="92"/>
        <v/>
      </c>
      <c r="AJ146" s="26" t="str">
        <f t="shared" si="92"/>
        <v/>
      </c>
      <c r="AK146" s="26" t="str">
        <f t="shared" si="72"/>
        <v>Chip Seal and Fog</v>
      </c>
      <c r="AL146" s="26" t="str">
        <f t="shared" si="93"/>
        <v/>
      </c>
      <c r="AM146" s="26" t="str">
        <f t="shared" si="91"/>
        <v/>
      </c>
      <c r="AN146" s="26" t="str">
        <f t="shared" si="81"/>
        <v>Chip Seal and Fog</v>
      </c>
      <c r="AO146" s="26" t="str">
        <f t="shared" si="94"/>
        <v/>
      </c>
      <c r="AP146" s="26" t="str">
        <f t="shared" si="82"/>
        <v/>
      </c>
      <c r="AQ146" s="68">
        <f t="shared" si="77"/>
        <v>8</v>
      </c>
      <c r="AR146" s="68">
        <f t="shared" si="78"/>
        <v>6</v>
      </c>
      <c r="AS146" s="68">
        <f t="shared" si="83"/>
        <v>1.05</v>
      </c>
      <c r="AT146" s="68">
        <f t="shared" si="84"/>
        <v>1.05</v>
      </c>
      <c r="AU146" s="68">
        <f t="shared" si="85"/>
        <v>1.05</v>
      </c>
      <c r="AV146" s="68">
        <f t="shared" si="86"/>
        <v>1.1000000000000001</v>
      </c>
      <c r="AW146" s="68">
        <f t="shared" si="87"/>
        <v>1.1000000000000001</v>
      </c>
      <c r="AX146" s="68">
        <f t="shared" ca="1" si="79"/>
        <v>1.05</v>
      </c>
      <c r="AY146" s="68">
        <v>2019</v>
      </c>
      <c r="AZ146" s="68" t="s">
        <v>751</v>
      </c>
      <c r="BA146" s="106" t="str">
        <f t="shared" si="88"/>
        <v/>
      </c>
      <c r="BB146" s="178"/>
      <c r="BC146" s="178">
        <v>8</v>
      </c>
      <c r="BD146" s="178"/>
      <c r="BE146" s="178"/>
      <c r="BF146" s="178"/>
      <c r="BG146" s="178"/>
      <c r="BH146" s="178"/>
      <c r="BI146" s="33" t="s">
        <v>2473</v>
      </c>
      <c r="BK146" s="48">
        <f>$G146/5280*VLOOKUP($AC146,'Cost and Score'!$B$27:$O$40,6,0)</f>
        <v>0.11299242424242424</v>
      </c>
      <c r="BL146" s="48">
        <f>$G146/5280*VLOOKUP($AC146,'Cost and Score'!$B$27:$O$40,7,0)</f>
        <v>12.429166666666667</v>
      </c>
      <c r="BM146" s="48">
        <f>$G146/5280*VLOOKUP($AC146,'Cost and Score'!$B$27:$O$40,8,0)</f>
        <v>0</v>
      </c>
      <c r="BN146" s="48">
        <f>$G146/5280*VLOOKUP($AC146,'Cost and Score'!$B$27:$O$40,9,0)</f>
        <v>2542.3295454545455</v>
      </c>
      <c r="BO146" s="48">
        <f>$G146/5280*VLOOKUP($AC146,'Cost and Score'!$B$27:$O$40,10,0)</f>
        <v>564.96212121212125</v>
      </c>
      <c r="BP146" s="48">
        <f>$G146/5280*VLOOKUP($AC146,'Cost and Score'!$B$27:$O$40,11,0)</f>
        <v>0</v>
      </c>
      <c r="BQ146" s="48">
        <f>$G146/5280*VLOOKUP($AC146,'Cost and Score'!$B$27:$O$40,12,0)</f>
        <v>56.496212121212118</v>
      </c>
      <c r="BR146" s="48">
        <f>$G146/5280*VLOOKUP($AC146,'Cost and Score'!$B$27:$O$40,13,0)</f>
        <v>67.795454545454547</v>
      </c>
      <c r="BS146" s="48">
        <f>$G146/5280*VLOOKUP($AC146,'Cost and Score'!$B$27:$O$40,14,0)</f>
        <v>0</v>
      </c>
      <c r="BT146" s="220">
        <f t="shared" si="89"/>
        <v>0.56496212121212119</v>
      </c>
      <c r="CG146" s="112"/>
      <c r="CH146" s="112"/>
      <c r="CI146" s="112"/>
      <c r="CJ146" s="112"/>
      <c r="CK146" s="112"/>
      <c r="CL146" s="112"/>
      <c r="CM146" s="112"/>
      <c r="CS146" s="112"/>
      <c r="CT146" s="112"/>
      <c r="CU146" s="112"/>
    </row>
    <row r="147" spans="1:103" s="2" customFormat="1" ht="14.45" hidden="1" customHeight="1" x14ac:dyDescent="0.25">
      <c r="A147" s="15" t="s">
        <v>373</v>
      </c>
      <c r="B147" s="34" t="s">
        <v>372</v>
      </c>
      <c r="C147" s="26" t="s">
        <v>372</v>
      </c>
      <c r="D147" s="26"/>
      <c r="E147" s="26" t="s">
        <v>140</v>
      </c>
      <c r="F147" s="26" t="s">
        <v>179</v>
      </c>
      <c r="G147" s="29">
        <v>2750</v>
      </c>
      <c r="H147" s="29">
        <f t="shared" si="74"/>
        <v>20</v>
      </c>
      <c r="I147" s="106" t="s">
        <v>13</v>
      </c>
      <c r="J147" s="26" t="s">
        <v>172</v>
      </c>
      <c r="K147" s="26">
        <f t="shared" si="95"/>
        <v>0</v>
      </c>
      <c r="L147" s="42">
        <v>5</v>
      </c>
      <c r="M147" s="42">
        <v>5</v>
      </c>
      <c r="N147" s="42">
        <v>5</v>
      </c>
      <c r="O147" s="42">
        <v>9</v>
      </c>
      <c r="P147" s="42">
        <v>8</v>
      </c>
      <c r="Q147" s="42">
        <v>8</v>
      </c>
      <c r="R147" s="42">
        <v>7</v>
      </c>
      <c r="S147" s="42">
        <v>6</v>
      </c>
      <c r="T147" s="42">
        <v>6</v>
      </c>
      <c r="U147" s="42">
        <v>8</v>
      </c>
      <c r="V147" s="42"/>
      <c r="W147" s="42"/>
      <c r="X147" s="42"/>
      <c r="Y147" s="26">
        <v>50</v>
      </c>
      <c r="Z147" s="26">
        <f t="shared" si="75"/>
        <v>0</v>
      </c>
      <c r="AA147" s="26" t="s">
        <v>99</v>
      </c>
      <c r="AB147" s="111">
        <f t="shared" si="80"/>
        <v>2</v>
      </c>
      <c r="AC147" s="26" t="s">
        <v>13</v>
      </c>
      <c r="AD147" s="47">
        <f t="shared" si="76"/>
        <v>10937.5</v>
      </c>
      <c r="AE147" s="140"/>
      <c r="AF147" s="113">
        <f t="shared" si="90"/>
        <v>0</v>
      </c>
      <c r="AG147" s="26">
        <v>2022</v>
      </c>
      <c r="AH147" s="26" t="str">
        <f t="shared" si="69"/>
        <v>Chip Seal and Fog</v>
      </c>
      <c r="AI147" s="26" t="str">
        <f t="shared" si="92"/>
        <v/>
      </c>
      <c r="AJ147" s="26" t="str">
        <f t="shared" si="92"/>
        <v/>
      </c>
      <c r="AK147" s="26" t="str">
        <f t="shared" si="72"/>
        <v/>
      </c>
      <c r="AL147" s="26" t="str">
        <f t="shared" si="93"/>
        <v/>
      </c>
      <c r="AM147" s="26" t="str">
        <f t="shared" si="91"/>
        <v/>
      </c>
      <c r="AN147" s="26" t="str">
        <f t="shared" si="81"/>
        <v>Chip Seal and Fog</v>
      </c>
      <c r="AO147" s="26" t="str">
        <f t="shared" si="94"/>
        <v/>
      </c>
      <c r="AP147" s="26" t="str">
        <f t="shared" si="82"/>
        <v/>
      </c>
      <c r="AQ147" s="68">
        <f t="shared" si="77"/>
        <v>14</v>
      </c>
      <c r="AR147" s="68">
        <f t="shared" si="78"/>
        <v>6</v>
      </c>
      <c r="AS147" s="68">
        <f t="shared" si="83"/>
        <v>1.25</v>
      </c>
      <c r="AT147" s="68">
        <f t="shared" si="84"/>
        <v>1.25</v>
      </c>
      <c r="AU147" s="68">
        <f t="shared" si="85"/>
        <v>1.25</v>
      </c>
      <c r="AV147" s="68">
        <f t="shared" si="86"/>
        <v>1</v>
      </c>
      <c r="AW147" s="68">
        <f t="shared" si="87"/>
        <v>1</v>
      </c>
      <c r="AX147" s="68">
        <f t="shared" ca="1" si="79"/>
        <v>-2.5</v>
      </c>
      <c r="AY147" s="106">
        <v>2016</v>
      </c>
      <c r="AZ147" s="106" t="s">
        <v>2073</v>
      </c>
      <c r="BA147" s="106" t="str">
        <f t="shared" si="88"/>
        <v/>
      </c>
      <c r="BB147" s="177"/>
      <c r="BC147" s="177">
        <v>7</v>
      </c>
      <c r="BD147" s="177"/>
      <c r="BE147" s="177"/>
      <c r="BF147" s="177"/>
      <c r="BG147" s="177"/>
      <c r="BH147" s="177"/>
      <c r="BI147" s="33"/>
      <c r="BK147" s="48">
        <f>$G147/5280*VLOOKUP($AC147,'Cost and Score'!$B$27:$O$40,6,0)</f>
        <v>0.10416666666666669</v>
      </c>
      <c r="BL147" s="48">
        <f>$G147/5280*VLOOKUP($AC147,'Cost and Score'!$B$27:$O$40,7,0)</f>
        <v>11.458333333333334</v>
      </c>
      <c r="BM147" s="48">
        <f>$G147/5280*VLOOKUP($AC147,'Cost and Score'!$B$27:$O$40,8,0)</f>
        <v>0</v>
      </c>
      <c r="BN147" s="48">
        <f>$G147/5280*VLOOKUP($AC147,'Cost and Score'!$B$27:$O$40,9,0)</f>
        <v>2343.75</v>
      </c>
      <c r="BO147" s="48">
        <f>$G147/5280*VLOOKUP($AC147,'Cost and Score'!$B$27:$O$40,10,0)</f>
        <v>520.83333333333337</v>
      </c>
      <c r="BP147" s="48">
        <f>$G147/5280*VLOOKUP($AC147,'Cost and Score'!$B$27:$O$40,11,0)</f>
        <v>0</v>
      </c>
      <c r="BQ147" s="48">
        <f>$G147/5280*VLOOKUP($AC147,'Cost and Score'!$B$27:$O$40,12,0)</f>
        <v>52.083333333333336</v>
      </c>
      <c r="BR147" s="48">
        <f>$G147/5280*VLOOKUP($AC147,'Cost and Score'!$B$27:$O$40,13,0)</f>
        <v>62.500000000000007</v>
      </c>
      <c r="BS147" s="48">
        <f>$G147/5280*VLOOKUP($AC147,'Cost and Score'!$B$27:$O$40,14,0)</f>
        <v>0</v>
      </c>
      <c r="BT147" s="220">
        <f t="shared" si="89"/>
        <v>0.52083333333333337</v>
      </c>
    </row>
    <row r="148" spans="1:103" s="2" customFormat="1" ht="14.45" hidden="1" customHeight="1" x14ac:dyDescent="0.25">
      <c r="A148" s="15" t="s">
        <v>375</v>
      </c>
      <c r="B148" s="34" t="s">
        <v>374</v>
      </c>
      <c r="C148" s="26" t="s">
        <v>374</v>
      </c>
      <c r="D148" s="26"/>
      <c r="E148" s="26" t="s">
        <v>179</v>
      </c>
      <c r="F148" s="26" t="s">
        <v>147</v>
      </c>
      <c r="G148" s="29">
        <v>2740</v>
      </c>
      <c r="H148" s="29">
        <f t="shared" si="74"/>
        <v>20</v>
      </c>
      <c r="I148" s="26" t="s">
        <v>13</v>
      </c>
      <c r="J148" s="26" t="s">
        <v>172</v>
      </c>
      <c r="K148" s="26">
        <f t="shared" si="95"/>
        <v>0</v>
      </c>
      <c r="L148" s="42">
        <v>4</v>
      </c>
      <c r="M148" s="42">
        <v>5</v>
      </c>
      <c r="N148" s="42">
        <v>10</v>
      </c>
      <c r="O148" s="42">
        <v>9</v>
      </c>
      <c r="P148" s="42">
        <v>8</v>
      </c>
      <c r="Q148" s="42">
        <v>8</v>
      </c>
      <c r="R148" s="42">
        <v>8</v>
      </c>
      <c r="S148" s="42">
        <v>8</v>
      </c>
      <c r="T148" s="42">
        <v>7</v>
      </c>
      <c r="U148" s="42">
        <v>7</v>
      </c>
      <c r="V148" s="42"/>
      <c r="W148" s="42"/>
      <c r="X148" s="42"/>
      <c r="Y148" s="26">
        <v>50</v>
      </c>
      <c r="Z148" s="26">
        <f t="shared" si="75"/>
        <v>0</v>
      </c>
      <c r="AA148" s="26" t="s">
        <v>99</v>
      </c>
      <c r="AB148" s="111">
        <f t="shared" si="80"/>
        <v>2</v>
      </c>
      <c r="AC148" s="26" t="s">
        <v>13</v>
      </c>
      <c r="AD148" s="47">
        <f t="shared" si="76"/>
        <v>10897.727272727272</v>
      </c>
      <c r="AE148" s="140"/>
      <c r="AF148" s="113">
        <f t="shared" si="90"/>
        <v>0</v>
      </c>
      <c r="AG148" s="26">
        <v>2024</v>
      </c>
      <c r="AH148" s="26" t="str">
        <f t="shared" si="69"/>
        <v/>
      </c>
      <c r="AI148" s="26" t="str">
        <f t="shared" si="92"/>
        <v/>
      </c>
      <c r="AJ148" s="26" t="str">
        <f t="shared" si="92"/>
        <v>Chip Seal and Fog</v>
      </c>
      <c r="AK148" s="26" t="str">
        <f t="shared" si="72"/>
        <v/>
      </c>
      <c r="AL148" s="26" t="str">
        <f t="shared" si="93"/>
        <v/>
      </c>
      <c r="AM148" s="26" t="str">
        <f t="shared" si="91"/>
        <v/>
      </c>
      <c r="AN148" s="26" t="str">
        <f t="shared" si="81"/>
        <v>Chip Seal and Fog</v>
      </c>
      <c r="AO148" s="26" t="str">
        <f t="shared" si="94"/>
        <v/>
      </c>
      <c r="AP148" s="26" t="str">
        <f t="shared" si="82"/>
        <v/>
      </c>
      <c r="AQ148" s="68">
        <f t="shared" si="77"/>
        <v>14</v>
      </c>
      <c r="AR148" s="68">
        <f t="shared" si="78"/>
        <v>6</v>
      </c>
      <c r="AS148" s="68">
        <f t="shared" si="83"/>
        <v>1.5</v>
      </c>
      <c r="AT148" s="68">
        <f t="shared" si="84"/>
        <v>1.25</v>
      </c>
      <c r="AU148" s="68">
        <f t="shared" si="85"/>
        <v>1</v>
      </c>
      <c r="AV148" s="68">
        <f t="shared" si="86"/>
        <v>1</v>
      </c>
      <c r="AW148" s="68">
        <f t="shared" si="87"/>
        <v>1</v>
      </c>
      <c r="AX148" s="68">
        <f t="shared" ca="1" si="79"/>
        <v>0</v>
      </c>
      <c r="AY148" s="106">
        <v>2016</v>
      </c>
      <c r="AZ148" s="106" t="s">
        <v>2072</v>
      </c>
      <c r="BA148" s="106" t="str">
        <f t="shared" si="88"/>
        <v/>
      </c>
      <c r="BB148" s="177"/>
      <c r="BC148" s="177">
        <v>7</v>
      </c>
      <c r="BD148" s="177"/>
      <c r="BE148" s="177"/>
      <c r="BF148" s="177"/>
      <c r="BG148" s="177"/>
      <c r="BH148" s="177"/>
      <c r="BI148" s="33"/>
      <c r="BK148" s="48">
        <f>$G148/5280*VLOOKUP($AC148,'Cost and Score'!$B$27:$O$40,6,0)</f>
        <v>0.10378787878787879</v>
      </c>
      <c r="BL148" s="48">
        <f>$G148/5280*VLOOKUP($AC148,'Cost and Score'!$B$27:$O$40,7,0)</f>
        <v>11.416666666666666</v>
      </c>
      <c r="BM148" s="48">
        <f>$G148/5280*VLOOKUP($AC148,'Cost and Score'!$B$27:$O$40,8,0)</f>
        <v>0</v>
      </c>
      <c r="BN148" s="48">
        <f>$G148/5280*VLOOKUP($AC148,'Cost and Score'!$B$27:$O$40,9,0)</f>
        <v>2335.2272727272725</v>
      </c>
      <c r="BO148" s="48">
        <f>$G148/5280*VLOOKUP($AC148,'Cost and Score'!$B$27:$O$40,10,0)</f>
        <v>518.93939393939388</v>
      </c>
      <c r="BP148" s="48">
        <f>$G148/5280*VLOOKUP($AC148,'Cost and Score'!$B$27:$O$40,11,0)</f>
        <v>0</v>
      </c>
      <c r="BQ148" s="48">
        <f>$G148/5280*VLOOKUP($AC148,'Cost and Score'!$B$27:$O$40,12,0)</f>
        <v>51.893939393939391</v>
      </c>
      <c r="BR148" s="48">
        <f>$G148/5280*VLOOKUP($AC148,'Cost and Score'!$B$27:$O$40,13,0)</f>
        <v>62.272727272727273</v>
      </c>
      <c r="BS148" s="48">
        <f>$G148/5280*VLOOKUP($AC148,'Cost and Score'!$B$27:$O$40,14,0)</f>
        <v>0</v>
      </c>
      <c r="BT148" s="220">
        <f t="shared" si="89"/>
        <v>0.51893939393939392</v>
      </c>
      <c r="CN148" s="112"/>
      <c r="CO148" s="112"/>
      <c r="CP148" s="112"/>
      <c r="CQ148" s="112"/>
    </row>
    <row r="149" spans="1:103" s="2" customFormat="1" ht="14.45" hidden="1" customHeight="1" x14ac:dyDescent="0.25">
      <c r="A149" s="15" t="s">
        <v>377</v>
      </c>
      <c r="B149" s="34" t="s">
        <v>376</v>
      </c>
      <c r="C149" s="26" t="s">
        <v>376</v>
      </c>
      <c r="D149" s="26"/>
      <c r="E149" s="26" t="s">
        <v>147</v>
      </c>
      <c r="F149" s="26" t="s">
        <v>297</v>
      </c>
      <c r="G149" s="29">
        <v>5470</v>
      </c>
      <c r="H149" s="29">
        <f t="shared" si="74"/>
        <v>20</v>
      </c>
      <c r="I149" s="106" t="s">
        <v>13</v>
      </c>
      <c r="J149" s="26" t="s">
        <v>172</v>
      </c>
      <c r="K149" s="26">
        <f t="shared" si="95"/>
        <v>0</v>
      </c>
      <c r="L149" s="42">
        <v>4</v>
      </c>
      <c r="M149" s="42">
        <v>7</v>
      </c>
      <c r="N149" s="42">
        <v>10</v>
      </c>
      <c r="O149" s="42">
        <v>9</v>
      </c>
      <c r="P149" s="42">
        <v>8</v>
      </c>
      <c r="Q149" s="42">
        <v>8</v>
      </c>
      <c r="R149" s="42">
        <v>8</v>
      </c>
      <c r="S149" s="42">
        <v>8</v>
      </c>
      <c r="T149" s="42">
        <v>7</v>
      </c>
      <c r="U149" s="42">
        <v>7</v>
      </c>
      <c r="V149" s="42"/>
      <c r="W149" s="42"/>
      <c r="X149" s="42"/>
      <c r="Y149" s="26">
        <v>50</v>
      </c>
      <c r="Z149" s="26">
        <f t="shared" si="75"/>
        <v>0</v>
      </c>
      <c r="AA149" s="26" t="s">
        <v>99</v>
      </c>
      <c r="AB149" s="111">
        <f t="shared" si="80"/>
        <v>2</v>
      </c>
      <c r="AC149" s="26" t="s">
        <v>13</v>
      </c>
      <c r="AD149" s="47">
        <f t="shared" si="76"/>
        <v>21755.68181818182</v>
      </c>
      <c r="AE149" s="140"/>
      <c r="AF149" s="113">
        <f t="shared" si="90"/>
        <v>0</v>
      </c>
      <c r="AG149" s="26">
        <v>2024</v>
      </c>
      <c r="AH149" s="26" t="str">
        <f t="shared" si="69"/>
        <v/>
      </c>
      <c r="AI149" s="26" t="str">
        <f t="shared" si="92"/>
        <v/>
      </c>
      <c r="AJ149" s="26" t="str">
        <f t="shared" si="92"/>
        <v>Chip Seal and Fog</v>
      </c>
      <c r="AK149" s="26" t="str">
        <f t="shared" si="72"/>
        <v/>
      </c>
      <c r="AL149" s="26" t="str">
        <f t="shared" si="93"/>
        <v/>
      </c>
      <c r="AM149" s="26" t="str">
        <f t="shared" si="91"/>
        <v/>
      </c>
      <c r="AN149" s="26" t="str">
        <f t="shared" si="81"/>
        <v>Chip Seal and Fog</v>
      </c>
      <c r="AO149" s="26" t="str">
        <f t="shared" si="94"/>
        <v/>
      </c>
      <c r="AP149" s="26" t="str">
        <f t="shared" si="82"/>
        <v/>
      </c>
      <c r="AQ149" s="68">
        <f t="shared" si="77"/>
        <v>14</v>
      </c>
      <c r="AR149" s="68">
        <f t="shared" si="78"/>
        <v>6</v>
      </c>
      <c r="AS149" s="68">
        <f t="shared" si="83"/>
        <v>1.5</v>
      </c>
      <c r="AT149" s="68">
        <f t="shared" si="84"/>
        <v>1.05</v>
      </c>
      <c r="AU149" s="68">
        <f t="shared" si="85"/>
        <v>1</v>
      </c>
      <c r="AV149" s="68">
        <f t="shared" si="86"/>
        <v>1</v>
      </c>
      <c r="AW149" s="68">
        <f t="shared" si="87"/>
        <v>1</v>
      </c>
      <c r="AX149" s="68">
        <f t="shared" ca="1" si="79"/>
        <v>0</v>
      </c>
      <c r="AY149" s="106">
        <v>2016</v>
      </c>
      <c r="AZ149" s="106" t="s">
        <v>2072</v>
      </c>
      <c r="BA149" s="106" t="str">
        <f t="shared" si="88"/>
        <v/>
      </c>
      <c r="BB149" s="177"/>
      <c r="BC149" s="177">
        <v>7</v>
      </c>
      <c r="BD149" s="177"/>
      <c r="BE149" s="177"/>
      <c r="BF149" s="177"/>
      <c r="BG149" s="177"/>
      <c r="BH149" s="177"/>
      <c r="BI149" s="33"/>
      <c r="BK149" s="48">
        <f>$G149/5280*VLOOKUP($AC149,'Cost and Score'!$B$27:$O$40,6,0)</f>
        <v>0.20719696969696969</v>
      </c>
      <c r="BL149" s="48">
        <f>$G149/5280*VLOOKUP($AC149,'Cost and Score'!$B$27:$O$40,7,0)</f>
        <v>22.791666666666664</v>
      </c>
      <c r="BM149" s="48">
        <f>$G149/5280*VLOOKUP($AC149,'Cost and Score'!$B$27:$O$40,8,0)</f>
        <v>0</v>
      </c>
      <c r="BN149" s="48">
        <f>$G149/5280*VLOOKUP($AC149,'Cost and Score'!$B$27:$O$40,9,0)</f>
        <v>4661.931818181818</v>
      </c>
      <c r="BO149" s="48">
        <f>$G149/5280*VLOOKUP($AC149,'Cost and Score'!$B$27:$O$40,10,0)</f>
        <v>1035.9848484848485</v>
      </c>
      <c r="BP149" s="48">
        <f>$G149/5280*VLOOKUP($AC149,'Cost and Score'!$B$27:$O$40,11,0)</f>
        <v>0</v>
      </c>
      <c r="BQ149" s="48">
        <f>$G149/5280*VLOOKUP($AC149,'Cost and Score'!$B$27:$O$40,12,0)</f>
        <v>103.59848484848484</v>
      </c>
      <c r="BR149" s="48">
        <f>$G149/5280*VLOOKUP($AC149,'Cost and Score'!$B$27:$O$40,13,0)</f>
        <v>124.31818181818181</v>
      </c>
      <c r="BS149" s="48">
        <f>$G149/5280*VLOOKUP($AC149,'Cost and Score'!$B$27:$O$40,14,0)</f>
        <v>0</v>
      </c>
      <c r="BT149" s="220">
        <f t="shared" si="89"/>
        <v>1.0359848484848484</v>
      </c>
      <c r="CW149" s="112"/>
      <c r="CX149" s="112"/>
      <c r="CY149" s="112"/>
    </row>
    <row r="150" spans="1:103" s="2" customFormat="1" ht="14.25" customHeight="1" x14ac:dyDescent="0.25">
      <c r="A150" s="15" t="s">
        <v>917</v>
      </c>
      <c r="B150" s="34" t="s">
        <v>916</v>
      </c>
      <c r="C150" s="26" t="s">
        <v>916</v>
      </c>
      <c r="D150" s="82"/>
      <c r="E150" s="82" t="s">
        <v>38</v>
      </c>
      <c r="F150" s="82" t="s">
        <v>895</v>
      </c>
      <c r="G150" s="29">
        <v>3801</v>
      </c>
      <c r="H150" s="29">
        <f t="shared" si="74"/>
        <v>20</v>
      </c>
      <c r="I150" s="26" t="s">
        <v>8</v>
      </c>
      <c r="J150" s="26" t="s">
        <v>11</v>
      </c>
      <c r="K150" s="26">
        <f t="shared" si="95"/>
        <v>0</v>
      </c>
      <c r="L150" s="42">
        <v>7</v>
      </c>
      <c r="M150" s="42">
        <v>7</v>
      </c>
      <c r="N150" s="42">
        <v>8</v>
      </c>
      <c r="O150" s="83">
        <v>8</v>
      </c>
      <c r="P150" s="83">
        <v>8</v>
      </c>
      <c r="Q150" s="83">
        <v>7</v>
      </c>
      <c r="R150" s="83">
        <v>8</v>
      </c>
      <c r="S150" s="83">
        <v>7</v>
      </c>
      <c r="T150" s="83">
        <v>7</v>
      </c>
      <c r="U150" s="83">
        <v>7</v>
      </c>
      <c r="V150" s="42"/>
      <c r="W150" s="42"/>
      <c r="X150" s="42"/>
      <c r="Y150" s="26">
        <v>900</v>
      </c>
      <c r="Z150" s="26">
        <f t="shared" si="75"/>
        <v>0.5</v>
      </c>
      <c r="AA150" s="82" t="s">
        <v>168</v>
      </c>
      <c r="AB150" s="111">
        <f t="shared" si="80"/>
        <v>2.5</v>
      </c>
      <c r="AC150" s="85" t="s">
        <v>13</v>
      </c>
      <c r="AD150" s="84">
        <f t="shared" si="76"/>
        <v>15117.613636363636</v>
      </c>
      <c r="AE150" s="140"/>
      <c r="AF150" s="113">
        <f t="shared" si="90"/>
        <v>0</v>
      </c>
      <c r="AG150" s="106">
        <v>2025</v>
      </c>
      <c r="AH150" s="26" t="str">
        <f t="shared" si="69"/>
        <v/>
      </c>
      <c r="AI150" s="26" t="str">
        <f t="shared" si="92"/>
        <v/>
      </c>
      <c r="AJ150" s="26" t="str">
        <f t="shared" si="92"/>
        <v/>
      </c>
      <c r="AK150" s="26" t="str">
        <f t="shared" si="72"/>
        <v>Chip Seal and Fog</v>
      </c>
      <c r="AL150" s="26" t="str">
        <f t="shared" si="93"/>
        <v/>
      </c>
      <c r="AM150" s="26" t="str">
        <f t="shared" si="91"/>
        <v/>
      </c>
      <c r="AN150" s="26" t="str">
        <f t="shared" si="81"/>
        <v>Chip Seal and Fog</v>
      </c>
      <c r="AO150" s="26" t="str">
        <f t="shared" si="94"/>
        <v/>
      </c>
      <c r="AP150" s="26" t="str">
        <f t="shared" si="82"/>
        <v/>
      </c>
      <c r="AQ150" s="68">
        <f t="shared" si="77"/>
        <v>12</v>
      </c>
      <c r="AR150" s="68">
        <f t="shared" si="78"/>
        <v>6</v>
      </c>
      <c r="AS150" s="68">
        <f t="shared" si="83"/>
        <v>1.05</v>
      </c>
      <c r="AT150" s="68">
        <f t="shared" si="84"/>
        <v>1.05</v>
      </c>
      <c r="AU150" s="68">
        <f t="shared" si="85"/>
        <v>1</v>
      </c>
      <c r="AV150" s="68">
        <f t="shared" si="86"/>
        <v>1</v>
      </c>
      <c r="AW150" s="68">
        <f t="shared" si="87"/>
        <v>1</v>
      </c>
      <c r="AX150" s="68">
        <f t="shared" ca="1" si="79"/>
        <v>1</v>
      </c>
      <c r="AY150" s="68">
        <v>2019</v>
      </c>
      <c r="AZ150" s="68" t="s">
        <v>13</v>
      </c>
      <c r="BA150" s="106" t="str">
        <f t="shared" si="88"/>
        <v/>
      </c>
      <c r="BB150" s="178"/>
      <c r="BC150" s="178">
        <v>2</v>
      </c>
      <c r="BD150" s="178"/>
      <c r="BE150" s="178"/>
      <c r="BF150" s="178"/>
      <c r="BG150" s="178"/>
      <c r="BH150" s="178"/>
      <c r="BI150" s="33"/>
      <c r="BK150" s="48">
        <f>$G150/5280*VLOOKUP($AC150,'Cost and Score'!$B$27:$O$40,6,0)</f>
        <v>0.14397727272727273</v>
      </c>
      <c r="BL150" s="48">
        <f>$G150/5280*VLOOKUP($AC150,'Cost and Score'!$B$27:$O$40,7,0)</f>
        <v>15.837499999999999</v>
      </c>
      <c r="BM150" s="48">
        <f>$G150/5280*VLOOKUP($AC150,'Cost and Score'!$B$27:$O$40,8,0)</f>
        <v>0</v>
      </c>
      <c r="BN150" s="48">
        <f>$G150/5280*VLOOKUP($AC150,'Cost and Score'!$B$27:$O$40,9,0)</f>
        <v>3239.488636363636</v>
      </c>
      <c r="BO150" s="48">
        <f>$G150/5280*VLOOKUP($AC150,'Cost and Score'!$B$27:$O$40,10,0)</f>
        <v>719.88636363636363</v>
      </c>
      <c r="BP150" s="48">
        <f>$G150/5280*VLOOKUP($AC150,'Cost and Score'!$B$27:$O$40,11,0)</f>
        <v>0</v>
      </c>
      <c r="BQ150" s="48">
        <f>$G150/5280*VLOOKUP($AC150,'Cost and Score'!$B$27:$O$40,12,0)</f>
        <v>71.98863636363636</v>
      </c>
      <c r="BR150" s="48">
        <f>$G150/5280*VLOOKUP($AC150,'Cost and Score'!$B$27:$O$40,13,0)</f>
        <v>86.386363636363626</v>
      </c>
      <c r="BS150" s="48">
        <f>$G150/5280*VLOOKUP($AC150,'Cost and Score'!$B$27:$O$40,14,0)</f>
        <v>0</v>
      </c>
      <c r="BT150" s="220">
        <f t="shared" si="89"/>
        <v>0.7198863636363636</v>
      </c>
      <c r="CG150" s="112"/>
      <c r="CH150" s="112"/>
      <c r="CI150" s="112"/>
      <c r="CJ150" s="112"/>
      <c r="CK150" s="112"/>
      <c r="CL150" s="112"/>
      <c r="CM150" s="112"/>
      <c r="CS150" s="112"/>
      <c r="CT150" s="112"/>
      <c r="CU150" s="112"/>
    </row>
    <row r="151" spans="1:103" s="2" customFormat="1" ht="14.45" hidden="1" customHeight="1" x14ac:dyDescent="0.25">
      <c r="A151" s="15" t="s">
        <v>2135</v>
      </c>
      <c r="B151" s="34" t="s">
        <v>380</v>
      </c>
      <c r="C151" s="26" t="s">
        <v>380</v>
      </c>
      <c r="D151" s="82"/>
      <c r="E151" s="82" t="s">
        <v>117</v>
      </c>
      <c r="F151" s="82" t="s">
        <v>155</v>
      </c>
      <c r="G151" s="29">
        <v>7335</v>
      </c>
      <c r="H151" s="29">
        <f t="shared" si="74"/>
        <v>20</v>
      </c>
      <c r="I151" s="26" t="s">
        <v>8</v>
      </c>
      <c r="J151" s="26" t="s">
        <v>101</v>
      </c>
      <c r="K151" s="26">
        <v>0</v>
      </c>
      <c r="L151" s="42">
        <v>7</v>
      </c>
      <c r="M151" s="42">
        <v>6</v>
      </c>
      <c r="N151" s="42">
        <v>7</v>
      </c>
      <c r="O151" s="83">
        <v>7</v>
      </c>
      <c r="P151" s="83">
        <v>7</v>
      </c>
      <c r="Q151" s="83">
        <v>6</v>
      </c>
      <c r="R151" s="83">
        <v>6</v>
      </c>
      <c r="S151" s="83">
        <v>7</v>
      </c>
      <c r="T151" s="83">
        <v>7</v>
      </c>
      <c r="U151" s="83">
        <v>7</v>
      </c>
      <c r="V151" s="42"/>
      <c r="W151" s="42"/>
      <c r="X151" s="42"/>
      <c r="Y151" s="26">
        <v>463</v>
      </c>
      <c r="Z151" s="26">
        <f t="shared" si="75"/>
        <v>0</v>
      </c>
      <c r="AA151" s="82" t="s">
        <v>99</v>
      </c>
      <c r="AB151" s="111">
        <f t="shared" si="80"/>
        <v>3</v>
      </c>
      <c r="AC151" s="82" t="s">
        <v>13</v>
      </c>
      <c r="AD151" s="84">
        <f t="shared" si="76"/>
        <v>29173.295454545456</v>
      </c>
      <c r="AE151" s="140"/>
      <c r="AF151" s="113">
        <f t="shared" si="90"/>
        <v>0</v>
      </c>
      <c r="AG151" s="85">
        <v>2026</v>
      </c>
      <c r="AH151" s="26" t="str">
        <f t="shared" si="69"/>
        <v/>
      </c>
      <c r="AI151" s="26" t="str">
        <f t="shared" si="92"/>
        <v/>
      </c>
      <c r="AJ151" s="26" t="str">
        <f t="shared" si="92"/>
        <v/>
      </c>
      <c r="AK151" s="26" t="str">
        <f t="shared" si="72"/>
        <v/>
      </c>
      <c r="AL151" s="26" t="str">
        <f t="shared" si="93"/>
        <v>Chip Seal and Fog</v>
      </c>
      <c r="AM151" s="26" t="str">
        <f t="shared" si="91"/>
        <v/>
      </c>
      <c r="AN151" s="26" t="str">
        <f t="shared" si="81"/>
        <v>Chip Seal and Fog</v>
      </c>
      <c r="AO151" s="26" t="str">
        <f t="shared" si="94"/>
        <v/>
      </c>
      <c r="AP151" s="26" t="str">
        <f t="shared" si="82"/>
        <v/>
      </c>
      <c r="AQ151" s="68">
        <f t="shared" si="77"/>
        <v>10</v>
      </c>
      <c r="AR151" s="68">
        <f t="shared" si="78"/>
        <v>6</v>
      </c>
      <c r="AS151" s="68">
        <f t="shared" si="83"/>
        <v>1.05</v>
      </c>
      <c r="AT151" s="68">
        <f t="shared" si="84"/>
        <v>1.1000000000000001</v>
      </c>
      <c r="AU151" s="68">
        <f t="shared" si="85"/>
        <v>1.05</v>
      </c>
      <c r="AV151" s="68">
        <f t="shared" si="86"/>
        <v>1.05</v>
      </c>
      <c r="AW151" s="68">
        <f t="shared" si="87"/>
        <v>1.05</v>
      </c>
      <c r="AX151" s="68">
        <f t="shared" ca="1" si="79"/>
        <v>2.1</v>
      </c>
      <c r="AY151" s="106">
        <v>2020</v>
      </c>
      <c r="AZ151" s="106" t="s">
        <v>13</v>
      </c>
      <c r="BA151" s="106" t="str">
        <f t="shared" si="88"/>
        <v/>
      </c>
      <c r="BB151" s="177"/>
      <c r="BC151" s="177">
        <v>8</v>
      </c>
      <c r="BD151" s="177"/>
      <c r="BE151" s="177"/>
      <c r="BF151" s="177"/>
      <c r="BG151" s="177"/>
      <c r="BH151" s="177"/>
      <c r="BI151" s="33"/>
      <c r="BK151" s="48">
        <f>$G151/5280*VLOOKUP($AC151,'Cost and Score'!$B$27:$O$40,6,0)</f>
        <v>0.27784090909090908</v>
      </c>
      <c r="BL151" s="48">
        <f>$G151/5280*VLOOKUP($AC151,'Cost and Score'!$B$27:$O$40,7,0)</f>
        <v>30.5625</v>
      </c>
      <c r="BM151" s="48">
        <f>$G151/5280*VLOOKUP($AC151,'Cost and Score'!$B$27:$O$40,8,0)</f>
        <v>0</v>
      </c>
      <c r="BN151" s="48">
        <f>$G151/5280*VLOOKUP($AC151,'Cost and Score'!$B$27:$O$40,9,0)</f>
        <v>6251.420454545454</v>
      </c>
      <c r="BO151" s="48">
        <f>$G151/5280*VLOOKUP($AC151,'Cost and Score'!$B$27:$O$40,10,0)</f>
        <v>1389.2045454545455</v>
      </c>
      <c r="BP151" s="48">
        <f>$G151/5280*VLOOKUP($AC151,'Cost and Score'!$B$27:$O$40,11,0)</f>
        <v>0</v>
      </c>
      <c r="BQ151" s="48">
        <f>$G151/5280*VLOOKUP($AC151,'Cost and Score'!$B$27:$O$40,12,0)</f>
        <v>138.92045454545453</v>
      </c>
      <c r="BR151" s="48">
        <f>$G151/5280*VLOOKUP($AC151,'Cost and Score'!$B$27:$O$40,13,0)</f>
        <v>166.70454545454544</v>
      </c>
      <c r="BS151" s="48">
        <f>$G151/5280*VLOOKUP($AC151,'Cost and Score'!$B$27:$O$40,14,0)</f>
        <v>0</v>
      </c>
      <c r="BT151" s="220">
        <f t="shared" si="89"/>
        <v>1.3892045454545454</v>
      </c>
    </row>
    <row r="152" spans="1:103" s="2" customFormat="1" ht="14.45" hidden="1" customHeight="1" x14ac:dyDescent="0.25">
      <c r="A152" s="15" t="s">
        <v>2134</v>
      </c>
      <c r="B152" s="34" t="s">
        <v>381</v>
      </c>
      <c r="C152" s="26" t="s">
        <v>381</v>
      </c>
      <c r="D152" s="26"/>
      <c r="E152" s="26" t="s">
        <v>102</v>
      </c>
      <c r="F152" s="26" t="s">
        <v>4</v>
      </c>
      <c r="G152" s="29">
        <v>1335</v>
      </c>
      <c r="H152" s="29">
        <f t="shared" si="74"/>
        <v>20</v>
      </c>
      <c r="I152" s="26" t="s">
        <v>8</v>
      </c>
      <c r="J152" s="26" t="s">
        <v>101</v>
      </c>
      <c r="K152" s="26">
        <v>0</v>
      </c>
      <c r="L152" s="42">
        <v>6</v>
      </c>
      <c r="M152" s="42">
        <v>6</v>
      </c>
      <c r="N152" s="42">
        <v>6</v>
      </c>
      <c r="O152" s="42">
        <v>10</v>
      </c>
      <c r="P152" s="42">
        <v>9</v>
      </c>
      <c r="Q152" s="42">
        <v>8</v>
      </c>
      <c r="R152" s="42">
        <v>8</v>
      </c>
      <c r="S152" s="42">
        <v>7</v>
      </c>
      <c r="T152" s="42">
        <v>7</v>
      </c>
      <c r="U152" s="42">
        <v>7</v>
      </c>
      <c r="V152" s="42"/>
      <c r="W152" s="42"/>
      <c r="X152" s="42"/>
      <c r="Y152" s="26">
        <v>528</v>
      </c>
      <c r="Z152" s="26">
        <f t="shared" si="75"/>
        <v>0.5</v>
      </c>
      <c r="AA152" s="26" t="s">
        <v>99</v>
      </c>
      <c r="AB152" s="111">
        <f t="shared" si="80"/>
        <v>1.5</v>
      </c>
      <c r="AC152" s="85" t="s">
        <v>2073</v>
      </c>
      <c r="AD152" s="47">
        <f t="shared" si="76"/>
        <v>8090.909090909091</v>
      </c>
      <c r="AE152" s="140"/>
      <c r="AF152" s="113">
        <f t="shared" si="90"/>
        <v>0</v>
      </c>
      <c r="AG152" s="26">
        <v>2027</v>
      </c>
      <c r="AH152" s="26" t="str">
        <f t="shared" si="69"/>
        <v/>
      </c>
      <c r="AI152" s="26" t="str">
        <f t="shared" ref="AI152:AJ171" si="96">IF($AG152=AI$1,VLOOKUP($AC152,RSL,3,FALSE),"")</f>
        <v/>
      </c>
      <c r="AJ152" s="26" t="str">
        <f t="shared" si="96"/>
        <v/>
      </c>
      <c r="AK152" s="26" t="str">
        <f t="shared" si="72"/>
        <v/>
      </c>
      <c r="AL152" s="26" t="str">
        <f t="shared" si="93"/>
        <v/>
      </c>
      <c r="AM152" s="26" t="str">
        <f t="shared" si="91"/>
        <v>Chip Seal - Double and Fog</v>
      </c>
      <c r="AN152" s="26" t="str">
        <f t="shared" si="81"/>
        <v>Chip Seal - Double and Fog</v>
      </c>
      <c r="AO152" s="26" t="str">
        <f t="shared" si="94"/>
        <v>Crack Seal</v>
      </c>
      <c r="AP152" s="26" t="str">
        <f t="shared" si="82"/>
        <v/>
      </c>
      <c r="AQ152" s="68">
        <f t="shared" si="77"/>
        <v>16</v>
      </c>
      <c r="AR152" s="68">
        <f t="shared" si="78"/>
        <v>6</v>
      </c>
      <c r="AS152" s="68">
        <f t="shared" si="83"/>
        <v>1.1000000000000001</v>
      </c>
      <c r="AT152" s="68">
        <f t="shared" si="84"/>
        <v>1.1000000000000001</v>
      </c>
      <c r="AU152" s="68">
        <f t="shared" si="85"/>
        <v>1.1000000000000001</v>
      </c>
      <c r="AV152" s="68">
        <f t="shared" si="86"/>
        <v>1</v>
      </c>
      <c r="AW152" s="68">
        <f t="shared" si="87"/>
        <v>1</v>
      </c>
      <c r="AX152" s="68">
        <f t="shared" ca="1" si="79"/>
        <v>3.3000000000000003</v>
      </c>
      <c r="AY152" s="106">
        <v>2021</v>
      </c>
      <c r="AZ152" s="106" t="s">
        <v>2075</v>
      </c>
      <c r="BA152" s="106" t="str">
        <f t="shared" si="88"/>
        <v/>
      </c>
      <c r="BB152" s="177"/>
      <c r="BC152" s="177">
        <v>8</v>
      </c>
      <c r="BD152" s="177"/>
      <c r="BE152" s="177"/>
      <c r="BF152" s="177"/>
      <c r="BG152" s="177"/>
      <c r="BH152" s="177"/>
      <c r="BI152" s="33"/>
      <c r="BK152" s="48">
        <f>$G152/5280*VLOOKUP($AC152,'Cost and Score'!$B$27:$O$40,6,0)</f>
        <v>0.12642045454545456</v>
      </c>
      <c r="BL152" s="48">
        <f>$G152/5280*VLOOKUP($AC152,'Cost and Score'!$B$27:$O$40,7,0)</f>
        <v>12.642045454545455</v>
      </c>
      <c r="BM152" s="48">
        <f>$G152/5280*VLOOKUP($AC152,'Cost and Score'!$B$27:$O$40,8,0)</f>
        <v>0</v>
      </c>
      <c r="BN152" s="48">
        <f>$G152/5280*VLOOKUP($AC152,'Cost and Score'!$B$27:$O$40,9,0)</f>
        <v>2401.9886363636365</v>
      </c>
      <c r="BO152" s="48">
        <f>$G152/5280*VLOOKUP($AC152,'Cost and Score'!$B$27:$O$40,10,0)</f>
        <v>252.84090909090912</v>
      </c>
      <c r="BP152" s="48">
        <f>$G152/5280*VLOOKUP($AC152,'Cost and Score'!$B$27:$O$40,11,0)</f>
        <v>0</v>
      </c>
      <c r="BQ152" s="48">
        <f>$G152/5280*VLOOKUP($AC152,'Cost and Score'!$B$27:$O$40,12,0)</f>
        <v>50.56818181818182</v>
      </c>
      <c r="BR152" s="48">
        <f>$G152/5280*VLOOKUP($AC152,'Cost and Score'!$B$27:$O$40,13,0)</f>
        <v>45.51136363636364</v>
      </c>
      <c r="BS152" s="48">
        <f>$G152/5280*VLOOKUP($AC152,'Cost and Score'!$B$27:$O$40,14,0)</f>
        <v>60.681818181818187</v>
      </c>
      <c r="BT152" s="220">
        <f t="shared" si="89"/>
        <v>0.25284090909090912</v>
      </c>
    </row>
    <row r="153" spans="1:103" s="112" customFormat="1" ht="14.45" hidden="1" customHeight="1" x14ac:dyDescent="0.25">
      <c r="A153" s="15" t="s">
        <v>383</v>
      </c>
      <c r="B153" s="108" t="s">
        <v>382</v>
      </c>
      <c r="C153" s="106" t="s">
        <v>382</v>
      </c>
      <c r="D153" s="106"/>
      <c r="E153" s="106" t="s">
        <v>119</v>
      </c>
      <c r="F153" s="106" t="s">
        <v>240</v>
      </c>
      <c r="G153" s="109">
        <v>5982</v>
      </c>
      <c r="H153" s="109">
        <f t="shared" si="74"/>
        <v>20</v>
      </c>
      <c r="I153" s="106" t="s">
        <v>8</v>
      </c>
      <c r="J153" s="106" t="s">
        <v>125</v>
      </c>
      <c r="K153" s="106">
        <f t="shared" ref="K153:K179" si="97">VLOOKUP(J153,TOWNSHIPS,2,FALSE)</f>
        <v>0</v>
      </c>
      <c r="L153" s="110">
        <v>7</v>
      </c>
      <c r="M153" s="110">
        <v>7</v>
      </c>
      <c r="N153" s="110">
        <v>6</v>
      </c>
      <c r="O153" s="110">
        <v>6</v>
      </c>
      <c r="P153" s="110">
        <v>9</v>
      </c>
      <c r="Q153" s="110">
        <v>8</v>
      </c>
      <c r="R153" s="110">
        <v>7</v>
      </c>
      <c r="S153" s="110">
        <v>7</v>
      </c>
      <c r="T153" s="110">
        <v>7</v>
      </c>
      <c r="U153" s="110">
        <v>7</v>
      </c>
      <c r="V153" s="110">
        <v>2024</v>
      </c>
      <c r="W153" s="110">
        <v>2021</v>
      </c>
      <c r="X153" s="110" t="s">
        <v>2612</v>
      </c>
      <c r="Y153" s="106">
        <v>3064</v>
      </c>
      <c r="Z153" s="106">
        <f t="shared" si="75"/>
        <v>1.5</v>
      </c>
      <c r="AA153" s="106" t="s">
        <v>121</v>
      </c>
      <c r="AB153" s="111">
        <f t="shared" si="80"/>
        <v>2.5</v>
      </c>
      <c r="AC153" s="85" t="s">
        <v>2075</v>
      </c>
      <c r="AD153" s="107">
        <f t="shared" si="76"/>
        <v>6117.954545454545</v>
      </c>
      <c r="AE153" s="198"/>
      <c r="AF153" s="113">
        <f t="shared" si="90"/>
        <v>0</v>
      </c>
      <c r="AG153" s="106">
        <v>2022</v>
      </c>
      <c r="AH153" s="26" t="str">
        <f t="shared" si="69"/>
        <v>Crack Seal</v>
      </c>
      <c r="AI153" s="26" t="str">
        <f t="shared" si="96"/>
        <v/>
      </c>
      <c r="AJ153" s="26" t="str">
        <f t="shared" si="96"/>
        <v/>
      </c>
      <c r="AK153" s="26" t="str">
        <f t="shared" si="72"/>
        <v/>
      </c>
      <c r="AL153" s="26" t="str">
        <f t="shared" si="93"/>
        <v/>
      </c>
      <c r="AM153" s="26" t="str">
        <f t="shared" si="91"/>
        <v/>
      </c>
      <c r="AN153" s="26" t="str">
        <f t="shared" si="81"/>
        <v>Crack Seal</v>
      </c>
      <c r="AO153" s="26" t="str">
        <f t="shared" si="94"/>
        <v/>
      </c>
      <c r="AP153" s="26" t="str">
        <f t="shared" si="82"/>
        <v/>
      </c>
      <c r="AQ153" s="68">
        <f t="shared" si="77"/>
        <v>8</v>
      </c>
      <c r="AR153" s="68">
        <f t="shared" si="78"/>
        <v>3</v>
      </c>
      <c r="AS153" s="68">
        <f t="shared" si="83"/>
        <v>1.05</v>
      </c>
      <c r="AT153" s="68">
        <f t="shared" si="84"/>
        <v>1.05</v>
      </c>
      <c r="AU153" s="68">
        <f t="shared" si="85"/>
        <v>1.1000000000000001</v>
      </c>
      <c r="AV153" s="68">
        <f t="shared" si="86"/>
        <v>1.1000000000000001</v>
      </c>
      <c r="AW153" s="68">
        <f t="shared" si="87"/>
        <v>1</v>
      </c>
      <c r="AX153" s="68">
        <f t="shared" ca="1" si="79"/>
        <v>-2.2000000000000002</v>
      </c>
      <c r="AY153" s="106">
        <v>2017</v>
      </c>
      <c r="AZ153" s="106" t="s">
        <v>751</v>
      </c>
      <c r="BA153" s="106" t="str">
        <f t="shared" si="88"/>
        <v/>
      </c>
      <c r="BB153" s="177"/>
      <c r="BC153" s="177">
        <v>6</v>
      </c>
      <c r="BD153" s="177"/>
      <c r="BE153" s="177"/>
      <c r="BF153" s="177"/>
      <c r="BG153" s="177"/>
      <c r="BH153" s="177"/>
      <c r="BI153" s="33" t="s">
        <v>2413</v>
      </c>
      <c r="BJ153" s="2"/>
      <c r="BK153" s="48">
        <f>$G153/5280*VLOOKUP($AC153,'Cost and Score'!$B$27:$O$40,6,0)</f>
        <v>1.1329545454545455</v>
      </c>
      <c r="BL153" s="48">
        <f>$G153/5280*VLOOKUP($AC153,'Cost and Score'!$B$27:$O$40,7,0)</f>
        <v>0</v>
      </c>
      <c r="BM153" s="48">
        <f>$G153/5280*VLOOKUP($AC153,'Cost and Score'!$B$27:$O$40,8,0)</f>
        <v>0</v>
      </c>
      <c r="BN153" s="48">
        <f>$G153/5280*VLOOKUP($AC153,'Cost and Score'!$B$27:$O$40,9,0)</f>
        <v>0</v>
      </c>
      <c r="BO153" s="48">
        <f>$G153/5280*VLOOKUP($AC153,'Cost and Score'!$B$27:$O$40,10,0)</f>
        <v>0</v>
      </c>
      <c r="BP153" s="48">
        <f>$G153/5280*VLOOKUP($AC153,'Cost and Score'!$B$27:$O$40,11,0)</f>
        <v>0</v>
      </c>
      <c r="BQ153" s="48">
        <f>$G153/5280*VLOOKUP($AC153,'Cost and Score'!$B$27:$O$40,12,0)</f>
        <v>0</v>
      </c>
      <c r="BR153" s="48">
        <f>$G153/5280*VLOOKUP($AC153,'Cost and Score'!$B$27:$O$40,13,0)</f>
        <v>0</v>
      </c>
      <c r="BS153" s="48">
        <f>$G153/5280*VLOOKUP($AC153,'Cost and Score'!$B$27:$O$40,14,0)</f>
        <v>0</v>
      </c>
      <c r="BT153" s="220">
        <f t="shared" si="89"/>
        <v>1.1329545454545455</v>
      </c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</row>
    <row r="154" spans="1:103" s="112" customFormat="1" ht="14.25" hidden="1" customHeight="1" x14ac:dyDescent="0.25">
      <c r="A154" s="15" t="s">
        <v>385</v>
      </c>
      <c r="B154" s="108" t="s">
        <v>384</v>
      </c>
      <c r="C154" s="106" t="s">
        <v>384</v>
      </c>
      <c r="D154" s="106"/>
      <c r="E154" s="106" t="s">
        <v>99</v>
      </c>
      <c r="F154" s="106" t="s">
        <v>100</v>
      </c>
      <c r="G154" s="109">
        <v>5330</v>
      </c>
      <c r="H154" s="109">
        <f t="shared" si="74"/>
        <v>20</v>
      </c>
      <c r="I154" s="106" t="s">
        <v>13</v>
      </c>
      <c r="J154" s="106" t="s">
        <v>160</v>
      </c>
      <c r="K154" s="106">
        <f t="shared" si="97"/>
        <v>0</v>
      </c>
      <c r="L154" s="110">
        <v>7</v>
      </c>
      <c r="M154" s="110">
        <v>8</v>
      </c>
      <c r="N154" s="110">
        <v>7</v>
      </c>
      <c r="O154" s="110">
        <v>7</v>
      </c>
      <c r="P154" s="110">
        <v>8</v>
      </c>
      <c r="Q154" s="110">
        <v>8</v>
      </c>
      <c r="R154" s="110">
        <v>7</v>
      </c>
      <c r="S154" s="110">
        <v>7</v>
      </c>
      <c r="T154" s="110">
        <v>7</v>
      </c>
      <c r="U154" s="110">
        <v>7</v>
      </c>
      <c r="V154" s="110">
        <v>2023</v>
      </c>
      <c r="W154" s="110">
        <v>2023</v>
      </c>
      <c r="X154" s="110" t="s">
        <v>2612</v>
      </c>
      <c r="Y154" s="106">
        <v>2534</v>
      </c>
      <c r="Z154" s="106">
        <f t="shared" si="75"/>
        <v>1.5</v>
      </c>
      <c r="AA154" s="106" t="s">
        <v>121</v>
      </c>
      <c r="AB154" s="111">
        <f t="shared" si="80"/>
        <v>3.5</v>
      </c>
      <c r="AC154" s="106" t="s">
        <v>2371</v>
      </c>
      <c r="AD154" s="107">
        <f t="shared" si="76"/>
        <v>80757.57575757576</v>
      </c>
      <c r="AE154" s="198">
        <v>1</v>
      </c>
      <c r="AF154" s="113">
        <f t="shared" si="90"/>
        <v>80757.57575757576</v>
      </c>
      <c r="AG154" s="106">
        <v>2023</v>
      </c>
      <c r="AH154" s="26" t="str">
        <f t="shared" si="69"/>
        <v/>
      </c>
      <c r="AI154" s="26" t="str">
        <f t="shared" si="96"/>
        <v>Microsurface double</v>
      </c>
      <c r="AJ154" s="26" t="str">
        <f t="shared" si="96"/>
        <v/>
      </c>
      <c r="AK154" s="26" t="str">
        <f t="shared" si="72"/>
        <v/>
      </c>
      <c r="AL154" s="26" t="str">
        <f t="shared" si="93"/>
        <v/>
      </c>
      <c r="AM154" s="26" t="str">
        <f t="shared" si="91"/>
        <v/>
      </c>
      <c r="AN154" s="26" t="str">
        <f t="shared" si="81"/>
        <v>Microsurface double</v>
      </c>
      <c r="AO154" s="26" t="str">
        <f t="shared" si="94"/>
        <v/>
      </c>
      <c r="AP154" s="26" t="str">
        <f t="shared" si="82"/>
        <v/>
      </c>
      <c r="AQ154" s="68">
        <f t="shared" si="77"/>
        <v>10</v>
      </c>
      <c r="AR154" s="68">
        <f t="shared" si="78"/>
        <v>10</v>
      </c>
      <c r="AS154" s="68">
        <f t="shared" si="83"/>
        <v>1.05</v>
      </c>
      <c r="AT154" s="68">
        <f t="shared" si="84"/>
        <v>1</v>
      </c>
      <c r="AU154" s="68">
        <f t="shared" si="85"/>
        <v>1.05</v>
      </c>
      <c r="AV154" s="68">
        <f t="shared" si="86"/>
        <v>1.05</v>
      </c>
      <c r="AW154" s="68">
        <f t="shared" si="87"/>
        <v>1</v>
      </c>
      <c r="AX154" s="68">
        <f t="shared" ca="1" si="79"/>
        <v>-1.05</v>
      </c>
      <c r="AY154" s="106">
        <v>2017</v>
      </c>
      <c r="AZ154" s="106" t="s">
        <v>13</v>
      </c>
      <c r="BA154" s="106" t="str">
        <f t="shared" si="88"/>
        <v/>
      </c>
      <c r="BB154" s="177"/>
      <c r="BC154" s="177">
        <v>8</v>
      </c>
      <c r="BD154" s="177"/>
      <c r="BE154" s="177"/>
      <c r="BF154" s="177"/>
      <c r="BG154" s="177"/>
      <c r="BH154" s="177"/>
      <c r="BI154" s="33"/>
      <c r="BJ154" s="2"/>
      <c r="BK154" s="48">
        <f>$G154/5280*VLOOKUP($AC154,'Cost and Score'!$B$27:$O$40,6,0)</f>
        <v>0.50473484848484851</v>
      </c>
      <c r="BL154" s="48">
        <f>$G154/5280*VLOOKUP($AC154,'Cost and Score'!$B$27:$O$40,7,0)</f>
        <v>0</v>
      </c>
      <c r="BM154" s="48">
        <f>$G154/5280*VLOOKUP($AC154,'Cost and Score'!$B$27:$O$40,8,0)</f>
        <v>0</v>
      </c>
      <c r="BN154" s="48">
        <f>$G154/5280*VLOOKUP($AC154,'Cost and Score'!$B$27:$O$40,9,0)</f>
        <v>0</v>
      </c>
      <c r="BO154" s="48">
        <f>$G154/5280*VLOOKUP($AC154,'Cost and Score'!$B$27:$O$40,10,0)</f>
        <v>0</v>
      </c>
      <c r="BP154" s="48">
        <f>$G154/5280*VLOOKUP($AC154,'Cost and Score'!$B$27:$O$40,11,0)</f>
        <v>0</v>
      </c>
      <c r="BQ154" s="48">
        <f>$G154/5280*VLOOKUP($AC154,'Cost and Score'!$B$27:$O$40,12,0)</f>
        <v>0</v>
      </c>
      <c r="BR154" s="48">
        <f>$G154/5280*VLOOKUP($AC154,'Cost and Score'!$B$27:$O$40,13,0)</f>
        <v>0</v>
      </c>
      <c r="BS154" s="48">
        <f>$G154/5280*VLOOKUP($AC154,'Cost and Score'!$B$27:$O$40,14,0)</f>
        <v>0</v>
      </c>
      <c r="BT154" s="220">
        <f t="shared" si="89"/>
        <v>1.009469696969697</v>
      </c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103" s="2" customFormat="1" ht="14.45" hidden="1" customHeight="1" x14ac:dyDescent="0.25">
      <c r="A155" s="15" t="s">
        <v>387</v>
      </c>
      <c r="B155" s="34" t="s">
        <v>386</v>
      </c>
      <c r="C155" s="26" t="s">
        <v>386</v>
      </c>
      <c r="D155" s="26"/>
      <c r="E155" s="26" t="s">
        <v>193</v>
      </c>
      <c r="F155" s="26" t="s">
        <v>119</v>
      </c>
      <c r="G155" s="29">
        <v>5300</v>
      </c>
      <c r="H155" s="29">
        <f t="shared" si="74"/>
        <v>20</v>
      </c>
      <c r="I155" s="26" t="s">
        <v>8</v>
      </c>
      <c r="J155" s="26" t="s">
        <v>125</v>
      </c>
      <c r="K155" s="26">
        <f t="shared" si="97"/>
        <v>0</v>
      </c>
      <c r="L155" s="42">
        <v>10</v>
      </c>
      <c r="M155" s="42">
        <v>7</v>
      </c>
      <c r="N155" s="42">
        <v>8</v>
      </c>
      <c r="O155" s="42">
        <v>8</v>
      </c>
      <c r="P155" s="42">
        <v>8</v>
      </c>
      <c r="Q155" s="42">
        <v>8</v>
      </c>
      <c r="R155" s="42">
        <v>7</v>
      </c>
      <c r="S155" s="42">
        <v>7</v>
      </c>
      <c r="T155" s="42">
        <v>7</v>
      </c>
      <c r="U155" s="42">
        <v>7</v>
      </c>
      <c r="V155" s="42">
        <v>2024</v>
      </c>
      <c r="W155" s="42">
        <v>2021</v>
      </c>
      <c r="X155" s="42" t="s">
        <v>2612</v>
      </c>
      <c r="Y155" s="26">
        <v>1937</v>
      </c>
      <c r="Z155" s="26">
        <f t="shared" si="75"/>
        <v>1</v>
      </c>
      <c r="AA155" s="26" t="s">
        <v>121</v>
      </c>
      <c r="AB155" s="111">
        <f t="shared" si="80"/>
        <v>3</v>
      </c>
      <c r="AC155" s="106" t="s">
        <v>13</v>
      </c>
      <c r="AD155" s="47">
        <f t="shared" si="76"/>
        <v>21079.545454545456</v>
      </c>
      <c r="AE155" s="140"/>
      <c r="AF155" s="113">
        <f t="shared" si="90"/>
        <v>0</v>
      </c>
      <c r="AG155" s="85">
        <v>2026</v>
      </c>
      <c r="AH155" s="26" t="str">
        <f t="shared" si="69"/>
        <v/>
      </c>
      <c r="AI155" s="26" t="str">
        <f t="shared" si="96"/>
        <v/>
      </c>
      <c r="AJ155" s="26" t="str">
        <f t="shared" si="96"/>
        <v/>
      </c>
      <c r="AK155" s="26" t="str">
        <f t="shared" si="72"/>
        <v/>
      </c>
      <c r="AL155" s="26" t="str">
        <f t="shared" si="93"/>
        <v>Chip Seal and Fog</v>
      </c>
      <c r="AM155" s="26" t="str">
        <f t="shared" si="91"/>
        <v/>
      </c>
      <c r="AN155" s="26" t="str">
        <f t="shared" si="81"/>
        <v>Chip Seal and Fog</v>
      </c>
      <c r="AO155" s="26" t="str">
        <f t="shared" si="94"/>
        <v/>
      </c>
      <c r="AP155" s="26" t="str">
        <f t="shared" si="82"/>
        <v/>
      </c>
      <c r="AQ155" s="68">
        <f t="shared" si="77"/>
        <v>12</v>
      </c>
      <c r="AR155" s="68">
        <f t="shared" si="78"/>
        <v>6</v>
      </c>
      <c r="AS155" s="68">
        <f t="shared" si="83"/>
        <v>1</v>
      </c>
      <c r="AT155" s="68">
        <f t="shared" si="84"/>
        <v>1.05</v>
      </c>
      <c r="AU155" s="68">
        <f t="shared" si="85"/>
        <v>1</v>
      </c>
      <c r="AV155" s="68">
        <f t="shared" si="86"/>
        <v>1</v>
      </c>
      <c r="AW155" s="68">
        <f t="shared" si="87"/>
        <v>1</v>
      </c>
      <c r="AX155" s="68">
        <f t="shared" ca="1" si="79"/>
        <v>2</v>
      </c>
      <c r="AY155" s="106">
        <v>2020</v>
      </c>
      <c r="AZ155" s="106" t="s">
        <v>13</v>
      </c>
      <c r="BA155" s="106" t="str">
        <f t="shared" si="88"/>
        <v/>
      </c>
      <c r="BB155" s="177"/>
      <c r="BC155" s="177">
        <v>6</v>
      </c>
      <c r="BD155" s="177"/>
      <c r="BE155" s="177"/>
      <c r="BF155" s="177"/>
      <c r="BG155" s="177"/>
      <c r="BH155" s="177"/>
      <c r="BI155" s="33"/>
      <c r="BK155" s="48">
        <f>$G155/5280*VLOOKUP($AC155,'Cost and Score'!$B$27:$O$40,6,0)</f>
        <v>0.2007575757575758</v>
      </c>
      <c r="BL155" s="48">
        <f>$G155/5280*VLOOKUP($AC155,'Cost and Score'!$B$27:$O$40,7,0)</f>
        <v>22.083333333333336</v>
      </c>
      <c r="BM155" s="48">
        <f>$G155/5280*VLOOKUP($AC155,'Cost and Score'!$B$27:$O$40,8,0)</f>
        <v>0</v>
      </c>
      <c r="BN155" s="48">
        <f>$G155/5280*VLOOKUP($AC155,'Cost and Score'!$B$27:$O$40,9,0)</f>
        <v>4517.045454545455</v>
      </c>
      <c r="BO155" s="48">
        <f>$G155/5280*VLOOKUP($AC155,'Cost and Score'!$B$27:$O$40,10,0)</f>
        <v>1003.7878787878789</v>
      </c>
      <c r="BP155" s="48">
        <f>$G155/5280*VLOOKUP($AC155,'Cost and Score'!$B$27:$O$40,11,0)</f>
        <v>0</v>
      </c>
      <c r="BQ155" s="48">
        <f>$G155/5280*VLOOKUP($AC155,'Cost and Score'!$B$27:$O$40,12,0)</f>
        <v>100.37878787878789</v>
      </c>
      <c r="BR155" s="48">
        <f>$G155/5280*VLOOKUP($AC155,'Cost and Score'!$B$27:$O$40,13,0)</f>
        <v>120.45454545454547</v>
      </c>
      <c r="BS155" s="48">
        <f>$G155/5280*VLOOKUP($AC155,'Cost and Score'!$B$27:$O$40,14,0)</f>
        <v>0</v>
      </c>
      <c r="BT155" s="220">
        <f t="shared" si="89"/>
        <v>1.0037878787878789</v>
      </c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</row>
    <row r="156" spans="1:103" s="112" customFormat="1" ht="14.25" hidden="1" customHeight="1" x14ac:dyDescent="0.25">
      <c r="A156" s="15" t="s">
        <v>389</v>
      </c>
      <c r="B156" s="108" t="s">
        <v>388</v>
      </c>
      <c r="C156" s="106" t="s">
        <v>388</v>
      </c>
      <c r="D156" s="106"/>
      <c r="E156" s="106" t="s">
        <v>104</v>
      </c>
      <c r="F156" s="106" t="s">
        <v>99</v>
      </c>
      <c r="G156" s="109">
        <v>5330</v>
      </c>
      <c r="H156" s="109">
        <f t="shared" si="74"/>
        <v>20</v>
      </c>
      <c r="I156" s="106" t="s">
        <v>13</v>
      </c>
      <c r="J156" s="106" t="s">
        <v>160</v>
      </c>
      <c r="K156" s="106">
        <f t="shared" si="97"/>
        <v>0</v>
      </c>
      <c r="L156" s="110">
        <v>7</v>
      </c>
      <c r="M156" s="110">
        <v>8</v>
      </c>
      <c r="N156" s="110">
        <v>7</v>
      </c>
      <c r="O156" s="110">
        <v>7</v>
      </c>
      <c r="P156" s="110">
        <v>8</v>
      </c>
      <c r="Q156" s="110">
        <v>8</v>
      </c>
      <c r="R156" s="110">
        <v>7</v>
      </c>
      <c r="S156" s="110">
        <v>7</v>
      </c>
      <c r="T156" s="110">
        <v>7</v>
      </c>
      <c r="U156" s="110">
        <v>7</v>
      </c>
      <c r="V156" s="110">
        <v>2023</v>
      </c>
      <c r="W156" s="110">
        <v>2023</v>
      </c>
      <c r="X156" s="110" t="s">
        <v>2612</v>
      </c>
      <c r="Y156" s="106">
        <v>2353</v>
      </c>
      <c r="Z156" s="106">
        <f t="shared" si="75"/>
        <v>1</v>
      </c>
      <c r="AA156" s="106" t="s">
        <v>121</v>
      </c>
      <c r="AB156" s="111">
        <f t="shared" si="80"/>
        <v>3</v>
      </c>
      <c r="AC156" s="106" t="s">
        <v>2371</v>
      </c>
      <c r="AD156" s="107">
        <f t="shared" si="76"/>
        <v>80757.57575757576</v>
      </c>
      <c r="AE156" s="198">
        <v>1</v>
      </c>
      <c r="AF156" s="113">
        <f t="shared" si="90"/>
        <v>80757.57575757576</v>
      </c>
      <c r="AG156" s="106">
        <v>2023</v>
      </c>
      <c r="AH156" s="26" t="str">
        <f t="shared" si="69"/>
        <v/>
      </c>
      <c r="AI156" s="26" t="str">
        <f t="shared" si="96"/>
        <v>Microsurface double</v>
      </c>
      <c r="AJ156" s="26" t="str">
        <f t="shared" si="96"/>
        <v/>
      </c>
      <c r="AK156" s="26" t="str">
        <f t="shared" si="72"/>
        <v/>
      </c>
      <c r="AL156" s="26" t="str">
        <f t="shared" si="93"/>
        <v/>
      </c>
      <c r="AM156" s="26" t="str">
        <f t="shared" si="91"/>
        <v/>
      </c>
      <c r="AN156" s="26" t="str">
        <f t="shared" si="81"/>
        <v>Microsurface double</v>
      </c>
      <c r="AO156" s="26" t="str">
        <f t="shared" si="94"/>
        <v/>
      </c>
      <c r="AP156" s="26" t="str">
        <f t="shared" si="82"/>
        <v/>
      </c>
      <c r="AQ156" s="68">
        <f t="shared" si="77"/>
        <v>10</v>
      </c>
      <c r="AR156" s="68">
        <f t="shared" si="78"/>
        <v>10</v>
      </c>
      <c r="AS156" s="68">
        <f t="shared" si="83"/>
        <v>1.05</v>
      </c>
      <c r="AT156" s="68">
        <f t="shared" si="84"/>
        <v>1</v>
      </c>
      <c r="AU156" s="68">
        <f t="shared" si="85"/>
        <v>1.05</v>
      </c>
      <c r="AV156" s="68">
        <f t="shared" si="86"/>
        <v>1.05</v>
      </c>
      <c r="AW156" s="68">
        <f t="shared" si="87"/>
        <v>1</v>
      </c>
      <c r="AX156" s="68">
        <f t="shared" ca="1" si="79"/>
        <v>-1.05</v>
      </c>
      <c r="AY156" s="106">
        <v>2017</v>
      </c>
      <c r="AZ156" s="106" t="s">
        <v>13</v>
      </c>
      <c r="BA156" s="106" t="str">
        <f t="shared" si="88"/>
        <v/>
      </c>
      <c r="BB156" s="177"/>
      <c r="BC156" s="177">
        <v>8</v>
      </c>
      <c r="BD156" s="177"/>
      <c r="BE156" s="177"/>
      <c r="BF156" s="177"/>
      <c r="BG156" s="177"/>
      <c r="BH156" s="177"/>
      <c r="BI156" s="33"/>
      <c r="BJ156" s="2"/>
      <c r="BK156" s="48">
        <f>$G156/5280*VLOOKUP($AC156,'Cost and Score'!$B$27:$O$40,6,0)</f>
        <v>0.50473484848484851</v>
      </c>
      <c r="BL156" s="48">
        <f>$G156/5280*VLOOKUP($AC156,'Cost and Score'!$B$27:$O$40,7,0)</f>
        <v>0</v>
      </c>
      <c r="BM156" s="48">
        <f>$G156/5280*VLOOKUP($AC156,'Cost and Score'!$B$27:$O$40,8,0)</f>
        <v>0</v>
      </c>
      <c r="BN156" s="48">
        <f>$G156/5280*VLOOKUP($AC156,'Cost and Score'!$B$27:$O$40,9,0)</f>
        <v>0</v>
      </c>
      <c r="BO156" s="48">
        <f>$G156/5280*VLOOKUP($AC156,'Cost and Score'!$B$27:$O$40,10,0)</f>
        <v>0</v>
      </c>
      <c r="BP156" s="48">
        <f>$G156/5280*VLOOKUP($AC156,'Cost and Score'!$B$27:$O$40,11,0)</f>
        <v>0</v>
      </c>
      <c r="BQ156" s="48">
        <f>$G156/5280*VLOOKUP($AC156,'Cost and Score'!$B$27:$O$40,12,0)</f>
        <v>0</v>
      </c>
      <c r="BR156" s="48">
        <f>$G156/5280*VLOOKUP($AC156,'Cost and Score'!$B$27:$O$40,13,0)</f>
        <v>0</v>
      </c>
      <c r="BS156" s="48">
        <f>$G156/5280*VLOOKUP($AC156,'Cost and Score'!$B$27:$O$40,14,0)</f>
        <v>0</v>
      </c>
      <c r="BT156" s="220">
        <f t="shared" si="89"/>
        <v>1.009469696969697</v>
      </c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</row>
    <row r="157" spans="1:103" s="2" customFormat="1" ht="14.45" hidden="1" customHeight="1" x14ac:dyDescent="0.25">
      <c r="A157" s="15" t="s">
        <v>391</v>
      </c>
      <c r="B157" s="34" t="s">
        <v>390</v>
      </c>
      <c r="C157" s="26" t="s">
        <v>390</v>
      </c>
      <c r="D157" s="26"/>
      <c r="E157" s="26" t="s">
        <v>197</v>
      </c>
      <c r="F157" s="26" t="s">
        <v>193</v>
      </c>
      <c r="G157" s="29">
        <v>5300</v>
      </c>
      <c r="H157" s="29">
        <f t="shared" ref="H157:H188" si="98">IF(I157="NC",26,20)</f>
        <v>20</v>
      </c>
      <c r="I157" s="26" t="s">
        <v>8</v>
      </c>
      <c r="J157" s="26" t="s">
        <v>125</v>
      </c>
      <c r="K157" s="26">
        <f t="shared" si="97"/>
        <v>0</v>
      </c>
      <c r="L157" s="42">
        <v>9</v>
      </c>
      <c r="M157" s="42">
        <v>7</v>
      </c>
      <c r="N157" s="42">
        <v>7</v>
      </c>
      <c r="O157" s="42">
        <v>8</v>
      </c>
      <c r="P157" s="42">
        <v>7</v>
      </c>
      <c r="Q157" s="42">
        <v>7</v>
      </c>
      <c r="R157" s="42">
        <v>7</v>
      </c>
      <c r="S157" s="42">
        <v>7</v>
      </c>
      <c r="T157" s="42">
        <v>7</v>
      </c>
      <c r="U157" s="42">
        <v>7</v>
      </c>
      <c r="V157" s="42">
        <v>2024</v>
      </c>
      <c r="W157" s="42">
        <v>2021</v>
      </c>
      <c r="X157" s="42" t="s">
        <v>2612</v>
      </c>
      <c r="Y157" s="26">
        <v>3324</v>
      </c>
      <c r="Z157" s="26">
        <f t="shared" ref="Z157:Z188" si="99">VLOOKUP(Y157,AADT,2)</f>
        <v>1.5</v>
      </c>
      <c r="AA157" s="26" t="s">
        <v>121</v>
      </c>
      <c r="AB157" s="111">
        <f t="shared" si="80"/>
        <v>4.5</v>
      </c>
      <c r="AC157" s="106" t="s">
        <v>13</v>
      </c>
      <c r="AD157" s="47">
        <f t="shared" si="76"/>
        <v>21079.545454545456</v>
      </c>
      <c r="AE157" s="140"/>
      <c r="AF157" s="113">
        <f t="shared" si="90"/>
        <v>0</v>
      </c>
      <c r="AG157" s="85">
        <v>2026</v>
      </c>
      <c r="AH157" s="26" t="str">
        <f t="shared" si="69"/>
        <v/>
      </c>
      <c r="AI157" s="26" t="str">
        <f t="shared" si="96"/>
        <v/>
      </c>
      <c r="AJ157" s="26" t="str">
        <f t="shared" si="96"/>
        <v/>
      </c>
      <c r="AK157" s="26" t="str">
        <f t="shared" si="72"/>
        <v/>
      </c>
      <c r="AL157" s="26" t="str">
        <f t="shared" si="93"/>
        <v>Chip Seal and Fog</v>
      </c>
      <c r="AM157" s="26" t="str">
        <f t="shared" si="91"/>
        <v/>
      </c>
      <c r="AN157" s="26" t="str">
        <f t="shared" si="81"/>
        <v>Chip Seal and Fog</v>
      </c>
      <c r="AO157" s="26" t="str">
        <f t="shared" si="94"/>
        <v/>
      </c>
      <c r="AP157" s="26" t="str">
        <f t="shared" si="82"/>
        <v/>
      </c>
      <c r="AQ157" s="68">
        <f t="shared" si="77"/>
        <v>12</v>
      </c>
      <c r="AR157" s="68">
        <f t="shared" si="78"/>
        <v>6</v>
      </c>
      <c r="AS157" s="68">
        <f t="shared" si="83"/>
        <v>1</v>
      </c>
      <c r="AT157" s="68">
        <f t="shared" si="84"/>
        <v>1.05</v>
      </c>
      <c r="AU157" s="68">
        <f t="shared" si="85"/>
        <v>1.05</v>
      </c>
      <c r="AV157" s="68">
        <f t="shared" si="86"/>
        <v>1</v>
      </c>
      <c r="AW157" s="68">
        <f t="shared" si="87"/>
        <v>1.05</v>
      </c>
      <c r="AX157" s="68">
        <f t="shared" ca="1" si="79"/>
        <v>2.1</v>
      </c>
      <c r="AY157" s="106">
        <v>2020</v>
      </c>
      <c r="AZ157" s="106" t="s">
        <v>13</v>
      </c>
      <c r="BA157" s="106" t="str">
        <f t="shared" si="88"/>
        <v/>
      </c>
      <c r="BB157" s="177"/>
      <c r="BC157" s="177">
        <v>6</v>
      </c>
      <c r="BD157" s="177"/>
      <c r="BE157" s="177"/>
      <c r="BF157" s="177"/>
      <c r="BG157" s="177"/>
      <c r="BH157" s="177"/>
      <c r="BI157" s="33"/>
      <c r="BK157" s="48">
        <f>$G157/5280*VLOOKUP($AC157,'Cost and Score'!$B$27:$O$40,6,0)</f>
        <v>0.2007575757575758</v>
      </c>
      <c r="BL157" s="48">
        <f>$G157/5280*VLOOKUP($AC157,'Cost and Score'!$B$27:$O$40,7,0)</f>
        <v>22.083333333333336</v>
      </c>
      <c r="BM157" s="48">
        <f>$G157/5280*VLOOKUP($AC157,'Cost and Score'!$B$27:$O$40,8,0)</f>
        <v>0</v>
      </c>
      <c r="BN157" s="48">
        <f>$G157/5280*VLOOKUP($AC157,'Cost and Score'!$B$27:$O$40,9,0)</f>
        <v>4517.045454545455</v>
      </c>
      <c r="BO157" s="48">
        <f>$G157/5280*VLOOKUP($AC157,'Cost and Score'!$B$27:$O$40,10,0)</f>
        <v>1003.7878787878789</v>
      </c>
      <c r="BP157" s="48">
        <f>$G157/5280*VLOOKUP($AC157,'Cost and Score'!$B$27:$O$40,11,0)</f>
        <v>0</v>
      </c>
      <c r="BQ157" s="48">
        <f>$G157/5280*VLOOKUP($AC157,'Cost and Score'!$B$27:$O$40,12,0)</f>
        <v>100.37878787878789</v>
      </c>
      <c r="BR157" s="48">
        <f>$G157/5280*VLOOKUP($AC157,'Cost and Score'!$B$27:$O$40,13,0)</f>
        <v>120.45454545454547</v>
      </c>
      <c r="BS157" s="48">
        <f>$G157/5280*VLOOKUP($AC157,'Cost and Score'!$B$27:$O$40,14,0)</f>
        <v>0</v>
      </c>
      <c r="BT157" s="220">
        <f t="shared" si="89"/>
        <v>1.0037878787878789</v>
      </c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</row>
    <row r="158" spans="1:103" s="112" customFormat="1" ht="14.25" hidden="1" customHeight="1" x14ac:dyDescent="0.25">
      <c r="A158" s="15" t="s">
        <v>393</v>
      </c>
      <c r="B158" s="108" t="s">
        <v>392</v>
      </c>
      <c r="C158" s="106" t="s">
        <v>392</v>
      </c>
      <c r="D158" s="106"/>
      <c r="E158" s="106" t="s">
        <v>107</v>
      </c>
      <c r="F158" s="106" t="s">
        <v>104</v>
      </c>
      <c r="G158" s="109">
        <v>5350</v>
      </c>
      <c r="H158" s="109">
        <f t="shared" si="98"/>
        <v>20</v>
      </c>
      <c r="I158" s="106" t="s">
        <v>13</v>
      </c>
      <c r="J158" s="106" t="s">
        <v>160</v>
      </c>
      <c r="K158" s="106">
        <f t="shared" si="97"/>
        <v>0</v>
      </c>
      <c r="L158" s="110">
        <v>7</v>
      </c>
      <c r="M158" s="110">
        <v>8</v>
      </c>
      <c r="N158" s="110">
        <v>8</v>
      </c>
      <c r="O158" s="110">
        <v>7</v>
      </c>
      <c r="P158" s="110">
        <v>8</v>
      </c>
      <c r="Q158" s="110">
        <v>8</v>
      </c>
      <c r="R158" s="110">
        <v>7</v>
      </c>
      <c r="S158" s="110">
        <v>7</v>
      </c>
      <c r="T158" s="110">
        <v>7</v>
      </c>
      <c r="U158" s="110">
        <v>7</v>
      </c>
      <c r="V158" s="110">
        <v>2023</v>
      </c>
      <c r="W158" s="110">
        <v>2023</v>
      </c>
      <c r="X158" s="110" t="s">
        <v>2612</v>
      </c>
      <c r="Y158" s="106">
        <v>2109</v>
      </c>
      <c r="Z158" s="106">
        <f t="shared" si="99"/>
        <v>1</v>
      </c>
      <c r="AA158" s="106" t="s">
        <v>121</v>
      </c>
      <c r="AB158" s="111">
        <f t="shared" si="80"/>
        <v>3</v>
      </c>
      <c r="AC158" s="106" t="s">
        <v>2371</v>
      </c>
      <c r="AD158" s="107">
        <f t="shared" si="76"/>
        <v>81060.606060606064</v>
      </c>
      <c r="AE158" s="198">
        <v>1</v>
      </c>
      <c r="AF158" s="113">
        <f t="shared" si="90"/>
        <v>81060.606060606064</v>
      </c>
      <c r="AG158" s="106">
        <v>2023</v>
      </c>
      <c r="AH158" s="26" t="str">
        <f t="shared" si="69"/>
        <v/>
      </c>
      <c r="AI158" s="26" t="str">
        <f t="shared" si="96"/>
        <v>Microsurface double</v>
      </c>
      <c r="AJ158" s="26" t="str">
        <f t="shared" si="96"/>
        <v/>
      </c>
      <c r="AK158" s="26" t="str">
        <f t="shared" si="72"/>
        <v/>
      </c>
      <c r="AL158" s="26" t="str">
        <f t="shared" si="93"/>
        <v/>
      </c>
      <c r="AM158" s="26" t="str">
        <f t="shared" si="91"/>
        <v/>
      </c>
      <c r="AN158" s="26" t="str">
        <f t="shared" si="81"/>
        <v>Microsurface double</v>
      </c>
      <c r="AO158" s="26" t="str">
        <f t="shared" si="94"/>
        <v/>
      </c>
      <c r="AP158" s="26" t="str">
        <f t="shared" si="82"/>
        <v/>
      </c>
      <c r="AQ158" s="68">
        <f t="shared" si="77"/>
        <v>10</v>
      </c>
      <c r="AR158" s="68">
        <f t="shared" si="78"/>
        <v>10</v>
      </c>
      <c r="AS158" s="68">
        <f t="shared" si="83"/>
        <v>1.05</v>
      </c>
      <c r="AT158" s="68">
        <f t="shared" si="84"/>
        <v>1</v>
      </c>
      <c r="AU158" s="68">
        <f t="shared" si="85"/>
        <v>1</v>
      </c>
      <c r="AV158" s="68">
        <f t="shared" si="86"/>
        <v>1.05</v>
      </c>
      <c r="AW158" s="68">
        <f t="shared" si="87"/>
        <v>1</v>
      </c>
      <c r="AX158" s="68">
        <f t="shared" ca="1" si="79"/>
        <v>-1</v>
      </c>
      <c r="AY158" s="106">
        <v>2017</v>
      </c>
      <c r="AZ158" s="106" t="s">
        <v>13</v>
      </c>
      <c r="BA158" s="106" t="str">
        <f t="shared" si="88"/>
        <v/>
      </c>
      <c r="BB158" s="177"/>
      <c r="BC158" s="177">
        <v>8</v>
      </c>
      <c r="BD158" s="177"/>
      <c r="BE158" s="177"/>
      <c r="BF158" s="177"/>
      <c r="BG158" s="177"/>
      <c r="BH158" s="177"/>
      <c r="BI158" s="33"/>
      <c r="BJ158" s="2"/>
      <c r="BK158" s="48">
        <f>$G158/5280*VLOOKUP($AC158,'Cost and Score'!$B$27:$O$40,6,0)</f>
        <v>0.50662878787878785</v>
      </c>
      <c r="BL158" s="48">
        <f>$G158/5280*VLOOKUP($AC158,'Cost and Score'!$B$27:$O$40,7,0)</f>
        <v>0</v>
      </c>
      <c r="BM158" s="48">
        <f>$G158/5280*VLOOKUP($AC158,'Cost and Score'!$B$27:$O$40,8,0)</f>
        <v>0</v>
      </c>
      <c r="BN158" s="48">
        <f>$G158/5280*VLOOKUP($AC158,'Cost and Score'!$B$27:$O$40,9,0)</f>
        <v>0</v>
      </c>
      <c r="BO158" s="48">
        <f>$G158/5280*VLOOKUP($AC158,'Cost and Score'!$B$27:$O$40,10,0)</f>
        <v>0</v>
      </c>
      <c r="BP158" s="48">
        <f>$G158/5280*VLOOKUP($AC158,'Cost and Score'!$B$27:$O$40,11,0)</f>
        <v>0</v>
      </c>
      <c r="BQ158" s="48">
        <f>$G158/5280*VLOOKUP($AC158,'Cost and Score'!$B$27:$O$40,12,0)</f>
        <v>0</v>
      </c>
      <c r="BR158" s="48">
        <f>$G158/5280*VLOOKUP($AC158,'Cost and Score'!$B$27:$O$40,13,0)</f>
        <v>0</v>
      </c>
      <c r="BS158" s="48">
        <f>$G158/5280*VLOOKUP($AC158,'Cost and Score'!$B$27:$O$40,14,0)</f>
        <v>0</v>
      </c>
      <c r="BT158" s="220">
        <f t="shared" si="89"/>
        <v>1.0132575757575757</v>
      </c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1:103" s="2" customFormat="1" ht="14.45" hidden="1" customHeight="1" x14ac:dyDescent="0.25">
      <c r="A159" s="15" t="s">
        <v>395</v>
      </c>
      <c r="B159" s="34" t="s">
        <v>394</v>
      </c>
      <c r="C159" s="26" t="s">
        <v>394</v>
      </c>
      <c r="D159" s="26"/>
      <c r="E159" s="26" t="s">
        <v>25</v>
      </c>
      <c r="F159" s="26" t="s">
        <v>197</v>
      </c>
      <c r="G159" s="29">
        <v>5300</v>
      </c>
      <c r="H159" s="29">
        <f t="shared" si="98"/>
        <v>20</v>
      </c>
      <c r="I159" s="26" t="s">
        <v>8</v>
      </c>
      <c r="J159" s="26" t="s">
        <v>125</v>
      </c>
      <c r="K159" s="26">
        <f t="shared" si="97"/>
        <v>0</v>
      </c>
      <c r="L159" s="42">
        <v>9</v>
      </c>
      <c r="M159" s="42">
        <v>7</v>
      </c>
      <c r="N159" s="42">
        <v>7</v>
      </c>
      <c r="O159" s="42">
        <v>7</v>
      </c>
      <c r="P159" s="42">
        <v>7</v>
      </c>
      <c r="Q159" s="42">
        <v>7</v>
      </c>
      <c r="R159" s="42">
        <v>7</v>
      </c>
      <c r="S159" s="42">
        <v>7</v>
      </c>
      <c r="T159" s="42">
        <v>7</v>
      </c>
      <c r="U159" s="42">
        <v>7</v>
      </c>
      <c r="V159" s="42">
        <v>2024</v>
      </c>
      <c r="W159" s="42">
        <v>2017</v>
      </c>
      <c r="X159" s="42" t="s">
        <v>2612</v>
      </c>
      <c r="Y159" s="26">
        <v>2241</v>
      </c>
      <c r="Z159" s="26">
        <f t="shared" si="99"/>
        <v>1</v>
      </c>
      <c r="AA159" s="26" t="s">
        <v>121</v>
      </c>
      <c r="AB159" s="111">
        <f t="shared" si="80"/>
        <v>4</v>
      </c>
      <c r="AC159" s="106" t="s">
        <v>13</v>
      </c>
      <c r="AD159" s="47">
        <f t="shared" si="76"/>
        <v>21079.545454545456</v>
      </c>
      <c r="AE159" s="140"/>
      <c r="AF159" s="113">
        <f t="shared" si="90"/>
        <v>0</v>
      </c>
      <c r="AG159" s="85">
        <v>2026</v>
      </c>
      <c r="AH159" s="26" t="str">
        <f t="shared" si="69"/>
        <v/>
      </c>
      <c r="AI159" s="26" t="str">
        <f t="shared" si="96"/>
        <v/>
      </c>
      <c r="AJ159" s="26" t="str">
        <f t="shared" si="96"/>
        <v/>
      </c>
      <c r="AK159" s="26" t="str">
        <f t="shared" si="72"/>
        <v/>
      </c>
      <c r="AL159" s="26" t="str">
        <f t="shared" si="93"/>
        <v>Chip Seal and Fog</v>
      </c>
      <c r="AM159" s="26" t="str">
        <f t="shared" si="91"/>
        <v/>
      </c>
      <c r="AN159" s="26" t="str">
        <f t="shared" si="81"/>
        <v>Chip Seal and Fog</v>
      </c>
      <c r="AO159" s="26" t="str">
        <f t="shared" si="94"/>
        <v/>
      </c>
      <c r="AP159" s="26" t="str">
        <f t="shared" si="82"/>
        <v/>
      </c>
      <c r="AQ159" s="68">
        <f t="shared" si="77"/>
        <v>10</v>
      </c>
      <c r="AR159" s="68">
        <f t="shared" si="78"/>
        <v>6</v>
      </c>
      <c r="AS159" s="68">
        <f t="shared" si="83"/>
        <v>1</v>
      </c>
      <c r="AT159" s="68">
        <f t="shared" si="84"/>
        <v>1.05</v>
      </c>
      <c r="AU159" s="68">
        <f t="shared" si="85"/>
        <v>1.05</v>
      </c>
      <c r="AV159" s="68">
        <f t="shared" si="86"/>
        <v>1.05</v>
      </c>
      <c r="AW159" s="68">
        <f t="shared" si="87"/>
        <v>1.05</v>
      </c>
      <c r="AX159" s="68">
        <f t="shared" ca="1" si="79"/>
        <v>2.1</v>
      </c>
      <c r="AY159" s="106">
        <v>2020</v>
      </c>
      <c r="AZ159" s="106" t="s">
        <v>13</v>
      </c>
      <c r="BA159" s="106" t="str">
        <f t="shared" si="88"/>
        <v/>
      </c>
      <c r="BB159" s="177"/>
      <c r="BC159" s="177">
        <v>4</v>
      </c>
      <c r="BD159" s="177"/>
      <c r="BE159" s="177"/>
      <c r="BF159" s="177"/>
      <c r="BG159" s="177"/>
      <c r="BH159" s="177"/>
      <c r="BI159" s="33"/>
      <c r="BK159" s="48">
        <f>$G159/5280*VLOOKUP($AC159,'Cost and Score'!$B$27:$O$40,6,0)</f>
        <v>0.2007575757575758</v>
      </c>
      <c r="BL159" s="48">
        <f>$G159/5280*VLOOKUP($AC159,'Cost and Score'!$B$27:$O$40,7,0)</f>
        <v>22.083333333333336</v>
      </c>
      <c r="BM159" s="48">
        <f>$G159/5280*VLOOKUP($AC159,'Cost and Score'!$B$27:$O$40,8,0)</f>
        <v>0</v>
      </c>
      <c r="BN159" s="48">
        <f>$G159/5280*VLOOKUP($AC159,'Cost and Score'!$B$27:$O$40,9,0)</f>
        <v>4517.045454545455</v>
      </c>
      <c r="BO159" s="48">
        <f>$G159/5280*VLOOKUP($AC159,'Cost and Score'!$B$27:$O$40,10,0)</f>
        <v>1003.7878787878789</v>
      </c>
      <c r="BP159" s="48">
        <f>$G159/5280*VLOOKUP($AC159,'Cost and Score'!$B$27:$O$40,11,0)</f>
        <v>0</v>
      </c>
      <c r="BQ159" s="48">
        <f>$G159/5280*VLOOKUP($AC159,'Cost and Score'!$B$27:$O$40,12,0)</f>
        <v>100.37878787878789</v>
      </c>
      <c r="BR159" s="48">
        <f>$G159/5280*VLOOKUP($AC159,'Cost and Score'!$B$27:$O$40,13,0)</f>
        <v>120.45454545454547</v>
      </c>
      <c r="BS159" s="48">
        <f>$G159/5280*VLOOKUP($AC159,'Cost and Score'!$B$27:$O$40,14,0)</f>
        <v>0</v>
      </c>
      <c r="BT159" s="220">
        <f t="shared" si="89"/>
        <v>1.0037878787878789</v>
      </c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</row>
    <row r="160" spans="1:103" s="112" customFormat="1" ht="14.45" hidden="1" customHeight="1" x14ac:dyDescent="0.25">
      <c r="A160" s="15" t="s">
        <v>398</v>
      </c>
      <c r="B160" s="108" t="s">
        <v>396</v>
      </c>
      <c r="C160" s="106" t="s">
        <v>396</v>
      </c>
      <c r="D160" s="106"/>
      <c r="E160" s="106" t="s">
        <v>107</v>
      </c>
      <c r="F160" s="106" t="s">
        <v>397</v>
      </c>
      <c r="G160" s="109">
        <v>4488</v>
      </c>
      <c r="H160" s="109">
        <f t="shared" si="98"/>
        <v>20</v>
      </c>
      <c r="I160" s="106" t="s">
        <v>13</v>
      </c>
      <c r="J160" s="106" t="s">
        <v>160</v>
      </c>
      <c r="K160" s="106">
        <f t="shared" si="97"/>
        <v>0</v>
      </c>
      <c r="L160" s="110">
        <v>7</v>
      </c>
      <c r="M160" s="110">
        <v>7</v>
      </c>
      <c r="N160" s="110">
        <v>8</v>
      </c>
      <c r="O160" s="110">
        <v>7</v>
      </c>
      <c r="P160" s="110">
        <v>7</v>
      </c>
      <c r="Q160" s="110">
        <v>7</v>
      </c>
      <c r="R160" s="110">
        <v>7</v>
      </c>
      <c r="S160" s="110">
        <v>7</v>
      </c>
      <c r="T160" s="110">
        <v>7</v>
      </c>
      <c r="U160" s="110">
        <v>7</v>
      </c>
      <c r="V160" s="110">
        <v>2023</v>
      </c>
      <c r="W160" s="110">
        <v>2023</v>
      </c>
      <c r="X160" s="110" t="s">
        <v>2612</v>
      </c>
      <c r="Y160" s="106">
        <v>1552</v>
      </c>
      <c r="Z160" s="106">
        <f t="shared" si="99"/>
        <v>1</v>
      </c>
      <c r="AA160" s="106" t="s">
        <v>121</v>
      </c>
      <c r="AB160" s="111">
        <f t="shared" si="80"/>
        <v>4</v>
      </c>
      <c r="AC160" s="106" t="s">
        <v>2371</v>
      </c>
      <c r="AD160" s="107">
        <f t="shared" si="76"/>
        <v>68000</v>
      </c>
      <c r="AE160" s="198">
        <v>1</v>
      </c>
      <c r="AF160" s="113">
        <f t="shared" si="90"/>
        <v>68000</v>
      </c>
      <c r="AG160" s="106">
        <v>2023</v>
      </c>
      <c r="AH160" s="26" t="str">
        <f t="shared" si="69"/>
        <v/>
      </c>
      <c r="AI160" s="26" t="str">
        <f t="shared" si="96"/>
        <v>Microsurface double</v>
      </c>
      <c r="AJ160" s="26" t="str">
        <f t="shared" si="96"/>
        <v/>
      </c>
      <c r="AK160" s="26" t="str">
        <f t="shared" si="72"/>
        <v/>
      </c>
      <c r="AL160" s="26" t="str">
        <f t="shared" si="93"/>
        <v/>
      </c>
      <c r="AM160" s="26" t="str">
        <f t="shared" si="91"/>
        <v/>
      </c>
      <c r="AN160" s="26" t="str">
        <f t="shared" si="81"/>
        <v>Microsurface double</v>
      </c>
      <c r="AO160" s="26" t="str">
        <f t="shared" si="94"/>
        <v/>
      </c>
      <c r="AP160" s="26" t="str">
        <f t="shared" si="82"/>
        <v/>
      </c>
      <c r="AQ160" s="68">
        <f t="shared" si="77"/>
        <v>10</v>
      </c>
      <c r="AR160" s="68">
        <f t="shared" si="78"/>
        <v>10</v>
      </c>
      <c r="AS160" s="68">
        <f t="shared" si="83"/>
        <v>1.05</v>
      </c>
      <c r="AT160" s="68">
        <f t="shared" si="84"/>
        <v>1.05</v>
      </c>
      <c r="AU160" s="68">
        <f t="shared" si="85"/>
        <v>1</v>
      </c>
      <c r="AV160" s="68">
        <f t="shared" si="86"/>
        <v>1.05</v>
      </c>
      <c r="AW160" s="68">
        <f t="shared" si="87"/>
        <v>1.05</v>
      </c>
      <c r="AX160" s="68">
        <f t="shared" ca="1" si="79"/>
        <v>-1</v>
      </c>
      <c r="AY160" s="106">
        <v>2017</v>
      </c>
      <c r="AZ160" s="106" t="s">
        <v>13</v>
      </c>
      <c r="BA160" s="106" t="str">
        <f t="shared" si="88"/>
        <v/>
      </c>
      <c r="BB160" s="177"/>
      <c r="BC160" s="177">
        <v>8</v>
      </c>
      <c r="BD160" s="177"/>
      <c r="BE160" s="177"/>
      <c r="BF160" s="177"/>
      <c r="BG160" s="177"/>
      <c r="BH160" s="177"/>
      <c r="BI160" s="33"/>
      <c r="BJ160" s="2"/>
      <c r="BK160" s="48">
        <f>$G160/5280*VLOOKUP($AC160,'Cost and Score'!$B$27:$O$40,6,0)</f>
        <v>0.42499999999999999</v>
      </c>
      <c r="BL160" s="48">
        <f>$G160/5280*VLOOKUP($AC160,'Cost and Score'!$B$27:$O$40,7,0)</f>
        <v>0</v>
      </c>
      <c r="BM160" s="48">
        <f>$G160/5280*VLOOKUP($AC160,'Cost and Score'!$B$27:$O$40,8,0)</f>
        <v>0</v>
      </c>
      <c r="BN160" s="48">
        <f>$G160/5280*VLOOKUP($AC160,'Cost and Score'!$B$27:$O$40,9,0)</f>
        <v>0</v>
      </c>
      <c r="BO160" s="48">
        <f>$G160/5280*VLOOKUP($AC160,'Cost and Score'!$B$27:$O$40,10,0)</f>
        <v>0</v>
      </c>
      <c r="BP160" s="48">
        <f>$G160/5280*VLOOKUP($AC160,'Cost and Score'!$B$27:$O$40,11,0)</f>
        <v>0</v>
      </c>
      <c r="BQ160" s="48">
        <f>$G160/5280*VLOOKUP($AC160,'Cost and Score'!$B$27:$O$40,12,0)</f>
        <v>0</v>
      </c>
      <c r="BR160" s="48">
        <f>$G160/5280*VLOOKUP($AC160,'Cost and Score'!$B$27:$O$40,13,0)</f>
        <v>0</v>
      </c>
      <c r="BS160" s="48">
        <f>$G160/5280*VLOOKUP($AC160,'Cost and Score'!$B$27:$O$40,14,0)</f>
        <v>0</v>
      </c>
      <c r="BT160" s="220">
        <f t="shared" si="89"/>
        <v>0.85</v>
      </c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1:103" s="2" customFormat="1" ht="14.45" hidden="1" customHeight="1" x14ac:dyDescent="0.25">
      <c r="A161" s="15" t="s">
        <v>400</v>
      </c>
      <c r="B161" s="34" t="s">
        <v>399</v>
      </c>
      <c r="C161" s="26" t="s">
        <v>399</v>
      </c>
      <c r="D161" s="82"/>
      <c r="E161" s="82" t="s">
        <v>28</v>
      </c>
      <c r="F161" s="82" t="s">
        <v>25</v>
      </c>
      <c r="G161" s="29">
        <v>5300</v>
      </c>
      <c r="H161" s="29">
        <f t="shared" si="98"/>
        <v>20</v>
      </c>
      <c r="I161" s="26" t="s">
        <v>8</v>
      </c>
      <c r="J161" s="26" t="s">
        <v>125</v>
      </c>
      <c r="K161" s="26">
        <f t="shared" si="97"/>
        <v>0</v>
      </c>
      <c r="L161" s="42">
        <v>6</v>
      </c>
      <c r="M161" s="42">
        <v>6</v>
      </c>
      <c r="N161" s="42">
        <v>6</v>
      </c>
      <c r="O161" s="83">
        <v>6</v>
      </c>
      <c r="P161" s="83">
        <v>6</v>
      </c>
      <c r="Q161" s="83">
        <v>8</v>
      </c>
      <c r="R161" s="83">
        <v>7</v>
      </c>
      <c r="S161" s="83">
        <v>7</v>
      </c>
      <c r="T161" s="83">
        <v>7</v>
      </c>
      <c r="U161" s="83">
        <v>7</v>
      </c>
      <c r="V161" s="42">
        <v>2024</v>
      </c>
      <c r="W161" s="42">
        <v>2021</v>
      </c>
      <c r="X161" s="42" t="s">
        <v>2612</v>
      </c>
      <c r="Y161" s="26">
        <v>1364</v>
      </c>
      <c r="Z161" s="26">
        <f t="shared" si="99"/>
        <v>0.5</v>
      </c>
      <c r="AA161" s="82" t="s">
        <v>121</v>
      </c>
      <c r="AB161" s="111">
        <f t="shared" si="80"/>
        <v>4.5</v>
      </c>
      <c r="AC161" s="82" t="s">
        <v>751</v>
      </c>
      <c r="AD161" s="84">
        <f t="shared" si="76"/>
        <v>110416.66666666667</v>
      </c>
      <c r="AE161" s="140">
        <v>1</v>
      </c>
      <c r="AF161" s="113">
        <f t="shared" si="90"/>
        <v>110416.66666666667</v>
      </c>
      <c r="AG161" s="82">
        <v>2024</v>
      </c>
      <c r="AH161" s="26" t="str">
        <f t="shared" si="69"/>
        <v/>
      </c>
      <c r="AI161" s="26" t="str">
        <f t="shared" si="96"/>
        <v/>
      </c>
      <c r="AJ161" s="26" t="str">
        <f t="shared" si="96"/>
        <v>Overlay - 2"</v>
      </c>
      <c r="AK161" s="26" t="str">
        <f t="shared" si="72"/>
        <v/>
      </c>
      <c r="AL161" s="26" t="str">
        <f t="shared" si="93"/>
        <v/>
      </c>
      <c r="AM161" s="26" t="str">
        <f t="shared" si="91"/>
        <v/>
      </c>
      <c r="AN161" s="26" t="str">
        <f t="shared" si="81"/>
        <v>Overlay - 2"</v>
      </c>
      <c r="AO161" s="26" t="str">
        <f t="shared" si="94"/>
        <v/>
      </c>
      <c r="AP161" s="26" t="str">
        <f t="shared" si="82"/>
        <v/>
      </c>
      <c r="AQ161" s="68">
        <f t="shared" si="77"/>
        <v>8</v>
      </c>
      <c r="AR161" s="68">
        <f t="shared" si="78"/>
        <v>12</v>
      </c>
      <c r="AS161" s="68">
        <f t="shared" si="83"/>
        <v>1.1000000000000001</v>
      </c>
      <c r="AT161" s="68">
        <f t="shared" si="84"/>
        <v>1.1000000000000001</v>
      </c>
      <c r="AU161" s="68">
        <f t="shared" si="85"/>
        <v>1.1000000000000001</v>
      </c>
      <c r="AV161" s="68">
        <f t="shared" si="86"/>
        <v>1.1000000000000001</v>
      </c>
      <c r="AW161" s="68">
        <f t="shared" si="87"/>
        <v>1.1000000000000001</v>
      </c>
      <c r="AX161" s="68">
        <f t="shared" ca="1" si="79"/>
        <v>0</v>
      </c>
      <c r="AY161" s="106">
        <v>2018</v>
      </c>
      <c r="AZ161" s="106" t="s">
        <v>13</v>
      </c>
      <c r="BA161" s="106" t="str">
        <f t="shared" si="88"/>
        <v>CS</v>
      </c>
      <c r="BB161" s="177"/>
      <c r="BC161" s="177">
        <v>4</v>
      </c>
      <c r="BD161" s="177"/>
      <c r="BE161" s="177"/>
      <c r="BF161" s="177"/>
      <c r="BG161" s="177"/>
      <c r="BH161" s="177"/>
      <c r="BI161" s="33"/>
      <c r="BK161" s="48">
        <f>$G161/5280*VLOOKUP($AC161,'Cost and Score'!$B$27:$O$40,6,0)</f>
        <v>2.2585227272727275</v>
      </c>
      <c r="BL161" s="48">
        <f>$G161/5280*VLOOKUP($AC161,'Cost and Score'!$B$27:$O$40,7,0)</f>
        <v>210.79545454545456</v>
      </c>
      <c r="BM161" s="48">
        <f>$G161/5280*VLOOKUP($AC161,'Cost and Score'!$B$27:$O$40,8,0)</f>
        <v>351.32575757575762</v>
      </c>
      <c r="BN161" s="48">
        <f>$G161/5280*VLOOKUP($AC161,'Cost and Score'!$B$27:$O$40,9,0)</f>
        <v>0</v>
      </c>
      <c r="BO161" s="48">
        <f>$G161/5280*VLOOKUP($AC161,'Cost and Score'!$B$27:$O$40,10,0)</f>
        <v>0</v>
      </c>
      <c r="BP161" s="48">
        <f>$G161/5280*VLOOKUP($AC161,'Cost and Score'!$B$27:$O$40,11,0)</f>
        <v>200.75757575757578</v>
      </c>
      <c r="BQ161" s="48">
        <f>$G161/5280*VLOOKUP($AC161,'Cost and Score'!$B$27:$O$40,12,0)</f>
        <v>1706.4393939393942</v>
      </c>
      <c r="BR161" s="48">
        <f>$G161/5280*VLOOKUP($AC161,'Cost and Score'!$B$27:$O$40,13,0)</f>
        <v>0</v>
      </c>
      <c r="BS161" s="48">
        <f>$G161/5280*VLOOKUP($AC161,'Cost and Score'!$B$27:$O$40,14,0)</f>
        <v>0</v>
      </c>
      <c r="BT161" s="220">
        <f t="shared" si="89"/>
        <v>1.0037878787878789</v>
      </c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</row>
    <row r="162" spans="1:103" s="2" customFormat="1" ht="14.45" hidden="1" customHeight="1" x14ac:dyDescent="0.25">
      <c r="A162" s="36" t="s">
        <v>402</v>
      </c>
      <c r="B162" s="34" t="s">
        <v>401</v>
      </c>
      <c r="C162" s="26" t="s">
        <v>401</v>
      </c>
      <c r="D162" s="26"/>
      <c r="E162" s="26" t="s">
        <v>9</v>
      </c>
      <c r="F162" s="26" t="s">
        <v>28</v>
      </c>
      <c r="G162" s="29">
        <v>5170</v>
      </c>
      <c r="H162" s="29">
        <f t="shared" si="98"/>
        <v>20</v>
      </c>
      <c r="I162" s="26" t="s">
        <v>13</v>
      </c>
      <c r="J162" s="26" t="s">
        <v>125</v>
      </c>
      <c r="K162" s="26">
        <f t="shared" si="97"/>
        <v>0</v>
      </c>
      <c r="L162" s="42">
        <v>5</v>
      </c>
      <c r="M162" s="42">
        <v>5</v>
      </c>
      <c r="N162" s="42">
        <v>9</v>
      </c>
      <c r="O162" s="42">
        <v>9</v>
      </c>
      <c r="P162" s="42">
        <v>8</v>
      </c>
      <c r="Q162" s="42">
        <v>7</v>
      </c>
      <c r="R162" s="42">
        <v>7</v>
      </c>
      <c r="S162" s="42">
        <v>7</v>
      </c>
      <c r="T162" s="42">
        <v>7</v>
      </c>
      <c r="U162" s="42">
        <v>7</v>
      </c>
      <c r="V162" s="42">
        <v>2024</v>
      </c>
      <c r="W162" s="42">
        <v>2021</v>
      </c>
      <c r="X162" s="42" t="s">
        <v>2612</v>
      </c>
      <c r="Y162" s="26">
        <v>1779</v>
      </c>
      <c r="Z162" s="26">
        <f t="shared" si="99"/>
        <v>1</v>
      </c>
      <c r="AA162" s="26" t="s">
        <v>121</v>
      </c>
      <c r="AB162" s="111">
        <f t="shared" si="80"/>
        <v>3</v>
      </c>
      <c r="AC162" s="26" t="s">
        <v>13</v>
      </c>
      <c r="AD162" s="47">
        <f t="shared" si="76"/>
        <v>20562.5</v>
      </c>
      <c r="AE162" s="140"/>
      <c r="AF162" s="113">
        <f t="shared" si="90"/>
        <v>0</v>
      </c>
      <c r="AG162" s="26">
        <v>2022</v>
      </c>
      <c r="AH162" s="26" t="str">
        <f t="shared" si="69"/>
        <v>Chip Seal and Fog</v>
      </c>
      <c r="AI162" s="26" t="str">
        <f t="shared" si="96"/>
        <v/>
      </c>
      <c r="AJ162" s="26" t="str">
        <f t="shared" si="96"/>
        <v/>
      </c>
      <c r="AK162" s="26" t="str">
        <f t="shared" si="72"/>
        <v/>
      </c>
      <c r="AL162" s="26" t="str">
        <f t="shared" si="93"/>
        <v/>
      </c>
      <c r="AM162" s="26" t="str">
        <f t="shared" si="91"/>
        <v/>
      </c>
      <c r="AN162" s="26" t="str">
        <f t="shared" si="81"/>
        <v>Chip Seal and Fog</v>
      </c>
      <c r="AO162" s="26" t="str">
        <f t="shared" si="94"/>
        <v/>
      </c>
      <c r="AP162" s="26" t="str">
        <f t="shared" si="82"/>
        <v>Chip Seal and Fog</v>
      </c>
      <c r="AQ162" s="68">
        <f t="shared" si="77"/>
        <v>14</v>
      </c>
      <c r="AR162" s="68">
        <f t="shared" si="78"/>
        <v>6</v>
      </c>
      <c r="AS162" s="68">
        <f t="shared" si="83"/>
        <v>1.25</v>
      </c>
      <c r="AT162" s="68">
        <f t="shared" si="84"/>
        <v>1.25</v>
      </c>
      <c r="AU162" s="68">
        <f t="shared" si="85"/>
        <v>1</v>
      </c>
      <c r="AV162" s="68">
        <f t="shared" si="86"/>
        <v>1</v>
      </c>
      <c r="AW162" s="68">
        <f t="shared" si="87"/>
        <v>1</v>
      </c>
      <c r="AX162" s="68">
        <f t="shared" ca="1" si="79"/>
        <v>-2</v>
      </c>
      <c r="AY162" s="106">
        <v>2022</v>
      </c>
      <c r="AZ162" s="106" t="s">
        <v>13</v>
      </c>
      <c r="BA162" s="106" t="str">
        <f t="shared" si="88"/>
        <v/>
      </c>
      <c r="BB162" s="177"/>
      <c r="BC162" s="177">
        <v>4</v>
      </c>
      <c r="BD162" s="177"/>
      <c r="BE162" s="177"/>
      <c r="BF162" s="177"/>
      <c r="BG162" s="177"/>
      <c r="BH162" s="177"/>
      <c r="BI162" s="33"/>
      <c r="BK162" s="48">
        <f>$G162/5280*VLOOKUP($AC162,'Cost and Score'!$B$27:$O$40,6,0)</f>
        <v>0.19583333333333333</v>
      </c>
      <c r="BL162" s="48">
        <f>$G162/5280*VLOOKUP($AC162,'Cost and Score'!$B$27:$O$40,7,0)</f>
        <v>21.541666666666664</v>
      </c>
      <c r="BM162" s="48">
        <f>$G162/5280*VLOOKUP($AC162,'Cost and Score'!$B$27:$O$40,8,0)</f>
        <v>0</v>
      </c>
      <c r="BN162" s="48">
        <f>$G162/5280*VLOOKUP($AC162,'Cost and Score'!$B$27:$O$40,9,0)</f>
        <v>4406.25</v>
      </c>
      <c r="BO162" s="48">
        <f>$G162/5280*VLOOKUP($AC162,'Cost and Score'!$B$27:$O$40,10,0)</f>
        <v>979.16666666666663</v>
      </c>
      <c r="BP162" s="48">
        <f>$G162/5280*VLOOKUP($AC162,'Cost and Score'!$B$27:$O$40,11,0)</f>
        <v>0</v>
      </c>
      <c r="BQ162" s="48">
        <f>$G162/5280*VLOOKUP($AC162,'Cost and Score'!$B$27:$O$40,12,0)</f>
        <v>97.916666666666657</v>
      </c>
      <c r="BR162" s="48">
        <f>$G162/5280*VLOOKUP($AC162,'Cost and Score'!$B$27:$O$40,13,0)</f>
        <v>117.5</v>
      </c>
      <c r="BS162" s="48">
        <f>$G162/5280*VLOOKUP($AC162,'Cost and Score'!$B$27:$O$40,14,0)</f>
        <v>0</v>
      </c>
      <c r="BT162" s="220">
        <f t="shared" si="89"/>
        <v>0.97916666666666663</v>
      </c>
      <c r="CG162" s="112"/>
      <c r="CH162" s="112"/>
      <c r="CI162" s="112"/>
      <c r="CJ162" s="112"/>
      <c r="CK162" s="112"/>
      <c r="CL162" s="112"/>
      <c r="CM162" s="112"/>
      <c r="CR162" s="112"/>
    </row>
    <row r="163" spans="1:103" s="112" customFormat="1" ht="14.45" hidden="1" customHeight="1" x14ac:dyDescent="0.25">
      <c r="A163" s="15" t="s">
        <v>404</v>
      </c>
      <c r="B163" s="108" t="s">
        <v>403</v>
      </c>
      <c r="C163" s="106" t="s">
        <v>403</v>
      </c>
      <c r="D163" s="106"/>
      <c r="E163" s="106" t="s">
        <v>9</v>
      </c>
      <c r="F163" s="106" t="s">
        <v>213</v>
      </c>
      <c r="G163" s="109">
        <v>5296</v>
      </c>
      <c r="H163" s="109">
        <f t="shared" si="98"/>
        <v>20</v>
      </c>
      <c r="I163" s="106" t="s">
        <v>8</v>
      </c>
      <c r="J163" s="106" t="s">
        <v>11</v>
      </c>
      <c r="K163" s="106">
        <f t="shared" si="97"/>
        <v>0</v>
      </c>
      <c r="L163" s="110">
        <v>7</v>
      </c>
      <c r="M163" s="110">
        <v>7</v>
      </c>
      <c r="N163" s="110">
        <v>7</v>
      </c>
      <c r="O163" s="110">
        <v>6</v>
      </c>
      <c r="P163" s="110">
        <v>8</v>
      </c>
      <c r="Q163" s="110">
        <v>8</v>
      </c>
      <c r="R163" s="110">
        <v>7</v>
      </c>
      <c r="S163" s="110">
        <v>7</v>
      </c>
      <c r="T163" s="110">
        <v>7</v>
      </c>
      <c r="U163" s="110">
        <v>7</v>
      </c>
      <c r="V163" s="110">
        <v>2023</v>
      </c>
      <c r="W163" s="110">
        <v>2023</v>
      </c>
      <c r="X163" s="110" t="s">
        <v>2612</v>
      </c>
      <c r="Y163" s="106">
        <v>1758</v>
      </c>
      <c r="Z163" s="106">
        <f t="shared" si="99"/>
        <v>1</v>
      </c>
      <c r="AA163" s="106" t="s">
        <v>121</v>
      </c>
      <c r="AB163" s="111">
        <f t="shared" si="80"/>
        <v>3</v>
      </c>
      <c r="AC163" s="85" t="s">
        <v>2371</v>
      </c>
      <c r="AD163" s="107">
        <f t="shared" si="76"/>
        <v>80242.42424242424</v>
      </c>
      <c r="AE163" s="140">
        <v>1</v>
      </c>
      <c r="AF163" s="113">
        <f t="shared" ref="AF163:AF194" si="100">AD163*AE163</f>
        <v>80242.42424242424</v>
      </c>
      <c r="AG163" s="106">
        <v>2024</v>
      </c>
      <c r="AH163" s="26" t="str">
        <f t="shared" si="69"/>
        <v/>
      </c>
      <c r="AI163" s="26" t="str">
        <f t="shared" si="96"/>
        <v/>
      </c>
      <c r="AJ163" s="26" t="str">
        <f t="shared" si="96"/>
        <v>Microsurface double</v>
      </c>
      <c r="AK163" s="26" t="str">
        <f t="shared" si="72"/>
        <v/>
      </c>
      <c r="AL163" s="26" t="str">
        <f t="shared" si="93"/>
        <v/>
      </c>
      <c r="AM163" s="26" t="str">
        <f t="shared" si="91"/>
        <v/>
      </c>
      <c r="AN163" s="26" t="str">
        <f t="shared" si="81"/>
        <v>Microsurface double</v>
      </c>
      <c r="AO163" s="26" t="str">
        <f t="shared" si="94"/>
        <v/>
      </c>
      <c r="AP163" s="26" t="str">
        <f t="shared" si="82"/>
        <v/>
      </c>
      <c r="AQ163" s="68">
        <f t="shared" si="77"/>
        <v>8</v>
      </c>
      <c r="AR163" s="68">
        <f t="shared" si="78"/>
        <v>10</v>
      </c>
      <c r="AS163" s="68">
        <f t="shared" si="83"/>
        <v>1.05</v>
      </c>
      <c r="AT163" s="68">
        <f t="shared" si="84"/>
        <v>1.05</v>
      </c>
      <c r="AU163" s="68">
        <f t="shared" si="85"/>
        <v>1.05</v>
      </c>
      <c r="AV163" s="68">
        <f t="shared" si="86"/>
        <v>1.1000000000000001</v>
      </c>
      <c r="AW163" s="68">
        <f t="shared" si="87"/>
        <v>1</v>
      </c>
      <c r="AX163" s="68">
        <f t="shared" ca="1" si="79"/>
        <v>0</v>
      </c>
      <c r="AY163" s="106">
        <v>2017</v>
      </c>
      <c r="AZ163" s="106" t="s">
        <v>751</v>
      </c>
      <c r="BA163" s="106" t="str">
        <f t="shared" si="88"/>
        <v/>
      </c>
      <c r="BB163" s="177"/>
      <c r="BC163" s="177">
        <v>4</v>
      </c>
      <c r="BD163" s="177"/>
      <c r="BE163" s="177"/>
      <c r="BF163" s="177"/>
      <c r="BG163" s="177"/>
      <c r="BH163" s="177"/>
      <c r="BI163" s="33" t="s">
        <v>2623</v>
      </c>
      <c r="BJ163" s="2"/>
      <c r="BK163" s="48">
        <f>$G163/5280*VLOOKUP($AC163,'Cost and Score'!$B$27:$O$40,6,0)</f>
        <v>0.50151515151515147</v>
      </c>
      <c r="BL163" s="48">
        <f>$G163/5280*VLOOKUP($AC163,'Cost and Score'!$B$27:$O$40,7,0)</f>
        <v>0</v>
      </c>
      <c r="BM163" s="48">
        <f>$G163/5280*VLOOKUP($AC163,'Cost and Score'!$B$27:$O$40,8,0)</f>
        <v>0</v>
      </c>
      <c r="BN163" s="48">
        <f>$G163/5280*VLOOKUP($AC163,'Cost and Score'!$B$27:$O$40,9,0)</f>
        <v>0</v>
      </c>
      <c r="BO163" s="48">
        <f>$G163/5280*VLOOKUP($AC163,'Cost and Score'!$B$27:$O$40,10,0)</f>
        <v>0</v>
      </c>
      <c r="BP163" s="48">
        <f>$G163/5280*VLOOKUP($AC163,'Cost and Score'!$B$27:$O$40,11,0)</f>
        <v>0</v>
      </c>
      <c r="BQ163" s="48">
        <f>$G163/5280*VLOOKUP($AC163,'Cost and Score'!$B$27:$O$40,12,0)</f>
        <v>0</v>
      </c>
      <c r="BR163" s="48">
        <f>$G163/5280*VLOOKUP($AC163,'Cost and Score'!$B$27:$O$40,13,0)</f>
        <v>0</v>
      </c>
      <c r="BS163" s="48">
        <f>$G163/5280*VLOOKUP($AC163,'Cost and Score'!$B$27:$O$40,14,0)</f>
        <v>0</v>
      </c>
      <c r="BT163" s="220">
        <f t="shared" si="89"/>
        <v>1.0030303030303029</v>
      </c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G163" s="2"/>
      <c r="CH163" s="2"/>
      <c r="CI163" s="2"/>
      <c r="CJ163" s="2"/>
      <c r="CK163" s="2"/>
      <c r="CL163" s="2"/>
      <c r="CM163" s="2"/>
      <c r="CR163" s="2"/>
      <c r="CS163" s="2"/>
      <c r="CT163" s="2"/>
      <c r="CU163" s="2"/>
      <c r="CV163" s="2"/>
      <c r="CW163" s="2"/>
      <c r="CX163" s="2"/>
      <c r="CY163" s="2"/>
    </row>
    <row r="164" spans="1:103" s="112" customFormat="1" ht="12" hidden="1" customHeight="1" x14ac:dyDescent="0.25">
      <c r="A164" s="15" t="s">
        <v>408</v>
      </c>
      <c r="B164" s="108" t="s">
        <v>407</v>
      </c>
      <c r="C164" s="106" t="s">
        <v>407</v>
      </c>
      <c r="D164" s="106"/>
      <c r="E164" s="106" t="s">
        <v>397</v>
      </c>
      <c r="F164" s="106" t="s">
        <v>209</v>
      </c>
      <c r="G164" s="109">
        <v>2587</v>
      </c>
      <c r="H164" s="109">
        <f t="shared" si="98"/>
        <v>20</v>
      </c>
      <c r="I164" s="106" t="s">
        <v>13</v>
      </c>
      <c r="J164" s="106" t="s">
        <v>160</v>
      </c>
      <c r="K164" s="106">
        <f t="shared" si="97"/>
        <v>0</v>
      </c>
      <c r="L164" s="110">
        <v>7</v>
      </c>
      <c r="M164" s="110">
        <v>7</v>
      </c>
      <c r="N164" s="110">
        <v>7</v>
      </c>
      <c r="O164" s="110">
        <v>6</v>
      </c>
      <c r="P164" s="110">
        <v>7</v>
      </c>
      <c r="Q164" s="110">
        <v>7</v>
      </c>
      <c r="R164" s="110">
        <v>7</v>
      </c>
      <c r="S164" s="110">
        <v>7</v>
      </c>
      <c r="T164" s="110">
        <v>7</v>
      </c>
      <c r="U164" s="110">
        <v>7</v>
      </c>
      <c r="V164" s="110">
        <v>2023</v>
      </c>
      <c r="W164" s="110">
        <v>2023</v>
      </c>
      <c r="X164" s="110" t="s">
        <v>2612</v>
      </c>
      <c r="Y164" s="106">
        <v>1552</v>
      </c>
      <c r="Z164" s="106">
        <f t="shared" si="99"/>
        <v>1</v>
      </c>
      <c r="AA164" s="106" t="s">
        <v>121</v>
      </c>
      <c r="AB164" s="111">
        <f t="shared" si="80"/>
        <v>4</v>
      </c>
      <c r="AC164" s="106" t="s">
        <v>2371</v>
      </c>
      <c r="AD164" s="107">
        <f t="shared" si="76"/>
        <v>39196.969696969696</v>
      </c>
      <c r="AE164" s="198">
        <v>1</v>
      </c>
      <c r="AF164" s="113">
        <f t="shared" si="100"/>
        <v>39196.969696969696</v>
      </c>
      <c r="AG164" s="106">
        <v>2023</v>
      </c>
      <c r="AH164" s="26" t="str">
        <f t="shared" si="69"/>
        <v/>
      </c>
      <c r="AI164" s="26" t="str">
        <f t="shared" si="96"/>
        <v>Microsurface double</v>
      </c>
      <c r="AJ164" s="26" t="str">
        <f t="shared" si="96"/>
        <v/>
      </c>
      <c r="AK164" s="26" t="str">
        <f t="shared" si="72"/>
        <v/>
      </c>
      <c r="AL164" s="26" t="str">
        <f t="shared" si="93"/>
        <v/>
      </c>
      <c r="AM164" s="26" t="str">
        <f t="shared" si="91"/>
        <v/>
      </c>
      <c r="AN164" s="26" t="str">
        <f t="shared" si="81"/>
        <v>Microsurface double</v>
      </c>
      <c r="AO164" s="26" t="str">
        <f t="shared" si="94"/>
        <v/>
      </c>
      <c r="AP164" s="26" t="str">
        <f t="shared" si="82"/>
        <v/>
      </c>
      <c r="AQ164" s="68">
        <f t="shared" si="77"/>
        <v>8</v>
      </c>
      <c r="AR164" s="68">
        <f t="shared" si="78"/>
        <v>10</v>
      </c>
      <c r="AS164" s="68">
        <f t="shared" si="83"/>
        <v>1.05</v>
      </c>
      <c r="AT164" s="68">
        <f t="shared" si="84"/>
        <v>1.05</v>
      </c>
      <c r="AU164" s="68">
        <f t="shared" si="85"/>
        <v>1.05</v>
      </c>
      <c r="AV164" s="68">
        <f t="shared" si="86"/>
        <v>1.1000000000000001</v>
      </c>
      <c r="AW164" s="68">
        <f t="shared" si="87"/>
        <v>1.05</v>
      </c>
      <c r="AX164" s="68">
        <f t="shared" ca="1" si="79"/>
        <v>-1.05</v>
      </c>
      <c r="AY164" s="106">
        <v>2017</v>
      </c>
      <c r="AZ164" s="106" t="s">
        <v>13</v>
      </c>
      <c r="BA164" s="106" t="str">
        <f t="shared" si="88"/>
        <v/>
      </c>
      <c r="BB164" s="177"/>
      <c r="BC164" s="177">
        <v>8</v>
      </c>
      <c r="BD164" s="177"/>
      <c r="BE164" s="177"/>
      <c r="BF164" s="177"/>
      <c r="BG164" s="177"/>
      <c r="BH164" s="177"/>
      <c r="BI164" s="33"/>
      <c r="BJ164" s="2"/>
      <c r="BK164" s="48">
        <f>$G164/5280*VLOOKUP($AC164,'Cost and Score'!$B$27:$O$40,6,0)</f>
        <v>0.24498106060606062</v>
      </c>
      <c r="BL164" s="48">
        <f>$G164/5280*VLOOKUP($AC164,'Cost and Score'!$B$27:$O$40,7,0)</f>
        <v>0</v>
      </c>
      <c r="BM164" s="48">
        <f>$G164/5280*VLOOKUP($AC164,'Cost and Score'!$B$27:$O$40,8,0)</f>
        <v>0</v>
      </c>
      <c r="BN164" s="48">
        <f>$G164/5280*VLOOKUP($AC164,'Cost and Score'!$B$27:$O$40,9,0)</f>
        <v>0</v>
      </c>
      <c r="BO164" s="48">
        <f>$G164/5280*VLOOKUP($AC164,'Cost and Score'!$B$27:$O$40,10,0)</f>
        <v>0</v>
      </c>
      <c r="BP164" s="48">
        <f>$G164/5280*VLOOKUP($AC164,'Cost and Score'!$B$27:$O$40,11,0)</f>
        <v>0</v>
      </c>
      <c r="BQ164" s="48">
        <f>$G164/5280*VLOOKUP($AC164,'Cost and Score'!$B$27:$O$40,12,0)</f>
        <v>0</v>
      </c>
      <c r="BR164" s="48">
        <f>$G164/5280*VLOOKUP($AC164,'Cost and Score'!$B$27:$O$40,13,0)</f>
        <v>0</v>
      </c>
      <c r="BS164" s="48">
        <f>$G164/5280*VLOOKUP($AC164,'Cost and Score'!$B$27:$O$40,14,0)</f>
        <v>0</v>
      </c>
      <c r="BT164" s="220">
        <f t="shared" si="89"/>
        <v>0.48996212121212124</v>
      </c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W164" s="2"/>
      <c r="CX164" s="2"/>
      <c r="CY164" s="2"/>
    </row>
    <row r="165" spans="1:103" s="112" customFormat="1" ht="14.45" hidden="1" customHeight="1" x14ac:dyDescent="0.25">
      <c r="A165" s="15" t="s">
        <v>410</v>
      </c>
      <c r="B165" s="108" t="s">
        <v>409</v>
      </c>
      <c r="C165" s="106" t="s">
        <v>409</v>
      </c>
      <c r="D165" s="106"/>
      <c r="E165" s="106" t="s">
        <v>213</v>
      </c>
      <c r="F165" s="106" t="s">
        <v>39</v>
      </c>
      <c r="G165" s="109">
        <v>5386</v>
      </c>
      <c r="H165" s="109">
        <f t="shared" si="98"/>
        <v>20</v>
      </c>
      <c r="I165" s="106" t="s">
        <v>8</v>
      </c>
      <c r="J165" s="106" t="s">
        <v>11</v>
      </c>
      <c r="K165" s="106">
        <f t="shared" si="97"/>
        <v>0</v>
      </c>
      <c r="L165" s="110">
        <v>7</v>
      </c>
      <c r="M165" s="110">
        <v>7</v>
      </c>
      <c r="N165" s="110">
        <v>7</v>
      </c>
      <c r="O165" s="110">
        <v>6</v>
      </c>
      <c r="P165" s="110">
        <v>8</v>
      </c>
      <c r="Q165" s="110">
        <v>8</v>
      </c>
      <c r="R165" s="110">
        <v>7</v>
      </c>
      <c r="S165" s="110">
        <v>7</v>
      </c>
      <c r="T165" s="110">
        <v>7</v>
      </c>
      <c r="U165" s="110">
        <v>7</v>
      </c>
      <c r="V165" s="110">
        <v>2023</v>
      </c>
      <c r="W165" s="110">
        <v>2023</v>
      </c>
      <c r="X165" s="110" t="s">
        <v>2612</v>
      </c>
      <c r="Y165" s="106">
        <v>2746</v>
      </c>
      <c r="Z165" s="106">
        <f t="shared" si="99"/>
        <v>1.5</v>
      </c>
      <c r="AA165" s="106" t="s">
        <v>121</v>
      </c>
      <c r="AB165" s="111">
        <f t="shared" si="80"/>
        <v>3.5</v>
      </c>
      <c r="AC165" s="85" t="s">
        <v>2371</v>
      </c>
      <c r="AD165" s="107">
        <f t="shared" si="76"/>
        <v>81606.060606060608</v>
      </c>
      <c r="AE165" s="140">
        <v>1</v>
      </c>
      <c r="AF165" s="113">
        <f t="shared" si="100"/>
        <v>81606.060606060608</v>
      </c>
      <c r="AG165" s="106">
        <v>2024</v>
      </c>
      <c r="AH165" s="26" t="str">
        <f t="shared" si="69"/>
        <v/>
      </c>
      <c r="AI165" s="26" t="str">
        <f t="shared" si="96"/>
        <v/>
      </c>
      <c r="AJ165" s="26" t="str">
        <f t="shared" si="96"/>
        <v>Microsurface double</v>
      </c>
      <c r="AK165" s="26" t="str">
        <f t="shared" si="72"/>
        <v/>
      </c>
      <c r="AL165" s="26" t="str">
        <f t="shared" si="93"/>
        <v/>
      </c>
      <c r="AM165" s="26" t="str">
        <f t="shared" si="91"/>
        <v/>
      </c>
      <c r="AN165" s="26" t="str">
        <f t="shared" si="81"/>
        <v>Microsurface double</v>
      </c>
      <c r="AO165" s="26" t="str">
        <f t="shared" si="94"/>
        <v/>
      </c>
      <c r="AP165" s="26" t="str">
        <f t="shared" si="82"/>
        <v/>
      </c>
      <c r="AQ165" s="68">
        <f t="shared" si="77"/>
        <v>8</v>
      </c>
      <c r="AR165" s="68">
        <f t="shared" si="78"/>
        <v>10</v>
      </c>
      <c r="AS165" s="68">
        <f t="shared" si="83"/>
        <v>1.05</v>
      </c>
      <c r="AT165" s="68">
        <f t="shared" si="84"/>
        <v>1.05</v>
      </c>
      <c r="AU165" s="68">
        <f t="shared" si="85"/>
        <v>1.05</v>
      </c>
      <c r="AV165" s="68">
        <f t="shared" si="86"/>
        <v>1.1000000000000001</v>
      </c>
      <c r="AW165" s="68">
        <f t="shared" si="87"/>
        <v>1</v>
      </c>
      <c r="AX165" s="68">
        <f t="shared" ca="1" si="79"/>
        <v>0</v>
      </c>
      <c r="AY165" s="106">
        <v>2017</v>
      </c>
      <c r="AZ165" s="106" t="s">
        <v>751</v>
      </c>
      <c r="BA165" s="106" t="str">
        <f t="shared" si="88"/>
        <v/>
      </c>
      <c r="BB165" s="177"/>
      <c r="BC165" s="177">
        <v>4</v>
      </c>
      <c r="BD165" s="177"/>
      <c r="BE165" s="177"/>
      <c r="BF165" s="177"/>
      <c r="BG165" s="177"/>
      <c r="BH165" s="177"/>
      <c r="BI165" s="33" t="s">
        <v>2623</v>
      </c>
      <c r="BJ165" s="2"/>
      <c r="BK165" s="48">
        <f>$G165/5280*VLOOKUP($AC165,'Cost and Score'!$B$27:$O$40,6,0)</f>
        <v>0.51003787878787876</v>
      </c>
      <c r="BL165" s="48">
        <f>$G165/5280*VLOOKUP($AC165,'Cost and Score'!$B$27:$O$40,7,0)</f>
        <v>0</v>
      </c>
      <c r="BM165" s="48">
        <f>$G165/5280*VLOOKUP($AC165,'Cost and Score'!$B$27:$O$40,8,0)</f>
        <v>0</v>
      </c>
      <c r="BN165" s="48">
        <f>$G165/5280*VLOOKUP($AC165,'Cost and Score'!$B$27:$O$40,9,0)</f>
        <v>0</v>
      </c>
      <c r="BO165" s="48">
        <f>$G165/5280*VLOOKUP($AC165,'Cost and Score'!$B$27:$O$40,10,0)</f>
        <v>0</v>
      </c>
      <c r="BP165" s="48">
        <f>$G165/5280*VLOOKUP($AC165,'Cost and Score'!$B$27:$O$40,11,0)</f>
        <v>0</v>
      </c>
      <c r="BQ165" s="48">
        <f>$G165/5280*VLOOKUP($AC165,'Cost and Score'!$B$27:$O$40,12,0)</f>
        <v>0</v>
      </c>
      <c r="BR165" s="48">
        <f>$G165/5280*VLOOKUP($AC165,'Cost and Score'!$B$27:$O$40,13,0)</f>
        <v>0</v>
      </c>
      <c r="BS165" s="48">
        <f>$G165/5280*VLOOKUP($AC165,'Cost and Score'!$B$27:$O$40,14,0)</f>
        <v>0</v>
      </c>
      <c r="BT165" s="220">
        <f t="shared" si="89"/>
        <v>1.0200757575757575</v>
      </c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W165" s="2"/>
      <c r="CX165" s="2"/>
      <c r="CY165" s="2"/>
    </row>
    <row r="166" spans="1:103" s="112" customFormat="1" ht="14.45" hidden="1" customHeight="1" x14ac:dyDescent="0.25">
      <c r="A166" s="15" t="s">
        <v>412</v>
      </c>
      <c r="B166" s="108" t="s">
        <v>411</v>
      </c>
      <c r="C166" s="106" t="s">
        <v>411</v>
      </c>
      <c r="D166" s="106"/>
      <c r="E166" s="106" t="s">
        <v>100</v>
      </c>
      <c r="F166" s="106" t="s">
        <v>307</v>
      </c>
      <c r="G166" s="109">
        <v>3650</v>
      </c>
      <c r="H166" s="109">
        <f t="shared" si="98"/>
        <v>20</v>
      </c>
      <c r="I166" s="106" t="s">
        <v>13</v>
      </c>
      <c r="J166" s="106" t="s">
        <v>160</v>
      </c>
      <c r="K166" s="106">
        <f t="shared" si="97"/>
        <v>0</v>
      </c>
      <c r="L166" s="110">
        <v>7</v>
      </c>
      <c r="M166" s="110">
        <v>7</v>
      </c>
      <c r="N166" s="110">
        <v>8</v>
      </c>
      <c r="O166" s="110">
        <v>7</v>
      </c>
      <c r="P166" s="110">
        <v>7</v>
      </c>
      <c r="Q166" s="110">
        <v>7</v>
      </c>
      <c r="R166" s="110">
        <v>7</v>
      </c>
      <c r="S166" s="110">
        <v>7</v>
      </c>
      <c r="T166" s="110">
        <v>7</v>
      </c>
      <c r="U166" s="110">
        <v>7</v>
      </c>
      <c r="V166" s="110">
        <v>2023</v>
      </c>
      <c r="W166" s="110">
        <v>2023</v>
      </c>
      <c r="X166" s="110" t="s">
        <v>2612</v>
      </c>
      <c r="Y166" s="106">
        <v>2987</v>
      </c>
      <c r="Z166" s="106">
        <f t="shared" si="99"/>
        <v>1.5</v>
      </c>
      <c r="AA166" s="106" t="s">
        <v>121</v>
      </c>
      <c r="AB166" s="111">
        <f t="shared" si="80"/>
        <v>4.5</v>
      </c>
      <c r="AC166" s="106" t="s">
        <v>2371</v>
      </c>
      <c r="AD166" s="107">
        <f t="shared" si="76"/>
        <v>55303.030303030304</v>
      </c>
      <c r="AE166" s="198">
        <v>1</v>
      </c>
      <c r="AF166" s="113">
        <f t="shared" si="100"/>
        <v>55303.030303030304</v>
      </c>
      <c r="AG166" s="106">
        <v>2023</v>
      </c>
      <c r="AH166" s="26" t="str">
        <f t="shared" si="69"/>
        <v/>
      </c>
      <c r="AI166" s="26" t="str">
        <f t="shared" si="96"/>
        <v>Microsurface double</v>
      </c>
      <c r="AJ166" s="26" t="str">
        <f t="shared" si="96"/>
        <v/>
      </c>
      <c r="AK166" s="26" t="str">
        <f t="shared" si="72"/>
        <v/>
      </c>
      <c r="AL166" s="26" t="str">
        <f t="shared" si="93"/>
        <v/>
      </c>
      <c r="AM166" s="26" t="str">
        <f t="shared" si="91"/>
        <v/>
      </c>
      <c r="AN166" s="26" t="str">
        <f t="shared" si="81"/>
        <v>Microsurface double</v>
      </c>
      <c r="AO166" s="26" t="str">
        <f t="shared" si="94"/>
        <v/>
      </c>
      <c r="AP166" s="26" t="str">
        <f t="shared" si="82"/>
        <v/>
      </c>
      <c r="AQ166" s="68">
        <f t="shared" si="77"/>
        <v>10</v>
      </c>
      <c r="AR166" s="68">
        <f t="shared" si="78"/>
        <v>10</v>
      </c>
      <c r="AS166" s="68">
        <f t="shared" si="83"/>
        <v>1.05</v>
      </c>
      <c r="AT166" s="68">
        <f t="shared" si="84"/>
        <v>1.05</v>
      </c>
      <c r="AU166" s="68">
        <f t="shared" si="85"/>
        <v>1</v>
      </c>
      <c r="AV166" s="68">
        <f t="shared" si="86"/>
        <v>1.05</v>
      </c>
      <c r="AW166" s="68">
        <f t="shared" si="87"/>
        <v>1.05</v>
      </c>
      <c r="AX166" s="68">
        <f t="shared" ca="1" si="79"/>
        <v>-1</v>
      </c>
      <c r="AY166" s="106">
        <v>2017</v>
      </c>
      <c r="AZ166" s="106" t="s">
        <v>13</v>
      </c>
      <c r="BA166" s="106" t="str">
        <f t="shared" si="88"/>
        <v/>
      </c>
      <c r="BB166" s="177"/>
      <c r="BC166" s="177">
        <v>8</v>
      </c>
      <c r="BD166" s="177"/>
      <c r="BE166" s="177"/>
      <c r="BF166" s="177"/>
      <c r="BG166" s="177"/>
      <c r="BH166" s="177"/>
      <c r="BI166" s="33"/>
      <c r="BJ166" s="2"/>
      <c r="BK166" s="48">
        <f>$G166/5280*VLOOKUP($AC166,'Cost and Score'!$B$27:$O$40,6,0)</f>
        <v>0.34564393939393939</v>
      </c>
      <c r="BL166" s="48">
        <f>$G166/5280*VLOOKUP($AC166,'Cost and Score'!$B$27:$O$40,7,0)</f>
        <v>0</v>
      </c>
      <c r="BM166" s="48">
        <f>$G166/5280*VLOOKUP($AC166,'Cost and Score'!$B$27:$O$40,8,0)</f>
        <v>0</v>
      </c>
      <c r="BN166" s="48">
        <f>$G166/5280*VLOOKUP($AC166,'Cost and Score'!$B$27:$O$40,9,0)</f>
        <v>0</v>
      </c>
      <c r="BO166" s="48">
        <f>$G166/5280*VLOOKUP($AC166,'Cost and Score'!$B$27:$O$40,10,0)</f>
        <v>0</v>
      </c>
      <c r="BP166" s="48">
        <f>$G166/5280*VLOOKUP($AC166,'Cost and Score'!$B$27:$O$40,11,0)</f>
        <v>0</v>
      </c>
      <c r="BQ166" s="48">
        <f>$G166/5280*VLOOKUP($AC166,'Cost and Score'!$B$27:$O$40,12,0)</f>
        <v>0</v>
      </c>
      <c r="BR166" s="48">
        <f>$G166/5280*VLOOKUP($AC166,'Cost and Score'!$B$27:$O$40,13,0)</f>
        <v>0</v>
      </c>
      <c r="BS166" s="48">
        <f>$G166/5280*VLOOKUP($AC166,'Cost and Score'!$B$27:$O$40,14,0)</f>
        <v>0</v>
      </c>
      <c r="BT166" s="220">
        <f t="shared" si="89"/>
        <v>0.69128787878787878</v>
      </c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103" s="112" customFormat="1" ht="14.45" hidden="1" customHeight="1" x14ac:dyDescent="0.25">
      <c r="A167" s="31" t="s">
        <v>2102</v>
      </c>
      <c r="B167" s="108" t="s">
        <v>413</v>
      </c>
      <c r="C167" s="106" t="s">
        <v>413</v>
      </c>
      <c r="D167" s="106"/>
      <c r="E167" s="106" t="s">
        <v>135</v>
      </c>
      <c r="F167" s="106" t="s">
        <v>10</v>
      </c>
      <c r="G167" s="109">
        <v>850</v>
      </c>
      <c r="H167" s="109">
        <f t="shared" si="98"/>
        <v>20</v>
      </c>
      <c r="I167" s="106" t="s">
        <v>8</v>
      </c>
      <c r="J167" s="106" t="s">
        <v>125</v>
      </c>
      <c r="K167" s="106">
        <f t="shared" si="97"/>
        <v>0</v>
      </c>
      <c r="L167" s="110">
        <v>9</v>
      </c>
      <c r="M167" s="110">
        <v>8</v>
      </c>
      <c r="N167" s="110">
        <v>8</v>
      </c>
      <c r="O167" s="110">
        <v>8</v>
      </c>
      <c r="P167" s="110">
        <v>8</v>
      </c>
      <c r="Q167" s="110">
        <v>8</v>
      </c>
      <c r="R167" s="110">
        <v>8</v>
      </c>
      <c r="S167" s="110">
        <v>8</v>
      </c>
      <c r="T167" s="110">
        <v>7</v>
      </c>
      <c r="U167" s="110">
        <v>7</v>
      </c>
      <c r="V167" s="110"/>
      <c r="W167" s="110"/>
      <c r="X167" s="110"/>
      <c r="Y167" s="106">
        <v>50</v>
      </c>
      <c r="Z167" s="106">
        <f t="shared" si="99"/>
        <v>0</v>
      </c>
      <c r="AA167" s="106" t="s">
        <v>414</v>
      </c>
      <c r="AB167" s="111">
        <f t="shared" si="80"/>
        <v>2</v>
      </c>
      <c r="AC167" s="85" t="s">
        <v>13</v>
      </c>
      <c r="AD167" s="107">
        <f t="shared" si="76"/>
        <v>3380.681818181818</v>
      </c>
      <c r="AE167" s="140"/>
      <c r="AF167" s="113">
        <f t="shared" si="100"/>
        <v>0</v>
      </c>
      <c r="AG167" s="85">
        <v>2024</v>
      </c>
      <c r="AH167" s="26" t="str">
        <f t="shared" si="69"/>
        <v/>
      </c>
      <c r="AI167" s="26" t="str">
        <f t="shared" si="96"/>
        <v/>
      </c>
      <c r="AJ167" s="26" t="str">
        <f t="shared" si="96"/>
        <v>Chip Seal and Fog</v>
      </c>
      <c r="AK167" s="26" t="str">
        <f t="shared" si="72"/>
        <v/>
      </c>
      <c r="AL167" s="26" t="str">
        <f t="shared" si="93"/>
        <v/>
      </c>
      <c r="AM167" s="26" t="str">
        <f t="shared" si="91"/>
        <v/>
      </c>
      <c r="AN167" s="26" t="str">
        <f t="shared" si="81"/>
        <v>Chip Seal and Fog</v>
      </c>
      <c r="AO167" s="26" t="str">
        <f t="shared" si="94"/>
        <v/>
      </c>
      <c r="AP167" s="26" t="str">
        <f t="shared" si="82"/>
        <v/>
      </c>
      <c r="AQ167" s="68">
        <f t="shared" si="77"/>
        <v>12</v>
      </c>
      <c r="AR167" s="68">
        <f t="shared" si="78"/>
        <v>6</v>
      </c>
      <c r="AS167" s="68">
        <f t="shared" si="83"/>
        <v>1</v>
      </c>
      <c r="AT167" s="68">
        <f t="shared" si="84"/>
        <v>1</v>
      </c>
      <c r="AU167" s="68">
        <f t="shared" si="85"/>
        <v>1</v>
      </c>
      <c r="AV167" s="68">
        <f t="shared" si="86"/>
        <v>1</v>
      </c>
      <c r="AW167" s="68">
        <f t="shared" si="87"/>
        <v>1</v>
      </c>
      <c r="AX167" s="68">
        <f t="shared" ca="1" si="79"/>
        <v>0</v>
      </c>
      <c r="AY167" s="106">
        <v>2018</v>
      </c>
      <c r="AZ167" s="106" t="s">
        <v>2075</v>
      </c>
      <c r="BA167" s="106" t="str">
        <f t="shared" si="88"/>
        <v>CRACK</v>
      </c>
      <c r="BB167" s="177"/>
      <c r="BC167" s="177">
        <v>6</v>
      </c>
      <c r="BD167" s="177"/>
      <c r="BE167" s="177"/>
      <c r="BF167" s="177"/>
      <c r="BG167" s="177"/>
      <c r="BH167" s="177"/>
      <c r="BI167" s="33"/>
      <c r="BJ167" s="2"/>
      <c r="BK167" s="48">
        <f>$G167/5280*VLOOKUP($AC167,'Cost and Score'!$B$27:$O$40,6,0)</f>
        <v>3.2196969696969696E-2</v>
      </c>
      <c r="BL167" s="48">
        <f>$G167/5280*VLOOKUP($AC167,'Cost and Score'!$B$27:$O$40,7,0)</f>
        <v>3.5416666666666665</v>
      </c>
      <c r="BM167" s="48">
        <f>$G167/5280*VLOOKUP($AC167,'Cost and Score'!$B$27:$O$40,8,0)</f>
        <v>0</v>
      </c>
      <c r="BN167" s="48">
        <f>$G167/5280*VLOOKUP($AC167,'Cost and Score'!$B$27:$O$40,9,0)</f>
        <v>724.43181818181813</v>
      </c>
      <c r="BO167" s="48">
        <f>$G167/5280*VLOOKUP($AC167,'Cost and Score'!$B$27:$O$40,10,0)</f>
        <v>160.98484848484847</v>
      </c>
      <c r="BP167" s="48">
        <f>$G167/5280*VLOOKUP($AC167,'Cost and Score'!$B$27:$O$40,11,0)</f>
        <v>0</v>
      </c>
      <c r="BQ167" s="48">
        <f>$G167/5280*VLOOKUP($AC167,'Cost and Score'!$B$27:$O$40,12,0)</f>
        <v>16.098484848484848</v>
      </c>
      <c r="BR167" s="48">
        <f>$G167/5280*VLOOKUP($AC167,'Cost and Score'!$B$27:$O$40,13,0)</f>
        <v>19.318181818181817</v>
      </c>
      <c r="BS167" s="48">
        <f>$G167/5280*VLOOKUP($AC167,'Cost and Score'!$B$27:$O$40,14,0)</f>
        <v>0</v>
      </c>
      <c r="BT167" s="220">
        <f t="shared" si="89"/>
        <v>0.16098484848484848</v>
      </c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W167" s="2"/>
      <c r="CX167" s="2"/>
      <c r="CY167" s="2"/>
    </row>
    <row r="168" spans="1:103" s="2" customFormat="1" ht="14.45" hidden="1" customHeight="1" x14ac:dyDescent="0.25">
      <c r="A168" s="15" t="s">
        <v>417</v>
      </c>
      <c r="B168" s="34" t="s">
        <v>415</v>
      </c>
      <c r="C168" s="26" t="s">
        <v>415</v>
      </c>
      <c r="D168" s="26"/>
      <c r="E168" s="26" t="s">
        <v>9</v>
      </c>
      <c r="F168" s="26" t="s">
        <v>416</v>
      </c>
      <c r="G168" s="29">
        <v>1318</v>
      </c>
      <c r="H168" s="29">
        <f t="shared" si="98"/>
        <v>20</v>
      </c>
      <c r="I168" s="26" t="s">
        <v>8</v>
      </c>
      <c r="J168" s="26" t="s">
        <v>62</v>
      </c>
      <c r="K168" s="26">
        <f t="shared" si="97"/>
        <v>0</v>
      </c>
      <c r="L168" s="42">
        <v>6</v>
      </c>
      <c r="M168" s="42">
        <v>5</v>
      </c>
      <c r="N168" s="42">
        <v>5</v>
      </c>
      <c r="O168" s="42">
        <v>9</v>
      </c>
      <c r="P168" s="42">
        <v>9</v>
      </c>
      <c r="Q168" s="42">
        <v>9</v>
      </c>
      <c r="R168" s="42">
        <v>8</v>
      </c>
      <c r="S168" s="42">
        <v>7</v>
      </c>
      <c r="T168" s="42">
        <v>7</v>
      </c>
      <c r="U168" s="42">
        <v>7</v>
      </c>
      <c r="V168" s="42"/>
      <c r="W168" s="42"/>
      <c r="X168" s="42"/>
      <c r="Y168" s="26">
        <v>202</v>
      </c>
      <c r="Z168" s="26">
        <f t="shared" si="99"/>
        <v>0</v>
      </c>
      <c r="AA168" s="26" t="s">
        <v>418</v>
      </c>
      <c r="AB168" s="111">
        <f t="shared" si="80"/>
        <v>1</v>
      </c>
      <c r="AC168" s="85" t="s">
        <v>2073</v>
      </c>
      <c r="AD168" s="47">
        <f t="shared" si="76"/>
        <v>7987.878787878788</v>
      </c>
      <c r="AE168" s="140"/>
      <c r="AF168" s="113">
        <f t="shared" si="100"/>
        <v>0</v>
      </c>
      <c r="AG168" s="26">
        <v>2027</v>
      </c>
      <c r="AH168" s="26" t="str">
        <f t="shared" si="69"/>
        <v/>
      </c>
      <c r="AI168" s="26" t="str">
        <f t="shared" si="96"/>
        <v/>
      </c>
      <c r="AJ168" s="26" t="str">
        <f t="shared" si="96"/>
        <v/>
      </c>
      <c r="AK168" s="26" t="str">
        <f t="shared" si="72"/>
        <v/>
      </c>
      <c r="AL168" s="26" t="str">
        <f t="shared" si="93"/>
        <v/>
      </c>
      <c r="AM168" s="26" t="str">
        <f t="shared" si="91"/>
        <v>Chip Seal - Double and Fog</v>
      </c>
      <c r="AN168" s="26" t="str">
        <f t="shared" si="81"/>
        <v>Chip Seal - Double and Fog</v>
      </c>
      <c r="AO168" s="26" t="str">
        <f t="shared" si="94"/>
        <v>Crack Seal</v>
      </c>
      <c r="AP168" s="26" t="str">
        <f t="shared" si="82"/>
        <v/>
      </c>
      <c r="AQ168" s="68">
        <f t="shared" si="77"/>
        <v>14</v>
      </c>
      <c r="AR168" s="68">
        <f t="shared" si="78"/>
        <v>6</v>
      </c>
      <c r="AS168" s="68">
        <f t="shared" si="83"/>
        <v>1.1000000000000001</v>
      </c>
      <c r="AT168" s="68">
        <f t="shared" si="84"/>
        <v>1.25</v>
      </c>
      <c r="AU168" s="68">
        <f t="shared" si="85"/>
        <v>1.25</v>
      </c>
      <c r="AV168" s="68">
        <f t="shared" si="86"/>
        <v>1</v>
      </c>
      <c r="AW168" s="68">
        <f t="shared" si="87"/>
        <v>1</v>
      </c>
      <c r="AX168" s="68">
        <f t="shared" ca="1" si="79"/>
        <v>3.75</v>
      </c>
      <c r="AY168" s="106">
        <v>2021</v>
      </c>
      <c r="AZ168" s="106" t="s">
        <v>2075</v>
      </c>
      <c r="BA168" s="106" t="str">
        <f t="shared" si="88"/>
        <v/>
      </c>
      <c r="BB168" s="177"/>
      <c r="BC168" s="177">
        <v>3</v>
      </c>
      <c r="BD168" s="177"/>
      <c r="BE168" s="177"/>
      <c r="BF168" s="177"/>
      <c r="BG168" s="177"/>
      <c r="BH168" s="177"/>
      <c r="BI168" s="33"/>
      <c r="BK168" s="48">
        <f>$G168/5280*VLOOKUP($AC168,'Cost and Score'!$B$27:$O$40,6,0)</f>
        <v>0.12481060606060607</v>
      </c>
      <c r="BL168" s="48">
        <f>$G168/5280*VLOOKUP($AC168,'Cost and Score'!$B$27:$O$40,7,0)</f>
        <v>12.481060606060607</v>
      </c>
      <c r="BM168" s="48">
        <f>$G168/5280*VLOOKUP($AC168,'Cost and Score'!$B$27:$O$40,8,0)</f>
        <v>0</v>
      </c>
      <c r="BN168" s="48">
        <f>$G168/5280*VLOOKUP($AC168,'Cost and Score'!$B$27:$O$40,9,0)</f>
        <v>2371.4015151515155</v>
      </c>
      <c r="BO168" s="48">
        <f>$G168/5280*VLOOKUP($AC168,'Cost and Score'!$B$27:$O$40,10,0)</f>
        <v>249.62121212121212</v>
      </c>
      <c r="BP168" s="48">
        <f>$G168/5280*VLOOKUP($AC168,'Cost and Score'!$B$27:$O$40,11,0)</f>
        <v>0</v>
      </c>
      <c r="BQ168" s="48">
        <f>$G168/5280*VLOOKUP($AC168,'Cost and Score'!$B$27:$O$40,12,0)</f>
        <v>49.924242424242429</v>
      </c>
      <c r="BR168" s="48">
        <f>$G168/5280*VLOOKUP($AC168,'Cost and Score'!$B$27:$O$40,13,0)</f>
        <v>44.931818181818187</v>
      </c>
      <c r="BS168" s="48">
        <f>$G168/5280*VLOOKUP($AC168,'Cost and Score'!$B$27:$O$40,14,0)</f>
        <v>59.909090909090914</v>
      </c>
      <c r="BT168" s="220">
        <f t="shared" si="89"/>
        <v>0.24962121212121213</v>
      </c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</row>
    <row r="169" spans="1:103" s="2" customFormat="1" ht="14.45" hidden="1" customHeight="1" x14ac:dyDescent="0.25">
      <c r="A169" s="15" t="s">
        <v>420</v>
      </c>
      <c r="B169" s="34" t="s">
        <v>419</v>
      </c>
      <c r="C169" s="26" t="s">
        <v>419</v>
      </c>
      <c r="D169" s="26"/>
      <c r="E169" s="26" t="s">
        <v>416</v>
      </c>
      <c r="F169" s="26" t="s">
        <v>213</v>
      </c>
      <c r="G169" s="29">
        <v>4013</v>
      </c>
      <c r="H169" s="29">
        <f t="shared" si="98"/>
        <v>20</v>
      </c>
      <c r="I169" s="26" t="s">
        <v>8</v>
      </c>
      <c r="J169" s="26" t="s">
        <v>62</v>
      </c>
      <c r="K169" s="26">
        <f t="shared" si="97"/>
        <v>0</v>
      </c>
      <c r="L169" s="42">
        <v>5</v>
      </c>
      <c r="M169" s="42">
        <v>5</v>
      </c>
      <c r="N169" s="42">
        <v>5</v>
      </c>
      <c r="O169" s="42">
        <v>9</v>
      </c>
      <c r="P169" s="42">
        <v>9</v>
      </c>
      <c r="Q169" s="42">
        <v>9</v>
      </c>
      <c r="R169" s="42">
        <v>8</v>
      </c>
      <c r="S169" s="42">
        <v>7</v>
      </c>
      <c r="T169" s="42">
        <v>7</v>
      </c>
      <c r="U169" s="42">
        <v>7</v>
      </c>
      <c r="V169" s="42"/>
      <c r="W169" s="42"/>
      <c r="X169" s="42"/>
      <c r="Y169" s="26">
        <v>202</v>
      </c>
      <c r="Z169" s="26">
        <f t="shared" si="99"/>
        <v>0</v>
      </c>
      <c r="AA169" s="26" t="s">
        <v>418</v>
      </c>
      <c r="AB169" s="111">
        <f t="shared" si="80"/>
        <v>1</v>
      </c>
      <c r="AC169" s="85" t="s">
        <v>2073</v>
      </c>
      <c r="AD169" s="47">
        <f t="shared" si="76"/>
        <v>24321.21212121212</v>
      </c>
      <c r="AE169" s="140"/>
      <c r="AF169" s="113">
        <f t="shared" si="100"/>
        <v>0</v>
      </c>
      <c r="AG169" s="26">
        <v>2027</v>
      </c>
      <c r="AH169" s="26" t="str">
        <f t="shared" si="69"/>
        <v/>
      </c>
      <c r="AI169" s="26" t="str">
        <f t="shared" si="96"/>
        <v/>
      </c>
      <c r="AJ169" s="26" t="str">
        <f t="shared" si="96"/>
        <v/>
      </c>
      <c r="AK169" s="26" t="str">
        <f t="shared" si="72"/>
        <v/>
      </c>
      <c r="AL169" s="26" t="str">
        <f t="shared" si="93"/>
        <v/>
      </c>
      <c r="AM169" s="26" t="str">
        <f t="shared" si="91"/>
        <v>Chip Seal - Double and Fog</v>
      </c>
      <c r="AN169" s="26" t="str">
        <f t="shared" si="81"/>
        <v>Chip Seal - Double and Fog</v>
      </c>
      <c r="AO169" s="26" t="str">
        <f t="shared" si="94"/>
        <v>Crack Seal</v>
      </c>
      <c r="AP169" s="26" t="str">
        <f t="shared" si="82"/>
        <v/>
      </c>
      <c r="AQ169" s="68">
        <f t="shared" si="77"/>
        <v>14</v>
      </c>
      <c r="AR169" s="68">
        <f t="shared" si="78"/>
        <v>6</v>
      </c>
      <c r="AS169" s="68">
        <f t="shared" si="83"/>
        <v>1.25</v>
      </c>
      <c r="AT169" s="68">
        <f t="shared" si="84"/>
        <v>1.25</v>
      </c>
      <c r="AU169" s="68">
        <f t="shared" si="85"/>
        <v>1.25</v>
      </c>
      <c r="AV169" s="68">
        <f t="shared" si="86"/>
        <v>1</v>
      </c>
      <c r="AW169" s="68">
        <f t="shared" si="87"/>
        <v>1</v>
      </c>
      <c r="AX169" s="68">
        <f t="shared" ca="1" si="79"/>
        <v>3.75</v>
      </c>
      <c r="AY169" s="106">
        <v>2021</v>
      </c>
      <c r="AZ169" s="106" t="s">
        <v>2075</v>
      </c>
      <c r="BA169" s="106" t="str">
        <f t="shared" si="88"/>
        <v/>
      </c>
      <c r="BB169" s="177"/>
      <c r="BC169" s="177">
        <v>3</v>
      </c>
      <c r="BD169" s="177"/>
      <c r="BE169" s="177"/>
      <c r="BF169" s="177"/>
      <c r="BG169" s="177"/>
      <c r="BH169" s="177"/>
      <c r="BI169" s="33"/>
      <c r="BK169" s="48">
        <f>$G169/5280*VLOOKUP($AC169,'Cost and Score'!$B$27:$O$40,6,0)</f>
        <v>0.38001893939393938</v>
      </c>
      <c r="BL169" s="48">
        <f>$G169/5280*VLOOKUP($AC169,'Cost and Score'!$B$27:$O$40,7,0)</f>
        <v>38.001893939393938</v>
      </c>
      <c r="BM169" s="48">
        <f>$G169/5280*VLOOKUP($AC169,'Cost and Score'!$B$27:$O$40,8,0)</f>
        <v>0</v>
      </c>
      <c r="BN169" s="48">
        <f>$G169/5280*VLOOKUP($AC169,'Cost and Score'!$B$27:$O$40,9,0)</f>
        <v>7220.359848484848</v>
      </c>
      <c r="BO169" s="48">
        <f>$G169/5280*VLOOKUP($AC169,'Cost and Score'!$B$27:$O$40,10,0)</f>
        <v>760.03787878787875</v>
      </c>
      <c r="BP169" s="48">
        <f>$G169/5280*VLOOKUP($AC169,'Cost and Score'!$B$27:$O$40,11,0)</f>
        <v>0</v>
      </c>
      <c r="BQ169" s="48">
        <f>$G169/5280*VLOOKUP($AC169,'Cost and Score'!$B$27:$O$40,12,0)</f>
        <v>152.00757575757575</v>
      </c>
      <c r="BR169" s="48">
        <f>$G169/5280*VLOOKUP($AC169,'Cost and Score'!$B$27:$O$40,13,0)</f>
        <v>136.80681818181819</v>
      </c>
      <c r="BS169" s="48">
        <f>$G169/5280*VLOOKUP($AC169,'Cost and Score'!$B$27:$O$40,14,0)</f>
        <v>182.40909090909091</v>
      </c>
      <c r="BT169" s="220">
        <f t="shared" si="89"/>
        <v>0.76003787878787876</v>
      </c>
    </row>
    <row r="170" spans="1:103" s="2" customFormat="1" ht="14.45" hidden="1" customHeight="1" x14ac:dyDescent="0.25">
      <c r="A170" s="15" t="s">
        <v>423</v>
      </c>
      <c r="B170" s="34" t="s">
        <v>421</v>
      </c>
      <c r="C170" s="26" t="s">
        <v>421</v>
      </c>
      <c r="D170" s="26"/>
      <c r="E170" s="26" t="s">
        <v>39</v>
      </c>
      <c r="F170" s="26" t="s">
        <v>422</v>
      </c>
      <c r="G170" s="29">
        <v>1795</v>
      </c>
      <c r="H170" s="29">
        <f t="shared" si="98"/>
        <v>20</v>
      </c>
      <c r="I170" s="26" t="s">
        <v>8</v>
      </c>
      <c r="J170" s="26" t="s">
        <v>62</v>
      </c>
      <c r="K170" s="26">
        <f t="shared" si="97"/>
        <v>0</v>
      </c>
      <c r="L170" s="42">
        <v>6</v>
      </c>
      <c r="M170" s="42">
        <v>6</v>
      </c>
      <c r="N170" s="42">
        <v>6</v>
      </c>
      <c r="O170" s="42">
        <v>9</v>
      </c>
      <c r="P170" s="42">
        <v>9</v>
      </c>
      <c r="Q170" s="42">
        <v>8</v>
      </c>
      <c r="R170" s="42">
        <v>7</v>
      </c>
      <c r="S170" s="42">
        <v>7</v>
      </c>
      <c r="T170" s="42">
        <v>7</v>
      </c>
      <c r="U170" s="42">
        <v>7</v>
      </c>
      <c r="V170" s="42"/>
      <c r="W170" s="42"/>
      <c r="X170" s="42"/>
      <c r="Y170" s="26">
        <v>97</v>
      </c>
      <c r="Z170" s="26">
        <f t="shared" si="99"/>
        <v>0</v>
      </c>
      <c r="AA170" s="26" t="s">
        <v>418</v>
      </c>
      <c r="AB170" s="111">
        <f t="shared" si="80"/>
        <v>1</v>
      </c>
      <c r="AC170" s="85" t="s">
        <v>2073</v>
      </c>
      <c r="AD170" s="47">
        <f t="shared" si="76"/>
        <v>10878.787878787878</v>
      </c>
      <c r="AE170" s="140"/>
      <c r="AF170" s="113">
        <f t="shared" si="100"/>
        <v>0</v>
      </c>
      <c r="AG170" s="26">
        <v>2027</v>
      </c>
      <c r="AH170" s="26" t="str">
        <f t="shared" si="69"/>
        <v/>
      </c>
      <c r="AI170" s="26" t="str">
        <f t="shared" si="96"/>
        <v/>
      </c>
      <c r="AJ170" s="26" t="str">
        <f t="shared" si="96"/>
        <v/>
      </c>
      <c r="AK170" s="26" t="str">
        <f t="shared" si="72"/>
        <v/>
      </c>
      <c r="AL170" s="26" t="str">
        <f t="shared" si="93"/>
        <v/>
      </c>
      <c r="AM170" s="26" t="str">
        <f t="shared" si="91"/>
        <v>Chip Seal - Double and Fog</v>
      </c>
      <c r="AN170" s="26" t="str">
        <f t="shared" si="81"/>
        <v>Chip Seal - Double and Fog</v>
      </c>
      <c r="AO170" s="26" t="str">
        <f t="shared" si="94"/>
        <v>Crack Seal</v>
      </c>
      <c r="AP170" s="26" t="str">
        <f t="shared" si="82"/>
        <v/>
      </c>
      <c r="AQ170" s="68">
        <f t="shared" si="77"/>
        <v>14</v>
      </c>
      <c r="AR170" s="68">
        <f t="shared" si="78"/>
        <v>6</v>
      </c>
      <c r="AS170" s="68">
        <f t="shared" si="83"/>
        <v>1.1000000000000001</v>
      </c>
      <c r="AT170" s="68">
        <f t="shared" si="84"/>
        <v>1.1000000000000001</v>
      </c>
      <c r="AU170" s="68">
        <f t="shared" si="85"/>
        <v>1.1000000000000001</v>
      </c>
      <c r="AV170" s="68">
        <f t="shared" si="86"/>
        <v>1</v>
      </c>
      <c r="AW170" s="68">
        <f t="shared" si="87"/>
        <v>1</v>
      </c>
      <c r="AX170" s="68">
        <f t="shared" ca="1" si="79"/>
        <v>3.3000000000000003</v>
      </c>
      <c r="AY170" s="106">
        <v>2021</v>
      </c>
      <c r="AZ170" s="106" t="s">
        <v>2075</v>
      </c>
      <c r="BA170" s="106" t="str">
        <f t="shared" si="88"/>
        <v/>
      </c>
      <c r="BB170" s="177"/>
      <c r="BC170" s="177">
        <v>1</v>
      </c>
      <c r="BD170" s="177"/>
      <c r="BE170" s="177"/>
      <c r="BF170" s="177"/>
      <c r="BG170" s="177"/>
      <c r="BH170" s="177"/>
      <c r="BI170" s="33"/>
      <c r="BK170" s="48">
        <f>$G170/5280*VLOOKUP($AC170,'Cost and Score'!$B$27:$O$40,6,0)</f>
        <v>0.16998106060606061</v>
      </c>
      <c r="BL170" s="48">
        <f>$G170/5280*VLOOKUP($AC170,'Cost and Score'!$B$27:$O$40,7,0)</f>
        <v>16.998106060606062</v>
      </c>
      <c r="BM170" s="48">
        <f>$G170/5280*VLOOKUP($AC170,'Cost and Score'!$B$27:$O$40,8,0)</f>
        <v>0</v>
      </c>
      <c r="BN170" s="48">
        <f>$G170/5280*VLOOKUP($AC170,'Cost and Score'!$B$27:$O$40,9,0)</f>
        <v>3229.6401515151515</v>
      </c>
      <c r="BO170" s="48">
        <f>$G170/5280*VLOOKUP($AC170,'Cost and Score'!$B$27:$O$40,10,0)</f>
        <v>339.96212121212119</v>
      </c>
      <c r="BP170" s="48">
        <f>$G170/5280*VLOOKUP($AC170,'Cost and Score'!$B$27:$O$40,11,0)</f>
        <v>0</v>
      </c>
      <c r="BQ170" s="48">
        <f>$G170/5280*VLOOKUP($AC170,'Cost and Score'!$B$27:$O$40,12,0)</f>
        <v>67.992424242424249</v>
      </c>
      <c r="BR170" s="48">
        <f>$G170/5280*VLOOKUP($AC170,'Cost and Score'!$B$27:$O$40,13,0)</f>
        <v>61.19318181818182</v>
      </c>
      <c r="BS170" s="48">
        <f>$G170/5280*VLOOKUP($AC170,'Cost and Score'!$B$27:$O$40,14,0)</f>
        <v>81.590909090909093</v>
      </c>
      <c r="BT170" s="220">
        <f t="shared" si="89"/>
        <v>0.33996212121212122</v>
      </c>
    </row>
    <row r="171" spans="1:103" s="2" customFormat="1" ht="14.45" hidden="1" customHeight="1" x14ac:dyDescent="0.25">
      <c r="A171" s="15" t="s">
        <v>425</v>
      </c>
      <c r="B171" s="34" t="s">
        <v>424</v>
      </c>
      <c r="C171" s="26" t="s">
        <v>424</v>
      </c>
      <c r="D171" s="82"/>
      <c r="E171" s="82" t="s">
        <v>213</v>
      </c>
      <c r="F171" s="82" t="s">
        <v>39</v>
      </c>
      <c r="G171" s="29">
        <v>5438</v>
      </c>
      <c r="H171" s="29">
        <f t="shared" si="98"/>
        <v>20</v>
      </c>
      <c r="I171" s="26" t="s">
        <v>8</v>
      </c>
      <c r="J171" s="26" t="s">
        <v>62</v>
      </c>
      <c r="K171" s="26">
        <f t="shared" si="97"/>
        <v>0</v>
      </c>
      <c r="L171" s="42">
        <v>6</v>
      </c>
      <c r="M171" s="42">
        <v>5</v>
      </c>
      <c r="N171" s="42">
        <v>5</v>
      </c>
      <c r="O171" s="83">
        <v>4</v>
      </c>
      <c r="P171" s="83">
        <v>4</v>
      </c>
      <c r="Q171" s="83">
        <v>8</v>
      </c>
      <c r="R171" s="83">
        <v>7</v>
      </c>
      <c r="S171" s="83">
        <v>7</v>
      </c>
      <c r="T171" s="83">
        <v>7</v>
      </c>
      <c r="U171" s="83">
        <v>7</v>
      </c>
      <c r="V171" s="42"/>
      <c r="W171" s="42"/>
      <c r="X171" s="42"/>
      <c r="Y171" s="26">
        <v>154</v>
      </c>
      <c r="Z171" s="26">
        <f t="shared" si="99"/>
        <v>0</v>
      </c>
      <c r="AA171" s="82" t="s">
        <v>418</v>
      </c>
      <c r="AB171" s="111">
        <f t="shared" si="80"/>
        <v>6</v>
      </c>
      <c r="AC171" s="82" t="s">
        <v>2073</v>
      </c>
      <c r="AD171" s="84">
        <f t="shared" si="76"/>
        <v>32957.57575757576</v>
      </c>
      <c r="AE171" s="140"/>
      <c r="AF171" s="113">
        <f t="shared" si="100"/>
        <v>0</v>
      </c>
      <c r="AG171" s="82">
        <v>2024</v>
      </c>
      <c r="AH171" s="26" t="str">
        <f t="shared" si="69"/>
        <v/>
      </c>
      <c r="AI171" s="26" t="str">
        <f t="shared" si="96"/>
        <v/>
      </c>
      <c r="AJ171" s="26" t="str">
        <f t="shared" si="96"/>
        <v>Chip Seal - Double and Fog</v>
      </c>
      <c r="AK171" s="26" t="str">
        <f t="shared" si="72"/>
        <v/>
      </c>
      <c r="AL171" s="26" t="str">
        <f t="shared" si="93"/>
        <v/>
      </c>
      <c r="AM171" s="26" t="str">
        <f t="shared" si="91"/>
        <v/>
      </c>
      <c r="AN171" s="26" t="str">
        <f t="shared" si="81"/>
        <v>Chip Seal - Double and Fog</v>
      </c>
      <c r="AO171" s="26" t="str">
        <f t="shared" si="94"/>
        <v/>
      </c>
      <c r="AP171" s="26" t="str">
        <f t="shared" si="82"/>
        <v/>
      </c>
      <c r="AQ171" s="68">
        <f t="shared" si="77"/>
        <v>3</v>
      </c>
      <c r="AR171" s="68">
        <f t="shared" si="78"/>
        <v>6</v>
      </c>
      <c r="AS171" s="68">
        <f t="shared" si="83"/>
        <v>1.1000000000000001</v>
      </c>
      <c r="AT171" s="68">
        <f t="shared" si="84"/>
        <v>1.25</v>
      </c>
      <c r="AU171" s="68">
        <f t="shared" si="85"/>
        <v>1.25</v>
      </c>
      <c r="AV171" s="68">
        <f t="shared" si="86"/>
        <v>1.5</v>
      </c>
      <c r="AW171" s="68">
        <f t="shared" si="87"/>
        <v>1.5</v>
      </c>
      <c r="AX171" s="68">
        <f t="shared" ca="1" si="79"/>
        <v>0</v>
      </c>
      <c r="AY171" s="68">
        <v>2018</v>
      </c>
      <c r="AZ171" s="68" t="s">
        <v>2073</v>
      </c>
      <c r="BA171" s="106" t="str">
        <f t="shared" si="88"/>
        <v>DS</v>
      </c>
      <c r="BB171" s="178"/>
      <c r="BC171" s="178">
        <v>3</v>
      </c>
      <c r="BD171" s="178"/>
      <c r="BE171" s="178"/>
      <c r="BF171" s="178"/>
      <c r="BG171" s="178"/>
      <c r="BH171" s="178"/>
      <c r="BI171" s="33"/>
      <c r="BK171" s="48">
        <f>$G171/5280*VLOOKUP($AC171,'Cost and Score'!$B$27:$O$40,6,0)</f>
        <v>0.51496212121212126</v>
      </c>
      <c r="BL171" s="48">
        <f>$G171/5280*VLOOKUP($AC171,'Cost and Score'!$B$27:$O$40,7,0)</f>
        <v>51.496212121212125</v>
      </c>
      <c r="BM171" s="48">
        <f>$G171/5280*VLOOKUP($AC171,'Cost and Score'!$B$27:$O$40,8,0)</f>
        <v>0</v>
      </c>
      <c r="BN171" s="48">
        <f>$G171/5280*VLOOKUP($AC171,'Cost and Score'!$B$27:$O$40,9,0)</f>
        <v>9784.2803030303039</v>
      </c>
      <c r="BO171" s="48">
        <f>$G171/5280*VLOOKUP($AC171,'Cost and Score'!$B$27:$O$40,10,0)</f>
        <v>1029.9242424242425</v>
      </c>
      <c r="BP171" s="48">
        <f>$G171/5280*VLOOKUP($AC171,'Cost and Score'!$B$27:$O$40,11,0)</f>
        <v>0</v>
      </c>
      <c r="BQ171" s="48">
        <f>$G171/5280*VLOOKUP($AC171,'Cost and Score'!$B$27:$O$40,12,0)</f>
        <v>205.9848484848485</v>
      </c>
      <c r="BR171" s="48">
        <f>$G171/5280*VLOOKUP($AC171,'Cost and Score'!$B$27:$O$40,13,0)</f>
        <v>185.38636363636365</v>
      </c>
      <c r="BS171" s="48">
        <f>$G171/5280*VLOOKUP($AC171,'Cost and Score'!$B$27:$O$40,14,0)</f>
        <v>247.18181818181822</v>
      </c>
      <c r="BT171" s="220">
        <f t="shared" si="89"/>
        <v>1.0299242424242425</v>
      </c>
    </row>
    <row r="172" spans="1:103" s="2" customFormat="1" ht="14.45" hidden="1" customHeight="1" x14ac:dyDescent="0.25">
      <c r="A172" s="15" t="s">
        <v>427</v>
      </c>
      <c r="B172" s="34" t="s">
        <v>426</v>
      </c>
      <c r="C172" s="26" t="s">
        <v>426</v>
      </c>
      <c r="D172" s="26"/>
      <c r="E172" s="26" t="s">
        <v>153</v>
      </c>
      <c r="F172" s="26" t="s">
        <v>288</v>
      </c>
      <c r="G172" s="29">
        <v>5420</v>
      </c>
      <c r="H172" s="29">
        <f t="shared" si="98"/>
        <v>20</v>
      </c>
      <c r="I172" s="26" t="s">
        <v>8</v>
      </c>
      <c r="J172" s="26" t="s">
        <v>26</v>
      </c>
      <c r="K172" s="26">
        <f t="shared" si="97"/>
        <v>0</v>
      </c>
      <c r="L172" s="42">
        <v>9</v>
      </c>
      <c r="M172" s="42">
        <v>10</v>
      </c>
      <c r="N172" s="42">
        <v>9</v>
      </c>
      <c r="O172" s="42">
        <v>8</v>
      </c>
      <c r="P172" s="42">
        <v>8</v>
      </c>
      <c r="Q172" s="42">
        <v>8</v>
      </c>
      <c r="R172" s="42">
        <v>7</v>
      </c>
      <c r="S172" s="42">
        <v>7</v>
      </c>
      <c r="T172" s="42">
        <v>7</v>
      </c>
      <c r="U172" s="42">
        <v>7</v>
      </c>
      <c r="V172" s="42">
        <v>2024</v>
      </c>
      <c r="W172" s="42">
        <v>2021</v>
      </c>
      <c r="X172" s="42" t="s">
        <v>2612</v>
      </c>
      <c r="Y172" s="26">
        <v>1354</v>
      </c>
      <c r="Z172" s="26">
        <f t="shared" si="99"/>
        <v>0.5</v>
      </c>
      <c r="AA172" s="26" t="s">
        <v>222</v>
      </c>
      <c r="AB172" s="111">
        <f t="shared" si="80"/>
        <v>2.5</v>
      </c>
      <c r="AC172" s="106" t="s">
        <v>13</v>
      </c>
      <c r="AD172" s="47">
        <f t="shared" si="76"/>
        <v>21556.81818181818</v>
      </c>
      <c r="AE172" s="140"/>
      <c r="AF172" s="113">
        <f t="shared" si="100"/>
        <v>0</v>
      </c>
      <c r="AG172" s="85">
        <v>2026</v>
      </c>
      <c r="AH172" s="26" t="str">
        <f t="shared" si="69"/>
        <v/>
      </c>
      <c r="AI172" s="26" t="str">
        <f t="shared" ref="AI172:AJ191" si="101">IF($AG172=AI$1,VLOOKUP($AC172,RSL,3,FALSE),"")</f>
        <v/>
      </c>
      <c r="AJ172" s="26" t="str">
        <f t="shared" si="101"/>
        <v/>
      </c>
      <c r="AK172" s="26" t="str">
        <f t="shared" si="72"/>
        <v/>
      </c>
      <c r="AL172" s="26" t="str">
        <f t="shared" si="93"/>
        <v>Chip Seal and Fog</v>
      </c>
      <c r="AM172" s="26" t="str">
        <f t="shared" si="91"/>
        <v/>
      </c>
      <c r="AN172" s="26" t="str">
        <f t="shared" si="81"/>
        <v>Chip Seal and Fog</v>
      </c>
      <c r="AO172" s="26" t="str">
        <f t="shared" si="94"/>
        <v/>
      </c>
      <c r="AP172" s="26" t="str">
        <f t="shared" si="82"/>
        <v/>
      </c>
      <c r="AQ172" s="68">
        <f t="shared" si="77"/>
        <v>12</v>
      </c>
      <c r="AR172" s="68">
        <f t="shared" si="78"/>
        <v>6</v>
      </c>
      <c r="AS172" s="68">
        <f t="shared" si="83"/>
        <v>1</v>
      </c>
      <c r="AT172" s="68">
        <f t="shared" si="84"/>
        <v>1</v>
      </c>
      <c r="AU172" s="68">
        <f t="shared" si="85"/>
        <v>1</v>
      </c>
      <c r="AV172" s="68">
        <f t="shared" si="86"/>
        <v>1</v>
      </c>
      <c r="AW172" s="68">
        <f t="shared" si="87"/>
        <v>1</v>
      </c>
      <c r="AX172" s="68">
        <f t="shared" ca="1" si="79"/>
        <v>2</v>
      </c>
      <c r="AY172" s="106">
        <v>2020</v>
      </c>
      <c r="AZ172" s="106" t="s">
        <v>13</v>
      </c>
      <c r="BA172" s="106" t="str">
        <f t="shared" si="88"/>
        <v/>
      </c>
      <c r="BB172" s="177"/>
      <c r="BC172" s="177">
        <v>7</v>
      </c>
      <c r="BD172" s="177"/>
      <c r="BE172" s="177"/>
      <c r="BF172" s="177"/>
      <c r="BG172" s="177"/>
      <c r="BH172" s="177"/>
      <c r="BI172" s="33"/>
      <c r="BK172" s="48">
        <f>$G172/5280*VLOOKUP($AC172,'Cost and Score'!$B$27:$O$40,6,0)</f>
        <v>0.20530303030303032</v>
      </c>
      <c r="BL172" s="48">
        <f>$G172/5280*VLOOKUP($AC172,'Cost and Score'!$B$27:$O$40,7,0)</f>
        <v>22.583333333333336</v>
      </c>
      <c r="BM172" s="48">
        <f>$G172/5280*VLOOKUP($AC172,'Cost and Score'!$B$27:$O$40,8,0)</f>
        <v>0</v>
      </c>
      <c r="BN172" s="48">
        <f>$G172/5280*VLOOKUP($AC172,'Cost and Score'!$B$27:$O$40,9,0)</f>
        <v>4619.318181818182</v>
      </c>
      <c r="BO172" s="48">
        <f>$G172/5280*VLOOKUP($AC172,'Cost and Score'!$B$27:$O$40,10,0)</f>
        <v>1026.5151515151515</v>
      </c>
      <c r="BP172" s="48">
        <f>$G172/5280*VLOOKUP($AC172,'Cost and Score'!$B$27:$O$40,11,0)</f>
        <v>0</v>
      </c>
      <c r="BQ172" s="48">
        <f>$G172/5280*VLOOKUP($AC172,'Cost and Score'!$B$27:$O$40,12,0)</f>
        <v>102.65151515151516</v>
      </c>
      <c r="BR172" s="48">
        <f>$G172/5280*VLOOKUP($AC172,'Cost and Score'!$B$27:$O$40,13,0)</f>
        <v>123.18181818181819</v>
      </c>
      <c r="BS172" s="48">
        <f>$G172/5280*VLOOKUP($AC172,'Cost and Score'!$B$27:$O$40,14,0)</f>
        <v>0</v>
      </c>
      <c r="BT172" s="220">
        <f t="shared" si="89"/>
        <v>1.0265151515151516</v>
      </c>
      <c r="CW172" s="112"/>
      <c r="CX172" s="112"/>
      <c r="CY172" s="112"/>
    </row>
    <row r="173" spans="1:103" s="2" customFormat="1" ht="14.45" hidden="1" customHeight="1" x14ac:dyDescent="0.25">
      <c r="A173" s="15" t="s">
        <v>429</v>
      </c>
      <c r="B173" s="34" t="s">
        <v>428</v>
      </c>
      <c r="C173" s="26" t="s">
        <v>428</v>
      </c>
      <c r="D173" s="82"/>
      <c r="E173" s="82" t="s">
        <v>64</v>
      </c>
      <c r="F173" s="82" t="s">
        <v>73</v>
      </c>
      <c r="G173" s="29">
        <v>5420</v>
      </c>
      <c r="H173" s="29">
        <f t="shared" si="98"/>
        <v>20</v>
      </c>
      <c r="I173" s="26" t="s">
        <v>13</v>
      </c>
      <c r="J173" s="26" t="s">
        <v>26</v>
      </c>
      <c r="K173" s="26">
        <f t="shared" si="97"/>
        <v>0</v>
      </c>
      <c r="L173" s="42">
        <v>5</v>
      </c>
      <c r="M173" s="42">
        <v>5</v>
      </c>
      <c r="N173" s="42">
        <v>4</v>
      </c>
      <c r="O173" s="83">
        <v>4</v>
      </c>
      <c r="P173" s="83">
        <v>4</v>
      </c>
      <c r="Q173" s="83">
        <v>8</v>
      </c>
      <c r="R173" s="83">
        <v>7</v>
      </c>
      <c r="S173" s="83">
        <v>7</v>
      </c>
      <c r="T173" s="83">
        <v>7</v>
      </c>
      <c r="U173" s="83">
        <v>7</v>
      </c>
      <c r="V173" s="42"/>
      <c r="W173" s="42"/>
      <c r="X173" s="42"/>
      <c r="Y173" s="26">
        <v>50</v>
      </c>
      <c r="Z173" s="26">
        <f t="shared" si="99"/>
        <v>0</v>
      </c>
      <c r="AA173" s="82" t="s">
        <v>222</v>
      </c>
      <c r="AB173" s="111">
        <f t="shared" si="80"/>
        <v>6</v>
      </c>
      <c r="AC173" s="85" t="s">
        <v>13</v>
      </c>
      <c r="AD173" s="84">
        <f t="shared" si="76"/>
        <v>21556.81818181818</v>
      </c>
      <c r="AE173" s="140"/>
      <c r="AF173" s="113">
        <f t="shared" si="100"/>
        <v>0</v>
      </c>
      <c r="AG173" s="26">
        <v>2026</v>
      </c>
      <c r="AH173" s="26" t="str">
        <f t="shared" si="69"/>
        <v/>
      </c>
      <c r="AI173" s="26" t="str">
        <f t="shared" si="101"/>
        <v/>
      </c>
      <c r="AJ173" s="26" t="str">
        <f t="shared" si="101"/>
        <v/>
      </c>
      <c r="AK173" s="26" t="str">
        <f t="shared" si="72"/>
        <v/>
      </c>
      <c r="AL173" s="26" t="str">
        <f t="shared" si="93"/>
        <v>Chip Seal and Fog</v>
      </c>
      <c r="AM173" s="26" t="str">
        <f t="shared" si="91"/>
        <v/>
      </c>
      <c r="AN173" s="26" t="str">
        <f t="shared" si="81"/>
        <v>Chip Seal and Fog</v>
      </c>
      <c r="AO173" s="26" t="str">
        <f t="shared" si="94"/>
        <v/>
      </c>
      <c r="AP173" s="26" t="str">
        <f t="shared" si="82"/>
        <v/>
      </c>
      <c r="AQ173" s="68">
        <f t="shared" si="77"/>
        <v>3</v>
      </c>
      <c r="AR173" s="68">
        <f t="shared" si="78"/>
        <v>6</v>
      </c>
      <c r="AS173" s="68">
        <f t="shared" si="83"/>
        <v>1.25</v>
      </c>
      <c r="AT173" s="68">
        <f t="shared" si="84"/>
        <v>1.25</v>
      </c>
      <c r="AU173" s="68">
        <f t="shared" si="85"/>
        <v>1.5</v>
      </c>
      <c r="AV173" s="68">
        <f t="shared" si="86"/>
        <v>1.5</v>
      </c>
      <c r="AW173" s="68">
        <f t="shared" si="87"/>
        <v>1.5</v>
      </c>
      <c r="AX173" s="68">
        <f t="shared" ca="1" si="79"/>
        <v>3</v>
      </c>
      <c r="AY173" s="68">
        <v>2018</v>
      </c>
      <c r="AZ173" s="68" t="s">
        <v>2072</v>
      </c>
      <c r="BA173" s="106" t="str">
        <f t="shared" si="88"/>
        <v>SP/CS</v>
      </c>
      <c r="BB173" s="178"/>
      <c r="BC173" s="178">
        <v>3</v>
      </c>
      <c r="BD173" s="178"/>
      <c r="BE173" s="178"/>
      <c r="BF173" s="178"/>
      <c r="BG173" s="178"/>
      <c r="BH173" s="178"/>
      <c r="BI173" s="33"/>
      <c r="BK173" s="48">
        <f>$G173/5280*VLOOKUP($AC173,'Cost and Score'!$B$27:$O$40,6,0)</f>
        <v>0.20530303030303032</v>
      </c>
      <c r="BL173" s="48">
        <f>$G173/5280*VLOOKUP($AC173,'Cost and Score'!$B$27:$O$40,7,0)</f>
        <v>22.583333333333336</v>
      </c>
      <c r="BM173" s="48">
        <f>$G173/5280*VLOOKUP($AC173,'Cost and Score'!$B$27:$O$40,8,0)</f>
        <v>0</v>
      </c>
      <c r="BN173" s="48">
        <f>$G173/5280*VLOOKUP($AC173,'Cost and Score'!$B$27:$O$40,9,0)</f>
        <v>4619.318181818182</v>
      </c>
      <c r="BO173" s="48">
        <f>$G173/5280*VLOOKUP($AC173,'Cost and Score'!$B$27:$O$40,10,0)</f>
        <v>1026.5151515151515</v>
      </c>
      <c r="BP173" s="48">
        <f>$G173/5280*VLOOKUP($AC173,'Cost and Score'!$B$27:$O$40,11,0)</f>
        <v>0</v>
      </c>
      <c r="BQ173" s="48">
        <f>$G173/5280*VLOOKUP($AC173,'Cost and Score'!$B$27:$O$40,12,0)</f>
        <v>102.65151515151516</v>
      </c>
      <c r="BR173" s="48">
        <f>$G173/5280*VLOOKUP($AC173,'Cost and Score'!$B$27:$O$40,13,0)</f>
        <v>123.18181818181819</v>
      </c>
      <c r="BS173" s="48">
        <f>$G173/5280*VLOOKUP($AC173,'Cost and Score'!$B$27:$O$40,14,0)</f>
        <v>0</v>
      </c>
      <c r="BT173" s="220">
        <f t="shared" si="89"/>
        <v>1.0265151515151516</v>
      </c>
    </row>
    <row r="174" spans="1:103" s="2" customFormat="1" ht="14.45" customHeight="1" x14ac:dyDescent="0.25">
      <c r="A174" s="15" t="s">
        <v>446</v>
      </c>
      <c r="B174" s="34" t="s">
        <v>445</v>
      </c>
      <c r="C174" s="26" t="s">
        <v>445</v>
      </c>
      <c r="D174" s="26"/>
      <c r="E174" s="26" t="s">
        <v>100</v>
      </c>
      <c r="F174" s="26" t="s">
        <v>307</v>
      </c>
      <c r="G174" s="29">
        <v>4000</v>
      </c>
      <c r="H174" s="29">
        <f t="shared" si="98"/>
        <v>20</v>
      </c>
      <c r="I174" s="106" t="s">
        <v>13</v>
      </c>
      <c r="J174" s="26" t="s">
        <v>160</v>
      </c>
      <c r="K174" s="26">
        <f t="shared" si="97"/>
        <v>0</v>
      </c>
      <c r="L174" s="42">
        <v>6</v>
      </c>
      <c r="M174" s="42">
        <v>6</v>
      </c>
      <c r="N174" s="42">
        <v>5</v>
      </c>
      <c r="O174" s="42">
        <v>9</v>
      </c>
      <c r="P174" s="42">
        <v>8</v>
      </c>
      <c r="Q174" s="42">
        <v>7</v>
      </c>
      <c r="R174" s="42">
        <v>7</v>
      </c>
      <c r="S174" s="42">
        <v>7</v>
      </c>
      <c r="T174" s="42">
        <v>7</v>
      </c>
      <c r="U174" s="42">
        <v>7</v>
      </c>
      <c r="V174" s="42"/>
      <c r="W174" s="42"/>
      <c r="X174" s="42"/>
      <c r="Y174" s="26">
        <v>843</v>
      </c>
      <c r="Z174" s="26">
        <f t="shared" si="99"/>
        <v>0.5</v>
      </c>
      <c r="AA174" s="26" t="s">
        <v>158</v>
      </c>
      <c r="AB174" s="111">
        <f t="shared" si="80"/>
        <v>2.5</v>
      </c>
      <c r="AC174" s="26" t="s">
        <v>13</v>
      </c>
      <c r="AD174" s="47">
        <f t="shared" si="76"/>
        <v>15909.09090909091</v>
      </c>
      <c r="AE174" s="140"/>
      <c r="AF174" s="113">
        <f t="shared" si="100"/>
        <v>0</v>
      </c>
      <c r="AG174" s="26">
        <v>2025</v>
      </c>
      <c r="AH174" s="26" t="str">
        <f t="shared" si="69"/>
        <v/>
      </c>
      <c r="AI174" s="26" t="str">
        <f t="shared" si="101"/>
        <v/>
      </c>
      <c r="AJ174" s="26" t="str">
        <f t="shared" si="101"/>
        <v/>
      </c>
      <c r="AK174" s="26" t="str">
        <f t="shared" si="72"/>
        <v>Chip Seal and Fog</v>
      </c>
      <c r="AL174" s="26" t="str">
        <f t="shared" si="93"/>
        <v/>
      </c>
      <c r="AM174" s="26" t="str">
        <f t="shared" si="91"/>
        <v/>
      </c>
      <c r="AN174" s="26" t="str">
        <f t="shared" si="81"/>
        <v>Chip Seal and Fog</v>
      </c>
      <c r="AO174" s="26" t="str">
        <f t="shared" si="94"/>
        <v/>
      </c>
      <c r="AP174" s="26" t="str">
        <f t="shared" si="82"/>
        <v/>
      </c>
      <c r="AQ174" s="68">
        <f t="shared" si="77"/>
        <v>14</v>
      </c>
      <c r="AR174" s="68">
        <f t="shared" si="78"/>
        <v>6</v>
      </c>
      <c r="AS174" s="68">
        <f t="shared" si="83"/>
        <v>1.1000000000000001</v>
      </c>
      <c r="AT174" s="68">
        <f t="shared" si="84"/>
        <v>1.1000000000000001</v>
      </c>
      <c r="AU174" s="68">
        <f t="shared" si="85"/>
        <v>1.25</v>
      </c>
      <c r="AV174" s="68">
        <f t="shared" si="86"/>
        <v>1</v>
      </c>
      <c r="AW174" s="68">
        <f t="shared" si="87"/>
        <v>1</v>
      </c>
      <c r="AX174" s="68">
        <f t="shared" ca="1" si="79"/>
        <v>1.25</v>
      </c>
      <c r="AY174" s="106">
        <v>2016</v>
      </c>
      <c r="AZ174" s="106" t="s">
        <v>2072</v>
      </c>
      <c r="BA174" s="106" t="str">
        <f t="shared" si="88"/>
        <v/>
      </c>
      <c r="BB174" s="177"/>
      <c r="BC174" s="177">
        <v>8</v>
      </c>
      <c r="BD174" s="177"/>
      <c r="BE174" s="177"/>
      <c r="BF174" s="177"/>
      <c r="BG174" s="177"/>
      <c r="BH174" s="177"/>
      <c r="BI174" s="33"/>
      <c r="BK174" s="48">
        <f>$G174/5280*VLOOKUP($AC174,'Cost and Score'!$B$27:$O$40,6,0)</f>
        <v>0.15151515151515152</v>
      </c>
      <c r="BL174" s="48">
        <f>$G174/5280*VLOOKUP($AC174,'Cost and Score'!$B$27:$O$40,7,0)</f>
        <v>16.666666666666668</v>
      </c>
      <c r="BM174" s="48">
        <f>$G174/5280*VLOOKUP($AC174,'Cost and Score'!$B$27:$O$40,8,0)</f>
        <v>0</v>
      </c>
      <c r="BN174" s="48">
        <f>$G174/5280*VLOOKUP($AC174,'Cost and Score'!$B$27:$O$40,9,0)</f>
        <v>3409.090909090909</v>
      </c>
      <c r="BO174" s="48">
        <f>$G174/5280*VLOOKUP($AC174,'Cost and Score'!$B$27:$O$40,10,0)</f>
        <v>757.57575757575762</v>
      </c>
      <c r="BP174" s="48">
        <f>$G174/5280*VLOOKUP($AC174,'Cost and Score'!$B$27:$O$40,11,0)</f>
        <v>0</v>
      </c>
      <c r="BQ174" s="48">
        <f>$G174/5280*VLOOKUP($AC174,'Cost and Score'!$B$27:$O$40,12,0)</f>
        <v>75.757575757575751</v>
      </c>
      <c r="BR174" s="48">
        <f>$G174/5280*VLOOKUP($AC174,'Cost and Score'!$B$27:$O$40,13,0)</f>
        <v>90.909090909090907</v>
      </c>
      <c r="BS174" s="48">
        <f>$G174/5280*VLOOKUP($AC174,'Cost and Score'!$B$27:$O$40,14,0)</f>
        <v>0</v>
      </c>
      <c r="BT174" s="220">
        <f t="shared" si="89"/>
        <v>0.75757575757575757</v>
      </c>
    </row>
    <row r="175" spans="1:103" s="2" customFormat="1" ht="14.45" customHeight="1" x14ac:dyDescent="0.25">
      <c r="A175" s="15" t="s">
        <v>379</v>
      </c>
      <c r="B175" s="34" t="s">
        <v>378</v>
      </c>
      <c r="C175" s="26" t="s">
        <v>378</v>
      </c>
      <c r="D175" s="82"/>
      <c r="E175" s="82" t="s">
        <v>129</v>
      </c>
      <c r="F175" s="82" t="s">
        <v>162</v>
      </c>
      <c r="G175" s="29">
        <v>4010</v>
      </c>
      <c r="H175" s="29">
        <f t="shared" si="98"/>
        <v>20</v>
      </c>
      <c r="I175" s="26" t="s">
        <v>8</v>
      </c>
      <c r="J175" s="26" t="s">
        <v>160</v>
      </c>
      <c r="K175" s="26">
        <f t="shared" si="97"/>
        <v>0</v>
      </c>
      <c r="L175" s="42">
        <v>7</v>
      </c>
      <c r="M175" s="42">
        <v>7</v>
      </c>
      <c r="N175" s="42">
        <v>6</v>
      </c>
      <c r="O175" s="83">
        <v>6</v>
      </c>
      <c r="P175" s="83">
        <v>6</v>
      </c>
      <c r="Q175" s="83">
        <v>8</v>
      </c>
      <c r="R175" s="83">
        <v>8</v>
      </c>
      <c r="S175" s="83">
        <v>8</v>
      </c>
      <c r="T175" s="83">
        <v>7</v>
      </c>
      <c r="U175" s="83">
        <v>7</v>
      </c>
      <c r="V175" s="42"/>
      <c r="W175" s="42"/>
      <c r="X175" s="42"/>
      <c r="Y175" s="26">
        <v>811</v>
      </c>
      <c r="Z175" s="26">
        <f t="shared" si="99"/>
        <v>0.5</v>
      </c>
      <c r="AA175" s="82" t="s">
        <v>99</v>
      </c>
      <c r="AB175" s="111">
        <f t="shared" si="80"/>
        <v>4.5</v>
      </c>
      <c r="AC175" s="85" t="s">
        <v>13</v>
      </c>
      <c r="AD175" s="84">
        <f t="shared" si="76"/>
        <v>15948.863636363636</v>
      </c>
      <c r="AE175" s="140"/>
      <c r="AF175" s="113">
        <f t="shared" si="100"/>
        <v>0</v>
      </c>
      <c r="AG175" s="26">
        <v>2025</v>
      </c>
      <c r="AH175" s="26" t="str">
        <f t="shared" si="69"/>
        <v/>
      </c>
      <c r="AI175" s="26" t="str">
        <f t="shared" si="101"/>
        <v/>
      </c>
      <c r="AJ175" s="26" t="str">
        <f t="shared" si="101"/>
        <v/>
      </c>
      <c r="AK175" s="26" t="str">
        <f t="shared" si="72"/>
        <v>Chip Seal and Fog</v>
      </c>
      <c r="AL175" s="26" t="str">
        <f t="shared" si="93"/>
        <v/>
      </c>
      <c r="AM175" s="26" t="str">
        <f t="shared" si="91"/>
        <v/>
      </c>
      <c r="AN175" s="26" t="str">
        <f t="shared" si="81"/>
        <v>Chip Seal and Fog</v>
      </c>
      <c r="AO175" s="26" t="str">
        <f t="shared" si="94"/>
        <v/>
      </c>
      <c r="AP175" s="26" t="str">
        <f t="shared" si="82"/>
        <v/>
      </c>
      <c r="AQ175" s="68">
        <f t="shared" si="77"/>
        <v>8</v>
      </c>
      <c r="AR175" s="68">
        <f t="shared" si="78"/>
        <v>6</v>
      </c>
      <c r="AS175" s="68">
        <f t="shared" si="83"/>
        <v>1.05</v>
      </c>
      <c r="AT175" s="68">
        <f t="shared" si="84"/>
        <v>1.05</v>
      </c>
      <c r="AU175" s="68">
        <f t="shared" si="85"/>
        <v>1.1000000000000001</v>
      </c>
      <c r="AV175" s="68">
        <f t="shared" si="86"/>
        <v>1.1000000000000001</v>
      </c>
      <c r="AW175" s="68">
        <f t="shared" si="87"/>
        <v>1.1000000000000001</v>
      </c>
      <c r="AX175" s="68">
        <f t="shared" ca="1" si="79"/>
        <v>1.1000000000000001</v>
      </c>
      <c r="AY175" s="106">
        <v>2018</v>
      </c>
      <c r="AZ175" s="106" t="s">
        <v>2072</v>
      </c>
      <c r="BA175" s="106" t="str">
        <f t="shared" si="88"/>
        <v>SP/CS</v>
      </c>
      <c r="BB175" s="177"/>
      <c r="BC175" s="177">
        <v>8</v>
      </c>
      <c r="BD175" s="177"/>
      <c r="BE175" s="177"/>
      <c r="BF175" s="177"/>
      <c r="BG175" s="177"/>
      <c r="BH175" s="177"/>
      <c r="BI175" s="33"/>
      <c r="BK175" s="48">
        <f>$G175/5280*VLOOKUP($AC175,'Cost and Score'!$B$27:$O$40,6,0)</f>
        <v>0.15189393939393941</v>
      </c>
      <c r="BL175" s="48">
        <f>$G175/5280*VLOOKUP($AC175,'Cost and Score'!$B$27:$O$40,7,0)</f>
        <v>16.708333333333336</v>
      </c>
      <c r="BM175" s="48">
        <f>$G175/5280*VLOOKUP($AC175,'Cost and Score'!$B$27:$O$40,8,0)</f>
        <v>0</v>
      </c>
      <c r="BN175" s="48">
        <f>$G175/5280*VLOOKUP($AC175,'Cost and Score'!$B$27:$O$40,9,0)</f>
        <v>3417.6136363636365</v>
      </c>
      <c r="BO175" s="48">
        <f>$G175/5280*VLOOKUP($AC175,'Cost and Score'!$B$27:$O$40,10,0)</f>
        <v>759.469696969697</v>
      </c>
      <c r="BP175" s="48">
        <f>$G175/5280*VLOOKUP($AC175,'Cost and Score'!$B$27:$O$40,11,0)</f>
        <v>0</v>
      </c>
      <c r="BQ175" s="48">
        <f>$G175/5280*VLOOKUP($AC175,'Cost and Score'!$B$27:$O$40,12,0)</f>
        <v>75.946969696969703</v>
      </c>
      <c r="BR175" s="48">
        <f>$G175/5280*VLOOKUP($AC175,'Cost and Score'!$B$27:$O$40,13,0)</f>
        <v>91.13636363636364</v>
      </c>
      <c r="BS175" s="48">
        <f>$G175/5280*VLOOKUP($AC175,'Cost and Score'!$B$27:$O$40,14,0)</f>
        <v>0</v>
      </c>
      <c r="BT175" s="220">
        <f t="shared" si="89"/>
        <v>0.75946969696969702</v>
      </c>
    </row>
    <row r="176" spans="1:103" s="2" customFormat="1" ht="14.45" customHeight="1" x14ac:dyDescent="0.25">
      <c r="A176" s="38" t="s">
        <v>1793</v>
      </c>
      <c r="B176" s="34" t="s">
        <v>1792</v>
      </c>
      <c r="C176" s="26" t="s">
        <v>1792</v>
      </c>
      <c r="D176" s="82"/>
      <c r="E176" s="82" t="s">
        <v>107</v>
      </c>
      <c r="F176" s="82" t="s">
        <v>104</v>
      </c>
      <c r="G176" s="29">
        <v>5360</v>
      </c>
      <c r="H176" s="29">
        <f t="shared" si="98"/>
        <v>20</v>
      </c>
      <c r="I176" s="26" t="s">
        <v>8</v>
      </c>
      <c r="J176" s="26" t="s">
        <v>6</v>
      </c>
      <c r="K176" s="26">
        <f t="shared" si="97"/>
        <v>0</v>
      </c>
      <c r="L176" s="42">
        <v>7</v>
      </c>
      <c r="M176" s="42">
        <v>8</v>
      </c>
      <c r="N176" s="42">
        <v>8</v>
      </c>
      <c r="O176" s="83">
        <v>8</v>
      </c>
      <c r="P176" s="83">
        <v>7</v>
      </c>
      <c r="Q176" s="83">
        <v>6</v>
      </c>
      <c r="R176" s="83">
        <v>8</v>
      </c>
      <c r="S176" s="83">
        <v>7</v>
      </c>
      <c r="T176" s="83">
        <v>7</v>
      </c>
      <c r="U176" s="83">
        <v>7</v>
      </c>
      <c r="V176" s="42">
        <v>2023</v>
      </c>
      <c r="W176" s="42">
        <v>2023</v>
      </c>
      <c r="X176" s="42" t="s">
        <v>2612</v>
      </c>
      <c r="Y176" s="26">
        <v>777</v>
      </c>
      <c r="Z176" s="26">
        <f t="shared" si="99"/>
        <v>0.5</v>
      </c>
      <c r="AA176" s="82" t="s">
        <v>83</v>
      </c>
      <c r="AB176" s="111">
        <f t="shared" si="80"/>
        <v>3.5</v>
      </c>
      <c r="AC176" s="85" t="s">
        <v>13</v>
      </c>
      <c r="AD176" s="84">
        <f t="shared" si="76"/>
        <v>21318.18181818182</v>
      </c>
      <c r="AE176" s="140"/>
      <c r="AF176" s="113">
        <f t="shared" si="100"/>
        <v>0</v>
      </c>
      <c r="AG176" s="106">
        <v>2025</v>
      </c>
      <c r="AH176" s="26" t="str">
        <f t="shared" si="69"/>
        <v/>
      </c>
      <c r="AI176" s="26" t="str">
        <f t="shared" si="101"/>
        <v/>
      </c>
      <c r="AJ176" s="26" t="str">
        <f t="shared" si="101"/>
        <v/>
      </c>
      <c r="AK176" s="26" t="str">
        <f t="shared" si="72"/>
        <v>Chip Seal and Fog</v>
      </c>
      <c r="AL176" s="26" t="str">
        <f t="shared" si="93"/>
        <v/>
      </c>
      <c r="AM176" s="26" t="str">
        <f t="shared" si="91"/>
        <v/>
      </c>
      <c r="AN176" s="26" t="str">
        <f t="shared" si="81"/>
        <v>Chip Seal and Fog</v>
      </c>
      <c r="AO176" s="26" t="str">
        <f t="shared" si="94"/>
        <v/>
      </c>
      <c r="AP176" s="26" t="str">
        <f t="shared" si="82"/>
        <v/>
      </c>
      <c r="AQ176" s="68">
        <f t="shared" si="77"/>
        <v>12</v>
      </c>
      <c r="AR176" s="68">
        <f t="shared" si="78"/>
        <v>6</v>
      </c>
      <c r="AS176" s="68">
        <f t="shared" si="83"/>
        <v>1.05</v>
      </c>
      <c r="AT176" s="68">
        <f t="shared" si="84"/>
        <v>1</v>
      </c>
      <c r="AU176" s="68">
        <f t="shared" si="85"/>
        <v>1</v>
      </c>
      <c r="AV176" s="68">
        <f t="shared" si="86"/>
        <v>1</v>
      </c>
      <c r="AW176" s="68">
        <f t="shared" si="87"/>
        <v>1.05</v>
      </c>
      <c r="AX176" s="68">
        <f t="shared" ca="1" si="79"/>
        <v>1</v>
      </c>
      <c r="AY176" s="68">
        <v>2019</v>
      </c>
      <c r="AZ176" s="68" t="s">
        <v>13</v>
      </c>
      <c r="BA176" s="106" t="str">
        <f t="shared" si="88"/>
        <v/>
      </c>
      <c r="BB176" s="178"/>
      <c r="BC176" s="178">
        <v>8</v>
      </c>
      <c r="BD176" s="178"/>
      <c r="BE176" s="178"/>
      <c r="BF176" s="178"/>
      <c r="BG176" s="178"/>
      <c r="BH176" s="178"/>
      <c r="BI176" s="33"/>
      <c r="BK176" s="48">
        <f>$G176/5280*VLOOKUP($AC176,'Cost and Score'!$B$27:$O$40,6,0)</f>
        <v>0.20303030303030303</v>
      </c>
      <c r="BL176" s="48">
        <f>$G176/5280*VLOOKUP($AC176,'Cost and Score'!$B$27:$O$40,7,0)</f>
        <v>22.333333333333332</v>
      </c>
      <c r="BM176" s="48">
        <f>$G176/5280*VLOOKUP($AC176,'Cost and Score'!$B$27:$O$40,8,0)</f>
        <v>0</v>
      </c>
      <c r="BN176" s="48">
        <f>$G176/5280*VLOOKUP($AC176,'Cost and Score'!$B$27:$O$40,9,0)</f>
        <v>4568.181818181818</v>
      </c>
      <c r="BO176" s="48">
        <f>$G176/5280*VLOOKUP($AC176,'Cost and Score'!$B$27:$O$40,10,0)</f>
        <v>1015.1515151515151</v>
      </c>
      <c r="BP176" s="48">
        <f>$G176/5280*VLOOKUP($AC176,'Cost and Score'!$B$27:$O$40,11,0)</f>
        <v>0</v>
      </c>
      <c r="BQ176" s="48">
        <f>$G176/5280*VLOOKUP($AC176,'Cost and Score'!$B$27:$O$40,12,0)</f>
        <v>101.51515151515152</v>
      </c>
      <c r="BR176" s="48">
        <f>$G176/5280*VLOOKUP($AC176,'Cost and Score'!$B$27:$O$40,13,0)</f>
        <v>121.81818181818181</v>
      </c>
      <c r="BS176" s="48">
        <f>$G176/5280*VLOOKUP($AC176,'Cost and Score'!$B$27:$O$40,14,0)</f>
        <v>0</v>
      </c>
      <c r="BT176" s="220">
        <f t="shared" si="89"/>
        <v>1.0151515151515151</v>
      </c>
      <c r="CW176" s="112"/>
      <c r="CX176" s="112"/>
      <c r="CY176" s="112"/>
    </row>
    <row r="177" spans="1:103" s="2" customFormat="1" ht="14.45" hidden="1" customHeight="1" x14ac:dyDescent="0.25">
      <c r="A177" s="15" t="s">
        <v>437</v>
      </c>
      <c r="B177" s="34" t="s">
        <v>436</v>
      </c>
      <c r="C177" s="26" t="s">
        <v>436</v>
      </c>
      <c r="D177" s="82"/>
      <c r="E177" s="82" t="s">
        <v>149</v>
      </c>
      <c r="F177" s="82" t="s">
        <v>153</v>
      </c>
      <c r="G177" s="29">
        <v>5380</v>
      </c>
      <c r="H177" s="29">
        <f t="shared" si="98"/>
        <v>20</v>
      </c>
      <c r="I177" s="26" t="s">
        <v>8</v>
      </c>
      <c r="J177" s="26" t="s">
        <v>26</v>
      </c>
      <c r="K177" s="26">
        <f t="shared" si="97"/>
        <v>0</v>
      </c>
      <c r="L177" s="42">
        <v>6</v>
      </c>
      <c r="M177" s="42">
        <v>8</v>
      </c>
      <c r="N177" s="42">
        <v>9</v>
      </c>
      <c r="O177" s="83">
        <v>10</v>
      </c>
      <c r="P177" s="83">
        <v>9</v>
      </c>
      <c r="Q177" s="83">
        <v>8</v>
      </c>
      <c r="R177" s="83">
        <v>8</v>
      </c>
      <c r="S177" s="83">
        <v>7</v>
      </c>
      <c r="T177" s="83">
        <v>7</v>
      </c>
      <c r="U177" s="83">
        <v>7</v>
      </c>
      <c r="V177" s="42">
        <v>2024</v>
      </c>
      <c r="W177" s="42">
        <v>2017</v>
      </c>
      <c r="X177" s="42" t="s">
        <v>2612</v>
      </c>
      <c r="Y177" s="26">
        <v>1354</v>
      </c>
      <c r="Z177" s="26">
        <f t="shared" si="99"/>
        <v>0.5</v>
      </c>
      <c r="AA177" s="82" t="s">
        <v>222</v>
      </c>
      <c r="AB177" s="111">
        <f t="shared" si="80"/>
        <v>1.5</v>
      </c>
      <c r="AC177" s="85" t="s">
        <v>13</v>
      </c>
      <c r="AD177" s="84">
        <f t="shared" si="76"/>
        <v>21397.727272727272</v>
      </c>
      <c r="AE177" s="140"/>
      <c r="AF177" s="113">
        <f t="shared" si="100"/>
        <v>0</v>
      </c>
      <c r="AG177" s="85">
        <v>2026</v>
      </c>
      <c r="AH177" s="26" t="str">
        <f t="shared" si="69"/>
        <v/>
      </c>
      <c r="AI177" s="26" t="str">
        <f t="shared" si="101"/>
        <v/>
      </c>
      <c r="AJ177" s="26" t="str">
        <f t="shared" si="101"/>
        <v/>
      </c>
      <c r="AK177" s="26" t="str">
        <f t="shared" si="72"/>
        <v/>
      </c>
      <c r="AL177" s="26" t="str">
        <f t="shared" si="93"/>
        <v>Chip Seal and Fog</v>
      </c>
      <c r="AM177" s="26" t="str">
        <f t="shared" si="91"/>
        <v/>
      </c>
      <c r="AN177" s="26" t="str">
        <f t="shared" si="81"/>
        <v>Chip Seal and Fog</v>
      </c>
      <c r="AO177" s="26" t="str">
        <f t="shared" si="94"/>
        <v/>
      </c>
      <c r="AP177" s="26" t="str">
        <f t="shared" si="82"/>
        <v/>
      </c>
      <c r="AQ177" s="68">
        <f t="shared" si="77"/>
        <v>16</v>
      </c>
      <c r="AR177" s="68">
        <f t="shared" si="78"/>
        <v>6</v>
      </c>
      <c r="AS177" s="68">
        <f t="shared" si="83"/>
        <v>1.1000000000000001</v>
      </c>
      <c r="AT177" s="68">
        <f t="shared" si="84"/>
        <v>1</v>
      </c>
      <c r="AU177" s="68">
        <f t="shared" si="85"/>
        <v>1</v>
      </c>
      <c r="AV177" s="68">
        <f t="shared" si="86"/>
        <v>1</v>
      </c>
      <c r="AW177" s="68">
        <f t="shared" si="87"/>
        <v>1</v>
      </c>
      <c r="AX177" s="68">
        <f t="shared" ca="1" si="79"/>
        <v>2</v>
      </c>
      <c r="AY177" s="106">
        <v>2020</v>
      </c>
      <c r="AZ177" s="106" t="s">
        <v>2075</v>
      </c>
      <c r="BA177" s="106" t="str">
        <f t="shared" si="88"/>
        <v/>
      </c>
      <c r="BB177" s="177"/>
      <c r="BC177" s="177">
        <v>7</v>
      </c>
      <c r="BD177" s="177"/>
      <c r="BE177" s="177"/>
      <c r="BF177" s="177"/>
      <c r="BG177" s="177"/>
      <c r="BH177" s="177"/>
      <c r="BI177" s="33"/>
      <c r="BK177" s="48">
        <f>$G177/5280*VLOOKUP($AC177,'Cost and Score'!$B$27:$O$40,6,0)</f>
        <v>0.20378787878787882</v>
      </c>
      <c r="BL177" s="48">
        <f>$G177/5280*VLOOKUP($AC177,'Cost and Score'!$B$27:$O$40,7,0)</f>
        <v>22.416666666666668</v>
      </c>
      <c r="BM177" s="48">
        <f>$G177/5280*VLOOKUP($AC177,'Cost and Score'!$B$27:$O$40,8,0)</f>
        <v>0</v>
      </c>
      <c r="BN177" s="48">
        <f>$G177/5280*VLOOKUP($AC177,'Cost and Score'!$B$27:$O$40,9,0)</f>
        <v>4585.227272727273</v>
      </c>
      <c r="BO177" s="48">
        <f>$G177/5280*VLOOKUP($AC177,'Cost and Score'!$B$27:$O$40,10,0)</f>
        <v>1018.939393939394</v>
      </c>
      <c r="BP177" s="48">
        <f>$G177/5280*VLOOKUP($AC177,'Cost and Score'!$B$27:$O$40,11,0)</f>
        <v>0</v>
      </c>
      <c r="BQ177" s="48">
        <f>$G177/5280*VLOOKUP($AC177,'Cost and Score'!$B$27:$O$40,12,0)</f>
        <v>101.89393939393941</v>
      </c>
      <c r="BR177" s="48">
        <f>$G177/5280*VLOOKUP($AC177,'Cost and Score'!$B$27:$O$40,13,0)</f>
        <v>122.27272727272728</v>
      </c>
      <c r="BS177" s="48">
        <f>$G177/5280*VLOOKUP($AC177,'Cost and Score'!$B$27:$O$40,14,0)</f>
        <v>0</v>
      </c>
      <c r="BT177" s="220">
        <f t="shared" si="89"/>
        <v>1.018939393939394</v>
      </c>
    </row>
    <row r="178" spans="1:103" s="2" customFormat="1" ht="14.45" hidden="1" customHeight="1" x14ac:dyDescent="0.25">
      <c r="A178" s="15" t="s">
        <v>439</v>
      </c>
      <c r="B178" s="34" t="s">
        <v>438</v>
      </c>
      <c r="C178" s="26" t="s">
        <v>438</v>
      </c>
      <c r="D178" s="26"/>
      <c r="E178" s="26" t="s">
        <v>140</v>
      </c>
      <c r="F178" s="26" t="s">
        <v>73</v>
      </c>
      <c r="G178" s="29">
        <v>4790</v>
      </c>
      <c r="H178" s="29">
        <f t="shared" si="98"/>
        <v>20</v>
      </c>
      <c r="I178" s="106" t="s">
        <v>751</v>
      </c>
      <c r="J178" s="26" t="s">
        <v>172</v>
      </c>
      <c r="K178" s="26">
        <f t="shared" si="97"/>
        <v>0</v>
      </c>
      <c r="L178" s="42">
        <v>4</v>
      </c>
      <c r="M178" s="42">
        <v>4</v>
      </c>
      <c r="N178" s="42">
        <v>10</v>
      </c>
      <c r="O178" s="42">
        <v>9</v>
      </c>
      <c r="P178" s="42">
        <v>9</v>
      </c>
      <c r="Q178" s="42">
        <v>7</v>
      </c>
      <c r="R178" s="42">
        <v>7</v>
      </c>
      <c r="S178" s="42">
        <v>7</v>
      </c>
      <c r="T178" s="42">
        <v>7</v>
      </c>
      <c r="U178" s="42">
        <v>7</v>
      </c>
      <c r="V178" s="42"/>
      <c r="W178" s="42"/>
      <c r="X178" s="42"/>
      <c r="Y178" s="26">
        <v>449</v>
      </c>
      <c r="Z178" s="26">
        <f t="shared" si="99"/>
        <v>0</v>
      </c>
      <c r="AA178" s="26" t="s">
        <v>440</v>
      </c>
      <c r="AB178" s="111">
        <f t="shared" si="80"/>
        <v>1</v>
      </c>
      <c r="AC178" s="85" t="s">
        <v>2073</v>
      </c>
      <c r="AD178" s="47">
        <f t="shared" si="76"/>
        <v>29030.303030303032</v>
      </c>
      <c r="AE178" s="140"/>
      <c r="AF178" s="113">
        <f t="shared" si="100"/>
        <v>0</v>
      </c>
      <c r="AG178" s="26">
        <v>2027</v>
      </c>
      <c r="AH178" s="26" t="str">
        <f t="shared" si="69"/>
        <v/>
      </c>
      <c r="AI178" s="26" t="str">
        <f t="shared" si="101"/>
        <v/>
      </c>
      <c r="AJ178" s="26" t="str">
        <f t="shared" si="101"/>
        <v/>
      </c>
      <c r="AK178" s="26" t="str">
        <f t="shared" si="72"/>
        <v/>
      </c>
      <c r="AL178" s="26" t="str">
        <f t="shared" si="93"/>
        <v/>
      </c>
      <c r="AM178" s="26" t="str">
        <f t="shared" si="91"/>
        <v>Chip Seal - Double and Fog</v>
      </c>
      <c r="AN178" s="26" t="str">
        <f t="shared" si="81"/>
        <v>Chip Seal - Double and Fog</v>
      </c>
      <c r="AO178" s="26" t="str">
        <f t="shared" si="94"/>
        <v/>
      </c>
      <c r="AP178" s="26" t="str">
        <f t="shared" si="82"/>
        <v/>
      </c>
      <c r="AQ178" s="68">
        <f t="shared" si="77"/>
        <v>14</v>
      </c>
      <c r="AR178" s="68">
        <f t="shared" si="78"/>
        <v>6</v>
      </c>
      <c r="AS178" s="68">
        <f t="shared" si="83"/>
        <v>1.5</v>
      </c>
      <c r="AT178" s="68">
        <f t="shared" si="84"/>
        <v>1.5</v>
      </c>
      <c r="AU178" s="68">
        <f t="shared" si="85"/>
        <v>1</v>
      </c>
      <c r="AV178" s="68">
        <f t="shared" si="86"/>
        <v>1</v>
      </c>
      <c r="AW178" s="68">
        <f t="shared" si="87"/>
        <v>1</v>
      </c>
      <c r="AX178" s="68">
        <f t="shared" ca="1" si="79"/>
        <v>3</v>
      </c>
      <c r="AY178" s="106">
        <v>2016</v>
      </c>
      <c r="AZ178" s="106" t="s">
        <v>751</v>
      </c>
      <c r="BA178" s="106" t="str">
        <f t="shared" si="88"/>
        <v/>
      </c>
      <c r="BB178" s="177"/>
      <c r="BC178" s="177">
        <v>7</v>
      </c>
      <c r="BD178" s="177"/>
      <c r="BE178" s="177"/>
      <c r="BF178" s="177"/>
      <c r="BG178" s="177"/>
      <c r="BH178" s="177"/>
      <c r="BI178" s="33"/>
      <c r="BK178" s="48">
        <f>$G178/5280*VLOOKUP($AC178,'Cost and Score'!$B$27:$O$40,6,0)</f>
        <v>0.45359848484848486</v>
      </c>
      <c r="BL178" s="48">
        <f>$G178/5280*VLOOKUP($AC178,'Cost and Score'!$B$27:$O$40,7,0)</f>
        <v>45.359848484848484</v>
      </c>
      <c r="BM178" s="48">
        <f>$G178/5280*VLOOKUP($AC178,'Cost and Score'!$B$27:$O$40,8,0)</f>
        <v>0</v>
      </c>
      <c r="BN178" s="48">
        <f>$G178/5280*VLOOKUP($AC178,'Cost and Score'!$B$27:$O$40,9,0)</f>
        <v>8618.371212121212</v>
      </c>
      <c r="BO178" s="48">
        <f>$G178/5280*VLOOKUP($AC178,'Cost and Score'!$B$27:$O$40,10,0)</f>
        <v>907.19696969696975</v>
      </c>
      <c r="BP178" s="48">
        <f>$G178/5280*VLOOKUP($AC178,'Cost and Score'!$B$27:$O$40,11,0)</f>
        <v>0</v>
      </c>
      <c r="BQ178" s="48">
        <f>$G178/5280*VLOOKUP($AC178,'Cost and Score'!$B$27:$O$40,12,0)</f>
        <v>181.43939393939394</v>
      </c>
      <c r="BR178" s="48">
        <f>$G178/5280*VLOOKUP($AC178,'Cost and Score'!$B$27:$O$40,13,0)</f>
        <v>163.29545454545456</v>
      </c>
      <c r="BS178" s="48">
        <f>$G178/5280*VLOOKUP($AC178,'Cost and Score'!$B$27:$O$40,14,0)</f>
        <v>217.72727272727275</v>
      </c>
      <c r="BT178" s="220">
        <f t="shared" si="89"/>
        <v>0.90719696969696972</v>
      </c>
    </row>
    <row r="179" spans="1:103" s="2" customFormat="1" ht="14.45" hidden="1" customHeight="1" x14ac:dyDescent="0.25">
      <c r="A179" s="15" t="s">
        <v>442</v>
      </c>
      <c r="B179" s="34" t="s">
        <v>441</v>
      </c>
      <c r="C179" s="26" t="s">
        <v>441</v>
      </c>
      <c r="D179" s="82"/>
      <c r="E179" s="82" t="s">
        <v>99</v>
      </c>
      <c r="F179" s="82" t="s">
        <v>100</v>
      </c>
      <c r="G179" s="29">
        <v>5350</v>
      </c>
      <c r="H179" s="29">
        <f t="shared" si="98"/>
        <v>20</v>
      </c>
      <c r="I179" s="26" t="s">
        <v>8</v>
      </c>
      <c r="J179" s="26" t="s">
        <v>160</v>
      </c>
      <c r="K179" s="26">
        <f t="shared" si="97"/>
        <v>0</v>
      </c>
      <c r="L179" s="42">
        <v>6</v>
      </c>
      <c r="M179" s="42">
        <v>6</v>
      </c>
      <c r="N179" s="42">
        <v>5</v>
      </c>
      <c r="O179" s="83">
        <v>5</v>
      </c>
      <c r="P179" s="83">
        <v>5</v>
      </c>
      <c r="Q179" s="83">
        <v>8</v>
      </c>
      <c r="R179" s="83">
        <v>7</v>
      </c>
      <c r="S179" s="83">
        <v>7</v>
      </c>
      <c r="T179" s="83">
        <v>7</v>
      </c>
      <c r="U179" s="83">
        <v>7</v>
      </c>
      <c r="V179" s="42">
        <v>2024</v>
      </c>
      <c r="W179" s="42">
        <v>2017</v>
      </c>
      <c r="X179" s="42" t="s">
        <v>2612</v>
      </c>
      <c r="Y179" s="26">
        <v>220</v>
      </c>
      <c r="Z179" s="26">
        <f t="shared" si="99"/>
        <v>0</v>
      </c>
      <c r="AA179" s="82" t="s">
        <v>158</v>
      </c>
      <c r="AB179" s="111">
        <f t="shared" si="80"/>
        <v>5</v>
      </c>
      <c r="AC179" s="82" t="s">
        <v>2072</v>
      </c>
      <c r="AD179" s="84">
        <f t="shared" si="76"/>
        <v>46609.848484848488</v>
      </c>
      <c r="AE179" s="140"/>
      <c r="AF179" s="113">
        <f t="shared" si="100"/>
        <v>0</v>
      </c>
      <c r="AG179" s="82">
        <v>2024</v>
      </c>
      <c r="AH179" s="26" t="str">
        <f t="shared" si="69"/>
        <v/>
      </c>
      <c r="AI179" s="26" t="str">
        <f t="shared" si="101"/>
        <v/>
      </c>
      <c r="AJ179" s="26" t="str">
        <f t="shared" si="101"/>
        <v>Chip Seal - Triple</v>
      </c>
      <c r="AK179" s="26" t="str">
        <f t="shared" si="72"/>
        <v/>
      </c>
      <c r="AL179" s="26" t="str">
        <f t="shared" si="93"/>
        <v/>
      </c>
      <c r="AM179" s="26" t="str">
        <f t="shared" si="91"/>
        <v/>
      </c>
      <c r="AN179" s="26" t="str">
        <f t="shared" si="81"/>
        <v>Chip Seal - Triple</v>
      </c>
      <c r="AO179" s="26" t="str">
        <f t="shared" si="94"/>
        <v/>
      </c>
      <c r="AP179" s="26" t="str">
        <f t="shared" si="82"/>
        <v/>
      </c>
      <c r="AQ179" s="68">
        <f t="shared" si="77"/>
        <v>6</v>
      </c>
      <c r="AR179" s="68">
        <f t="shared" si="78"/>
        <v>8</v>
      </c>
      <c r="AS179" s="68">
        <f t="shared" si="83"/>
        <v>1.1000000000000001</v>
      </c>
      <c r="AT179" s="68">
        <f t="shared" si="84"/>
        <v>1.1000000000000001</v>
      </c>
      <c r="AU179" s="68">
        <f t="shared" si="85"/>
        <v>1.25</v>
      </c>
      <c r="AV179" s="68">
        <f t="shared" si="86"/>
        <v>1.25</v>
      </c>
      <c r="AW179" s="68">
        <f t="shared" si="87"/>
        <v>1.25</v>
      </c>
      <c r="AX179" s="68">
        <f t="shared" ca="1" si="79"/>
        <v>0</v>
      </c>
      <c r="AY179" s="106">
        <v>2018</v>
      </c>
      <c r="AZ179" s="106" t="s">
        <v>2073</v>
      </c>
      <c r="BA179" s="106" t="str">
        <f t="shared" si="88"/>
        <v>DS</v>
      </c>
      <c r="BB179" s="177"/>
      <c r="BC179" s="177">
        <v>8</v>
      </c>
      <c r="BD179" s="177"/>
      <c r="BE179" s="177"/>
      <c r="BF179" s="177"/>
      <c r="BG179" s="177"/>
      <c r="BH179" s="177"/>
      <c r="BI179" s="33"/>
      <c r="BK179" s="48">
        <f>$G179/5280*VLOOKUP($AC179,'Cost and Score'!$B$27:$O$40,6,0)</f>
        <v>0.60795454545454541</v>
      </c>
      <c r="BL179" s="48">
        <f>$G179/5280*VLOOKUP($AC179,'Cost and Score'!$B$27:$O$40,7,0)</f>
        <v>126.65719696969695</v>
      </c>
      <c r="BM179" s="48">
        <f>$G179/5280*VLOOKUP($AC179,'Cost and Score'!$B$27:$O$40,8,0)</f>
        <v>202.65151515151513</v>
      </c>
      <c r="BN179" s="48">
        <f>$G179/5280*VLOOKUP($AC179,'Cost and Score'!$B$27:$O$40,9,0)</f>
        <v>2026.5151515151513</v>
      </c>
      <c r="BO179" s="48">
        <f>$G179/5280*VLOOKUP($AC179,'Cost and Score'!$B$27:$O$40,10,0)</f>
        <v>506.62878787878782</v>
      </c>
      <c r="BP179" s="48">
        <f>$G179/5280*VLOOKUP($AC179,'Cost and Score'!$B$27:$O$40,11,0)</f>
        <v>101.32575757575756</v>
      </c>
      <c r="BQ179" s="48">
        <f>$G179/5280*VLOOKUP($AC179,'Cost and Score'!$B$27:$O$40,12,0)</f>
        <v>810.60606060606051</v>
      </c>
      <c r="BR179" s="48">
        <f>$G179/5280*VLOOKUP($AC179,'Cost and Score'!$B$27:$O$40,13,0)</f>
        <v>81.060606060606062</v>
      </c>
      <c r="BS179" s="48">
        <f>$G179/5280*VLOOKUP($AC179,'Cost and Score'!$B$27:$O$40,14,0)</f>
        <v>0</v>
      </c>
      <c r="BT179" s="220">
        <f t="shared" si="89"/>
        <v>1.0132575757575757</v>
      </c>
      <c r="BY179" s="2" t="s">
        <v>751</v>
      </c>
      <c r="BZ179" s="27">
        <v>75000</v>
      </c>
      <c r="CA179" s="2" t="s">
        <v>2081</v>
      </c>
    </row>
    <row r="180" spans="1:103" s="2" customFormat="1" ht="14.45" customHeight="1" x14ac:dyDescent="0.25">
      <c r="A180" s="38"/>
      <c r="B180" s="34" t="s">
        <v>2104</v>
      </c>
      <c r="C180" s="26" t="s">
        <v>2104</v>
      </c>
      <c r="D180" s="82"/>
      <c r="E180" s="82" t="s">
        <v>138</v>
      </c>
      <c r="F180" s="82" t="s">
        <v>2354</v>
      </c>
      <c r="G180" s="29">
        <v>5325</v>
      </c>
      <c r="H180" s="29">
        <f t="shared" si="98"/>
        <v>20</v>
      </c>
      <c r="I180" s="26" t="s">
        <v>8</v>
      </c>
      <c r="J180" s="26"/>
      <c r="K180" s="26">
        <v>0</v>
      </c>
      <c r="L180" s="42">
        <v>8</v>
      </c>
      <c r="M180" s="42">
        <v>8</v>
      </c>
      <c r="N180" s="42">
        <v>7</v>
      </c>
      <c r="O180" s="83">
        <v>7</v>
      </c>
      <c r="P180" s="83">
        <v>7</v>
      </c>
      <c r="Q180" s="83">
        <v>7</v>
      </c>
      <c r="R180" s="83">
        <v>7</v>
      </c>
      <c r="S180" s="83">
        <v>7</v>
      </c>
      <c r="T180" s="83">
        <v>7</v>
      </c>
      <c r="U180" s="83">
        <v>7</v>
      </c>
      <c r="V180" s="42">
        <v>2024</v>
      </c>
      <c r="W180" s="42">
        <v>2021</v>
      </c>
      <c r="X180" s="42" t="s">
        <v>2612</v>
      </c>
      <c r="Y180" s="26">
        <v>678</v>
      </c>
      <c r="Z180" s="26">
        <f t="shared" si="99"/>
        <v>0.5</v>
      </c>
      <c r="AA180" s="82" t="s">
        <v>1962</v>
      </c>
      <c r="AB180" s="111">
        <f t="shared" si="80"/>
        <v>3.5</v>
      </c>
      <c r="AC180" s="85" t="s">
        <v>13</v>
      </c>
      <c r="AD180" s="84">
        <f t="shared" si="76"/>
        <v>21178.977272727272</v>
      </c>
      <c r="AE180" s="140"/>
      <c r="AF180" s="113">
        <f t="shared" si="100"/>
        <v>0</v>
      </c>
      <c r="AG180" s="106">
        <v>2025</v>
      </c>
      <c r="AH180" s="26" t="str">
        <f t="shared" si="69"/>
        <v/>
      </c>
      <c r="AI180" s="26" t="str">
        <f t="shared" si="101"/>
        <v/>
      </c>
      <c r="AJ180" s="26" t="str">
        <f t="shared" si="101"/>
        <v/>
      </c>
      <c r="AK180" s="26" t="str">
        <f t="shared" si="72"/>
        <v>Chip Seal and Fog</v>
      </c>
      <c r="AL180" s="26" t="str">
        <f t="shared" si="93"/>
        <v/>
      </c>
      <c r="AM180" s="26" t="str">
        <f t="shared" si="91"/>
        <v/>
      </c>
      <c r="AN180" s="26" t="str">
        <f t="shared" si="81"/>
        <v>Chip Seal and Fog</v>
      </c>
      <c r="AO180" s="26" t="str">
        <f t="shared" si="94"/>
        <v/>
      </c>
      <c r="AP180" s="26" t="str">
        <f t="shared" si="82"/>
        <v/>
      </c>
      <c r="AQ180" s="68">
        <f t="shared" si="77"/>
        <v>10</v>
      </c>
      <c r="AR180" s="68">
        <f t="shared" si="78"/>
        <v>6</v>
      </c>
      <c r="AS180" s="68">
        <f t="shared" si="83"/>
        <v>1</v>
      </c>
      <c r="AT180" s="68">
        <f t="shared" si="84"/>
        <v>1</v>
      </c>
      <c r="AU180" s="68">
        <f t="shared" si="85"/>
        <v>1.05</v>
      </c>
      <c r="AV180" s="68">
        <f t="shared" si="86"/>
        <v>1.05</v>
      </c>
      <c r="AW180" s="68">
        <f t="shared" si="87"/>
        <v>1.05</v>
      </c>
      <c r="AX180" s="68">
        <f t="shared" ca="1" si="79"/>
        <v>1.05</v>
      </c>
      <c r="AY180" s="68">
        <v>2019</v>
      </c>
      <c r="AZ180" s="68" t="s">
        <v>13</v>
      </c>
      <c r="BA180" s="106" t="str">
        <f t="shared" si="88"/>
        <v/>
      </c>
      <c r="BB180" s="178"/>
      <c r="BC180" s="177">
        <v>8</v>
      </c>
      <c r="BD180" s="177"/>
      <c r="BE180" s="177"/>
      <c r="BF180" s="177"/>
      <c r="BG180" s="177"/>
      <c r="BH180" s="177"/>
      <c r="BI180" s="33"/>
      <c r="BK180" s="48">
        <f>$G180/5280*VLOOKUP($AC180,'Cost and Score'!$B$27:$O$40,6,0)</f>
        <v>0.20170454545454547</v>
      </c>
      <c r="BL180" s="48">
        <f>$G180/5280*VLOOKUP($AC180,'Cost and Score'!$B$27:$O$40,7,0)</f>
        <v>22.1875</v>
      </c>
      <c r="BM180" s="48">
        <f>$G180/5280*VLOOKUP($AC180,'Cost and Score'!$B$27:$O$40,8,0)</f>
        <v>0</v>
      </c>
      <c r="BN180" s="48">
        <f>$G180/5280*VLOOKUP($AC180,'Cost and Score'!$B$27:$O$40,9,0)</f>
        <v>4538.352272727273</v>
      </c>
      <c r="BO180" s="48">
        <f>$G180/5280*VLOOKUP($AC180,'Cost and Score'!$B$27:$O$40,10,0)</f>
        <v>1008.5227272727273</v>
      </c>
      <c r="BP180" s="48">
        <f>$G180/5280*VLOOKUP($AC180,'Cost and Score'!$B$27:$O$40,11,0)</f>
        <v>0</v>
      </c>
      <c r="BQ180" s="48">
        <f>$G180/5280*VLOOKUP($AC180,'Cost and Score'!$B$27:$O$40,12,0)</f>
        <v>100.85227272727273</v>
      </c>
      <c r="BR180" s="48">
        <f>$G180/5280*VLOOKUP($AC180,'Cost and Score'!$B$27:$O$40,13,0)</f>
        <v>121.02272727272728</v>
      </c>
      <c r="BS180" s="48">
        <f>$G180/5280*VLOOKUP($AC180,'Cost and Score'!$B$27:$O$40,14,0)</f>
        <v>0</v>
      </c>
      <c r="BT180" s="220">
        <f t="shared" si="89"/>
        <v>1.0085227272727273</v>
      </c>
      <c r="CF180" s="112"/>
      <c r="CR180" s="112"/>
    </row>
    <row r="181" spans="1:103" s="2" customFormat="1" ht="14.45" customHeight="1" x14ac:dyDescent="0.25">
      <c r="A181" s="15" t="s">
        <v>913</v>
      </c>
      <c r="B181" s="34" t="s">
        <v>912</v>
      </c>
      <c r="C181" s="26" t="s">
        <v>912</v>
      </c>
      <c r="D181" s="82"/>
      <c r="E181" s="82" t="s">
        <v>608</v>
      </c>
      <c r="F181" s="82" t="s">
        <v>38</v>
      </c>
      <c r="G181" s="29">
        <v>6178</v>
      </c>
      <c r="H181" s="29">
        <f t="shared" si="98"/>
        <v>20</v>
      </c>
      <c r="I181" s="26" t="s">
        <v>8</v>
      </c>
      <c r="J181" s="26" t="s">
        <v>11</v>
      </c>
      <c r="K181" s="26">
        <f t="shared" ref="K181:K186" si="102">VLOOKUP(J181,TOWNSHIPS,2,FALSE)</f>
        <v>0</v>
      </c>
      <c r="L181" s="42">
        <v>7</v>
      </c>
      <c r="M181" s="42">
        <v>7</v>
      </c>
      <c r="N181" s="42">
        <v>8</v>
      </c>
      <c r="O181" s="83">
        <v>8</v>
      </c>
      <c r="P181" s="83">
        <v>7</v>
      </c>
      <c r="Q181" s="83">
        <v>6</v>
      </c>
      <c r="R181" s="83">
        <v>7</v>
      </c>
      <c r="S181" s="83">
        <v>7</v>
      </c>
      <c r="T181" s="83">
        <v>7</v>
      </c>
      <c r="U181" s="83">
        <v>7</v>
      </c>
      <c r="V181" s="42"/>
      <c r="W181" s="42"/>
      <c r="X181" s="42"/>
      <c r="Y181" s="26">
        <v>664</v>
      </c>
      <c r="Z181" s="26">
        <f t="shared" si="99"/>
        <v>0.5</v>
      </c>
      <c r="AA181" s="82" t="s">
        <v>168</v>
      </c>
      <c r="AB181" s="111">
        <f t="shared" si="80"/>
        <v>3.5</v>
      </c>
      <c r="AC181" s="85" t="s">
        <v>13</v>
      </c>
      <c r="AD181" s="84">
        <f t="shared" si="76"/>
        <v>24571.590909090908</v>
      </c>
      <c r="AE181" s="140"/>
      <c r="AF181" s="113">
        <f t="shared" si="100"/>
        <v>0</v>
      </c>
      <c r="AG181" s="106">
        <v>2025</v>
      </c>
      <c r="AH181" s="26" t="str">
        <f t="shared" si="69"/>
        <v/>
      </c>
      <c r="AI181" s="26" t="str">
        <f t="shared" si="101"/>
        <v/>
      </c>
      <c r="AJ181" s="26" t="str">
        <f t="shared" si="101"/>
        <v/>
      </c>
      <c r="AK181" s="26" t="str">
        <f t="shared" si="72"/>
        <v>Chip Seal and Fog</v>
      </c>
      <c r="AL181" s="26" t="str">
        <f t="shared" si="93"/>
        <v/>
      </c>
      <c r="AM181" s="26" t="str">
        <f t="shared" si="91"/>
        <v/>
      </c>
      <c r="AN181" s="26" t="str">
        <f t="shared" si="81"/>
        <v>Chip Seal and Fog</v>
      </c>
      <c r="AO181" s="26" t="str">
        <f t="shared" si="94"/>
        <v/>
      </c>
      <c r="AP181" s="26" t="str">
        <f t="shared" si="82"/>
        <v/>
      </c>
      <c r="AQ181" s="68">
        <f t="shared" si="77"/>
        <v>12</v>
      </c>
      <c r="AR181" s="68">
        <f t="shared" si="78"/>
        <v>6</v>
      </c>
      <c r="AS181" s="68">
        <f t="shared" si="83"/>
        <v>1.05</v>
      </c>
      <c r="AT181" s="68">
        <f t="shared" si="84"/>
        <v>1.05</v>
      </c>
      <c r="AU181" s="68">
        <f t="shared" si="85"/>
        <v>1</v>
      </c>
      <c r="AV181" s="68">
        <f t="shared" si="86"/>
        <v>1</v>
      </c>
      <c r="AW181" s="68">
        <f t="shared" si="87"/>
        <v>1.05</v>
      </c>
      <c r="AX181" s="68">
        <f t="shared" ca="1" si="79"/>
        <v>1</v>
      </c>
      <c r="AY181" s="68">
        <v>2019</v>
      </c>
      <c r="AZ181" s="68" t="s">
        <v>13</v>
      </c>
      <c r="BA181" s="106" t="str">
        <f t="shared" si="88"/>
        <v/>
      </c>
      <c r="BB181" s="178"/>
      <c r="BC181" s="178">
        <v>2</v>
      </c>
      <c r="BD181" s="178"/>
      <c r="BE181" s="178"/>
      <c r="BF181" s="178"/>
      <c r="BG181" s="178"/>
      <c r="BH181" s="178"/>
      <c r="BI181" s="33"/>
      <c r="BK181" s="48">
        <f>$G181/5280*VLOOKUP($AC181,'Cost and Score'!$B$27:$O$40,6,0)</f>
        <v>0.23401515151515154</v>
      </c>
      <c r="BL181" s="48">
        <f>$G181/5280*VLOOKUP($AC181,'Cost and Score'!$B$27:$O$40,7,0)</f>
        <v>25.741666666666667</v>
      </c>
      <c r="BM181" s="48">
        <f>$G181/5280*VLOOKUP($AC181,'Cost and Score'!$B$27:$O$40,8,0)</f>
        <v>0</v>
      </c>
      <c r="BN181" s="48">
        <f>$G181/5280*VLOOKUP($AC181,'Cost and Score'!$B$27:$O$40,9,0)</f>
        <v>5265.340909090909</v>
      </c>
      <c r="BO181" s="48">
        <f>$G181/5280*VLOOKUP($AC181,'Cost and Score'!$B$27:$O$40,10,0)</f>
        <v>1170.0757575757577</v>
      </c>
      <c r="BP181" s="48">
        <f>$G181/5280*VLOOKUP($AC181,'Cost and Score'!$B$27:$O$40,11,0)</f>
        <v>0</v>
      </c>
      <c r="BQ181" s="48">
        <f>$G181/5280*VLOOKUP($AC181,'Cost and Score'!$B$27:$O$40,12,0)</f>
        <v>117.00757575757576</v>
      </c>
      <c r="BR181" s="48">
        <f>$G181/5280*VLOOKUP($AC181,'Cost and Score'!$B$27:$O$40,13,0)</f>
        <v>140.40909090909091</v>
      </c>
      <c r="BS181" s="48">
        <f>$G181/5280*VLOOKUP($AC181,'Cost and Score'!$B$27:$O$40,14,0)</f>
        <v>0</v>
      </c>
      <c r="BT181" s="220">
        <f t="shared" si="89"/>
        <v>1.1700757575757577</v>
      </c>
      <c r="CN181" s="112"/>
      <c r="CO181" s="112"/>
      <c r="CP181" s="112"/>
      <c r="CQ181" s="112"/>
      <c r="CV181" s="112"/>
    </row>
    <row r="182" spans="1:103" s="2" customFormat="1" ht="14.45" hidden="1" customHeight="1" x14ac:dyDescent="0.25">
      <c r="A182" s="15" t="s">
        <v>2139</v>
      </c>
      <c r="B182" s="34" t="s">
        <v>447</v>
      </c>
      <c r="C182" s="26" t="s">
        <v>447</v>
      </c>
      <c r="D182" s="82"/>
      <c r="E182" s="82" t="s">
        <v>288</v>
      </c>
      <c r="F182" s="82" t="s">
        <v>153</v>
      </c>
      <c r="G182" s="29">
        <v>1730</v>
      </c>
      <c r="H182" s="29">
        <f t="shared" si="98"/>
        <v>20</v>
      </c>
      <c r="I182" s="26" t="s">
        <v>8</v>
      </c>
      <c r="J182" s="26" t="s">
        <v>26</v>
      </c>
      <c r="K182" s="26">
        <f t="shared" si="102"/>
        <v>0</v>
      </c>
      <c r="L182" s="42">
        <v>6</v>
      </c>
      <c r="M182" s="42">
        <v>5</v>
      </c>
      <c r="N182" s="42">
        <v>5</v>
      </c>
      <c r="O182" s="83">
        <v>8</v>
      </c>
      <c r="P182" s="83">
        <v>7</v>
      </c>
      <c r="Q182" s="83">
        <v>6</v>
      </c>
      <c r="R182" s="83">
        <v>5</v>
      </c>
      <c r="S182" s="83">
        <v>8</v>
      </c>
      <c r="T182" s="83">
        <v>7</v>
      </c>
      <c r="U182" s="83">
        <v>7</v>
      </c>
      <c r="V182" s="42"/>
      <c r="W182" s="42"/>
      <c r="X182" s="42"/>
      <c r="Y182" s="26">
        <v>50</v>
      </c>
      <c r="Z182" s="26">
        <f t="shared" si="99"/>
        <v>0</v>
      </c>
      <c r="AA182" s="82" t="s">
        <v>216</v>
      </c>
      <c r="AB182" s="111">
        <f t="shared" si="80"/>
        <v>3</v>
      </c>
      <c r="AC182" s="85" t="s">
        <v>13</v>
      </c>
      <c r="AD182" s="84">
        <f t="shared" si="76"/>
        <v>6880.681818181818</v>
      </c>
      <c r="AE182" s="140"/>
      <c r="AF182" s="113">
        <f t="shared" si="100"/>
        <v>0</v>
      </c>
      <c r="AG182" s="26">
        <v>2027</v>
      </c>
      <c r="AH182" s="26" t="str">
        <f t="shared" si="69"/>
        <v/>
      </c>
      <c r="AI182" s="26" t="str">
        <f t="shared" si="101"/>
        <v/>
      </c>
      <c r="AJ182" s="26" t="str">
        <f t="shared" si="101"/>
        <v/>
      </c>
      <c r="AK182" s="26" t="str">
        <f t="shared" si="72"/>
        <v/>
      </c>
      <c r="AL182" s="26" t="str">
        <f t="shared" si="93"/>
        <v/>
      </c>
      <c r="AM182" s="26" t="str">
        <f t="shared" si="91"/>
        <v>Chip Seal and Fog</v>
      </c>
      <c r="AN182" s="26" t="str">
        <f t="shared" si="81"/>
        <v>Chip Seal and Fog</v>
      </c>
      <c r="AO182" s="26" t="str">
        <f t="shared" si="94"/>
        <v>Chip Seal - Triple</v>
      </c>
      <c r="AP182" s="26" t="str">
        <f t="shared" si="82"/>
        <v/>
      </c>
      <c r="AQ182" s="68">
        <f t="shared" si="77"/>
        <v>12</v>
      </c>
      <c r="AR182" s="68">
        <f t="shared" si="78"/>
        <v>6</v>
      </c>
      <c r="AS182" s="68">
        <f t="shared" si="83"/>
        <v>1.1000000000000001</v>
      </c>
      <c r="AT182" s="68">
        <f t="shared" si="84"/>
        <v>1.25</v>
      </c>
      <c r="AU182" s="68">
        <f t="shared" si="85"/>
        <v>1.25</v>
      </c>
      <c r="AV182" s="68">
        <f t="shared" si="86"/>
        <v>1</v>
      </c>
      <c r="AW182" s="68">
        <f t="shared" si="87"/>
        <v>1.05</v>
      </c>
      <c r="AX182" s="68">
        <f t="shared" ca="1" si="79"/>
        <v>3.75</v>
      </c>
      <c r="AY182" s="106">
        <v>2021</v>
      </c>
      <c r="AZ182" s="106" t="s">
        <v>2072</v>
      </c>
      <c r="BA182" s="106" t="str">
        <f t="shared" si="88"/>
        <v/>
      </c>
      <c r="BB182" s="177">
        <v>1</v>
      </c>
      <c r="BC182" s="177">
        <v>7</v>
      </c>
      <c r="BD182" s="177"/>
      <c r="BE182" s="177"/>
      <c r="BF182" s="177"/>
      <c r="BG182" s="177"/>
      <c r="BH182" s="177"/>
      <c r="BI182" s="33"/>
      <c r="BK182" s="48">
        <f>$G182/5280*VLOOKUP($AC182,'Cost and Score'!$B$27:$O$40,6,0)</f>
        <v>6.5530303030303036E-2</v>
      </c>
      <c r="BL182" s="48">
        <f>$G182/5280*VLOOKUP($AC182,'Cost and Score'!$B$27:$O$40,7,0)</f>
        <v>7.208333333333333</v>
      </c>
      <c r="BM182" s="48">
        <f>$G182/5280*VLOOKUP($AC182,'Cost and Score'!$B$27:$O$40,8,0)</f>
        <v>0</v>
      </c>
      <c r="BN182" s="48">
        <f>$G182/5280*VLOOKUP($AC182,'Cost and Score'!$B$27:$O$40,9,0)</f>
        <v>1474.431818181818</v>
      </c>
      <c r="BO182" s="48">
        <f>$G182/5280*VLOOKUP($AC182,'Cost and Score'!$B$27:$O$40,10,0)</f>
        <v>327.65151515151513</v>
      </c>
      <c r="BP182" s="48">
        <f>$G182/5280*VLOOKUP($AC182,'Cost and Score'!$B$27:$O$40,11,0)</f>
        <v>0</v>
      </c>
      <c r="BQ182" s="48">
        <f>$G182/5280*VLOOKUP($AC182,'Cost and Score'!$B$27:$O$40,12,0)</f>
        <v>32.765151515151516</v>
      </c>
      <c r="BR182" s="48">
        <f>$G182/5280*VLOOKUP($AC182,'Cost and Score'!$B$27:$O$40,13,0)</f>
        <v>39.318181818181813</v>
      </c>
      <c r="BS182" s="48">
        <f>$G182/5280*VLOOKUP($AC182,'Cost and Score'!$B$27:$O$40,14,0)</f>
        <v>0</v>
      </c>
      <c r="BT182" s="220">
        <f t="shared" si="89"/>
        <v>0.32765151515151514</v>
      </c>
      <c r="CW182" s="112"/>
      <c r="CX182" s="112"/>
      <c r="CY182" s="112"/>
    </row>
    <row r="183" spans="1:103" s="2" customFormat="1" ht="14.45" customHeight="1" x14ac:dyDescent="0.25">
      <c r="A183" s="15" t="s">
        <v>2146</v>
      </c>
      <c r="B183" s="34" t="s">
        <v>882</v>
      </c>
      <c r="C183" s="26" t="s">
        <v>882</v>
      </c>
      <c r="D183" s="26"/>
      <c r="E183" s="26" t="s">
        <v>165</v>
      </c>
      <c r="F183" s="26" t="s">
        <v>64</v>
      </c>
      <c r="G183" s="29">
        <v>1890</v>
      </c>
      <c r="H183" s="29">
        <f t="shared" si="98"/>
        <v>20</v>
      </c>
      <c r="I183" s="26" t="s">
        <v>13</v>
      </c>
      <c r="J183" s="26" t="s">
        <v>172</v>
      </c>
      <c r="K183" s="26">
        <f t="shared" si="102"/>
        <v>0</v>
      </c>
      <c r="L183" s="42">
        <v>8</v>
      </c>
      <c r="M183" s="42">
        <v>8</v>
      </c>
      <c r="N183" s="42">
        <v>7</v>
      </c>
      <c r="O183" s="42">
        <v>8</v>
      </c>
      <c r="P183" s="42">
        <v>8</v>
      </c>
      <c r="Q183" s="42">
        <v>8</v>
      </c>
      <c r="R183" s="42">
        <v>7</v>
      </c>
      <c r="S183" s="42">
        <v>7</v>
      </c>
      <c r="T183" s="42">
        <v>7</v>
      </c>
      <c r="U183" s="42">
        <v>7</v>
      </c>
      <c r="V183" s="42">
        <v>2023</v>
      </c>
      <c r="W183" s="42">
        <v>2023</v>
      </c>
      <c r="X183" s="42" t="s">
        <v>2612</v>
      </c>
      <c r="Y183" s="26">
        <v>652</v>
      </c>
      <c r="Z183" s="26">
        <f t="shared" si="99"/>
        <v>0.5</v>
      </c>
      <c r="AA183" s="26" t="s">
        <v>110</v>
      </c>
      <c r="AB183" s="111">
        <f t="shared" si="80"/>
        <v>2.5</v>
      </c>
      <c r="AC183" s="26" t="s">
        <v>13</v>
      </c>
      <c r="AD183" s="47">
        <f t="shared" si="76"/>
        <v>7517.045454545455</v>
      </c>
      <c r="AE183" s="140"/>
      <c r="AF183" s="113">
        <f t="shared" si="100"/>
        <v>0</v>
      </c>
      <c r="AG183" s="26">
        <v>2025</v>
      </c>
      <c r="AH183" s="26" t="str">
        <f t="shared" ref="AH183:AH246" si="103">IF($AG183=AH$1,VLOOKUP($AC183,RSL,3,FALSE),"")</f>
        <v/>
      </c>
      <c r="AI183" s="26" t="str">
        <f t="shared" si="101"/>
        <v/>
      </c>
      <c r="AJ183" s="26" t="str">
        <f t="shared" si="101"/>
        <v/>
      </c>
      <c r="AK183" s="26" t="str">
        <f t="shared" si="72"/>
        <v>Chip Seal and Fog</v>
      </c>
      <c r="AL183" s="26" t="str">
        <f t="shared" si="93"/>
        <v/>
      </c>
      <c r="AM183" s="26" t="str">
        <f t="shared" si="91"/>
        <v/>
      </c>
      <c r="AN183" s="26" t="str">
        <f t="shared" si="81"/>
        <v>Chip Seal and Fog</v>
      </c>
      <c r="AO183" s="26" t="str">
        <f t="shared" si="94"/>
        <v/>
      </c>
      <c r="AP183" s="26" t="str">
        <f t="shared" si="82"/>
        <v/>
      </c>
      <c r="AQ183" s="68">
        <f t="shared" si="77"/>
        <v>12</v>
      </c>
      <c r="AR183" s="68">
        <f t="shared" si="78"/>
        <v>6</v>
      </c>
      <c r="AS183" s="68">
        <f t="shared" si="83"/>
        <v>1</v>
      </c>
      <c r="AT183" s="68">
        <f t="shared" si="84"/>
        <v>1</v>
      </c>
      <c r="AU183" s="68">
        <f t="shared" si="85"/>
        <v>1.05</v>
      </c>
      <c r="AV183" s="68">
        <f t="shared" si="86"/>
        <v>1</v>
      </c>
      <c r="AW183" s="68">
        <f t="shared" si="87"/>
        <v>1</v>
      </c>
      <c r="AX183" s="68">
        <f t="shared" ca="1" si="79"/>
        <v>1.05</v>
      </c>
      <c r="AY183" s="68">
        <v>2016</v>
      </c>
      <c r="AZ183" s="68" t="s">
        <v>13</v>
      </c>
      <c r="BA183" s="106" t="str">
        <f t="shared" si="88"/>
        <v/>
      </c>
      <c r="BB183" s="178"/>
      <c r="BC183" s="178">
        <v>9</v>
      </c>
      <c r="BD183" s="178"/>
      <c r="BE183" s="178"/>
      <c r="BF183" s="178"/>
      <c r="BG183" s="178"/>
      <c r="BH183" s="178"/>
      <c r="BI183" s="33"/>
      <c r="BK183" s="48">
        <f>$G183/5280*VLOOKUP($AC183,'Cost and Score'!$B$27:$O$40,6,0)</f>
        <v>7.1590909090909094E-2</v>
      </c>
      <c r="BL183" s="48">
        <f>$G183/5280*VLOOKUP($AC183,'Cost and Score'!$B$27:$O$40,7,0)</f>
        <v>7.875</v>
      </c>
      <c r="BM183" s="48">
        <f>$G183/5280*VLOOKUP($AC183,'Cost and Score'!$B$27:$O$40,8,0)</f>
        <v>0</v>
      </c>
      <c r="BN183" s="48">
        <f>$G183/5280*VLOOKUP($AC183,'Cost and Score'!$B$27:$O$40,9,0)</f>
        <v>1610.7954545454545</v>
      </c>
      <c r="BO183" s="48">
        <f>$G183/5280*VLOOKUP($AC183,'Cost and Score'!$B$27:$O$40,10,0)</f>
        <v>357.9545454545455</v>
      </c>
      <c r="BP183" s="48">
        <f>$G183/5280*VLOOKUP($AC183,'Cost and Score'!$B$27:$O$40,11,0)</f>
        <v>0</v>
      </c>
      <c r="BQ183" s="48">
        <f>$G183/5280*VLOOKUP($AC183,'Cost and Score'!$B$27:$O$40,12,0)</f>
        <v>35.795454545454547</v>
      </c>
      <c r="BR183" s="48">
        <f>$G183/5280*VLOOKUP($AC183,'Cost and Score'!$B$27:$O$40,13,0)</f>
        <v>42.954545454545453</v>
      </c>
      <c r="BS183" s="48">
        <f>$G183/5280*VLOOKUP($AC183,'Cost and Score'!$B$27:$O$40,14,0)</f>
        <v>0</v>
      </c>
      <c r="BT183" s="220">
        <f t="shared" si="89"/>
        <v>0.35795454545454547</v>
      </c>
    </row>
    <row r="184" spans="1:103" s="2" customFormat="1" ht="14.45" customHeight="1" x14ac:dyDescent="0.25">
      <c r="A184" s="15" t="s">
        <v>734</v>
      </c>
      <c r="B184" s="34" t="s">
        <v>733</v>
      </c>
      <c r="C184" s="26" t="s">
        <v>733</v>
      </c>
      <c r="D184" s="82"/>
      <c r="E184" s="82" t="s">
        <v>155</v>
      </c>
      <c r="F184" s="82" t="s">
        <v>67</v>
      </c>
      <c r="G184" s="29">
        <v>2675</v>
      </c>
      <c r="H184" s="29">
        <f t="shared" si="98"/>
        <v>20</v>
      </c>
      <c r="I184" s="26" t="s">
        <v>13</v>
      </c>
      <c r="J184" s="26" t="s">
        <v>6</v>
      </c>
      <c r="K184" s="26">
        <f t="shared" si="102"/>
        <v>0</v>
      </c>
      <c r="L184" s="42">
        <v>8</v>
      </c>
      <c r="M184" s="42">
        <v>8</v>
      </c>
      <c r="N184" s="42">
        <v>7</v>
      </c>
      <c r="O184" s="83">
        <v>7</v>
      </c>
      <c r="P184" s="83">
        <v>7</v>
      </c>
      <c r="Q184" s="83">
        <v>7</v>
      </c>
      <c r="R184" s="83">
        <v>7</v>
      </c>
      <c r="S184" s="83">
        <v>7</v>
      </c>
      <c r="T184" s="83">
        <v>7</v>
      </c>
      <c r="U184" s="83">
        <v>7</v>
      </c>
      <c r="V184" s="42"/>
      <c r="W184" s="42"/>
      <c r="X184" s="42"/>
      <c r="Y184" s="26">
        <v>643</v>
      </c>
      <c r="Z184" s="26">
        <f t="shared" si="99"/>
        <v>0.5</v>
      </c>
      <c r="AA184" s="82" t="s">
        <v>107</v>
      </c>
      <c r="AB184" s="111">
        <f t="shared" si="80"/>
        <v>3.5</v>
      </c>
      <c r="AC184" s="85" t="s">
        <v>13</v>
      </c>
      <c r="AD184" s="84">
        <f t="shared" si="76"/>
        <v>10639.204545454546</v>
      </c>
      <c r="AE184" s="140"/>
      <c r="AF184" s="113">
        <f t="shared" si="100"/>
        <v>0</v>
      </c>
      <c r="AG184" s="106">
        <v>2025</v>
      </c>
      <c r="AH184" s="26" t="str">
        <f t="shared" si="103"/>
        <v/>
      </c>
      <c r="AI184" s="26" t="str">
        <f t="shared" si="101"/>
        <v/>
      </c>
      <c r="AJ184" s="26" t="str">
        <f t="shared" si="101"/>
        <v/>
      </c>
      <c r="AK184" s="26" t="str">
        <f t="shared" si="72"/>
        <v>Chip Seal and Fog</v>
      </c>
      <c r="AL184" s="26" t="str">
        <f t="shared" si="93"/>
        <v/>
      </c>
      <c r="AM184" s="26" t="str">
        <f t="shared" si="91"/>
        <v/>
      </c>
      <c r="AN184" s="26" t="str">
        <f t="shared" si="81"/>
        <v>Chip Seal and Fog</v>
      </c>
      <c r="AO184" s="26" t="str">
        <f t="shared" si="94"/>
        <v/>
      </c>
      <c r="AP184" s="26" t="str">
        <f t="shared" si="82"/>
        <v/>
      </c>
      <c r="AQ184" s="68">
        <f t="shared" si="77"/>
        <v>10</v>
      </c>
      <c r="AR184" s="68">
        <f t="shared" si="78"/>
        <v>6</v>
      </c>
      <c r="AS184" s="68">
        <f t="shared" si="83"/>
        <v>1</v>
      </c>
      <c r="AT184" s="68">
        <f t="shared" si="84"/>
        <v>1</v>
      </c>
      <c r="AU184" s="68">
        <f t="shared" si="85"/>
        <v>1.05</v>
      </c>
      <c r="AV184" s="68">
        <f t="shared" si="86"/>
        <v>1.05</v>
      </c>
      <c r="AW184" s="68">
        <f t="shared" si="87"/>
        <v>1.05</v>
      </c>
      <c r="AX184" s="68">
        <f t="shared" ca="1" si="79"/>
        <v>1.05</v>
      </c>
      <c r="AY184" s="68"/>
      <c r="AZ184" s="68"/>
      <c r="BA184" s="106" t="str">
        <f t="shared" si="88"/>
        <v/>
      </c>
      <c r="BB184" s="178"/>
      <c r="BC184" s="178">
        <v>8</v>
      </c>
      <c r="BD184" s="178"/>
      <c r="BE184" s="178"/>
      <c r="BF184" s="178"/>
      <c r="BG184" s="178"/>
      <c r="BH184" s="178"/>
      <c r="BI184" s="33" t="s">
        <v>2473</v>
      </c>
      <c r="BK184" s="48">
        <f>$G184/5280*VLOOKUP($AC184,'Cost and Score'!$B$27:$O$40,6,0)</f>
        <v>0.10132575757575757</v>
      </c>
      <c r="BL184" s="48">
        <f>$G184/5280*VLOOKUP($AC184,'Cost and Score'!$B$27:$O$40,7,0)</f>
        <v>11.145833333333332</v>
      </c>
      <c r="BM184" s="48">
        <f>$G184/5280*VLOOKUP($AC184,'Cost and Score'!$B$27:$O$40,8,0)</f>
        <v>0</v>
      </c>
      <c r="BN184" s="48">
        <f>$G184/5280*VLOOKUP($AC184,'Cost and Score'!$B$27:$O$40,9,0)</f>
        <v>2279.8295454545455</v>
      </c>
      <c r="BO184" s="48">
        <f>$G184/5280*VLOOKUP($AC184,'Cost and Score'!$B$27:$O$40,10,0)</f>
        <v>506.62878787878782</v>
      </c>
      <c r="BP184" s="48">
        <f>$G184/5280*VLOOKUP($AC184,'Cost and Score'!$B$27:$O$40,11,0)</f>
        <v>0</v>
      </c>
      <c r="BQ184" s="48">
        <f>$G184/5280*VLOOKUP($AC184,'Cost and Score'!$B$27:$O$40,12,0)</f>
        <v>50.662878787878782</v>
      </c>
      <c r="BR184" s="48">
        <f>$G184/5280*VLOOKUP($AC184,'Cost and Score'!$B$27:$O$40,13,0)</f>
        <v>60.79545454545454</v>
      </c>
      <c r="BS184" s="48">
        <f>$G184/5280*VLOOKUP($AC184,'Cost and Score'!$B$27:$O$40,14,0)</f>
        <v>0</v>
      </c>
      <c r="BT184" s="220">
        <f t="shared" si="89"/>
        <v>0.50662878787878785</v>
      </c>
    </row>
    <row r="185" spans="1:103" s="2" customFormat="1" ht="14.45" hidden="1" customHeight="1" x14ac:dyDescent="0.25">
      <c r="A185" s="15" t="s">
        <v>454</v>
      </c>
      <c r="B185" s="34" t="s">
        <v>452</v>
      </c>
      <c r="C185" s="26" t="s">
        <v>452</v>
      </c>
      <c r="D185" s="26"/>
      <c r="E185" s="26" t="s">
        <v>104</v>
      </c>
      <c r="F185" s="26" t="s">
        <v>453</v>
      </c>
      <c r="G185" s="29">
        <v>2620</v>
      </c>
      <c r="H185" s="29">
        <f t="shared" si="98"/>
        <v>20</v>
      </c>
      <c r="I185" s="106" t="s">
        <v>751</v>
      </c>
      <c r="J185" s="26" t="s">
        <v>6</v>
      </c>
      <c r="K185" s="26">
        <f t="shared" si="102"/>
        <v>0</v>
      </c>
      <c r="L185" s="42">
        <v>4</v>
      </c>
      <c r="M185" s="42">
        <v>7</v>
      </c>
      <c r="N185" s="42">
        <v>10</v>
      </c>
      <c r="O185" s="42">
        <v>9</v>
      </c>
      <c r="P185" s="42">
        <v>9</v>
      </c>
      <c r="Q185" s="42">
        <v>8</v>
      </c>
      <c r="R185" s="42">
        <v>8</v>
      </c>
      <c r="S185" s="42">
        <v>8</v>
      </c>
      <c r="T185" s="42">
        <v>7</v>
      </c>
      <c r="U185" s="42">
        <v>7</v>
      </c>
      <c r="V185" s="42"/>
      <c r="W185" s="42"/>
      <c r="X185" s="42"/>
      <c r="Y185" s="26">
        <v>50</v>
      </c>
      <c r="Z185" s="26">
        <f t="shared" si="99"/>
        <v>0</v>
      </c>
      <c r="AA185" s="26" t="s">
        <v>455</v>
      </c>
      <c r="AB185" s="111">
        <f t="shared" si="80"/>
        <v>1</v>
      </c>
      <c r="AC185" s="85" t="s">
        <v>13</v>
      </c>
      <c r="AD185" s="47">
        <f t="shared" si="76"/>
        <v>10420.454545454546</v>
      </c>
      <c r="AE185" s="140"/>
      <c r="AF185" s="113">
        <f t="shared" si="100"/>
        <v>0</v>
      </c>
      <c r="AG185" s="26">
        <v>2027</v>
      </c>
      <c r="AH185" s="26" t="str">
        <f t="shared" si="103"/>
        <v/>
      </c>
      <c r="AI185" s="26" t="str">
        <f t="shared" si="101"/>
        <v/>
      </c>
      <c r="AJ185" s="26" t="str">
        <f t="shared" si="101"/>
        <v/>
      </c>
      <c r="AK185" s="26" t="str">
        <f t="shared" si="72"/>
        <v/>
      </c>
      <c r="AL185" s="26" t="str">
        <f t="shared" si="93"/>
        <v/>
      </c>
      <c r="AM185" s="26" t="str">
        <f t="shared" si="91"/>
        <v>Chip Seal and Fog</v>
      </c>
      <c r="AN185" s="26" t="str">
        <f t="shared" si="81"/>
        <v>Chip Seal and Fog</v>
      </c>
      <c r="AO185" s="26" t="str">
        <f t="shared" si="94"/>
        <v/>
      </c>
      <c r="AP185" s="26" t="str">
        <f t="shared" si="82"/>
        <v/>
      </c>
      <c r="AQ185" s="68">
        <f t="shared" si="77"/>
        <v>14</v>
      </c>
      <c r="AR185" s="68">
        <f t="shared" si="78"/>
        <v>6</v>
      </c>
      <c r="AS185" s="68">
        <f t="shared" si="83"/>
        <v>1.5</v>
      </c>
      <c r="AT185" s="68">
        <f t="shared" si="84"/>
        <v>1.05</v>
      </c>
      <c r="AU185" s="68">
        <f t="shared" si="85"/>
        <v>1</v>
      </c>
      <c r="AV185" s="68">
        <f t="shared" si="86"/>
        <v>1</v>
      </c>
      <c r="AW185" s="68">
        <f t="shared" si="87"/>
        <v>1</v>
      </c>
      <c r="AX185" s="68">
        <f t="shared" ca="1" si="79"/>
        <v>3</v>
      </c>
      <c r="AY185" s="106">
        <v>2016</v>
      </c>
      <c r="AZ185" s="106" t="s">
        <v>751</v>
      </c>
      <c r="BA185" s="106" t="str">
        <f t="shared" si="88"/>
        <v/>
      </c>
      <c r="BB185" s="177"/>
      <c r="BC185" s="177">
        <v>9</v>
      </c>
      <c r="BD185" s="177"/>
      <c r="BE185" s="177"/>
      <c r="BF185" s="177"/>
      <c r="BG185" s="177"/>
      <c r="BH185" s="177"/>
      <c r="BI185" s="33"/>
      <c r="BK185" s="48">
        <f>$G185/5280*VLOOKUP($AC185,'Cost and Score'!$B$27:$O$40,6,0)</f>
        <v>9.9242424242424243E-2</v>
      </c>
      <c r="BL185" s="48">
        <f>$G185/5280*VLOOKUP($AC185,'Cost and Score'!$B$27:$O$40,7,0)</f>
        <v>10.916666666666666</v>
      </c>
      <c r="BM185" s="48">
        <f>$G185/5280*VLOOKUP($AC185,'Cost and Score'!$B$27:$O$40,8,0)</f>
        <v>0</v>
      </c>
      <c r="BN185" s="48">
        <f>$G185/5280*VLOOKUP($AC185,'Cost and Score'!$B$27:$O$40,9,0)</f>
        <v>2232.9545454545455</v>
      </c>
      <c r="BO185" s="48">
        <f>$G185/5280*VLOOKUP($AC185,'Cost and Score'!$B$27:$O$40,10,0)</f>
        <v>496.21212121212119</v>
      </c>
      <c r="BP185" s="48">
        <f>$G185/5280*VLOOKUP($AC185,'Cost and Score'!$B$27:$O$40,11,0)</f>
        <v>0</v>
      </c>
      <c r="BQ185" s="48">
        <f>$G185/5280*VLOOKUP($AC185,'Cost and Score'!$B$27:$O$40,12,0)</f>
        <v>49.621212121212125</v>
      </c>
      <c r="BR185" s="48">
        <f>$G185/5280*VLOOKUP($AC185,'Cost and Score'!$B$27:$O$40,13,0)</f>
        <v>59.545454545454547</v>
      </c>
      <c r="BS185" s="48">
        <f>$G185/5280*VLOOKUP($AC185,'Cost and Score'!$B$27:$O$40,14,0)</f>
        <v>0</v>
      </c>
      <c r="BT185" s="220">
        <f t="shared" si="89"/>
        <v>0.49621212121212122</v>
      </c>
    </row>
    <row r="186" spans="1:103" s="2" customFormat="1" ht="14.45" hidden="1" customHeight="1" x14ac:dyDescent="0.25">
      <c r="A186" s="36" t="s">
        <v>458</v>
      </c>
      <c r="B186" s="34" t="s">
        <v>456</v>
      </c>
      <c r="C186" s="26" t="s">
        <v>456</v>
      </c>
      <c r="D186" s="26"/>
      <c r="E186" s="26" t="s">
        <v>104</v>
      </c>
      <c r="F186" s="26" t="s">
        <v>457</v>
      </c>
      <c r="G186" s="29">
        <v>5630</v>
      </c>
      <c r="H186" s="29">
        <f t="shared" si="98"/>
        <v>20</v>
      </c>
      <c r="I186" s="26" t="s">
        <v>13</v>
      </c>
      <c r="J186" s="26" t="s">
        <v>6</v>
      </c>
      <c r="K186" s="26">
        <f t="shared" si="102"/>
        <v>0</v>
      </c>
      <c r="L186" s="42">
        <v>3</v>
      </c>
      <c r="M186" s="42">
        <v>7</v>
      </c>
      <c r="N186" s="42">
        <v>8</v>
      </c>
      <c r="O186" s="42">
        <v>8</v>
      </c>
      <c r="P186" s="42">
        <v>7</v>
      </c>
      <c r="Q186" s="42">
        <v>7</v>
      </c>
      <c r="R186" s="42">
        <v>7</v>
      </c>
      <c r="S186" s="42">
        <v>7</v>
      </c>
      <c r="T186" s="42">
        <v>7</v>
      </c>
      <c r="U186" s="42">
        <v>8</v>
      </c>
      <c r="V186" s="42"/>
      <c r="W186" s="42"/>
      <c r="X186" s="42"/>
      <c r="Y186" s="26">
        <v>50</v>
      </c>
      <c r="Z186" s="26">
        <f t="shared" si="99"/>
        <v>0</v>
      </c>
      <c r="AA186" s="26" t="s">
        <v>455</v>
      </c>
      <c r="AB186" s="111">
        <f t="shared" si="80"/>
        <v>3</v>
      </c>
      <c r="AC186" s="26" t="s">
        <v>13</v>
      </c>
      <c r="AD186" s="47">
        <f t="shared" si="76"/>
        <v>22392.045454545456</v>
      </c>
      <c r="AE186" s="140"/>
      <c r="AF186" s="113">
        <f t="shared" si="100"/>
        <v>0</v>
      </c>
      <c r="AG186" s="26">
        <v>2022</v>
      </c>
      <c r="AH186" s="26" t="str">
        <f t="shared" si="103"/>
        <v>Chip Seal and Fog</v>
      </c>
      <c r="AI186" s="26" t="str">
        <f t="shared" si="101"/>
        <v/>
      </c>
      <c r="AJ186" s="26" t="str">
        <f t="shared" si="101"/>
        <v/>
      </c>
      <c r="AK186" s="26" t="str">
        <f t="shared" si="72"/>
        <v/>
      </c>
      <c r="AL186" s="26" t="str">
        <f t="shared" si="93"/>
        <v/>
      </c>
      <c r="AM186" s="26" t="str">
        <f t="shared" si="91"/>
        <v/>
      </c>
      <c r="AN186" s="26" t="str">
        <f t="shared" si="81"/>
        <v>Chip Seal and Fog</v>
      </c>
      <c r="AO186" s="26" t="str">
        <f t="shared" si="94"/>
        <v/>
      </c>
      <c r="AP186" s="26" t="str">
        <f t="shared" si="82"/>
        <v/>
      </c>
      <c r="AQ186" s="68">
        <f t="shared" si="77"/>
        <v>12</v>
      </c>
      <c r="AR186" s="68">
        <f t="shared" si="78"/>
        <v>6</v>
      </c>
      <c r="AS186" s="68">
        <f t="shared" si="83"/>
        <v>1.75</v>
      </c>
      <c r="AT186" s="68">
        <f t="shared" si="84"/>
        <v>1.05</v>
      </c>
      <c r="AU186" s="68">
        <f t="shared" si="85"/>
        <v>1</v>
      </c>
      <c r="AV186" s="68">
        <f t="shared" si="86"/>
        <v>1</v>
      </c>
      <c r="AW186" s="68">
        <f t="shared" si="87"/>
        <v>1.05</v>
      </c>
      <c r="AX186" s="68">
        <f t="shared" ca="1" si="79"/>
        <v>-2</v>
      </c>
      <c r="AY186" s="106">
        <v>2015</v>
      </c>
      <c r="AZ186" s="106" t="s">
        <v>2073</v>
      </c>
      <c r="BA186" s="106" t="str">
        <f t="shared" si="88"/>
        <v/>
      </c>
      <c r="BB186" s="177"/>
      <c r="BC186" s="177">
        <v>9</v>
      </c>
      <c r="BD186" s="177"/>
      <c r="BE186" s="177"/>
      <c r="BF186" s="177"/>
      <c r="BG186" s="177"/>
      <c r="BH186" s="177"/>
      <c r="BI186" s="33"/>
      <c r="BK186" s="48">
        <f>$G186/5280*VLOOKUP($AC186,'Cost and Score'!$B$27:$O$40,6,0)</f>
        <v>0.21325757575757578</v>
      </c>
      <c r="BL186" s="48">
        <f>$G186/5280*VLOOKUP($AC186,'Cost and Score'!$B$27:$O$40,7,0)</f>
        <v>23.458333333333336</v>
      </c>
      <c r="BM186" s="48">
        <f>$G186/5280*VLOOKUP($AC186,'Cost and Score'!$B$27:$O$40,8,0)</f>
        <v>0</v>
      </c>
      <c r="BN186" s="48">
        <f>$G186/5280*VLOOKUP($AC186,'Cost and Score'!$B$27:$O$40,9,0)</f>
        <v>4798.295454545455</v>
      </c>
      <c r="BO186" s="48">
        <f>$G186/5280*VLOOKUP($AC186,'Cost and Score'!$B$27:$O$40,10,0)</f>
        <v>1066.287878787879</v>
      </c>
      <c r="BP186" s="48">
        <f>$G186/5280*VLOOKUP($AC186,'Cost and Score'!$B$27:$O$40,11,0)</f>
        <v>0</v>
      </c>
      <c r="BQ186" s="48">
        <f>$G186/5280*VLOOKUP($AC186,'Cost and Score'!$B$27:$O$40,12,0)</f>
        <v>106.62878787878789</v>
      </c>
      <c r="BR186" s="48">
        <f>$G186/5280*VLOOKUP($AC186,'Cost and Score'!$B$27:$O$40,13,0)</f>
        <v>127.95454545454547</v>
      </c>
      <c r="BS186" s="48">
        <f>$G186/5280*VLOOKUP($AC186,'Cost and Score'!$B$27:$O$40,14,0)</f>
        <v>0</v>
      </c>
      <c r="BT186" s="220">
        <f t="shared" si="89"/>
        <v>1.0662878787878789</v>
      </c>
    </row>
    <row r="187" spans="1:103" s="2" customFormat="1" ht="14.45" hidden="1" customHeight="1" x14ac:dyDescent="0.25">
      <c r="A187" s="37" t="s">
        <v>460</v>
      </c>
      <c r="B187" s="34" t="s">
        <v>459</v>
      </c>
      <c r="C187" s="26" t="s">
        <v>459</v>
      </c>
      <c r="D187" s="82"/>
      <c r="E187" s="82" t="s">
        <v>197</v>
      </c>
      <c r="F187" s="82" t="s">
        <v>206</v>
      </c>
      <c r="G187" s="29">
        <v>2610</v>
      </c>
      <c r="H187" s="29">
        <f t="shared" si="98"/>
        <v>20</v>
      </c>
      <c r="I187" s="26" t="s">
        <v>8</v>
      </c>
      <c r="J187" s="26" t="s">
        <v>101</v>
      </c>
      <c r="K187" s="26">
        <v>0</v>
      </c>
      <c r="L187" s="42">
        <v>6</v>
      </c>
      <c r="M187" s="42">
        <v>6</v>
      </c>
      <c r="N187" s="42">
        <v>6</v>
      </c>
      <c r="O187" s="83">
        <v>6</v>
      </c>
      <c r="P187" s="83">
        <v>6</v>
      </c>
      <c r="Q187" s="83">
        <v>5</v>
      </c>
      <c r="R187" s="83">
        <v>5</v>
      </c>
      <c r="S187" s="83">
        <v>5</v>
      </c>
      <c r="T187" s="83">
        <v>7</v>
      </c>
      <c r="U187" s="83">
        <v>7</v>
      </c>
      <c r="V187" s="42"/>
      <c r="W187" s="42"/>
      <c r="X187" s="42"/>
      <c r="Y187" s="26">
        <v>50</v>
      </c>
      <c r="Z187" s="26">
        <f t="shared" si="99"/>
        <v>0</v>
      </c>
      <c r="AA187" s="82" t="s">
        <v>461</v>
      </c>
      <c r="AB187" s="111">
        <f t="shared" si="80"/>
        <v>4</v>
      </c>
      <c r="AC187" s="82" t="s">
        <v>2072</v>
      </c>
      <c r="AD187" s="84">
        <f t="shared" si="76"/>
        <v>22738.636363636364</v>
      </c>
      <c r="AE187" s="140"/>
      <c r="AF187" s="113">
        <f t="shared" si="100"/>
        <v>0</v>
      </c>
      <c r="AG187" s="26">
        <v>2027</v>
      </c>
      <c r="AH187" s="26" t="str">
        <f t="shared" si="103"/>
        <v/>
      </c>
      <c r="AI187" s="26" t="str">
        <f t="shared" si="101"/>
        <v/>
      </c>
      <c r="AJ187" s="26" t="str">
        <f t="shared" si="101"/>
        <v/>
      </c>
      <c r="AK187" s="26" t="str">
        <f t="shared" ref="AK187:AK250" si="104">IF($AG187=AK$1,VLOOKUP($AC187,RSL,3,FALSE),"")</f>
        <v/>
      </c>
      <c r="AL187" s="26" t="str">
        <f t="shared" si="93"/>
        <v/>
      </c>
      <c r="AM187" s="26" t="str">
        <f t="shared" si="91"/>
        <v>Chip Seal - Triple</v>
      </c>
      <c r="AN187" s="26" t="str">
        <f t="shared" si="81"/>
        <v>Chip Seal - Triple</v>
      </c>
      <c r="AO187" s="26" t="str">
        <f t="shared" si="94"/>
        <v>Chip Seal - Double and Fog</v>
      </c>
      <c r="AP187" s="26" t="str">
        <f t="shared" si="82"/>
        <v/>
      </c>
      <c r="AQ187" s="68">
        <f t="shared" si="77"/>
        <v>8</v>
      </c>
      <c r="AR187" s="68">
        <f t="shared" si="78"/>
        <v>8</v>
      </c>
      <c r="AS187" s="68">
        <f t="shared" si="83"/>
        <v>1.1000000000000001</v>
      </c>
      <c r="AT187" s="68">
        <f t="shared" si="84"/>
        <v>1.1000000000000001</v>
      </c>
      <c r="AU187" s="68">
        <f t="shared" si="85"/>
        <v>1.1000000000000001</v>
      </c>
      <c r="AV187" s="68">
        <f t="shared" si="86"/>
        <v>1.1000000000000001</v>
      </c>
      <c r="AW187" s="68">
        <f t="shared" si="87"/>
        <v>1.1000000000000001</v>
      </c>
      <c r="AX187" s="68">
        <f t="shared" ca="1" si="79"/>
        <v>3.3000000000000003</v>
      </c>
      <c r="AY187" s="106">
        <v>2021</v>
      </c>
      <c r="AZ187" s="106" t="s">
        <v>2073</v>
      </c>
      <c r="BA187" s="106" t="str">
        <f t="shared" si="88"/>
        <v/>
      </c>
      <c r="BB187" s="177"/>
      <c r="BC187" s="177">
        <v>3</v>
      </c>
      <c r="BD187" s="177"/>
      <c r="BE187" s="177"/>
      <c r="BF187" s="177"/>
      <c r="BG187" s="177"/>
      <c r="BH187" s="177"/>
      <c r="BI187" s="33"/>
      <c r="BK187" s="48">
        <f>$G187/5280*VLOOKUP($AC187,'Cost and Score'!$B$27:$O$40,6,0)</f>
        <v>0.29659090909090907</v>
      </c>
      <c r="BL187" s="48">
        <f>$G187/5280*VLOOKUP($AC187,'Cost and Score'!$B$27:$O$40,7,0)</f>
        <v>61.789772727272727</v>
      </c>
      <c r="BM187" s="48">
        <f>$G187/5280*VLOOKUP($AC187,'Cost and Score'!$B$27:$O$40,8,0)</f>
        <v>98.86363636363636</v>
      </c>
      <c r="BN187" s="48">
        <f>$G187/5280*VLOOKUP($AC187,'Cost and Score'!$B$27:$O$40,9,0)</f>
        <v>988.63636363636363</v>
      </c>
      <c r="BO187" s="48">
        <f>$G187/5280*VLOOKUP($AC187,'Cost and Score'!$B$27:$O$40,10,0)</f>
        <v>247.15909090909091</v>
      </c>
      <c r="BP187" s="48">
        <f>$G187/5280*VLOOKUP($AC187,'Cost and Score'!$B$27:$O$40,11,0)</f>
        <v>49.43181818181818</v>
      </c>
      <c r="BQ187" s="48">
        <f>$G187/5280*VLOOKUP($AC187,'Cost and Score'!$B$27:$O$40,12,0)</f>
        <v>395.45454545454544</v>
      </c>
      <c r="BR187" s="48">
        <f>$G187/5280*VLOOKUP($AC187,'Cost and Score'!$B$27:$O$40,13,0)</f>
        <v>39.545454545454547</v>
      </c>
      <c r="BS187" s="48">
        <f>$G187/5280*VLOOKUP($AC187,'Cost and Score'!$B$27:$O$40,14,0)</f>
        <v>0</v>
      </c>
      <c r="BT187" s="220">
        <f t="shared" si="89"/>
        <v>0.49431818181818182</v>
      </c>
      <c r="CW187" s="112"/>
      <c r="CX187" s="112"/>
      <c r="CY187" s="112"/>
    </row>
    <row r="188" spans="1:103" s="2" customFormat="1" ht="14.45" hidden="1" customHeight="1" x14ac:dyDescent="0.25">
      <c r="A188" s="15" t="s">
        <v>463</v>
      </c>
      <c r="B188" s="34" t="s">
        <v>462</v>
      </c>
      <c r="C188" s="26" t="s">
        <v>462</v>
      </c>
      <c r="D188" s="26"/>
      <c r="E188" s="26" t="s">
        <v>453</v>
      </c>
      <c r="F188" s="26" t="s">
        <v>107</v>
      </c>
      <c r="G188" s="29">
        <v>2620</v>
      </c>
      <c r="H188" s="29">
        <f t="shared" si="98"/>
        <v>20</v>
      </c>
      <c r="I188" s="106" t="s">
        <v>751</v>
      </c>
      <c r="J188" s="26" t="s">
        <v>6</v>
      </c>
      <c r="K188" s="26">
        <f>VLOOKUP(J188,TOWNSHIPS,2,FALSE)</f>
        <v>0</v>
      </c>
      <c r="L188" s="42">
        <v>4</v>
      </c>
      <c r="M188" s="42">
        <v>4</v>
      </c>
      <c r="N188" s="42">
        <v>4</v>
      </c>
      <c r="O188" s="42">
        <v>9</v>
      </c>
      <c r="P188" s="42">
        <v>8</v>
      </c>
      <c r="Q188" s="42">
        <v>7</v>
      </c>
      <c r="R188" s="42">
        <v>6</v>
      </c>
      <c r="S188" s="42">
        <v>6</v>
      </c>
      <c r="T188" s="42">
        <v>6</v>
      </c>
      <c r="U188" s="42">
        <v>6</v>
      </c>
      <c r="V188" s="42"/>
      <c r="W188" s="42"/>
      <c r="X188" s="42"/>
      <c r="Y188" s="26">
        <v>50</v>
      </c>
      <c r="Z188" s="26">
        <f t="shared" si="99"/>
        <v>0</v>
      </c>
      <c r="AA188" s="26" t="s">
        <v>461</v>
      </c>
      <c r="AB188" s="111">
        <f t="shared" si="80"/>
        <v>2</v>
      </c>
      <c r="AC188" s="85" t="s">
        <v>2073</v>
      </c>
      <c r="AD188" s="47">
        <f t="shared" si="76"/>
        <v>15878.787878787878</v>
      </c>
      <c r="AE188" s="140"/>
      <c r="AF188" s="113">
        <f t="shared" si="100"/>
        <v>0</v>
      </c>
      <c r="AG188" s="26">
        <v>2027</v>
      </c>
      <c r="AH188" s="26" t="str">
        <f t="shared" si="103"/>
        <v/>
      </c>
      <c r="AI188" s="26" t="str">
        <f t="shared" si="101"/>
        <v/>
      </c>
      <c r="AJ188" s="26" t="str">
        <f t="shared" si="101"/>
        <v/>
      </c>
      <c r="AK188" s="26" t="str">
        <f t="shared" si="104"/>
        <v/>
      </c>
      <c r="AL188" s="26" t="str">
        <f t="shared" si="93"/>
        <v/>
      </c>
      <c r="AM188" s="26" t="str">
        <f t="shared" si="91"/>
        <v>Chip Seal - Double and Fog</v>
      </c>
      <c r="AN188" s="26" t="str">
        <f t="shared" si="81"/>
        <v>Chip Seal - Double and Fog</v>
      </c>
      <c r="AO188" s="26" t="str">
        <f t="shared" si="94"/>
        <v/>
      </c>
      <c r="AP188" s="26" t="str">
        <f t="shared" si="82"/>
        <v/>
      </c>
      <c r="AQ188" s="68">
        <f t="shared" si="77"/>
        <v>14</v>
      </c>
      <c r="AR188" s="68">
        <f t="shared" si="78"/>
        <v>6</v>
      </c>
      <c r="AS188" s="68">
        <f t="shared" si="83"/>
        <v>1.5</v>
      </c>
      <c r="AT188" s="68">
        <f t="shared" si="84"/>
        <v>1.5</v>
      </c>
      <c r="AU188" s="68">
        <f t="shared" si="85"/>
        <v>1.5</v>
      </c>
      <c r="AV188" s="68">
        <f t="shared" si="86"/>
        <v>1</v>
      </c>
      <c r="AW188" s="68">
        <f t="shared" si="87"/>
        <v>1</v>
      </c>
      <c r="AX188" s="68">
        <f t="shared" ca="1" si="79"/>
        <v>4.5</v>
      </c>
      <c r="AY188" s="106">
        <v>2016</v>
      </c>
      <c r="AZ188" s="106" t="s">
        <v>751</v>
      </c>
      <c r="BA188" s="106" t="str">
        <f t="shared" si="88"/>
        <v/>
      </c>
      <c r="BB188" s="177"/>
      <c r="BC188" s="177">
        <v>9</v>
      </c>
      <c r="BD188" s="177"/>
      <c r="BE188" s="177"/>
      <c r="BF188" s="177"/>
      <c r="BG188" s="177"/>
      <c r="BH188" s="177"/>
      <c r="BI188" s="33"/>
      <c r="BK188" s="48">
        <f>$G188/5280*VLOOKUP($AC188,'Cost and Score'!$B$27:$O$40,6,0)</f>
        <v>0.24810606060606061</v>
      </c>
      <c r="BL188" s="48">
        <f>$G188/5280*VLOOKUP($AC188,'Cost and Score'!$B$27:$O$40,7,0)</f>
        <v>24.810606060606062</v>
      </c>
      <c r="BM188" s="48">
        <f>$G188/5280*VLOOKUP($AC188,'Cost and Score'!$B$27:$O$40,8,0)</f>
        <v>0</v>
      </c>
      <c r="BN188" s="48">
        <f>$G188/5280*VLOOKUP($AC188,'Cost and Score'!$B$27:$O$40,9,0)</f>
        <v>4714.015151515152</v>
      </c>
      <c r="BO188" s="48">
        <f>$G188/5280*VLOOKUP($AC188,'Cost and Score'!$B$27:$O$40,10,0)</f>
        <v>496.21212121212119</v>
      </c>
      <c r="BP188" s="48">
        <f>$G188/5280*VLOOKUP($AC188,'Cost and Score'!$B$27:$O$40,11,0)</f>
        <v>0</v>
      </c>
      <c r="BQ188" s="48">
        <f>$G188/5280*VLOOKUP($AC188,'Cost and Score'!$B$27:$O$40,12,0)</f>
        <v>99.242424242424249</v>
      </c>
      <c r="BR188" s="48">
        <f>$G188/5280*VLOOKUP($AC188,'Cost and Score'!$B$27:$O$40,13,0)</f>
        <v>89.318181818181813</v>
      </c>
      <c r="BS188" s="48">
        <f>$G188/5280*VLOOKUP($AC188,'Cost and Score'!$B$27:$O$40,14,0)</f>
        <v>119.09090909090909</v>
      </c>
      <c r="BT188" s="220">
        <f t="shared" si="89"/>
        <v>0.49621212121212122</v>
      </c>
      <c r="CW188" s="112"/>
      <c r="CX188" s="112"/>
      <c r="CY188" s="112"/>
    </row>
    <row r="189" spans="1:103" s="2" customFormat="1" x14ac:dyDescent="0.25">
      <c r="A189" s="15" t="s">
        <v>622</v>
      </c>
      <c r="B189" s="34" t="s">
        <v>621</v>
      </c>
      <c r="C189" s="26" t="s">
        <v>621</v>
      </c>
      <c r="D189" s="82"/>
      <c r="E189" s="82" t="s">
        <v>138</v>
      </c>
      <c r="F189" s="82" t="s">
        <v>340</v>
      </c>
      <c r="G189" s="29">
        <v>5280</v>
      </c>
      <c r="H189" s="29">
        <f t="shared" ref="H189:H220" si="105">IF(I189="NC",26,20)</f>
        <v>20</v>
      </c>
      <c r="I189" s="26" t="s">
        <v>8</v>
      </c>
      <c r="J189" s="26" t="s">
        <v>125</v>
      </c>
      <c r="K189" s="26">
        <f>VLOOKUP(J189,TOWNSHIPS,2,FALSE)</f>
        <v>0</v>
      </c>
      <c r="L189" s="42">
        <v>7</v>
      </c>
      <c r="M189" s="42">
        <v>8</v>
      </c>
      <c r="N189" s="42">
        <v>8</v>
      </c>
      <c r="O189" s="83">
        <v>8</v>
      </c>
      <c r="P189" s="83">
        <v>7</v>
      </c>
      <c r="Q189" s="83">
        <v>7</v>
      </c>
      <c r="R189" s="83">
        <v>7</v>
      </c>
      <c r="S189" s="83">
        <v>7</v>
      </c>
      <c r="T189" s="83">
        <v>6</v>
      </c>
      <c r="U189" s="83">
        <v>8</v>
      </c>
      <c r="V189" s="42">
        <v>2024</v>
      </c>
      <c r="W189" s="42">
        <v>2020</v>
      </c>
      <c r="X189" s="42" t="s">
        <v>2612</v>
      </c>
      <c r="Y189" s="26">
        <v>614</v>
      </c>
      <c r="Z189" s="26">
        <f t="shared" ref="Z189:Z220" si="106">VLOOKUP(Y189,AADT,2)</f>
        <v>0.5</v>
      </c>
      <c r="AA189" s="82" t="s">
        <v>24</v>
      </c>
      <c r="AB189" s="111">
        <f t="shared" si="80"/>
        <v>3.5</v>
      </c>
      <c r="AC189" s="85" t="s">
        <v>13</v>
      </c>
      <c r="AD189" s="84">
        <f t="shared" ref="AD189:AD252" si="107">VLOOKUP(AC189,Cost,2,FALSE)*G189/5280</f>
        <v>21000</v>
      </c>
      <c r="AE189" s="140"/>
      <c r="AF189" s="113">
        <f t="shared" si="100"/>
        <v>0</v>
      </c>
      <c r="AG189" s="106">
        <v>2025</v>
      </c>
      <c r="AH189" s="26" t="str">
        <f t="shared" si="103"/>
        <v/>
      </c>
      <c r="AI189" s="26" t="str">
        <f t="shared" si="101"/>
        <v/>
      </c>
      <c r="AJ189" s="26" t="str">
        <f t="shared" si="101"/>
        <v/>
      </c>
      <c r="AK189" s="26" t="str">
        <f t="shared" si="104"/>
        <v>Chip Seal and Fog</v>
      </c>
      <c r="AL189" s="26" t="str">
        <f t="shared" si="93"/>
        <v/>
      </c>
      <c r="AM189" s="26" t="str">
        <f t="shared" si="91"/>
        <v/>
      </c>
      <c r="AN189" s="26" t="str">
        <f t="shared" si="81"/>
        <v>Chip Seal and Fog</v>
      </c>
      <c r="AO189" s="26" t="str">
        <f t="shared" si="94"/>
        <v/>
      </c>
      <c r="AP189" s="26" t="str">
        <f t="shared" si="82"/>
        <v/>
      </c>
      <c r="AQ189" s="68">
        <f t="shared" ref="AQ189:AQ252" si="108">VLOOKUP(O189,RSLrem,2,FALSE)</f>
        <v>12</v>
      </c>
      <c r="AR189" s="68">
        <f t="shared" ref="AR189:AR252" si="109">VLOOKUP(AC189,RSL,5,FALSE)</f>
        <v>6</v>
      </c>
      <c r="AS189" s="68">
        <f t="shared" si="83"/>
        <v>1.05</v>
      </c>
      <c r="AT189" s="68">
        <f t="shared" si="84"/>
        <v>1</v>
      </c>
      <c r="AU189" s="68">
        <f t="shared" si="85"/>
        <v>1</v>
      </c>
      <c r="AV189" s="68">
        <f t="shared" si="86"/>
        <v>1</v>
      </c>
      <c r="AW189" s="68">
        <f t="shared" si="87"/>
        <v>1.05</v>
      </c>
      <c r="AX189" s="68">
        <f t="shared" ref="AX189:AX252" ca="1" si="110">AU189*(AG189-YEAR(TODAY()))</f>
        <v>1</v>
      </c>
      <c r="AY189" s="106">
        <v>2019</v>
      </c>
      <c r="AZ189" s="106" t="s">
        <v>13</v>
      </c>
      <c r="BA189" s="106" t="str">
        <f t="shared" si="88"/>
        <v/>
      </c>
      <c r="BB189" s="177"/>
      <c r="BC189" s="177">
        <v>2</v>
      </c>
      <c r="BD189" s="177"/>
      <c r="BE189" s="177"/>
      <c r="BF189" s="177"/>
      <c r="BG189" s="177"/>
      <c r="BH189" s="177"/>
      <c r="BI189" s="33"/>
      <c r="BK189" s="48">
        <f>$G189/5280*VLOOKUP($AC189,'Cost and Score'!$B$27:$O$40,6,0)</f>
        <v>0.2</v>
      </c>
      <c r="BL189" s="48">
        <f>$G189/5280*VLOOKUP($AC189,'Cost and Score'!$B$27:$O$40,7,0)</f>
        <v>22</v>
      </c>
      <c r="BM189" s="48">
        <f>$G189/5280*VLOOKUP($AC189,'Cost and Score'!$B$27:$O$40,8,0)</f>
        <v>0</v>
      </c>
      <c r="BN189" s="48">
        <f>$G189/5280*VLOOKUP($AC189,'Cost and Score'!$B$27:$O$40,9,0)</f>
        <v>4500</v>
      </c>
      <c r="BO189" s="48">
        <f>$G189/5280*VLOOKUP($AC189,'Cost and Score'!$B$27:$O$40,10,0)</f>
        <v>1000</v>
      </c>
      <c r="BP189" s="48">
        <f>$G189/5280*VLOOKUP($AC189,'Cost and Score'!$B$27:$O$40,11,0)</f>
        <v>0</v>
      </c>
      <c r="BQ189" s="48">
        <f>$G189/5280*VLOOKUP($AC189,'Cost and Score'!$B$27:$O$40,12,0)</f>
        <v>100</v>
      </c>
      <c r="BR189" s="48">
        <f>$G189/5280*VLOOKUP($AC189,'Cost and Score'!$B$27:$O$40,13,0)</f>
        <v>120</v>
      </c>
      <c r="BS189" s="48">
        <f>$G189/5280*VLOOKUP($AC189,'Cost and Score'!$B$27:$O$40,14,0)</f>
        <v>0</v>
      </c>
      <c r="BT189" s="220">
        <f t="shared" si="89"/>
        <v>1</v>
      </c>
    </row>
    <row r="190" spans="1:103" s="2" customFormat="1" hidden="1" x14ac:dyDescent="0.25">
      <c r="A190" s="15" t="s">
        <v>467</v>
      </c>
      <c r="B190" s="34" t="s">
        <v>466</v>
      </c>
      <c r="C190" s="26" t="s">
        <v>466</v>
      </c>
      <c r="D190" s="26"/>
      <c r="E190" s="26" t="s">
        <v>107</v>
      </c>
      <c r="F190" s="26" t="s">
        <v>110</v>
      </c>
      <c r="G190" s="29">
        <v>5386</v>
      </c>
      <c r="H190" s="29">
        <f t="shared" si="105"/>
        <v>20</v>
      </c>
      <c r="I190" s="26" t="s">
        <v>13</v>
      </c>
      <c r="J190" s="26" t="s">
        <v>6</v>
      </c>
      <c r="K190" s="26">
        <f>VLOOKUP(J190,TOWNSHIPS,2,FALSE)</f>
        <v>0</v>
      </c>
      <c r="L190" s="42">
        <v>7</v>
      </c>
      <c r="M190" s="42">
        <v>7</v>
      </c>
      <c r="N190" s="42">
        <v>6</v>
      </c>
      <c r="O190" s="42">
        <v>6</v>
      </c>
      <c r="P190" s="42">
        <v>6</v>
      </c>
      <c r="Q190" s="42">
        <v>6</v>
      </c>
      <c r="R190" s="42">
        <v>6</v>
      </c>
      <c r="S190" s="42">
        <v>6</v>
      </c>
      <c r="T190" s="42">
        <v>7</v>
      </c>
      <c r="U190" s="42">
        <v>7</v>
      </c>
      <c r="V190" s="42"/>
      <c r="W190" s="42"/>
      <c r="X190" s="42"/>
      <c r="Y190" s="26">
        <v>50</v>
      </c>
      <c r="Z190" s="26">
        <f t="shared" si="106"/>
        <v>0</v>
      </c>
      <c r="AA190" s="26" t="s">
        <v>461</v>
      </c>
      <c r="AB190" s="111">
        <f t="shared" si="80"/>
        <v>4</v>
      </c>
      <c r="AC190" s="82" t="s">
        <v>2072</v>
      </c>
      <c r="AD190" s="47">
        <f t="shared" si="107"/>
        <v>46923.484848484848</v>
      </c>
      <c r="AE190" s="140"/>
      <c r="AF190" s="113">
        <f t="shared" si="100"/>
        <v>0</v>
      </c>
      <c r="AG190" s="26">
        <v>2027</v>
      </c>
      <c r="AH190" s="26" t="str">
        <f t="shared" si="103"/>
        <v/>
      </c>
      <c r="AI190" s="26" t="str">
        <f t="shared" si="101"/>
        <v/>
      </c>
      <c r="AJ190" s="26" t="str">
        <f t="shared" si="101"/>
        <v/>
      </c>
      <c r="AK190" s="26" t="str">
        <f t="shared" si="104"/>
        <v/>
      </c>
      <c r="AL190" s="26" t="str">
        <f t="shared" si="93"/>
        <v/>
      </c>
      <c r="AM190" s="26" t="str">
        <f t="shared" si="91"/>
        <v>Chip Seal - Triple</v>
      </c>
      <c r="AN190" s="26" t="str">
        <f t="shared" si="81"/>
        <v>Chip Seal - Triple</v>
      </c>
      <c r="AO190" s="26" t="str">
        <f t="shared" si="94"/>
        <v>Chip Seal - Double and Fog</v>
      </c>
      <c r="AP190" s="26" t="str">
        <f t="shared" si="82"/>
        <v/>
      </c>
      <c r="AQ190" s="68">
        <f t="shared" si="108"/>
        <v>8</v>
      </c>
      <c r="AR190" s="68">
        <f t="shared" si="109"/>
        <v>8</v>
      </c>
      <c r="AS190" s="68">
        <f t="shared" si="83"/>
        <v>1.05</v>
      </c>
      <c r="AT190" s="68">
        <f t="shared" si="84"/>
        <v>1.05</v>
      </c>
      <c r="AU190" s="68">
        <f t="shared" si="85"/>
        <v>1.1000000000000001</v>
      </c>
      <c r="AV190" s="68">
        <f t="shared" si="86"/>
        <v>1.1000000000000001</v>
      </c>
      <c r="AW190" s="68">
        <f t="shared" si="87"/>
        <v>1.1000000000000001</v>
      </c>
      <c r="AX190" s="68">
        <f t="shared" ca="1" si="110"/>
        <v>3.3000000000000003</v>
      </c>
      <c r="AY190" s="106">
        <v>2021</v>
      </c>
      <c r="AZ190" s="106" t="s">
        <v>2073</v>
      </c>
      <c r="BA190" s="106" t="str">
        <f t="shared" si="88"/>
        <v/>
      </c>
      <c r="BB190" s="177">
        <v>16</v>
      </c>
      <c r="BC190" s="177">
        <v>9</v>
      </c>
      <c r="BD190" s="177"/>
      <c r="BE190" s="177"/>
      <c r="BF190" s="177"/>
      <c r="BG190" s="177"/>
      <c r="BH190" s="177"/>
      <c r="BI190" s="33"/>
      <c r="BK190" s="48">
        <f>$G190/5280*VLOOKUP($AC190,'Cost and Score'!$B$27:$O$40,6,0)</f>
        <v>0.61204545454545445</v>
      </c>
      <c r="BL190" s="48">
        <f>$G190/5280*VLOOKUP($AC190,'Cost and Score'!$B$27:$O$40,7,0)</f>
        <v>127.50946969696969</v>
      </c>
      <c r="BM190" s="48">
        <f>$G190/5280*VLOOKUP($AC190,'Cost and Score'!$B$27:$O$40,8,0)</f>
        <v>204.0151515151515</v>
      </c>
      <c r="BN190" s="48">
        <f>$G190/5280*VLOOKUP($AC190,'Cost and Score'!$B$27:$O$40,9,0)</f>
        <v>2040.151515151515</v>
      </c>
      <c r="BO190" s="48">
        <f>$G190/5280*VLOOKUP($AC190,'Cost and Score'!$B$27:$O$40,10,0)</f>
        <v>510.03787878787875</v>
      </c>
      <c r="BP190" s="48">
        <f>$G190/5280*VLOOKUP($AC190,'Cost and Score'!$B$27:$O$40,11,0)</f>
        <v>102.00757575757575</v>
      </c>
      <c r="BQ190" s="48">
        <f>$G190/5280*VLOOKUP($AC190,'Cost and Score'!$B$27:$O$40,12,0)</f>
        <v>816.06060606060601</v>
      </c>
      <c r="BR190" s="48">
        <f>$G190/5280*VLOOKUP($AC190,'Cost and Score'!$B$27:$O$40,13,0)</f>
        <v>81.606060606060595</v>
      </c>
      <c r="BS190" s="48">
        <f>$G190/5280*VLOOKUP($AC190,'Cost and Score'!$B$27:$O$40,14,0)</f>
        <v>0</v>
      </c>
      <c r="BT190" s="220">
        <f t="shared" si="89"/>
        <v>1.0200757575757575</v>
      </c>
    </row>
    <row r="191" spans="1:103" s="2" customFormat="1" hidden="1" x14ac:dyDescent="0.25">
      <c r="A191" s="37" t="s">
        <v>469</v>
      </c>
      <c r="B191" s="34" t="s">
        <v>468</v>
      </c>
      <c r="C191" s="26" t="s">
        <v>468</v>
      </c>
      <c r="D191" s="82"/>
      <c r="E191" s="82" t="s">
        <v>25</v>
      </c>
      <c r="F191" s="82" t="s">
        <v>28</v>
      </c>
      <c r="G191" s="29">
        <v>5620</v>
      </c>
      <c r="H191" s="29">
        <f t="shared" si="105"/>
        <v>20</v>
      </c>
      <c r="I191" s="26" t="s">
        <v>13</v>
      </c>
      <c r="J191" s="26" t="s">
        <v>101</v>
      </c>
      <c r="K191" s="26">
        <v>0</v>
      </c>
      <c r="L191" s="42">
        <v>5</v>
      </c>
      <c r="M191" s="42">
        <v>5</v>
      </c>
      <c r="N191" s="42">
        <v>5</v>
      </c>
      <c r="O191" s="83">
        <v>5</v>
      </c>
      <c r="P191" s="83">
        <v>5</v>
      </c>
      <c r="Q191" s="83">
        <v>9</v>
      </c>
      <c r="R191" s="83">
        <v>8</v>
      </c>
      <c r="S191" s="83">
        <v>8</v>
      </c>
      <c r="T191" s="83">
        <v>8</v>
      </c>
      <c r="U191" s="83">
        <v>8</v>
      </c>
      <c r="V191" s="42"/>
      <c r="W191" s="42"/>
      <c r="X191" s="42"/>
      <c r="Y191" s="26">
        <v>162</v>
      </c>
      <c r="Z191" s="26">
        <f t="shared" si="106"/>
        <v>0</v>
      </c>
      <c r="AA191" s="82" t="s">
        <v>461</v>
      </c>
      <c r="AB191" s="111">
        <f t="shared" si="80"/>
        <v>5</v>
      </c>
      <c r="AC191" s="85" t="s">
        <v>13</v>
      </c>
      <c r="AD191" s="84">
        <f t="shared" si="107"/>
        <v>22352.272727272728</v>
      </c>
      <c r="AE191" s="140"/>
      <c r="AF191" s="113">
        <f t="shared" si="100"/>
        <v>0</v>
      </c>
      <c r="AG191" s="26">
        <v>2024</v>
      </c>
      <c r="AH191" s="26" t="str">
        <f t="shared" si="103"/>
        <v/>
      </c>
      <c r="AI191" s="26" t="str">
        <f t="shared" si="101"/>
        <v/>
      </c>
      <c r="AJ191" s="26" t="str">
        <f t="shared" si="101"/>
        <v>Chip Seal and Fog</v>
      </c>
      <c r="AK191" s="26" t="str">
        <f t="shared" si="104"/>
        <v/>
      </c>
      <c r="AL191" s="26" t="str">
        <f t="shared" si="93"/>
        <v/>
      </c>
      <c r="AM191" s="26" t="str">
        <f t="shared" si="91"/>
        <v/>
      </c>
      <c r="AN191" s="26" t="str">
        <f t="shared" si="81"/>
        <v>Chip Seal and Fog</v>
      </c>
      <c r="AO191" s="26" t="str">
        <f t="shared" si="94"/>
        <v/>
      </c>
      <c r="AP191" s="26" t="str">
        <f t="shared" si="82"/>
        <v/>
      </c>
      <c r="AQ191" s="68">
        <f t="shared" si="108"/>
        <v>6</v>
      </c>
      <c r="AR191" s="68">
        <f t="shared" si="109"/>
        <v>6</v>
      </c>
      <c r="AS191" s="68">
        <f t="shared" si="83"/>
        <v>1.25</v>
      </c>
      <c r="AT191" s="68">
        <f t="shared" si="84"/>
        <v>1.25</v>
      </c>
      <c r="AU191" s="68">
        <f t="shared" si="85"/>
        <v>1.25</v>
      </c>
      <c r="AV191" s="68">
        <f t="shared" si="86"/>
        <v>1.25</v>
      </c>
      <c r="AW191" s="68">
        <f t="shared" si="87"/>
        <v>1.25</v>
      </c>
      <c r="AX191" s="68">
        <f t="shared" ca="1" si="110"/>
        <v>0</v>
      </c>
      <c r="AY191" s="106">
        <v>2018</v>
      </c>
      <c r="AZ191" s="106" t="s">
        <v>751</v>
      </c>
      <c r="BA191" s="106" t="str">
        <f t="shared" si="88"/>
        <v>P</v>
      </c>
      <c r="BB191" s="177"/>
      <c r="BC191" s="177">
        <v>3</v>
      </c>
      <c r="BD191" s="177"/>
      <c r="BE191" s="177"/>
      <c r="BF191" s="177"/>
      <c r="BG191" s="177"/>
      <c r="BH191" s="177"/>
      <c r="BI191" s="33" t="s">
        <v>2483</v>
      </c>
      <c r="BK191" s="48">
        <f>$G191/5280*VLOOKUP($AC191,'Cost and Score'!$B$27:$O$40,6,0)</f>
        <v>0.21287878787878789</v>
      </c>
      <c r="BL191" s="48">
        <f>$G191/5280*VLOOKUP($AC191,'Cost and Score'!$B$27:$O$40,7,0)</f>
        <v>23.416666666666668</v>
      </c>
      <c r="BM191" s="48">
        <f>$G191/5280*VLOOKUP($AC191,'Cost and Score'!$B$27:$O$40,8,0)</f>
        <v>0</v>
      </c>
      <c r="BN191" s="48">
        <f>$G191/5280*VLOOKUP($AC191,'Cost and Score'!$B$27:$O$40,9,0)</f>
        <v>4789.7727272727279</v>
      </c>
      <c r="BO191" s="48">
        <f>$G191/5280*VLOOKUP($AC191,'Cost and Score'!$B$27:$O$40,10,0)</f>
        <v>1064.3939393939395</v>
      </c>
      <c r="BP191" s="48">
        <f>$G191/5280*VLOOKUP($AC191,'Cost and Score'!$B$27:$O$40,11,0)</f>
        <v>0</v>
      </c>
      <c r="BQ191" s="48">
        <f>$G191/5280*VLOOKUP($AC191,'Cost and Score'!$B$27:$O$40,12,0)</f>
        <v>106.43939393939394</v>
      </c>
      <c r="BR191" s="48">
        <f>$G191/5280*VLOOKUP($AC191,'Cost and Score'!$B$27:$O$40,13,0)</f>
        <v>127.72727272727273</v>
      </c>
      <c r="BS191" s="48">
        <f>$G191/5280*VLOOKUP($AC191,'Cost and Score'!$B$27:$O$40,14,0)</f>
        <v>0</v>
      </c>
      <c r="BT191" s="220">
        <f t="shared" si="89"/>
        <v>1.0643939393939394</v>
      </c>
    </row>
    <row r="192" spans="1:103" s="2" customFormat="1" hidden="1" x14ac:dyDescent="0.25">
      <c r="A192" s="15" t="s">
        <v>471</v>
      </c>
      <c r="B192" s="34" t="s">
        <v>470</v>
      </c>
      <c r="C192" s="26" t="s">
        <v>470</v>
      </c>
      <c r="D192" s="26"/>
      <c r="E192" s="26" t="s">
        <v>110</v>
      </c>
      <c r="F192" s="26" t="s">
        <v>210</v>
      </c>
      <c r="G192" s="29">
        <v>5300</v>
      </c>
      <c r="H192" s="29">
        <f t="shared" si="105"/>
        <v>20</v>
      </c>
      <c r="I192" s="26" t="s">
        <v>13</v>
      </c>
      <c r="J192" s="26" t="s">
        <v>6</v>
      </c>
      <c r="K192" s="26">
        <f>VLOOKUP(J192,TOWNSHIPS,2,FALSE)</f>
        <v>0</v>
      </c>
      <c r="L192" s="42">
        <v>7</v>
      </c>
      <c r="M192" s="42">
        <v>7</v>
      </c>
      <c r="N192" s="42">
        <v>7</v>
      </c>
      <c r="O192" s="42">
        <v>6</v>
      </c>
      <c r="P192" s="42">
        <v>6</v>
      </c>
      <c r="Q192" s="42">
        <v>6</v>
      </c>
      <c r="R192" s="42">
        <v>6</v>
      </c>
      <c r="S192" s="42">
        <v>6</v>
      </c>
      <c r="T192" s="42">
        <v>6</v>
      </c>
      <c r="U192" s="42">
        <v>6</v>
      </c>
      <c r="V192" s="42"/>
      <c r="W192" s="42"/>
      <c r="X192" s="42"/>
      <c r="Y192" s="26">
        <v>50</v>
      </c>
      <c r="Z192" s="26">
        <f t="shared" si="106"/>
        <v>0</v>
      </c>
      <c r="AA192" s="26" t="s">
        <v>461</v>
      </c>
      <c r="AB192" s="111">
        <f t="shared" si="80"/>
        <v>4</v>
      </c>
      <c r="AC192" s="26" t="s">
        <v>2073</v>
      </c>
      <c r="AD192" s="47">
        <f t="shared" si="107"/>
        <v>32121.21212121212</v>
      </c>
      <c r="AE192" s="140"/>
      <c r="AF192" s="113">
        <f t="shared" si="100"/>
        <v>0</v>
      </c>
      <c r="AG192" s="26">
        <v>2022</v>
      </c>
      <c r="AH192" s="26" t="str">
        <f t="shared" si="103"/>
        <v>Chip Seal - Double and Fog</v>
      </c>
      <c r="AI192" s="26" t="str">
        <f t="shared" ref="AI192:AJ211" si="111">IF($AG192=AI$1,VLOOKUP($AC192,RSL,3,FALSE),"")</f>
        <v/>
      </c>
      <c r="AJ192" s="26" t="str">
        <f t="shared" si="111"/>
        <v/>
      </c>
      <c r="AK192" s="26" t="str">
        <f t="shared" si="104"/>
        <v/>
      </c>
      <c r="AL192" s="26" t="str">
        <f t="shared" si="93"/>
        <v/>
      </c>
      <c r="AM192" s="26" t="str">
        <f t="shared" si="91"/>
        <v/>
      </c>
      <c r="AN192" s="26" t="str">
        <f t="shared" si="81"/>
        <v>Chip Seal - Double and Fog</v>
      </c>
      <c r="AO192" s="26" t="str">
        <f t="shared" si="94"/>
        <v/>
      </c>
      <c r="AP192" s="26" t="str">
        <f t="shared" si="82"/>
        <v/>
      </c>
      <c r="AQ192" s="68">
        <f t="shared" si="108"/>
        <v>8</v>
      </c>
      <c r="AR192" s="68">
        <f t="shared" si="109"/>
        <v>6</v>
      </c>
      <c r="AS192" s="68">
        <f t="shared" si="83"/>
        <v>1.05</v>
      </c>
      <c r="AT192" s="68">
        <f t="shared" si="84"/>
        <v>1.05</v>
      </c>
      <c r="AU192" s="68">
        <f t="shared" si="85"/>
        <v>1.05</v>
      </c>
      <c r="AV192" s="68">
        <f t="shared" si="86"/>
        <v>1.1000000000000001</v>
      </c>
      <c r="AW192" s="68">
        <f t="shared" si="87"/>
        <v>1.1000000000000001</v>
      </c>
      <c r="AX192" s="68">
        <f t="shared" ca="1" si="110"/>
        <v>-2.1</v>
      </c>
      <c r="AY192" s="106"/>
      <c r="AZ192" s="106"/>
      <c r="BA192" s="106" t="str">
        <f t="shared" si="88"/>
        <v/>
      </c>
      <c r="BB192" s="177">
        <v>17</v>
      </c>
      <c r="BC192" s="177">
        <v>9</v>
      </c>
      <c r="BD192" s="177"/>
      <c r="BE192" s="177"/>
      <c r="BF192" s="177"/>
      <c r="BG192" s="177"/>
      <c r="BH192" s="177"/>
      <c r="BI192" s="33"/>
      <c r="BK192" s="48">
        <f>$G192/5280*VLOOKUP($AC192,'Cost and Score'!$B$27:$O$40,6,0)</f>
        <v>0.50189393939393945</v>
      </c>
      <c r="BL192" s="48">
        <f>$G192/5280*VLOOKUP($AC192,'Cost and Score'!$B$27:$O$40,7,0)</f>
        <v>50.189393939393945</v>
      </c>
      <c r="BM192" s="48">
        <f>$G192/5280*VLOOKUP($AC192,'Cost and Score'!$B$27:$O$40,8,0)</f>
        <v>0</v>
      </c>
      <c r="BN192" s="48">
        <f>$G192/5280*VLOOKUP($AC192,'Cost and Score'!$B$27:$O$40,9,0)</f>
        <v>9535.9848484848499</v>
      </c>
      <c r="BO192" s="48">
        <f>$G192/5280*VLOOKUP($AC192,'Cost and Score'!$B$27:$O$40,10,0)</f>
        <v>1003.7878787878789</v>
      </c>
      <c r="BP192" s="48">
        <f>$G192/5280*VLOOKUP($AC192,'Cost and Score'!$B$27:$O$40,11,0)</f>
        <v>0</v>
      </c>
      <c r="BQ192" s="48">
        <f>$G192/5280*VLOOKUP($AC192,'Cost and Score'!$B$27:$O$40,12,0)</f>
        <v>200.75757575757578</v>
      </c>
      <c r="BR192" s="48">
        <f>$G192/5280*VLOOKUP($AC192,'Cost and Score'!$B$27:$O$40,13,0)</f>
        <v>180.68181818181819</v>
      </c>
      <c r="BS192" s="48">
        <f>$G192/5280*VLOOKUP($AC192,'Cost and Score'!$B$27:$O$40,14,0)</f>
        <v>240.90909090909093</v>
      </c>
      <c r="BT192" s="220">
        <f t="shared" si="89"/>
        <v>1.0037878787878789</v>
      </c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</row>
    <row r="193" spans="1:103" s="2" customFormat="1" x14ac:dyDescent="0.25">
      <c r="A193" s="38" t="s">
        <v>1966</v>
      </c>
      <c r="B193" s="34" t="s">
        <v>1965</v>
      </c>
      <c r="C193" s="26" t="s">
        <v>1965</v>
      </c>
      <c r="D193" s="82"/>
      <c r="E193" s="82" t="s">
        <v>1132</v>
      </c>
      <c r="F193" s="82" t="s">
        <v>1066</v>
      </c>
      <c r="G193" s="29">
        <v>1350</v>
      </c>
      <c r="H193" s="29">
        <f t="shared" si="105"/>
        <v>20</v>
      </c>
      <c r="I193" s="26" t="s">
        <v>8</v>
      </c>
      <c r="J193" s="26" t="s">
        <v>160</v>
      </c>
      <c r="K193" s="26">
        <f>VLOOKUP(J193,TOWNSHIPS,2,FALSE)</f>
        <v>0</v>
      </c>
      <c r="L193" s="42">
        <v>7</v>
      </c>
      <c r="M193" s="42">
        <v>8</v>
      </c>
      <c r="N193" s="42">
        <v>7</v>
      </c>
      <c r="O193" s="83">
        <v>7</v>
      </c>
      <c r="P193" s="83">
        <v>7</v>
      </c>
      <c r="Q193" s="83">
        <v>7</v>
      </c>
      <c r="R193" s="83">
        <v>8</v>
      </c>
      <c r="S193" s="83">
        <v>7</v>
      </c>
      <c r="T193" s="83">
        <v>7</v>
      </c>
      <c r="U193" s="83">
        <v>7</v>
      </c>
      <c r="V193" s="42">
        <v>2024</v>
      </c>
      <c r="W193" s="42">
        <v>2021</v>
      </c>
      <c r="X193" s="42" t="s">
        <v>2612</v>
      </c>
      <c r="Y193" s="26">
        <v>587</v>
      </c>
      <c r="Z193" s="26">
        <f t="shared" si="106"/>
        <v>0.5</v>
      </c>
      <c r="AA193" s="82" t="s">
        <v>1962</v>
      </c>
      <c r="AB193" s="111">
        <f t="shared" si="80"/>
        <v>3.5</v>
      </c>
      <c r="AC193" s="85" t="s">
        <v>13</v>
      </c>
      <c r="AD193" s="84">
        <f t="shared" si="107"/>
        <v>5369.318181818182</v>
      </c>
      <c r="AE193" s="140"/>
      <c r="AF193" s="113">
        <f t="shared" si="100"/>
        <v>0</v>
      </c>
      <c r="AG193" s="106">
        <v>2025</v>
      </c>
      <c r="AH193" s="26" t="str">
        <f t="shared" si="103"/>
        <v/>
      </c>
      <c r="AI193" s="26" t="str">
        <f t="shared" si="111"/>
        <v/>
      </c>
      <c r="AJ193" s="26" t="str">
        <f t="shared" si="111"/>
        <v/>
      </c>
      <c r="AK193" s="26" t="str">
        <f t="shared" si="104"/>
        <v>Chip Seal and Fog</v>
      </c>
      <c r="AL193" s="26" t="str">
        <f t="shared" si="93"/>
        <v/>
      </c>
      <c r="AM193" s="26" t="str">
        <f t="shared" si="91"/>
        <v/>
      </c>
      <c r="AN193" s="26" t="str">
        <f t="shared" si="81"/>
        <v>Chip Seal and Fog</v>
      </c>
      <c r="AO193" s="26" t="str">
        <f t="shared" si="94"/>
        <v/>
      </c>
      <c r="AP193" s="26" t="str">
        <f t="shared" si="82"/>
        <v/>
      </c>
      <c r="AQ193" s="68">
        <f t="shared" si="108"/>
        <v>10</v>
      </c>
      <c r="AR193" s="68">
        <f t="shared" si="109"/>
        <v>6</v>
      </c>
      <c r="AS193" s="68">
        <f t="shared" si="83"/>
        <v>1.05</v>
      </c>
      <c r="AT193" s="68">
        <f t="shared" si="84"/>
        <v>1</v>
      </c>
      <c r="AU193" s="68">
        <f t="shared" si="85"/>
        <v>1.05</v>
      </c>
      <c r="AV193" s="68">
        <f t="shared" si="86"/>
        <v>1.05</v>
      </c>
      <c r="AW193" s="68">
        <f t="shared" si="87"/>
        <v>1.05</v>
      </c>
      <c r="AX193" s="68">
        <f t="shared" ca="1" si="110"/>
        <v>1.05</v>
      </c>
      <c r="AY193" s="68">
        <v>2019</v>
      </c>
      <c r="AZ193" s="68" t="s">
        <v>13</v>
      </c>
      <c r="BA193" s="106" t="str">
        <f t="shared" si="88"/>
        <v/>
      </c>
      <c r="BB193" s="178"/>
      <c r="BC193" s="177">
        <v>8</v>
      </c>
      <c r="BD193" s="177"/>
      <c r="BE193" s="177"/>
      <c r="BF193" s="177"/>
      <c r="BG193" s="177"/>
      <c r="BH193" s="177"/>
      <c r="BI193" s="33"/>
      <c r="BK193" s="48">
        <f>$G193/5280*VLOOKUP($AC193,'Cost and Score'!$B$27:$O$40,6,0)</f>
        <v>5.113636363636364E-2</v>
      </c>
      <c r="BL193" s="48">
        <f>$G193/5280*VLOOKUP($AC193,'Cost and Score'!$B$27:$O$40,7,0)</f>
        <v>5.625</v>
      </c>
      <c r="BM193" s="48">
        <f>$G193/5280*VLOOKUP($AC193,'Cost and Score'!$B$27:$O$40,8,0)</f>
        <v>0</v>
      </c>
      <c r="BN193" s="48">
        <f>$G193/5280*VLOOKUP($AC193,'Cost and Score'!$B$27:$O$40,9,0)</f>
        <v>1150.5681818181818</v>
      </c>
      <c r="BO193" s="48">
        <f>$G193/5280*VLOOKUP($AC193,'Cost and Score'!$B$27:$O$40,10,0)</f>
        <v>255.68181818181819</v>
      </c>
      <c r="BP193" s="48">
        <f>$G193/5280*VLOOKUP($AC193,'Cost and Score'!$B$27:$O$40,11,0)</f>
        <v>0</v>
      </c>
      <c r="BQ193" s="48">
        <f>$G193/5280*VLOOKUP($AC193,'Cost and Score'!$B$27:$O$40,12,0)</f>
        <v>25.568181818181817</v>
      </c>
      <c r="BR193" s="48">
        <f>$G193/5280*VLOOKUP($AC193,'Cost and Score'!$B$27:$O$40,13,0)</f>
        <v>30.68181818181818</v>
      </c>
      <c r="BS193" s="48">
        <f>$G193/5280*VLOOKUP($AC193,'Cost and Score'!$B$27:$O$40,14,0)</f>
        <v>0</v>
      </c>
      <c r="BT193" s="220">
        <f t="shared" si="89"/>
        <v>0.25568181818181818</v>
      </c>
    </row>
    <row r="194" spans="1:103" s="2" customFormat="1" hidden="1" x14ac:dyDescent="0.25">
      <c r="A194" s="15" t="s">
        <v>474</v>
      </c>
      <c r="B194" s="34" t="s">
        <v>473</v>
      </c>
      <c r="C194" s="26" t="s">
        <v>473</v>
      </c>
      <c r="D194" s="26"/>
      <c r="E194" s="26" t="s">
        <v>416</v>
      </c>
      <c r="F194" s="26" t="s">
        <v>9</v>
      </c>
      <c r="G194" s="29">
        <v>1320</v>
      </c>
      <c r="H194" s="29">
        <f t="shared" si="105"/>
        <v>20</v>
      </c>
      <c r="I194" s="26" t="s">
        <v>13</v>
      </c>
      <c r="J194" s="26" t="s">
        <v>62</v>
      </c>
      <c r="K194" s="26">
        <f>VLOOKUP(J194,TOWNSHIPS,2,FALSE)</f>
        <v>0</v>
      </c>
      <c r="L194" s="42">
        <v>7</v>
      </c>
      <c r="M194" s="42">
        <v>7</v>
      </c>
      <c r="N194" s="42">
        <v>7</v>
      </c>
      <c r="O194" s="42">
        <v>6</v>
      </c>
      <c r="P194" s="42">
        <v>6</v>
      </c>
      <c r="Q194" s="42">
        <v>6</v>
      </c>
      <c r="R194" s="42">
        <v>6</v>
      </c>
      <c r="S194" s="42">
        <v>6</v>
      </c>
      <c r="T194" s="42">
        <v>6</v>
      </c>
      <c r="U194" s="42">
        <v>8</v>
      </c>
      <c r="V194" s="42"/>
      <c r="W194" s="42"/>
      <c r="X194" s="42"/>
      <c r="Y194" s="26">
        <v>90</v>
      </c>
      <c r="Z194" s="26">
        <f t="shared" si="106"/>
        <v>0</v>
      </c>
      <c r="AA194" s="26" t="s">
        <v>461</v>
      </c>
      <c r="AB194" s="111">
        <f t="shared" ref="AB194:AB257" si="112">(10-P194)+Z194+K194</f>
        <v>4</v>
      </c>
      <c r="AC194" s="82" t="s">
        <v>2072</v>
      </c>
      <c r="AD194" s="47">
        <f t="shared" si="107"/>
        <v>11500</v>
      </c>
      <c r="AE194" s="140"/>
      <c r="AF194" s="113">
        <f t="shared" si="100"/>
        <v>0</v>
      </c>
      <c r="AG194" s="26">
        <v>2027</v>
      </c>
      <c r="AH194" s="26" t="str">
        <f t="shared" si="103"/>
        <v/>
      </c>
      <c r="AI194" s="26" t="str">
        <f t="shared" si="111"/>
        <v/>
      </c>
      <c r="AJ194" s="26" t="str">
        <f t="shared" si="111"/>
        <v/>
      </c>
      <c r="AK194" s="26" t="str">
        <f t="shared" si="104"/>
        <v/>
      </c>
      <c r="AL194" s="26" t="str">
        <f t="shared" si="93"/>
        <v/>
      </c>
      <c r="AM194" s="26" t="str">
        <f t="shared" si="91"/>
        <v>Chip Seal - Triple</v>
      </c>
      <c r="AN194" s="26" t="str">
        <f t="shared" ref="AN194:AN257" si="113">VLOOKUP($AC194,RSL,3,FALSE)</f>
        <v>Chip Seal - Triple</v>
      </c>
      <c r="AO194" s="26" t="str">
        <f t="shared" si="94"/>
        <v>Chip Seal - Double and Fog</v>
      </c>
      <c r="AP194" s="26" t="str">
        <f t="shared" ref="AP194:AP257" si="114">IF(AY194=AP$1,VLOOKUP(AZ194,RSL,3,FALSE),"")</f>
        <v/>
      </c>
      <c r="AQ194" s="68">
        <f t="shared" si="108"/>
        <v>8</v>
      </c>
      <c r="AR194" s="68">
        <f t="shared" si="109"/>
        <v>8</v>
      </c>
      <c r="AS194" s="68">
        <f t="shared" ref="AS194:AS257" si="115">IF(L194 &lt;&gt; "",VLOOKUP(L194,RSLloss,3,FALSE),0)</f>
        <v>1.05</v>
      </c>
      <c r="AT194" s="68">
        <f t="shared" ref="AT194:AT257" si="116">IF(M194 &lt;&gt; "",VLOOKUP(M194,RSLloss,3,FALSE),0)</f>
        <v>1.05</v>
      </c>
      <c r="AU194" s="68">
        <f t="shared" ref="AU194:AU257" si="117">IF(N194 &lt;&gt; "",VLOOKUP(N194,RSLloss,3,FALSE),0)</f>
        <v>1.05</v>
      </c>
      <c r="AV194" s="68">
        <f t="shared" ref="AV194:AV257" si="118">IF(O194 &lt;&gt; "",VLOOKUP(O194,RSLloss,3,FALSE),0)</f>
        <v>1.1000000000000001</v>
      </c>
      <c r="AW194" s="68">
        <f t="shared" ref="AW194:AW257" si="119">IF(P194 &lt;&gt; "",VLOOKUP(P194,RSLloss,3,FALSE),0)</f>
        <v>1.1000000000000001</v>
      </c>
      <c r="AX194" s="68">
        <f t="shared" ca="1" si="110"/>
        <v>3.1500000000000004</v>
      </c>
      <c r="AY194" s="106">
        <v>2021</v>
      </c>
      <c r="AZ194" s="106" t="s">
        <v>2073</v>
      </c>
      <c r="BA194" s="106" t="str">
        <f t="shared" ref="BA194:BA257" si="120">IF(AY194=2018,AZ194,"")</f>
        <v/>
      </c>
      <c r="BB194" s="177">
        <v>18</v>
      </c>
      <c r="BC194" s="177">
        <v>3</v>
      </c>
      <c r="BD194" s="177"/>
      <c r="BE194" s="177"/>
      <c r="BF194" s="177"/>
      <c r="BG194" s="177"/>
      <c r="BH194" s="177"/>
      <c r="BI194" s="33"/>
      <c r="BK194" s="48">
        <f>$G194/5280*VLOOKUP($AC194,'Cost and Score'!$B$27:$O$40,6,0)</f>
        <v>0.15</v>
      </c>
      <c r="BL194" s="48">
        <f>$G194/5280*VLOOKUP($AC194,'Cost and Score'!$B$27:$O$40,7,0)</f>
        <v>31.25</v>
      </c>
      <c r="BM194" s="48">
        <f>$G194/5280*VLOOKUP($AC194,'Cost and Score'!$B$27:$O$40,8,0)</f>
        <v>50</v>
      </c>
      <c r="BN194" s="48">
        <f>$G194/5280*VLOOKUP($AC194,'Cost and Score'!$B$27:$O$40,9,0)</f>
        <v>500</v>
      </c>
      <c r="BO194" s="48">
        <f>$G194/5280*VLOOKUP($AC194,'Cost and Score'!$B$27:$O$40,10,0)</f>
        <v>125</v>
      </c>
      <c r="BP194" s="48">
        <f>$G194/5280*VLOOKUP($AC194,'Cost and Score'!$B$27:$O$40,11,0)</f>
        <v>25</v>
      </c>
      <c r="BQ194" s="48">
        <f>$G194/5280*VLOOKUP($AC194,'Cost and Score'!$B$27:$O$40,12,0)</f>
        <v>200</v>
      </c>
      <c r="BR194" s="48">
        <f>$G194/5280*VLOOKUP($AC194,'Cost and Score'!$B$27:$O$40,13,0)</f>
        <v>20</v>
      </c>
      <c r="BS194" s="48">
        <f>$G194/5280*VLOOKUP($AC194,'Cost and Score'!$B$27:$O$40,14,0)</f>
        <v>0</v>
      </c>
      <c r="BT194" s="220">
        <f t="shared" ref="BT194:BT257" si="121">G194/5280</f>
        <v>0.25</v>
      </c>
      <c r="CW194" s="112"/>
      <c r="CX194" s="112"/>
      <c r="CY194" s="112"/>
    </row>
    <row r="195" spans="1:103" s="2" customFormat="1" hidden="1" x14ac:dyDescent="0.25">
      <c r="A195" s="15" t="s">
        <v>476</v>
      </c>
      <c r="B195" s="34" t="s">
        <v>475</v>
      </c>
      <c r="C195" s="26" t="s">
        <v>475</v>
      </c>
      <c r="D195" s="26"/>
      <c r="E195" s="26" t="s">
        <v>213</v>
      </c>
      <c r="F195" s="26" t="s">
        <v>416</v>
      </c>
      <c r="G195" s="29">
        <v>3987</v>
      </c>
      <c r="H195" s="29">
        <f t="shared" si="105"/>
        <v>20</v>
      </c>
      <c r="I195" s="26" t="s">
        <v>13</v>
      </c>
      <c r="J195" s="26" t="s">
        <v>62</v>
      </c>
      <c r="K195" s="26">
        <f>VLOOKUP(J195,TOWNSHIPS,2,FALSE)</f>
        <v>0</v>
      </c>
      <c r="L195" s="42">
        <v>7</v>
      </c>
      <c r="M195" s="42">
        <v>7</v>
      </c>
      <c r="N195" s="42">
        <v>7</v>
      </c>
      <c r="O195" s="42">
        <v>7</v>
      </c>
      <c r="P195" s="42">
        <v>6</v>
      </c>
      <c r="Q195" s="42">
        <v>6</v>
      </c>
      <c r="R195" s="42">
        <v>6</v>
      </c>
      <c r="S195" s="42">
        <v>6</v>
      </c>
      <c r="T195" s="42">
        <v>6</v>
      </c>
      <c r="U195" s="42">
        <v>8</v>
      </c>
      <c r="V195" s="42"/>
      <c r="W195" s="42"/>
      <c r="X195" s="42"/>
      <c r="Y195" s="26">
        <v>90</v>
      </c>
      <c r="Z195" s="26">
        <f t="shared" si="106"/>
        <v>0</v>
      </c>
      <c r="AA195" s="26" t="s">
        <v>461</v>
      </c>
      <c r="AB195" s="111">
        <f t="shared" si="112"/>
        <v>4</v>
      </c>
      <c r="AC195" s="82" t="s">
        <v>2072</v>
      </c>
      <c r="AD195" s="47">
        <f t="shared" si="107"/>
        <v>34735.227272727272</v>
      </c>
      <c r="AE195" s="140"/>
      <c r="AF195" s="113">
        <f t="shared" ref="AF195:AF226" si="122">AD195*AE195</f>
        <v>0</v>
      </c>
      <c r="AG195" s="26">
        <v>2027</v>
      </c>
      <c r="AH195" s="26" t="str">
        <f t="shared" si="103"/>
        <v/>
      </c>
      <c r="AI195" s="26" t="str">
        <f t="shared" si="111"/>
        <v/>
      </c>
      <c r="AJ195" s="26" t="str">
        <f t="shared" si="111"/>
        <v/>
      </c>
      <c r="AK195" s="26" t="str">
        <f t="shared" si="104"/>
        <v/>
      </c>
      <c r="AL195" s="26" t="str">
        <f t="shared" si="93"/>
        <v/>
      </c>
      <c r="AM195" s="26" t="str">
        <f t="shared" ref="AM195:AM258" si="123">IF($AG195=AM$1,VLOOKUP($AC195,RSL,3,FALSE),"")</f>
        <v>Chip Seal - Triple</v>
      </c>
      <c r="AN195" s="26" t="str">
        <f t="shared" si="113"/>
        <v>Chip Seal - Triple</v>
      </c>
      <c r="AO195" s="26" t="str">
        <f t="shared" si="94"/>
        <v>Chip Seal - Double and Fog</v>
      </c>
      <c r="AP195" s="26" t="str">
        <f t="shared" si="114"/>
        <v/>
      </c>
      <c r="AQ195" s="68">
        <f t="shared" si="108"/>
        <v>10</v>
      </c>
      <c r="AR195" s="68">
        <f t="shared" si="109"/>
        <v>8</v>
      </c>
      <c r="AS195" s="68">
        <f t="shared" si="115"/>
        <v>1.05</v>
      </c>
      <c r="AT195" s="68">
        <f t="shared" si="116"/>
        <v>1.05</v>
      </c>
      <c r="AU195" s="68">
        <f t="shared" si="117"/>
        <v>1.05</v>
      </c>
      <c r="AV195" s="68">
        <f t="shared" si="118"/>
        <v>1.05</v>
      </c>
      <c r="AW195" s="68">
        <f t="shared" si="119"/>
        <v>1.1000000000000001</v>
      </c>
      <c r="AX195" s="68">
        <f t="shared" ca="1" si="110"/>
        <v>3.1500000000000004</v>
      </c>
      <c r="AY195" s="106">
        <v>2021</v>
      </c>
      <c r="AZ195" s="106" t="s">
        <v>2073</v>
      </c>
      <c r="BA195" s="106" t="str">
        <f t="shared" si="120"/>
        <v/>
      </c>
      <c r="BB195" s="177">
        <v>19</v>
      </c>
      <c r="BC195" s="177">
        <v>3</v>
      </c>
      <c r="BD195" s="177"/>
      <c r="BE195" s="177"/>
      <c r="BF195" s="177"/>
      <c r="BG195" s="177"/>
      <c r="BH195" s="177"/>
      <c r="BI195" s="33"/>
      <c r="BK195" s="48">
        <f>$G195/5280*VLOOKUP($AC195,'Cost and Score'!$B$27:$O$40,6,0)</f>
        <v>0.45306818181818181</v>
      </c>
      <c r="BL195" s="48">
        <f>$G195/5280*VLOOKUP($AC195,'Cost and Score'!$B$27:$O$40,7,0)</f>
        <v>94.389204545454547</v>
      </c>
      <c r="BM195" s="48">
        <f>$G195/5280*VLOOKUP($AC195,'Cost and Score'!$B$27:$O$40,8,0)</f>
        <v>151.02272727272728</v>
      </c>
      <c r="BN195" s="48">
        <f>$G195/5280*VLOOKUP($AC195,'Cost and Score'!$B$27:$O$40,9,0)</f>
        <v>1510.2272727272727</v>
      </c>
      <c r="BO195" s="48">
        <f>$G195/5280*VLOOKUP($AC195,'Cost and Score'!$B$27:$O$40,10,0)</f>
        <v>377.55681818181819</v>
      </c>
      <c r="BP195" s="48">
        <f>$G195/5280*VLOOKUP($AC195,'Cost and Score'!$B$27:$O$40,11,0)</f>
        <v>75.51136363636364</v>
      </c>
      <c r="BQ195" s="48">
        <f>$G195/5280*VLOOKUP($AC195,'Cost and Score'!$B$27:$O$40,12,0)</f>
        <v>604.09090909090912</v>
      </c>
      <c r="BR195" s="48">
        <f>$G195/5280*VLOOKUP($AC195,'Cost and Score'!$B$27:$O$40,13,0)</f>
        <v>60.409090909090907</v>
      </c>
      <c r="BS195" s="48">
        <f>$G195/5280*VLOOKUP($AC195,'Cost and Score'!$B$27:$O$40,14,0)</f>
        <v>0</v>
      </c>
      <c r="BT195" s="220">
        <f t="shared" si="121"/>
        <v>0.75511363636363638</v>
      </c>
      <c r="CW195" s="112"/>
      <c r="CX195" s="112"/>
      <c r="CY195" s="112"/>
    </row>
    <row r="196" spans="1:103" s="2" customFormat="1" hidden="1" x14ac:dyDescent="0.25">
      <c r="A196" s="36" t="s">
        <v>478</v>
      </c>
      <c r="B196" s="34" t="s">
        <v>477</v>
      </c>
      <c r="C196" s="26" t="s">
        <v>477</v>
      </c>
      <c r="D196" s="26"/>
      <c r="E196" s="26" t="s">
        <v>193</v>
      </c>
      <c r="F196" s="26" t="s">
        <v>206</v>
      </c>
      <c r="G196" s="29">
        <v>2400</v>
      </c>
      <c r="H196" s="29">
        <f t="shared" si="105"/>
        <v>20</v>
      </c>
      <c r="I196" s="26" t="s">
        <v>8</v>
      </c>
      <c r="J196" s="26" t="s">
        <v>101</v>
      </c>
      <c r="K196" s="26">
        <v>0</v>
      </c>
      <c r="L196" s="42">
        <v>2</v>
      </c>
      <c r="M196" s="42">
        <v>5</v>
      </c>
      <c r="N196" s="42">
        <v>8</v>
      </c>
      <c r="O196" s="42">
        <v>8</v>
      </c>
      <c r="P196" s="42">
        <v>8</v>
      </c>
      <c r="Q196" s="42">
        <v>7</v>
      </c>
      <c r="R196" s="42">
        <v>7</v>
      </c>
      <c r="S196" s="42">
        <v>6</v>
      </c>
      <c r="T196" s="42">
        <v>6</v>
      </c>
      <c r="U196" s="42">
        <v>7</v>
      </c>
      <c r="V196" s="42"/>
      <c r="W196" s="42"/>
      <c r="X196" s="42"/>
      <c r="Y196" s="26">
        <v>50</v>
      </c>
      <c r="Z196" s="26">
        <f t="shared" si="106"/>
        <v>0</v>
      </c>
      <c r="AA196" s="26" t="s">
        <v>461</v>
      </c>
      <c r="AB196" s="111">
        <f t="shared" si="112"/>
        <v>2</v>
      </c>
      <c r="AC196" s="26" t="s">
        <v>13</v>
      </c>
      <c r="AD196" s="47">
        <f t="shared" si="107"/>
        <v>9545.454545454546</v>
      </c>
      <c r="AE196" s="140"/>
      <c r="AF196" s="113">
        <f t="shared" si="122"/>
        <v>0</v>
      </c>
      <c r="AG196" s="26">
        <v>2026</v>
      </c>
      <c r="AH196" s="26" t="str">
        <f t="shared" si="103"/>
        <v/>
      </c>
      <c r="AI196" s="26" t="str">
        <f t="shared" si="111"/>
        <v/>
      </c>
      <c r="AJ196" s="26" t="str">
        <f t="shared" si="111"/>
        <v/>
      </c>
      <c r="AK196" s="26" t="str">
        <f t="shared" si="104"/>
        <v/>
      </c>
      <c r="AL196" s="26" t="str">
        <f t="shared" ref="AL196:AL259" si="124">IF($AG196=AL$1,VLOOKUP($AC196,RSL,3,FALSE),"")</f>
        <v>Chip Seal and Fog</v>
      </c>
      <c r="AM196" s="26" t="str">
        <f t="shared" si="123"/>
        <v/>
      </c>
      <c r="AN196" s="26" t="str">
        <f t="shared" si="113"/>
        <v>Chip Seal and Fog</v>
      </c>
      <c r="AO196" s="26" t="str">
        <f t="shared" ref="AO196:AO259" si="125">IF(AY196=AO$1,VLOOKUP(AZ196,RSL,3,FALSE),"")</f>
        <v/>
      </c>
      <c r="AP196" s="26" t="str">
        <f t="shared" si="114"/>
        <v/>
      </c>
      <c r="AQ196" s="68">
        <f t="shared" si="108"/>
        <v>12</v>
      </c>
      <c r="AR196" s="68">
        <f t="shared" si="109"/>
        <v>6</v>
      </c>
      <c r="AS196" s="68">
        <f t="shared" si="115"/>
        <v>2</v>
      </c>
      <c r="AT196" s="68">
        <f t="shared" si="116"/>
        <v>1.25</v>
      </c>
      <c r="AU196" s="68">
        <f t="shared" si="117"/>
        <v>1</v>
      </c>
      <c r="AV196" s="68">
        <f t="shared" si="118"/>
        <v>1</v>
      </c>
      <c r="AW196" s="68">
        <f t="shared" si="119"/>
        <v>1</v>
      </c>
      <c r="AX196" s="68">
        <f t="shared" ca="1" si="110"/>
        <v>2</v>
      </c>
      <c r="AY196" s="106">
        <v>2015</v>
      </c>
      <c r="AZ196" s="106" t="s">
        <v>13</v>
      </c>
      <c r="BA196" s="106" t="str">
        <f t="shared" si="120"/>
        <v/>
      </c>
      <c r="BB196" s="177"/>
      <c r="BC196" s="177">
        <v>3</v>
      </c>
      <c r="BD196" s="177"/>
      <c r="BE196" s="177"/>
      <c r="BF196" s="177"/>
      <c r="BG196" s="177"/>
      <c r="BH196" s="177"/>
      <c r="BI196" s="33" t="s">
        <v>2191</v>
      </c>
      <c r="BK196" s="48">
        <f>$G196/5280*VLOOKUP($AC196,'Cost and Score'!$B$27:$O$40,6,0)</f>
        <v>9.0909090909090912E-2</v>
      </c>
      <c r="BL196" s="48">
        <f>$G196/5280*VLOOKUP($AC196,'Cost and Score'!$B$27:$O$40,7,0)</f>
        <v>10</v>
      </c>
      <c r="BM196" s="48">
        <f>$G196/5280*VLOOKUP($AC196,'Cost and Score'!$B$27:$O$40,8,0)</f>
        <v>0</v>
      </c>
      <c r="BN196" s="48">
        <f>$G196/5280*VLOOKUP($AC196,'Cost and Score'!$B$27:$O$40,9,0)</f>
        <v>2045.4545454545455</v>
      </c>
      <c r="BO196" s="48">
        <f>$G196/5280*VLOOKUP($AC196,'Cost and Score'!$B$27:$O$40,10,0)</f>
        <v>454.5454545454545</v>
      </c>
      <c r="BP196" s="48">
        <f>$G196/5280*VLOOKUP($AC196,'Cost and Score'!$B$27:$O$40,11,0)</f>
        <v>0</v>
      </c>
      <c r="BQ196" s="48">
        <f>$G196/5280*VLOOKUP($AC196,'Cost and Score'!$B$27:$O$40,12,0)</f>
        <v>45.454545454545453</v>
      </c>
      <c r="BR196" s="48">
        <f>$G196/5280*VLOOKUP($AC196,'Cost and Score'!$B$27:$O$40,13,0)</f>
        <v>54.545454545454547</v>
      </c>
      <c r="BS196" s="48">
        <f>$G196/5280*VLOOKUP($AC196,'Cost and Score'!$B$27:$O$40,14,0)</f>
        <v>0</v>
      </c>
      <c r="BT196" s="220">
        <f t="shared" si="121"/>
        <v>0.45454545454545453</v>
      </c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</row>
    <row r="197" spans="1:103" s="2" customFormat="1" hidden="1" x14ac:dyDescent="0.25">
      <c r="A197" s="36" t="s">
        <v>480</v>
      </c>
      <c r="B197" s="34" t="s">
        <v>479</v>
      </c>
      <c r="C197" s="26" t="s">
        <v>479</v>
      </c>
      <c r="D197" s="82"/>
      <c r="E197" s="82" t="s">
        <v>116</v>
      </c>
      <c r="F197" s="82" t="s">
        <v>55</v>
      </c>
      <c r="G197" s="29">
        <v>1332</v>
      </c>
      <c r="H197" s="29">
        <f t="shared" si="105"/>
        <v>20</v>
      </c>
      <c r="I197" s="26" t="s">
        <v>8</v>
      </c>
      <c r="J197" s="26" t="s">
        <v>101</v>
      </c>
      <c r="K197" s="26">
        <v>0</v>
      </c>
      <c r="L197" s="42">
        <v>8</v>
      </c>
      <c r="M197" s="42">
        <v>8</v>
      </c>
      <c r="N197" s="42">
        <v>8</v>
      </c>
      <c r="O197" s="83">
        <v>8</v>
      </c>
      <c r="P197" s="83">
        <v>8</v>
      </c>
      <c r="Q197" s="83">
        <v>8</v>
      </c>
      <c r="R197" s="83">
        <v>8</v>
      </c>
      <c r="S197" s="83">
        <v>7</v>
      </c>
      <c r="T197" s="83">
        <v>7</v>
      </c>
      <c r="U197" s="83">
        <v>7</v>
      </c>
      <c r="V197" s="42">
        <v>2024</v>
      </c>
      <c r="W197" s="42"/>
      <c r="X197" s="42" t="s">
        <v>2612</v>
      </c>
      <c r="Y197" s="26">
        <v>1691</v>
      </c>
      <c r="Z197" s="26">
        <f t="shared" si="106"/>
        <v>1</v>
      </c>
      <c r="AA197" s="82" t="s">
        <v>197</v>
      </c>
      <c r="AB197" s="111">
        <f t="shared" si="112"/>
        <v>3</v>
      </c>
      <c r="AC197" s="85" t="s">
        <v>13</v>
      </c>
      <c r="AD197" s="84">
        <f t="shared" si="107"/>
        <v>5297.727272727273</v>
      </c>
      <c r="AE197" s="140"/>
      <c r="AF197" s="113">
        <f t="shared" si="122"/>
        <v>0</v>
      </c>
      <c r="AG197" s="85">
        <v>2026</v>
      </c>
      <c r="AH197" s="26" t="str">
        <f t="shared" si="103"/>
        <v/>
      </c>
      <c r="AI197" s="26" t="str">
        <f t="shared" si="111"/>
        <v/>
      </c>
      <c r="AJ197" s="26" t="str">
        <f t="shared" si="111"/>
        <v/>
      </c>
      <c r="AK197" s="26" t="str">
        <f t="shared" si="104"/>
        <v/>
      </c>
      <c r="AL197" s="26" t="str">
        <f t="shared" si="124"/>
        <v>Chip Seal and Fog</v>
      </c>
      <c r="AM197" s="26" t="str">
        <f t="shared" si="123"/>
        <v/>
      </c>
      <c r="AN197" s="26" t="str">
        <f t="shared" si="113"/>
        <v>Chip Seal and Fog</v>
      </c>
      <c r="AO197" s="26" t="str">
        <f t="shared" si="125"/>
        <v/>
      </c>
      <c r="AP197" s="26" t="str">
        <f t="shared" si="114"/>
        <v/>
      </c>
      <c r="AQ197" s="68">
        <f t="shared" si="108"/>
        <v>12</v>
      </c>
      <c r="AR197" s="68">
        <f t="shared" si="109"/>
        <v>6</v>
      </c>
      <c r="AS197" s="68">
        <f t="shared" si="115"/>
        <v>1</v>
      </c>
      <c r="AT197" s="68">
        <f t="shared" si="116"/>
        <v>1</v>
      </c>
      <c r="AU197" s="68">
        <f t="shared" si="117"/>
        <v>1</v>
      </c>
      <c r="AV197" s="68">
        <f t="shared" si="118"/>
        <v>1</v>
      </c>
      <c r="AW197" s="68">
        <f t="shared" si="119"/>
        <v>1</v>
      </c>
      <c r="AX197" s="68">
        <f t="shared" ca="1" si="110"/>
        <v>2</v>
      </c>
      <c r="AY197" s="106">
        <v>2020</v>
      </c>
      <c r="AZ197" s="106" t="s">
        <v>2075</v>
      </c>
      <c r="BA197" s="106" t="str">
        <f t="shared" si="120"/>
        <v/>
      </c>
      <c r="BB197" s="177"/>
      <c r="BC197" s="177">
        <v>4</v>
      </c>
      <c r="BD197" s="177"/>
      <c r="BE197" s="177"/>
      <c r="BF197" s="177"/>
      <c r="BG197" s="177"/>
      <c r="BH197" s="177"/>
      <c r="BI197" s="33"/>
      <c r="BK197" s="48">
        <f>$G197/5280*VLOOKUP($AC197,'Cost and Score'!$B$27:$O$40,6,0)</f>
        <v>5.0454545454545453E-2</v>
      </c>
      <c r="BL197" s="48">
        <f>$G197/5280*VLOOKUP($AC197,'Cost and Score'!$B$27:$O$40,7,0)</f>
        <v>5.55</v>
      </c>
      <c r="BM197" s="48">
        <f>$G197/5280*VLOOKUP($AC197,'Cost and Score'!$B$27:$O$40,8,0)</f>
        <v>0</v>
      </c>
      <c r="BN197" s="48">
        <f>$G197/5280*VLOOKUP($AC197,'Cost and Score'!$B$27:$O$40,9,0)</f>
        <v>1135.2272727272727</v>
      </c>
      <c r="BO197" s="48">
        <f>$G197/5280*VLOOKUP($AC197,'Cost and Score'!$B$27:$O$40,10,0)</f>
        <v>252.27272727272725</v>
      </c>
      <c r="BP197" s="48">
        <f>$G197/5280*VLOOKUP($AC197,'Cost and Score'!$B$27:$O$40,11,0)</f>
        <v>0</v>
      </c>
      <c r="BQ197" s="48">
        <f>$G197/5280*VLOOKUP($AC197,'Cost and Score'!$B$27:$O$40,12,0)</f>
        <v>25.227272727272727</v>
      </c>
      <c r="BR197" s="48">
        <f>$G197/5280*VLOOKUP($AC197,'Cost and Score'!$B$27:$O$40,13,0)</f>
        <v>30.27272727272727</v>
      </c>
      <c r="BS197" s="48">
        <f>$G197/5280*VLOOKUP($AC197,'Cost and Score'!$B$27:$O$40,14,0)</f>
        <v>0</v>
      </c>
      <c r="BT197" s="220">
        <f t="shared" si="121"/>
        <v>0.25227272727272726</v>
      </c>
    </row>
    <row r="198" spans="1:103" s="2" customFormat="1" hidden="1" x14ac:dyDescent="0.25">
      <c r="A198" s="15" t="s">
        <v>482</v>
      </c>
      <c r="B198" s="34" t="s">
        <v>481</v>
      </c>
      <c r="C198" s="26" t="s">
        <v>481</v>
      </c>
      <c r="D198" s="82"/>
      <c r="E198" s="82" t="s">
        <v>55</v>
      </c>
      <c r="F198" s="82" t="s">
        <v>121</v>
      </c>
      <c r="G198" s="29">
        <v>3978</v>
      </c>
      <c r="H198" s="29">
        <f t="shared" si="105"/>
        <v>20</v>
      </c>
      <c r="I198" s="26" t="s">
        <v>8</v>
      </c>
      <c r="J198" s="26" t="s">
        <v>101</v>
      </c>
      <c r="K198" s="26">
        <v>0</v>
      </c>
      <c r="L198" s="42">
        <v>6</v>
      </c>
      <c r="M198" s="42">
        <v>6</v>
      </c>
      <c r="N198" s="42">
        <v>6</v>
      </c>
      <c r="O198" s="83">
        <v>6</v>
      </c>
      <c r="P198" s="83">
        <v>6</v>
      </c>
      <c r="Q198" s="83">
        <v>8</v>
      </c>
      <c r="R198" s="83">
        <v>8</v>
      </c>
      <c r="S198" s="83">
        <v>8</v>
      </c>
      <c r="T198" s="83">
        <v>8</v>
      </c>
      <c r="U198" s="83">
        <v>8</v>
      </c>
      <c r="V198" s="42">
        <v>2024</v>
      </c>
      <c r="W198" s="42">
        <v>2019</v>
      </c>
      <c r="X198" s="42" t="s">
        <v>2612</v>
      </c>
      <c r="Y198" s="26">
        <v>2125</v>
      </c>
      <c r="Z198" s="26">
        <f t="shared" si="106"/>
        <v>1</v>
      </c>
      <c r="AA198" s="82" t="s">
        <v>197</v>
      </c>
      <c r="AB198" s="111">
        <f t="shared" si="112"/>
        <v>5</v>
      </c>
      <c r="AC198" s="85" t="s">
        <v>751</v>
      </c>
      <c r="AD198" s="84">
        <f t="shared" si="107"/>
        <v>82875</v>
      </c>
      <c r="AE198" s="140">
        <v>1</v>
      </c>
      <c r="AF198" s="113">
        <f t="shared" si="122"/>
        <v>82875</v>
      </c>
      <c r="AG198" s="82">
        <v>2023</v>
      </c>
      <c r="AH198" s="26" t="str">
        <f t="shared" si="103"/>
        <v/>
      </c>
      <c r="AI198" s="26" t="str">
        <f t="shared" si="111"/>
        <v>Overlay - 2"</v>
      </c>
      <c r="AJ198" s="26" t="str">
        <f t="shared" si="111"/>
        <v/>
      </c>
      <c r="AK198" s="26" t="str">
        <f t="shared" si="104"/>
        <v/>
      </c>
      <c r="AL198" s="26" t="str">
        <f t="shared" si="124"/>
        <v/>
      </c>
      <c r="AM198" s="26" t="str">
        <f t="shared" si="123"/>
        <v/>
      </c>
      <c r="AN198" s="26" t="str">
        <f t="shared" si="113"/>
        <v>Overlay - 2"</v>
      </c>
      <c r="AO198" s="26" t="str">
        <f t="shared" si="125"/>
        <v/>
      </c>
      <c r="AP198" s="26" t="str">
        <f t="shared" si="114"/>
        <v/>
      </c>
      <c r="AQ198" s="68">
        <f t="shared" si="108"/>
        <v>8</v>
      </c>
      <c r="AR198" s="68">
        <f t="shared" si="109"/>
        <v>12</v>
      </c>
      <c r="AS198" s="68">
        <f t="shared" si="115"/>
        <v>1.1000000000000001</v>
      </c>
      <c r="AT198" s="68">
        <f t="shared" si="116"/>
        <v>1.1000000000000001</v>
      </c>
      <c r="AU198" s="68">
        <f t="shared" si="117"/>
        <v>1.1000000000000001</v>
      </c>
      <c r="AV198" s="68">
        <f t="shared" si="118"/>
        <v>1.1000000000000001</v>
      </c>
      <c r="AW198" s="68">
        <f t="shared" si="119"/>
        <v>1.1000000000000001</v>
      </c>
      <c r="AX198" s="68">
        <f t="shared" ca="1" si="110"/>
        <v>-1.1000000000000001</v>
      </c>
      <c r="AY198" s="106">
        <v>2023</v>
      </c>
      <c r="AZ198" s="106" t="s">
        <v>751</v>
      </c>
      <c r="BA198" s="106" t="str">
        <f t="shared" si="120"/>
        <v/>
      </c>
      <c r="BB198" s="177"/>
      <c r="BC198" s="177">
        <v>4</v>
      </c>
      <c r="BD198" s="177"/>
      <c r="BE198" s="177"/>
      <c r="BF198" s="177"/>
      <c r="BG198" s="177"/>
      <c r="BH198" s="177"/>
      <c r="BI198" s="33"/>
      <c r="BK198" s="48">
        <f>$G198/5280*VLOOKUP($AC198,'Cost and Score'!$B$27:$O$40,6,0)</f>
        <v>1.6951704545454547</v>
      </c>
      <c r="BL198" s="48">
        <f>$G198/5280*VLOOKUP($AC198,'Cost and Score'!$B$27:$O$40,7,0)</f>
        <v>158.21590909090909</v>
      </c>
      <c r="BM198" s="48">
        <f>$G198/5280*VLOOKUP($AC198,'Cost and Score'!$B$27:$O$40,8,0)</f>
        <v>263.69318181818181</v>
      </c>
      <c r="BN198" s="48">
        <f>$G198/5280*VLOOKUP($AC198,'Cost and Score'!$B$27:$O$40,9,0)</f>
        <v>0</v>
      </c>
      <c r="BO198" s="48">
        <f>$G198/5280*VLOOKUP($AC198,'Cost and Score'!$B$27:$O$40,10,0)</f>
        <v>0</v>
      </c>
      <c r="BP198" s="48">
        <f>$G198/5280*VLOOKUP($AC198,'Cost and Score'!$B$27:$O$40,11,0)</f>
        <v>150.68181818181819</v>
      </c>
      <c r="BQ198" s="48">
        <f>$G198/5280*VLOOKUP($AC198,'Cost and Score'!$B$27:$O$40,12,0)</f>
        <v>1280.7954545454545</v>
      </c>
      <c r="BR198" s="48">
        <f>$G198/5280*VLOOKUP($AC198,'Cost and Score'!$B$27:$O$40,13,0)</f>
        <v>0</v>
      </c>
      <c r="BS198" s="48">
        <f>$G198/5280*VLOOKUP($AC198,'Cost and Score'!$B$27:$O$40,14,0)</f>
        <v>0</v>
      </c>
      <c r="BT198" s="220">
        <f t="shared" si="121"/>
        <v>0.75340909090909092</v>
      </c>
    </row>
    <row r="199" spans="1:103" s="2" customFormat="1" hidden="1" x14ac:dyDescent="0.25">
      <c r="A199" s="15" t="s">
        <v>484</v>
      </c>
      <c r="B199" s="34" t="s">
        <v>483</v>
      </c>
      <c r="C199" s="26" t="s">
        <v>483</v>
      </c>
      <c r="D199" s="82"/>
      <c r="E199" s="82" t="s">
        <v>121</v>
      </c>
      <c r="F199" s="82" t="s">
        <v>124</v>
      </c>
      <c r="G199" s="29">
        <v>5315</v>
      </c>
      <c r="H199" s="29">
        <f t="shared" si="105"/>
        <v>20</v>
      </c>
      <c r="I199" s="26" t="s">
        <v>8</v>
      </c>
      <c r="J199" s="26" t="s">
        <v>125</v>
      </c>
      <c r="K199" s="26">
        <f>VLOOKUP(J199,TOWNSHIPS,2,FALSE)</f>
        <v>0</v>
      </c>
      <c r="L199" s="42">
        <v>7</v>
      </c>
      <c r="M199" s="42">
        <v>8</v>
      </c>
      <c r="N199" s="42">
        <v>8</v>
      </c>
      <c r="O199" s="83">
        <v>8</v>
      </c>
      <c r="P199" s="83">
        <v>8</v>
      </c>
      <c r="Q199" s="83">
        <v>8</v>
      </c>
      <c r="R199" s="83">
        <v>7</v>
      </c>
      <c r="S199" s="83">
        <v>7</v>
      </c>
      <c r="T199" s="83">
        <v>7</v>
      </c>
      <c r="U199" s="83">
        <v>7</v>
      </c>
      <c r="V199" s="42">
        <v>2024</v>
      </c>
      <c r="W199" s="42">
        <v>2019</v>
      </c>
      <c r="X199" s="42" t="s">
        <v>2612</v>
      </c>
      <c r="Y199" s="26">
        <v>2193</v>
      </c>
      <c r="Z199" s="26">
        <f t="shared" si="106"/>
        <v>1</v>
      </c>
      <c r="AA199" s="82" t="s">
        <v>197</v>
      </c>
      <c r="AB199" s="111">
        <f t="shared" si="112"/>
        <v>3</v>
      </c>
      <c r="AC199" s="85" t="s">
        <v>751</v>
      </c>
      <c r="AD199" s="84">
        <f t="shared" si="107"/>
        <v>110729.16666666667</v>
      </c>
      <c r="AE199" s="140"/>
      <c r="AF199" s="113">
        <f t="shared" si="122"/>
        <v>0</v>
      </c>
      <c r="AG199" s="82">
        <v>2024</v>
      </c>
      <c r="AH199" s="26" t="str">
        <f t="shared" si="103"/>
        <v/>
      </c>
      <c r="AI199" s="26" t="str">
        <f t="shared" si="111"/>
        <v/>
      </c>
      <c r="AJ199" s="26" t="str">
        <f t="shared" si="111"/>
        <v>Overlay - 2"</v>
      </c>
      <c r="AK199" s="26" t="str">
        <f t="shared" si="104"/>
        <v/>
      </c>
      <c r="AL199" s="26" t="str">
        <f t="shared" si="124"/>
        <v/>
      </c>
      <c r="AM199" s="26" t="str">
        <f t="shared" si="123"/>
        <v/>
      </c>
      <c r="AN199" s="26" t="str">
        <f t="shared" si="113"/>
        <v>Overlay - 2"</v>
      </c>
      <c r="AO199" s="26" t="str">
        <f t="shared" si="125"/>
        <v/>
      </c>
      <c r="AP199" s="26" t="str">
        <f t="shared" si="114"/>
        <v/>
      </c>
      <c r="AQ199" s="68">
        <f t="shared" si="108"/>
        <v>12</v>
      </c>
      <c r="AR199" s="68">
        <f t="shared" si="109"/>
        <v>12</v>
      </c>
      <c r="AS199" s="68">
        <f t="shared" si="115"/>
        <v>1.05</v>
      </c>
      <c r="AT199" s="68">
        <f t="shared" si="116"/>
        <v>1</v>
      </c>
      <c r="AU199" s="68">
        <f t="shared" si="117"/>
        <v>1</v>
      </c>
      <c r="AV199" s="68">
        <f t="shared" si="118"/>
        <v>1</v>
      </c>
      <c r="AW199" s="68">
        <f t="shared" si="119"/>
        <v>1</v>
      </c>
      <c r="AX199" s="68">
        <f t="shared" ca="1" si="110"/>
        <v>0</v>
      </c>
      <c r="AY199" s="106">
        <v>2018</v>
      </c>
      <c r="AZ199" s="106" t="s">
        <v>13</v>
      </c>
      <c r="BA199" s="106" t="str">
        <f t="shared" si="120"/>
        <v>CS</v>
      </c>
      <c r="BB199" s="177"/>
      <c r="BC199" s="177">
        <v>4</v>
      </c>
      <c r="BD199" s="177"/>
      <c r="BE199" s="177"/>
      <c r="BF199" s="177"/>
      <c r="BG199" s="177"/>
      <c r="BH199" s="177"/>
      <c r="BI199" s="33"/>
      <c r="BK199" s="48">
        <f>$G199/5280*VLOOKUP($AC199,'Cost and Score'!$B$27:$O$40,6,0)</f>
        <v>2.2649147727272725</v>
      </c>
      <c r="BL199" s="48">
        <f>$G199/5280*VLOOKUP($AC199,'Cost and Score'!$B$27:$O$40,7,0)</f>
        <v>211.39204545454544</v>
      </c>
      <c r="BM199" s="48">
        <f>$G199/5280*VLOOKUP($AC199,'Cost and Score'!$B$27:$O$40,8,0)</f>
        <v>352.32007575757575</v>
      </c>
      <c r="BN199" s="48">
        <f>$G199/5280*VLOOKUP($AC199,'Cost and Score'!$B$27:$O$40,9,0)</f>
        <v>0</v>
      </c>
      <c r="BO199" s="48">
        <f>$G199/5280*VLOOKUP($AC199,'Cost and Score'!$B$27:$O$40,10,0)</f>
        <v>0</v>
      </c>
      <c r="BP199" s="48">
        <f>$G199/5280*VLOOKUP($AC199,'Cost and Score'!$B$27:$O$40,11,0)</f>
        <v>201.32575757575756</v>
      </c>
      <c r="BQ199" s="48">
        <f>$G199/5280*VLOOKUP($AC199,'Cost and Score'!$B$27:$O$40,12,0)</f>
        <v>1711.2689393939393</v>
      </c>
      <c r="BR199" s="48">
        <f>$G199/5280*VLOOKUP($AC199,'Cost and Score'!$B$27:$O$40,13,0)</f>
        <v>0</v>
      </c>
      <c r="BS199" s="48">
        <f>$G199/5280*VLOOKUP($AC199,'Cost and Score'!$B$27:$O$40,14,0)</f>
        <v>0</v>
      </c>
      <c r="BT199" s="220">
        <f t="shared" si="121"/>
        <v>1.0066287878787878</v>
      </c>
    </row>
    <row r="200" spans="1:103" s="112" customFormat="1" hidden="1" x14ac:dyDescent="0.25">
      <c r="A200" s="15" t="s">
        <v>488</v>
      </c>
      <c r="B200" s="108" t="s">
        <v>485</v>
      </c>
      <c r="C200" s="106" t="s">
        <v>485</v>
      </c>
      <c r="D200" s="106"/>
      <c r="E200" s="106" t="s">
        <v>486</v>
      </c>
      <c r="F200" s="106" t="s">
        <v>487</v>
      </c>
      <c r="G200" s="109">
        <v>6335</v>
      </c>
      <c r="H200" s="109">
        <f t="shared" si="105"/>
        <v>20</v>
      </c>
      <c r="I200" s="106" t="s">
        <v>8</v>
      </c>
      <c r="J200" s="106" t="s">
        <v>101</v>
      </c>
      <c r="K200" s="106">
        <v>0</v>
      </c>
      <c r="L200" s="110">
        <v>7</v>
      </c>
      <c r="M200" s="110">
        <v>7</v>
      </c>
      <c r="N200" s="110">
        <v>7</v>
      </c>
      <c r="O200" s="110">
        <v>7</v>
      </c>
      <c r="P200" s="110">
        <v>7</v>
      </c>
      <c r="Q200" s="110">
        <v>7</v>
      </c>
      <c r="R200" s="110">
        <v>7</v>
      </c>
      <c r="S200" s="110">
        <v>7</v>
      </c>
      <c r="T200" s="110">
        <v>7</v>
      </c>
      <c r="U200" s="110">
        <v>7</v>
      </c>
      <c r="V200" s="110">
        <v>2022</v>
      </c>
      <c r="W200" s="110"/>
      <c r="X200" s="110" t="s">
        <v>2612</v>
      </c>
      <c r="Y200" s="106">
        <v>1884</v>
      </c>
      <c r="Z200" s="106">
        <f t="shared" si="106"/>
        <v>1</v>
      </c>
      <c r="AA200" s="106" t="s">
        <v>197</v>
      </c>
      <c r="AB200" s="111">
        <f t="shared" si="112"/>
        <v>4</v>
      </c>
      <c r="AC200" s="26" t="s">
        <v>751</v>
      </c>
      <c r="AD200" s="107">
        <f t="shared" si="107"/>
        <v>131979.16666666666</v>
      </c>
      <c r="AE200" s="198"/>
      <c r="AF200" s="113">
        <f t="shared" si="122"/>
        <v>0</v>
      </c>
      <c r="AG200" s="26">
        <v>2027</v>
      </c>
      <c r="AH200" s="26" t="str">
        <f t="shared" si="103"/>
        <v/>
      </c>
      <c r="AI200" s="26" t="str">
        <f t="shared" si="111"/>
        <v/>
      </c>
      <c r="AJ200" s="26" t="str">
        <f t="shared" si="111"/>
        <v/>
      </c>
      <c r="AK200" s="26" t="str">
        <f t="shared" si="104"/>
        <v/>
      </c>
      <c r="AL200" s="26" t="str">
        <f t="shared" si="124"/>
        <v/>
      </c>
      <c r="AM200" s="26" t="str">
        <f t="shared" si="123"/>
        <v>Overlay - 2"</v>
      </c>
      <c r="AN200" s="26" t="str">
        <f t="shared" si="113"/>
        <v>Overlay - 2"</v>
      </c>
      <c r="AO200" s="26" t="str">
        <f t="shared" si="125"/>
        <v/>
      </c>
      <c r="AP200" s="26" t="str">
        <f t="shared" si="114"/>
        <v/>
      </c>
      <c r="AQ200" s="68">
        <f t="shared" si="108"/>
        <v>10</v>
      </c>
      <c r="AR200" s="68">
        <f t="shared" si="109"/>
        <v>12</v>
      </c>
      <c r="AS200" s="68">
        <f t="shared" si="115"/>
        <v>1.05</v>
      </c>
      <c r="AT200" s="68">
        <f t="shared" si="116"/>
        <v>1.05</v>
      </c>
      <c r="AU200" s="68">
        <f t="shared" si="117"/>
        <v>1.05</v>
      </c>
      <c r="AV200" s="68">
        <f t="shared" si="118"/>
        <v>1.05</v>
      </c>
      <c r="AW200" s="68">
        <f t="shared" si="119"/>
        <v>1.05</v>
      </c>
      <c r="AX200" s="68">
        <f t="shared" ca="1" si="110"/>
        <v>3.1500000000000004</v>
      </c>
      <c r="AY200" s="106">
        <v>2017</v>
      </c>
      <c r="AZ200" s="106" t="s">
        <v>2075</v>
      </c>
      <c r="BA200" s="106" t="str">
        <f t="shared" si="120"/>
        <v/>
      </c>
      <c r="BB200" s="177"/>
      <c r="BC200" s="177">
        <v>3</v>
      </c>
      <c r="BD200" s="177"/>
      <c r="BE200" s="177"/>
      <c r="BF200" s="177"/>
      <c r="BG200" s="177"/>
      <c r="BH200" s="177"/>
      <c r="BI200" s="33"/>
      <c r="BJ200" s="2"/>
      <c r="BK200" s="48">
        <f>$G200/5280*VLOOKUP($AC200,'Cost and Score'!$B$27:$O$40,6,0)</f>
        <v>2.6995738636363633</v>
      </c>
      <c r="BL200" s="48">
        <f>$G200/5280*VLOOKUP($AC200,'Cost and Score'!$B$27:$O$40,7,0)</f>
        <v>251.96022727272725</v>
      </c>
      <c r="BM200" s="48">
        <f>$G200/5280*VLOOKUP($AC200,'Cost and Score'!$B$27:$O$40,8,0)</f>
        <v>419.93371212121207</v>
      </c>
      <c r="BN200" s="48">
        <f>$G200/5280*VLOOKUP($AC200,'Cost and Score'!$B$27:$O$40,9,0)</f>
        <v>0</v>
      </c>
      <c r="BO200" s="48">
        <f>$G200/5280*VLOOKUP($AC200,'Cost and Score'!$B$27:$O$40,10,0)</f>
        <v>0</v>
      </c>
      <c r="BP200" s="48">
        <f>$G200/5280*VLOOKUP($AC200,'Cost and Score'!$B$27:$O$40,11,0)</f>
        <v>239.96212121212119</v>
      </c>
      <c r="BQ200" s="48">
        <f>$G200/5280*VLOOKUP($AC200,'Cost and Score'!$B$27:$O$40,12,0)</f>
        <v>2039.6780303030303</v>
      </c>
      <c r="BR200" s="48">
        <f>$G200/5280*VLOOKUP($AC200,'Cost and Score'!$B$27:$O$40,13,0)</f>
        <v>0</v>
      </c>
      <c r="BS200" s="48">
        <f>$G200/5280*VLOOKUP($AC200,'Cost and Score'!$B$27:$O$40,14,0)</f>
        <v>0</v>
      </c>
      <c r="BT200" s="220">
        <f t="shared" si="121"/>
        <v>1.199810606060606</v>
      </c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</row>
    <row r="201" spans="1:103" s="2" customFormat="1" hidden="1" x14ac:dyDescent="0.25">
      <c r="A201" s="36" t="s">
        <v>490</v>
      </c>
      <c r="B201" s="34" t="s">
        <v>489</v>
      </c>
      <c r="C201" s="26" t="s">
        <v>489</v>
      </c>
      <c r="D201" s="82"/>
      <c r="E201" s="82" t="s">
        <v>124</v>
      </c>
      <c r="F201" s="82" t="s">
        <v>129</v>
      </c>
      <c r="G201" s="29">
        <v>5361</v>
      </c>
      <c r="H201" s="29">
        <f t="shared" si="105"/>
        <v>20</v>
      </c>
      <c r="I201" s="26" t="s">
        <v>8</v>
      </c>
      <c r="J201" s="26" t="s">
        <v>125</v>
      </c>
      <c r="K201" s="26">
        <f>VLOOKUP(J201,TOWNSHIPS,2,FALSE)</f>
        <v>0</v>
      </c>
      <c r="L201" s="42">
        <v>7</v>
      </c>
      <c r="M201" s="42">
        <v>8</v>
      </c>
      <c r="N201" s="42">
        <v>8</v>
      </c>
      <c r="O201" s="83">
        <v>8</v>
      </c>
      <c r="P201" s="83">
        <v>8</v>
      </c>
      <c r="Q201" s="83">
        <v>8</v>
      </c>
      <c r="R201" s="83">
        <v>7</v>
      </c>
      <c r="S201" s="83">
        <v>7</v>
      </c>
      <c r="T201" s="83">
        <v>7</v>
      </c>
      <c r="U201" s="83">
        <v>7</v>
      </c>
      <c r="V201" s="42">
        <v>2024</v>
      </c>
      <c r="W201" s="42"/>
      <c r="X201" s="42" t="s">
        <v>2612</v>
      </c>
      <c r="Y201" s="26">
        <v>2718</v>
      </c>
      <c r="Z201" s="26">
        <f t="shared" si="106"/>
        <v>1.5</v>
      </c>
      <c r="AA201" s="82" t="s">
        <v>197</v>
      </c>
      <c r="AB201" s="111">
        <f t="shared" si="112"/>
        <v>3.5</v>
      </c>
      <c r="AC201" s="85" t="s">
        <v>751</v>
      </c>
      <c r="AD201" s="84">
        <f t="shared" si="107"/>
        <v>111687.5</v>
      </c>
      <c r="AE201" s="140"/>
      <c r="AF201" s="113">
        <f t="shared" si="122"/>
        <v>0</v>
      </c>
      <c r="AG201" s="85">
        <v>2024</v>
      </c>
      <c r="AH201" s="26" t="str">
        <f t="shared" si="103"/>
        <v/>
      </c>
      <c r="AI201" s="26" t="str">
        <f t="shared" si="111"/>
        <v/>
      </c>
      <c r="AJ201" s="26" t="str">
        <f t="shared" si="111"/>
        <v>Overlay - 2"</v>
      </c>
      <c r="AK201" s="26" t="str">
        <f t="shared" si="104"/>
        <v/>
      </c>
      <c r="AL201" s="26" t="str">
        <f t="shared" si="124"/>
        <v/>
      </c>
      <c r="AM201" s="26" t="str">
        <f t="shared" si="123"/>
        <v/>
      </c>
      <c r="AN201" s="26" t="str">
        <f t="shared" si="113"/>
        <v>Overlay - 2"</v>
      </c>
      <c r="AO201" s="26" t="str">
        <f t="shared" si="125"/>
        <v/>
      </c>
      <c r="AP201" s="26" t="str">
        <f t="shared" si="114"/>
        <v/>
      </c>
      <c r="AQ201" s="68">
        <f t="shared" si="108"/>
        <v>12</v>
      </c>
      <c r="AR201" s="68">
        <f t="shared" si="109"/>
        <v>12</v>
      </c>
      <c r="AS201" s="68">
        <f t="shared" si="115"/>
        <v>1.05</v>
      </c>
      <c r="AT201" s="68">
        <f t="shared" si="116"/>
        <v>1</v>
      </c>
      <c r="AU201" s="68">
        <f t="shared" si="117"/>
        <v>1</v>
      </c>
      <c r="AV201" s="68">
        <f t="shared" si="118"/>
        <v>1</v>
      </c>
      <c r="AW201" s="68">
        <f t="shared" si="119"/>
        <v>1</v>
      </c>
      <c r="AX201" s="68">
        <f t="shared" ca="1" si="110"/>
        <v>0</v>
      </c>
      <c r="AY201" s="106">
        <v>2020</v>
      </c>
      <c r="AZ201" s="106" t="s">
        <v>2075</v>
      </c>
      <c r="BA201" s="106" t="str">
        <f t="shared" si="120"/>
        <v/>
      </c>
      <c r="BB201" s="177"/>
      <c r="BC201" s="177">
        <v>2</v>
      </c>
      <c r="BD201" s="177"/>
      <c r="BE201" s="177"/>
      <c r="BF201" s="177"/>
      <c r="BG201" s="177"/>
      <c r="BH201" s="177"/>
      <c r="BI201" s="33"/>
      <c r="BK201" s="48">
        <f>$G201/5280*VLOOKUP($AC201,'Cost and Score'!$B$27:$O$40,6,0)</f>
        <v>2.2845170454545456</v>
      </c>
      <c r="BL201" s="48">
        <f>$G201/5280*VLOOKUP($AC201,'Cost and Score'!$B$27:$O$40,7,0)</f>
        <v>213.22159090909091</v>
      </c>
      <c r="BM201" s="48">
        <f>$G201/5280*VLOOKUP($AC201,'Cost and Score'!$B$27:$O$40,8,0)</f>
        <v>355.36931818181819</v>
      </c>
      <c r="BN201" s="48">
        <f>$G201/5280*VLOOKUP($AC201,'Cost and Score'!$B$27:$O$40,9,0)</f>
        <v>0</v>
      </c>
      <c r="BO201" s="48">
        <f>$G201/5280*VLOOKUP($AC201,'Cost and Score'!$B$27:$O$40,10,0)</f>
        <v>0</v>
      </c>
      <c r="BP201" s="48">
        <f>$G201/5280*VLOOKUP($AC201,'Cost and Score'!$B$27:$O$40,11,0)</f>
        <v>203.06818181818181</v>
      </c>
      <c r="BQ201" s="48">
        <f>$G201/5280*VLOOKUP($AC201,'Cost and Score'!$B$27:$O$40,12,0)</f>
        <v>1726.0795454545455</v>
      </c>
      <c r="BR201" s="48">
        <f>$G201/5280*VLOOKUP($AC201,'Cost and Score'!$B$27:$O$40,13,0)</f>
        <v>0</v>
      </c>
      <c r="BS201" s="48">
        <f>$G201/5280*VLOOKUP($AC201,'Cost and Score'!$B$27:$O$40,14,0)</f>
        <v>0</v>
      </c>
      <c r="BT201" s="220">
        <f t="shared" si="121"/>
        <v>1.0153409090909091</v>
      </c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</row>
    <row r="202" spans="1:103" s="112" customFormat="1" hidden="1" x14ac:dyDescent="0.25">
      <c r="A202" s="36" t="s">
        <v>493</v>
      </c>
      <c r="B202" s="108" t="s">
        <v>491</v>
      </c>
      <c r="C202" s="106" t="s">
        <v>491</v>
      </c>
      <c r="D202" s="106"/>
      <c r="E202" s="106" t="s">
        <v>461</v>
      </c>
      <c r="F202" s="106" t="s">
        <v>492</v>
      </c>
      <c r="G202" s="109">
        <v>4060</v>
      </c>
      <c r="H202" s="109">
        <f t="shared" si="105"/>
        <v>20</v>
      </c>
      <c r="I202" s="106" t="s">
        <v>8</v>
      </c>
      <c r="J202" s="106" t="s">
        <v>101</v>
      </c>
      <c r="K202" s="106">
        <v>0</v>
      </c>
      <c r="L202" s="110">
        <v>6</v>
      </c>
      <c r="M202" s="110">
        <v>6</v>
      </c>
      <c r="N202" s="110">
        <v>6</v>
      </c>
      <c r="O202" s="110">
        <v>6</v>
      </c>
      <c r="P202" s="110">
        <v>6</v>
      </c>
      <c r="Q202" s="110">
        <v>7</v>
      </c>
      <c r="R202" s="110">
        <v>7</v>
      </c>
      <c r="S202" s="110">
        <v>7</v>
      </c>
      <c r="T202" s="110">
        <v>7</v>
      </c>
      <c r="U202" s="110">
        <v>7</v>
      </c>
      <c r="V202" s="110"/>
      <c r="W202" s="110"/>
      <c r="X202" s="110" t="s">
        <v>2612</v>
      </c>
      <c r="Y202" s="106">
        <v>1601</v>
      </c>
      <c r="Z202" s="106">
        <f t="shared" si="106"/>
        <v>1</v>
      </c>
      <c r="AA202" s="106" t="s">
        <v>197</v>
      </c>
      <c r="AB202" s="111">
        <f t="shared" si="112"/>
        <v>5</v>
      </c>
      <c r="AC202" s="85" t="s">
        <v>2075</v>
      </c>
      <c r="AD202" s="107">
        <f t="shared" si="107"/>
        <v>4152.272727272727</v>
      </c>
      <c r="AE202" s="198"/>
      <c r="AF202" s="113">
        <f t="shared" si="122"/>
        <v>0</v>
      </c>
      <c r="AG202" s="106">
        <v>2022</v>
      </c>
      <c r="AH202" s="26" t="str">
        <f t="shared" si="103"/>
        <v>Crack Seal</v>
      </c>
      <c r="AI202" s="26" t="str">
        <f t="shared" si="111"/>
        <v/>
      </c>
      <c r="AJ202" s="26" t="str">
        <f t="shared" si="111"/>
        <v/>
      </c>
      <c r="AK202" s="26" t="str">
        <f t="shared" si="104"/>
        <v/>
      </c>
      <c r="AL202" s="26" t="str">
        <f t="shared" si="124"/>
        <v/>
      </c>
      <c r="AM202" s="26" t="str">
        <f t="shared" si="123"/>
        <v/>
      </c>
      <c r="AN202" s="26" t="str">
        <f t="shared" si="113"/>
        <v>Crack Seal</v>
      </c>
      <c r="AO202" s="26" t="str">
        <f t="shared" si="125"/>
        <v/>
      </c>
      <c r="AP202" s="26" t="str">
        <f t="shared" si="114"/>
        <v/>
      </c>
      <c r="AQ202" s="68">
        <f t="shared" si="108"/>
        <v>8</v>
      </c>
      <c r="AR202" s="68">
        <f t="shared" si="109"/>
        <v>3</v>
      </c>
      <c r="AS202" s="68">
        <f t="shared" si="115"/>
        <v>1.1000000000000001</v>
      </c>
      <c r="AT202" s="68">
        <f t="shared" si="116"/>
        <v>1.1000000000000001</v>
      </c>
      <c r="AU202" s="68">
        <f t="shared" si="117"/>
        <v>1.1000000000000001</v>
      </c>
      <c r="AV202" s="68">
        <f t="shared" si="118"/>
        <v>1.1000000000000001</v>
      </c>
      <c r="AW202" s="68">
        <f t="shared" si="119"/>
        <v>1.1000000000000001</v>
      </c>
      <c r="AX202" s="68">
        <f t="shared" ca="1" si="110"/>
        <v>-2.2000000000000002</v>
      </c>
      <c r="AY202" s="106">
        <v>2017</v>
      </c>
      <c r="AZ202" s="106" t="s">
        <v>2075</v>
      </c>
      <c r="BA202" s="106" t="str">
        <f t="shared" si="120"/>
        <v/>
      </c>
      <c r="BB202" s="177"/>
      <c r="BC202" s="177">
        <v>3</v>
      </c>
      <c r="BD202" s="177"/>
      <c r="BE202" s="177"/>
      <c r="BF202" s="177"/>
      <c r="BG202" s="177"/>
      <c r="BH202" s="177"/>
      <c r="BI202" s="33"/>
      <c r="BJ202" s="2"/>
      <c r="BK202" s="48">
        <f>$G202/5280*VLOOKUP($AC202,'Cost and Score'!$B$27:$O$40,6,0)</f>
        <v>0.76893939393939392</v>
      </c>
      <c r="BL202" s="48">
        <f>$G202/5280*VLOOKUP($AC202,'Cost and Score'!$B$27:$O$40,7,0)</f>
        <v>0</v>
      </c>
      <c r="BM202" s="48">
        <f>$G202/5280*VLOOKUP($AC202,'Cost and Score'!$B$27:$O$40,8,0)</f>
        <v>0</v>
      </c>
      <c r="BN202" s="48">
        <f>$G202/5280*VLOOKUP($AC202,'Cost and Score'!$B$27:$O$40,9,0)</f>
        <v>0</v>
      </c>
      <c r="BO202" s="48">
        <f>$G202/5280*VLOOKUP($AC202,'Cost and Score'!$B$27:$O$40,10,0)</f>
        <v>0</v>
      </c>
      <c r="BP202" s="48">
        <f>$G202/5280*VLOOKUP($AC202,'Cost and Score'!$B$27:$O$40,11,0)</f>
        <v>0</v>
      </c>
      <c r="BQ202" s="48">
        <f>$G202/5280*VLOOKUP($AC202,'Cost and Score'!$B$27:$O$40,12,0)</f>
        <v>0</v>
      </c>
      <c r="BR202" s="48">
        <f>$G202/5280*VLOOKUP($AC202,'Cost and Score'!$B$27:$O$40,13,0)</f>
        <v>0</v>
      </c>
      <c r="BS202" s="48">
        <f>$G202/5280*VLOOKUP($AC202,'Cost and Score'!$B$27:$O$40,14,0)</f>
        <v>0</v>
      </c>
      <c r="BT202" s="220">
        <f t="shared" si="121"/>
        <v>0.76893939393939392</v>
      </c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G202" s="2"/>
      <c r="CH202" s="2"/>
      <c r="CI202" s="2"/>
      <c r="CJ202" s="2"/>
      <c r="CK202" s="2"/>
      <c r="CL202" s="2"/>
      <c r="CM202" s="2"/>
      <c r="CS202" s="2"/>
      <c r="CT202" s="2"/>
      <c r="CU202" s="2"/>
      <c r="CV202" s="2"/>
      <c r="CW202" s="2"/>
      <c r="CX202" s="2"/>
      <c r="CY202" s="2"/>
    </row>
    <row r="203" spans="1:103" s="112" customFormat="1" hidden="1" x14ac:dyDescent="0.25">
      <c r="A203" s="36" t="s">
        <v>495</v>
      </c>
      <c r="B203" s="108" t="s">
        <v>494</v>
      </c>
      <c r="C203" s="106" t="s">
        <v>494</v>
      </c>
      <c r="D203" s="106"/>
      <c r="E203" s="106" t="s">
        <v>492</v>
      </c>
      <c r="F203" s="106" t="s">
        <v>59</v>
      </c>
      <c r="G203" s="109">
        <v>1353</v>
      </c>
      <c r="H203" s="109">
        <f t="shared" si="105"/>
        <v>20</v>
      </c>
      <c r="I203" s="106" t="s">
        <v>8</v>
      </c>
      <c r="J203" s="106" t="s">
        <v>101</v>
      </c>
      <c r="K203" s="106">
        <v>0</v>
      </c>
      <c r="L203" s="110">
        <v>6</v>
      </c>
      <c r="M203" s="110">
        <v>6</v>
      </c>
      <c r="N203" s="110">
        <v>6</v>
      </c>
      <c r="O203" s="110">
        <v>6</v>
      </c>
      <c r="P203" s="110">
        <v>6</v>
      </c>
      <c r="Q203" s="110">
        <v>7</v>
      </c>
      <c r="R203" s="110">
        <v>7</v>
      </c>
      <c r="S203" s="110">
        <v>7</v>
      </c>
      <c r="T203" s="110">
        <v>7</v>
      </c>
      <c r="U203" s="110">
        <v>7</v>
      </c>
      <c r="V203" s="110"/>
      <c r="W203" s="110"/>
      <c r="X203" s="110" t="s">
        <v>2612</v>
      </c>
      <c r="Y203" s="106">
        <v>1601</v>
      </c>
      <c r="Z203" s="106">
        <f t="shared" si="106"/>
        <v>1</v>
      </c>
      <c r="AA203" s="106" t="s">
        <v>197</v>
      </c>
      <c r="AB203" s="111">
        <f t="shared" si="112"/>
        <v>5</v>
      </c>
      <c r="AC203" s="85" t="s">
        <v>2075</v>
      </c>
      <c r="AD203" s="107">
        <f t="shared" si="107"/>
        <v>1383.75</v>
      </c>
      <c r="AE203" s="198"/>
      <c r="AF203" s="113">
        <f t="shared" si="122"/>
        <v>0</v>
      </c>
      <c r="AG203" s="106">
        <v>2022</v>
      </c>
      <c r="AH203" s="26" t="str">
        <f t="shared" si="103"/>
        <v>Crack Seal</v>
      </c>
      <c r="AI203" s="26" t="str">
        <f t="shared" si="111"/>
        <v/>
      </c>
      <c r="AJ203" s="26" t="str">
        <f t="shared" si="111"/>
        <v/>
      </c>
      <c r="AK203" s="26" t="str">
        <f t="shared" si="104"/>
        <v/>
      </c>
      <c r="AL203" s="26" t="str">
        <f t="shared" si="124"/>
        <v/>
      </c>
      <c r="AM203" s="26" t="str">
        <f t="shared" si="123"/>
        <v/>
      </c>
      <c r="AN203" s="26" t="str">
        <f t="shared" si="113"/>
        <v>Crack Seal</v>
      </c>
      <c r="AO203" s="26" t="str">
        <f t="shared" si="125"/>
        <v/>
      </c>
      <c r="AP203" s="26" t="str">
        <f t="shared" si="114"/>
        <v/>
      </c>
      <c r="AQ203" s="68">
        <f t="shared" si="108"/>
        <v>8</v>
      </c>
      <c r="AR203" s="68">
        <f t="shared" si="109"/>
        <v>3</v>
      </c>
      <c r="AS203" s="68">
        <f t="shared" si="115"/>
        <v>1.1000000000000001</v>
      </c>
      <c r="AT203" s="68">
        <f t="shared" si="116"/>
        <v>1.1000000000000001</v>
      </c>
      <c r="AU203" s="68">
        <f t="shared" si="117"/>
        <v>1.1000000000000001</v>
      </c>
      <c r="AV203" s="68">
        <f t="shared" si="118"/>
        <v>1.1000000000000001</v>
      </c>
      <c r="AW203" s="68">
        <f t="shared" si="119"/>
        <v>1.1000000000000001</v>
      </c>
      <c r="AX203" s="68">
        <f t="shared" ca="1" si="110"/>
        <v>-2.2000000000000002</v>
      </c>
      <c r="AY203" s="106">
        <v>2017</v>
      </c>
      <c r="AZ203" s="106" t="s">
        <v>2075</v>
      </c>
      <c r="BA203" s="106" t="str">
        <f t="shared" si="120"/>
        <v/>
      </c>
      <c r="BB203" s="177"/>
      <c r="BC203" s="177">
        <v>3</v>
      </c>
      <c r="BD203" s="177"/>
      <c r="BE203" s="177"/>
      <c r="BF203" s="177"/>
      <c r="BG203" s="177"/>
      <c r="BH203" s="177"/>
      <c r="BI203" s="33"/>
      <c r="BJ203" s="2"/>
      <c r="BK203" s="48">
        <f>$G203/5280*VLOOKUP($AC203,'Cost and Score'!$B$27:$O$40,6,0)</f>
        <v>0.25624999999999998</v>
      </c>
      <c r="BL203" s="48">
        <f>$G203/5280*VLOOKUP($AC203,'Cost and Score'!$B$27:$O$40,7,0)</f>
        <v>0</v>
      </c>
      <c r="BM203" s="48">
        <f>$G203/5280*VLOOKUP($AC203,'Cost and Score'!$B$27:$O$40,8,0)</f>
        <v>0</v>
      </c>
      <c r="BN203" s="48">
        <f>$G203/5280*VLOOKUP($AC203,'Cost and Score'!$B$27:$O$40,9,0)</f>
        <v>0</v>
      </c>
      <c r="BO203" s="48">
        <f>$G203/5280*VLOOKUP($AC203,'Cost and Score'!$B$27:$O$40,10,0)</f>
        <v>0</v>
      </c>
      <c r="BP203" s="48">
        <f>$G203/5280*VLOOKUP($AC203,'Cost and Score'!$B$27:$O$40,11,0)</f>
        <v>0</v>
      </c>
      <c r="BQ203" s="48">
        <f>$G203/5280*VLOOKUP($AC203,'Cost and Score'!$B$27:$O$40,12,0)</f>
        <v>0</v>
      </c>
      <c r="BR203" s="48">
        <f>$G203/5280*VLOOKUP($AC203,'Cost and Score'!$B$27:$O$40,13,0)</f>
        <v>0</v>
      </c>
      <c r="BS203" s="48">
        <f>$G203/5280*VLOOKUP($AC203,'Cost and Score'!$B$27:$O$40,14,0)</f>
        <v>0</v>
      </c>
      <c r="BT203" s="220">
        <f t="shared" si="121"/>
        <v>0.25624999999999998</v>
      </c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S203" s="2"/>
      <c r="CT203" s="2"/>
      <c r="CU203" s="2"/>
      <c r="CW203" s="2"/>
      <c r="CX203" s="2"/>
      <c r="CY203" s="2"/>
    </row>
    <row r="204" spans="1:103" s="2" customFormat="1" hidden="1" x14ac:dyDescent="0.25">
      <c r="A204" s="36" t="s">
        <v>497</v>
      </c>
      <c r="B204" s="34" t="s">
        <v>496</v>
      </c>
      <c r="C204" s="26" t="s">
        <v>496</v>
      </c>
      <c r="D204" s="26"/>
      <c r="E204" s="26" t="s">
        <v>129</v>
      </c>
      <c r="F204" s="26" t="s">
        <v>168</v>
      </c>
      <c r="G204" s="29">
        <v>5387</v>
      </c>
      <c r="H204" s="29">
        <f t="shared" si="105"/>
        <v>20</v>
      </c>
      <c r="I204" s="26" t="s">
        <v>8</v>
      </c>
      <c r="J204" s="26" t="s">
        <v>125</v>
      </c>
      <c r="K204" s="26">
        <f>VLOOKUP(J204,TOWNSHIPS,2,FALSE)</f>
        <v>0</v>
      </c>
      <c r="L204" s="42">
        <v>6</v>
      </c>
      <c r="M204" s="42">
        <v>6</v>
      </c>
      <c r="N204" s="42">
        <v>6</v>
      </c>
      <c r="O204" s="42">
        <v>6</v>
      </c>
      <c r="P204" s="42">
        <v>6</v>
      </c>
      <c r="Q204" s="42">
        <v>6</v>
      </c>
      <c r="R204" s="42">
        <v>6</v>
      </c>
      <c r="S204" s="42">
        <v>6</v>
      </c>
      <c r="T204" s="42">
        <v>7</v>
      </c>
      <c r="U204" s="42">
        <v>7</v>
      </c>
      <c r="V204" s="42"/>
      <c r="W204" s="42"/>
      <c r="X204" s="42" t="s">
        <v>2612</v>
      </c>
      <c r="Y204" s="26">
        <v>3660</v>
      </c>
      <c r="Z204" s="26">
        <f t="shared" si="106"/>
        <v>1.5</v>
      </c>
      <c r="AA204" s="26" t="s">
        <v>197</v>
      </c>
      <c r="AB204" s="111">
        <f t="shared" si="112"/>
        <v>5.5</v>
      </c>
      <c r="AC204" s="85" t="s">
        <v>2072</v>
      </c>
      <c r="AD204" s="47">
        <f t="shared" si="107"/>
        <v>46932.196969696968</v>
      </c>
      <c r="AE204" s="140"/>
      <c r="AF204" s="113">
        <f t="shared" si="122"/>
        <v>0</v>
      </c>
      <c r="AG204" s="85">
        <v>2026</v>
      </c>
      <c r="AH204" s="26" t="str">
        <f t="shared" si="103"/>
        <v/>
      </c>
      <c r="AI204" s="26" t="str">
        <f t="shared" si="111"/>
        <v/>
      </c>
      <c r="AJ204" s="26" t="str">
        <f t="shared" si="111"/>
        <v/>
      </c>
      <c r="AK204" s="26" t="str">
        <f t="shared" si="104"/>
        <v/>
      </c>
      <c r="AL204" s="26" t="str">
        <f t="shared" si="124"/>
        <v>Chip Seal - Triple</v>
      </c>
      <c r="AM204" s="26" t="str">
        <f t="shared" si="123"/>
        <v/>
      </c>
      <c r="AN204" s="26" t="str">
        <f t="shared" si="113"/>
        <v>Chip Seal - Triple</v>
      </c>
      <c r="AO204" s="26" t="str">
        <f t="shared" si="125"/>
        <v/>
      </c>
      <c r="AP204" s="26" t="str">
        <f t="shared" si="114"/>
        <v/>
      </c>
      <c r="AQ204" s="68">
        <f t="shared" si="108"/>
        <v>8</v>
      </c>
      <c r="AR204" s="68">
        <f t="shared" si="109"/>
        <v>8</v>
      </c>
      <c r="AS204" s="68">
        <f t="shared" si="115"/>
        <v>1.1000000000000001</v>
      </c>
      <c r="AT204" s="68">
        <f t="shared" si="116"/>
        <v>1.1000000000000001</v>
      </c>
      <c r="AU204" s="68">
        <f t="shared" si="117"/>
        <v>1.1000000000000001</v>
      </c>
      <c r="AV204" s="68">
        <f t="shared" si="118"/>
        <v>1.1000000000000001</v>
      </c>
      <c r="AW204" s="68">
        <f t="shared" si="119"/>
        <v>1.1000000000000001</v>
      </c>
      <c r="AX204" s="68">
        <f t="shared" ca="1" si="110"/>
        <v>2.2000000000000002</v>
      </c>
      <c r="AY204" s="106">
        <v>2016</v>
      </c>
      <c r="AZ204" s="106" t="s">
        <v>2075</v>
      </c>
      <c r="BA204" s="106" t="str">
        <f t="shared" si="120"/>
        <v/>
      </c>
      <c r="BB204" s="177"/>
      <c r="BC204" s="177">
        <v>2</v>
      </c>
      <c r="BD204" s="177"/>
      <c r="BE204" s="177"/>
      <c r="BF204" s="177"/>
      <c r="BG204" s="177"/>
      <c r="BH204" s="177"/>
      <c r="BI204" s="33"/>
      <c r="BK204" s="48">
        <f>$G204/5280*VLOOKUP($AC204,'Cost and Score'!$B$27:$O$40,6,0)</f>
        <v>0.61215909090909093</v>
      </c>
      <c r="BL204" s="48">
        <f>$G204/5280*VLOOKUP($AC204,'Cost and Score'!$B$27:$O$40,7,0)</f>
        <v>127.53314393939394</v>
      </c>
      <c r="BM204" s="48">
        <f>$G204/5280*VLOOKUP($AC204,'Cost and Score'!$B$27:$O$40,8,0)</f>
        <v>204.05303030303031</v>
      </c>
      <c r="BN204" s="48">
        <f>$G204/5280*VLOOKUP($AC204,'Cost and Score'!$B$27:$O$40,9,0)</f>
        <v>2040.530303030303</v>
      </c>
      <c r="BO204" s="48">
        <f>$G204/5280*VLOOKUP($AC204,'Cost and Score'!$B$27:$O$40,10,0)</f>
        <v>510.13257575757575</v>
      </c>
      <c r="BP204" s="48">
        <f>$G204/5280*VLOOKUP($AC204,'Cost and Score'!$B$27:$O$40,11,0)</f>
        <v>102.02651515151516</v>
      </c>
      <c r="BQ204" s="48">
        <f>$G204/5280*VLOOKUP($AC204,'Cost and Score'!$B$27:$O$40,12,0)</f>
        <v>816.21212121212125</v>
      </c>
      <c r="BR204" s="48">
        <f>$G204/5280*VLOOKUP($AC204,'Cost and Score'!$B$27:$O$40,13,0)</f>
        <v>81.621212121212125</v>
      </c>
      <c r="BS204" s="48">
        <f>$G204/5280*VLOOKUP($AC204,'Cost and Score'!$B$27:$O$40,14,0)</f>
        <v>0</v>
      </c>
      <c r="BT204" s="220">
        <f t="shared" si="121"/>
        <v>1.0202651515151515</v>
      </c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</row>
    <row r="205" spans="1:103" s="2" customFormat="1" x14ac:dyDescent="0.25">
      <c r="A205" s="38" t="s">
        <v>1968</v>
      </c>
      <c r="B205" s="34" t="s">
        <v>1967</v>
      </c>
      <c r="C205" s="26" t="s">
        <v>1967</v>
      </c>
      <c r="D205" s="82"/>
      <c r="E205" s="82" t="s">
        <v>1066</v>
      </c>
      <c r="F205" s="82" t="s">
        <v>138</v>
      </c>
      <c r="G205" s="29">
        <v>1345</v>
      </c>
      <c r="H205" s="29">
        <f t="shared" si="105"/>
        <v>20</v>
      </c>
      <c r="I205" s="26" t="s">
        <v>8</v>
      </c>
      <c r="J205" s="26" t="s">
        <v>160</v>
      </c>
      <c r="K205" s="26">
        <f>VLOOKUP(J205,TOWNSHIPS,2,FALSE)</f>
        <v>0</v>
      </c>
      <c r="L205" s="42">
        <v>7</v>
      </c>
      <c r="M205" s="42">
        <v>8</v>
      </c>
      <c r="N205" s="42">
        <v>7</v>
      </c>
      <c r="O205" s="83">
        <v>7</v>
      </c>
      <c r="P205" s="83">
        <v>7</v>
      </c>
      <c r="Q205" s="83">
        <v>7</v>
      </c>
      <c r="R205" s="83">
        <v>8</v>
      </c>
      <c r="S205" s="83">
        <v>7</v>
      </c>
      <c r="T205" s="83">
        <v>7</v>
      </c>
      <c r="U205" s="83">
        <v>7</v>
      </c>
      <c r="V205" s="42">
        <v>2024</v>
      </c>
      <c r="W205" s="42">
        <v>2021</v>
      </c>
      <c r="X205" s="42" t="s">
        <v>2612</v>
      </c>
      <c r="Y205" s="26">
        <v>587</v>
      </c>
      <c r="Z205" s="26">
        <f t="shared" si="106"/>
        <v>0.5</v>
      </c>
      <c r="AA205" s="82" t="s">
        <v>1962</v>
      </c>
      <c r="AB205" s="111">
        <f t="shared" si="112"/>
        <v>3.5</v>
      </c>
      <c r="AC205" s="85" t="s">
        <v>13</v>
      </c>
      <c r="AD205" s="84">
        <f t="shared" si="107"/>
        <v>5349.431818181818</v>
      </c>
      <c r="AE205" s="140"/>
      <c r="AF205" s="113">
        <f t="shared" si="122"/>
        <v>0</v>
      </c>
      <c r="AG205" s="106">
        <v>2025</v>
      </c>
      <c r="AH205" s="26" t="str">
        <f t="shared" si="103"/>
        <v/>
      </c>
      <c r="AI205" s="26" t="str">
        <f t="shared" si="111"/>
        <v/>
      </c>
      <c r="AJ205" s="26" t="str">
        <f t="shared" si="111"/>
        <v/>
      </c>
      <c r="AK205" s="26" t="str">
        <f t="shared" si="104"/>
        <v>Chip Seal and Fog</v>
      </c>
      <c r="AL205" s="26" t="str">
        <f t="shared" si="124"/>
        <v/>
      </c>
      <c r="AM205" s="26" t="str">
        <f t="shared" si="123"/>
        <v/>
      </c>
      <c r="AN205" s="26" t="str">
        <f t="shared" si="113"/>
        <v>Chip Seal and Fog</v>
      </c>
      <c r="AO205" s="26" t="str">
        <f t="shared" si="125"/>
        <v/>
      </c>
      <c r="AP205" s="26" t="str">
        <f t="shared" si="114"/>
        <v/>
      </c>
      <c r="AQ205" s="68">
        <f t="shared" si="108"/>
        <v>10</v>
      </c>
      <c r="AR205" s="68">
        <f t="shared" si="109"/>
        <v>6</v>
      </c>
      <c r="AS205" s="68">
        <f t="shared" si="115"/>
        <v>1.05</v>
      </c>
      <c r="AT205" s="68">
        <f t="shared" si="116"/>
        <v>1</v>
      </c>
      <c r="AU205" s="68">
        <f t="shared" si="117"/>
        <v>1.05</v>
      </c>
      <c r="AV205" s="68">
        <f t="shared" si="118"/>
        <v>1.05</v>
      </c>
      <c r="AW205" s="68">
        <f t="shared" si="119"/>
        <v>1.05</v>
      </c>
      <c r="AX205" s="68">
        <f t="shared" ca="1" si="110"/>
        <v>1.05</v>
      </c>
      <c r="AY205" s="68">
        <v>2019</v>
      </c>
      <c r="AZ205" s="68" t="s">
        <v>13</v>
      </c>
      <c r="BA205" s="106" t="str">
        <f t="shared" si="120"/>
        <v/>
      </c>
      <c r="BB205" s="178"/>
      <c r="BC205" s="177">
        <v>8</v>
      </c>
      <c r="BD205" s="177"/>
      <c r="BE205" s="177"/>
      <c r="BF205" s="177"/>
      <c r="BG205" s="177"/>
      <c r="BH205" s="177"/>
      <c r="BI205" s="33"/>
      <c r="BK205" s="48">
        <f>$G205/5280*VLOOKUP($AC205,'Cost and Score'!$B$27:$O$40,6,0)</f>
        <v>5.0946969696969706E-2</v>
      </c>
      <c r="BL205" s="48">
        <f>$G205/5280*VLOOKUP($AC205,'Cost and Score'!$B$27:$O$40,7,0)</f>
        <v>5.604166666666667</v>
      </c>
      <c r="BM205" s="48">
        <f>$G205/5280*VLOOKUP($AC205,'Cost and Score'!$B$27:$O$40,8,0)</f>
        <v>0</v>
      </c>
      <c r="BN205" s="48">
        <f>$G205/5280*VLOOKUP($AC205,'Cost and Score'!$B$27:$O$40,9,0)</f>
        <v>1146.3068181818182</v>
      </c>
      <c r="BO205" s="48">
        <f>$G205/5280*VLOOKUP($AC205,'Cost and Score'!$B$27:$O$40,10,0)</f>
        <v>254.7348484848485</v>
      </c>
      <c r="BP205" s="48">
        <f>$G205/5280*VLOOKUP($AC205,'Cost and Score'!$B$27:$O$40,11,0)</f>
        <v>0</v>
      </c>
      <c r="BQ205" s="48">
        <f>$G205/5280*VLOOKUP($AC205,'Cost and Score'!$B$27:$O$40,12,0)</f>
        <v>25.473484848484851</v>
      </c>
      <c r="BR205" s="48">
        <f>$G205/5280*VLOOKUP($AC205,'Cost and Score'!$B$27:$O$40,13,0)</f>
        <v>30.56818181818182</v>
      </c>
      <c r="BS205" s="48">
        <f>$G205/5280*VLOOKUP($AC205,'Cost and Score'!$B$27:$O$40,14,0)</f>
        <v>0</v>
      </c>
      <c r="BT205" s="220">
        <f t="shared" si="121"/>
        <v>0.25473484848484851</v>
      </c>
      <c r="CR205" s="112"/>
    </row>
    <row r="206" spans="1:103" s="112" customFormat="1" x14ac:dyDescent="0.25">
      <c r="A206" s="36" t="s">
        <v>948</v>
      </c>
      <c r="B206" s="34" t="s">
        <v>947</v>
      </c>
      <c r="C206" s="26" t="s">
        <v>947</v>
      </c>
      <c r="D206" s="26"/>
      <c r="E206" s="26" t="s">
        <v>246</v>
      </c>
      <c r="F206" s="26" t="s">
        <v>21</v>
      </c>
      <c r="G206" s="29">
        <v>2693</v>
      </c>
      <c r="H206" s="29">
        <f t="shared" si="105"/>
        <v>20</v>
      </c>
      <c r="I206" s="26" t="s">
        <v>8</v>
      </c>
      <c r="J206" s="26" t="s">
        <v>11</v>
      </c>
      <c r="K206" s="26">
        <f>VLOOKUP(J206,TOWNSHIPS,2,FALSE)</f>
        <v>0</v>
      </c>
      <c r="L206" s="42">
        <v>5</v>
      </c>
      <c r="M206" s="42">
        <v>6</v>
      </c>
      <c r="N206" s="42">
        <v>7</v>
      </c>
      <c r="O206" s="42">
        <v>7</v>
      </c>
      <c r="P206" s="42">
        <v>7</v>
      </c>
      <c r="Q206" s="42">
        <v>7</v>
      </c>
      <c r="R206" s="42">
        <v>7</v>
      </c>
      <c r="S206" s="42">
        <v>7</v>
      </c>
      <c r="T206" s="42">
        <v>7</v>
      </c>
      <c r="U206" s="42">
        <v>7</v>
      </c>
      <c r="V206" s="42"/>
      <c r="W206" s="42"/>
      <c r="X206" s="42"/>
      <c r="Y206" s="26">
        <v>535</v>
      </c>
      <c r="Z206" s="26">
        <f t="shared" si="106"/>
        <v>0.5</v>
      </c>
      <c r="AA206" s="26" t="s">
        <v>67</v>
      </c>
      <c r="AB206" s="111">
        <f t="shared" si="112"/>
        <v>3.5</v>
      </c>
      <c r="AC206" s="85" t="s">
        <v>13</v>
      </c>
      <c r="AD206" s="47">
        <f t="shared" si="107"/>
        <v>10710.795454545454</v>
      </c>
      <c r="AE206" s="140"/>
      <c r="AF206" s="113">
        <f t="shared" si="122"/>
        <v>0</v>
      </c>
      <c r="AG206" s="106">
        <v>2025</v>
      </c>
      <c r="AH206" s="26" t="str">
        <f t="shared" si="103"/>
        <v/>
      </c>
      <c r="AI206" s="26" t="str">
        <f t="shared" si="111"/>
        <v/>
      </c>
      <c r="AJ206" s="26" t="str">
        <f t="shared" si="111"/>
        <v/>
      </c>
      <c r="AK206" s="26" t="str">
        <f t="shared" si="104"/>
        <v>Chip Seal and Fog</v>
      </c>
      <c r="AL206" s="26" t="str">
        <f t="shared" si="124"/>
        <v/>
      </c>
      <c r="AM206" s="26" t="str">
        <f t="shared" si="123"/>
        <v/>
      </c>
      <c r="AN206" s="26" t="str">
        <f t="shared" si="113"/>
        <v>Chip Seal and Fog</v>
      </c>
      <c r="AO206" s="26" t="str">
        <f t="shared" si="125"/>
        <v/>
      </c>
      <c r="AP206" s="26" t="str">
        <f t="shared" si="114"/>
        <v/>
      </c>
      <c r="AQ206" s="68">
        <f t="shared" si="108"/>
        <v>10</v>
      </c>
      <c r="AR206" s="68">
        <f t="shared" si="109"/>
        <v>6</v>
      </c>
      <c r="AS206" s="68">
        <f t="shared" si="115"/>
        <v>1.25</v>
      </c>
      <c r="AT206" s="68">
        <f t="shared" si="116"/>
        <v>1.1000000000000001</v>
      </c>
      <c r="AU206" s="68">
        <f t="shared" si="117"/>
        <v>1.05</v>
      </c>
      <c r="AV206" s="68">
        <f t="shared" si="118"/>
        <v>1.05</v>
      </c>
      <c r="AW206" s="68">
        <f t="shared" si="119"/>
        <v>1.05</v>
      </c>
      <c r="AX206" s="68">
        <f t="shared" ca="1" si="110"/>
        <v>1.05</v>
      </c>
      <c r="AY206" s="68">
        <v>2019</v>
      </c>
      <c r="AZ206" s="68" t="s">
        <v>13</v>
      </c>
      <c r="BA206" s="106" t="str">
        <f t="shared" si="120"/>
        <v/>
      </c>
      <c r="BB206" s="178"/>
      <c r="BC206" s="178">
        <v>4</v>
      </c>
      <c r="BD206" s="178"/>
      <c r="BE206" s="178"/>
      <c r="BF206" s="178"/>
      <c r="BG206" s="178"/>
      <c r="BH206" s="178"/>
      <c r="BI206" s="33"/>
      <c r="BJ206" s="2"/>
      <c r="BK206" s="48">
        <f>$G206/5280*VLOOKUP($AC206,'Cost and Score'!$B$27:$O$40,6,0)</f>
        <v>0.10200757575757576</v>
      </c>
      <c r="BL206" s="48">
        <f>$G206/5280*VLOOKUP($AC206,'Cost and Score'!$B$27:$O$40,7,0)</f>
        <v>11.220833333333333</v>
      </c>
      <c r="BM206" s="48">
        <f>$G206/5280*VLOOKUP($AC206,'Cost and Score'!$B$27:$O$40,8,0)</f>
        <v>0</v>
      </c>
      <c r="BN206" s="48">
        <f>$G206/5280*VLOOKUP($AC206,'Cost and Score'!$B$27:$O$40,9,0)</f>
        <v>2295.1704545454545</v>
      </c>
      <c r="BO206" s="48">
        <f>$G206/5280*VLOOKUP($AC206,'Cost and Score'!$B$27:$O$40,10,0)</f>
        <v>510.03787878787875</v>
      </c>
      <c r="BP206" s="48">
        <f>$G206/5280*VLOOKUP($AC206,'Cost and Score'!$B$27:$O$40,11,0)</f>
        <v>0</v>
      </c>
      <c r="BQ206" s="48">
        <f>$G206/5280*VLOOKUP($AC206,'Cost and Score'!$B$27:$O$40,12,0)</f>
        <v>51.003787878787875</v>
      </c>
      <c r="BR206" s="48">
        <f>$G206/5280*VLOOKUP($AC206,'Cost and Score'!$B$27:$O$40,13,0)</f>
        <v>61.204545454545453</v>
      </c>
      <c r="BS206" s="48">
        <f>$G206/5280*VLOOKUP($AC206,'Cost and Score'!$B$27:$O$40,14,0)</f>
        <v>0</v>
      </c>
      <c r="BT206" s="220">
        <f t="shared" si="121"/>
        <v>0.51003787878787876</v>
      </c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W206" s="2"/>
      <c r="CX206" s="2"/>
      <c r="CY206" s="2"/>
    </row>
    <row r="207" spans="1:103" s="2" customFormat="1" hidden="1" x14ac:dyDescent="0.25">
      <c r="A207" s="15" t="s">
        <v>505</v>
      </c>
      <c r="B207" s="34" t="s">
        <v>503</v>
      </c>
      <c r="C207" s="26" t="s">
        <v>503</v>
      </c>
      <c r="D207" s="26"/>
      <c r="E207" s="26" t="s">
        <v>504</v>
      </c>
      <c r="F207" s="26" t="s">
        <v>406</v>
      </c>
      <c r="G207" s="29">
        <v>500</v>
      </c>
      <c r="H207" s="29">
        <f t="shared" si="105"/>
        <v>20</v>
      </c>
      <c r="I207" s="26" t="s">
        <v>8</v>
      </c>
      <c r="J207" s="26" t="s">
        <v>101</v>
      </c>
      <c r="K207" s="26">
        <v>0</v>
      </c>
      <c r="L207" s="42">
        <v>9</v>
      </c>
      <c r="M207" s="42">
        <v>7</v>
      </c>
      <c r="N207" s="42">
        <v>7</v>
      </c>
      <c r="O207" s="42">
        <v>7</v>
      </c>
      <c r="P207" s="42">
        <v>7</v>
      </c>
      <c r="Q207" s="42">
        <v>6</v>
      </c>
      <c r="R207" s="42">
        <v>6</v>
      </c>
      <c r="S207" s="42">
        <v>6</v>
      </c>
      <c r="T207" s="42">
        <v>6</v>
      </c>
      <c r="U207" s="42">
        <v>6</v>
      </c>
      <c r="V207" s="42"/>
      <c r="W207" s="42">
        <v>2021</v>
      </c>
      <c r="X207" s="42" t="s">
        <v>2612</v>
      </c>
      <c r="Y207" s="26">
        <v>1375</v>
      </c>
      <c r="Z207" s="26">
        <f t="shared" si="106"/>
        <v>0.5</v>
      </c>
      <c r="AA207" s="26" t="s">
        <v>197</v>
      </c>
      <c r="AB207" s="111">
        <f t="shared" si="112"/>
        <v>3.5</v>
      </c>
      <c r="AC207" s="106" t="s">
        <v>13</v>
      </c>
      <c r="AD207" s="47">
        <f t="shared" si="107"/>
        <v>1988.6363636363637</v>
      </c>
      <c r="AE207" s="140"/>
      <c r="AF207" s="113">
        <f t="shared" si="122"/>
        <v>0</v>
      </c>
      <c r="AG207" s="85">
        <v>2026</v>
      </c>
      <c r="AH207" s="26" t="str">
        <f t="shared" si="103"/>
        <v/>
      </c>
      <c r="AI207" s="26" t="str">
        <f t="shared" si="111"/>
        <v/>
      </c>
      <c r="AJ207" s="26" t="str">
        <f t="shared" si="111"/>
        <v/>
      </c>
      <c r="AK207" s="26" t="str">
        <f t="shared" si="104"/>
        <v/>
      </c>
      <c r="AL207" s="26" t="str">
        <f t="shared" si="124"/>
        <v>Chip Seal and Fog</v>
      </c>
      <c r="AM207" s="26" t="str">
        <f t="shared" si="123"/>
        <v/>
      </c>
      <c r="AN207" s="26" t="str">
        <f t="shared" si="113"/>
        <v>Chip Seal and Fog</v>
      </c>
      <c r="AO207" s="26" t="str">
        <f t="shared" si="125"/>
        <v/>
      </c>
      <c r="AP207" s="26" t="str">
        <f t="shared" si="114"/>
        <v/>
      </c>
      <c r="AQ207" s="68">
        <f t="shared" si="108"/>
        <v>10</v>
      </c>
      <c r="AR207" s="68">
        <f t="shared" si="109"/>
        <v>6</v>
      </c>
      <c r="AS207" s="68">
        <f t="shared" si="115"/>
        <v>1</v>
      </c>
      <c r="AT207" s="68">
        <f t="shared" si="116"/>
        <v>1.05</v>
      </c>
      <c r="AU207" s="68">
        <f t="shared" si="117"/>
        <v>1.05</v>
      </c>
      <c r="AV207" s="68">
        <f t="shared" si="118"/>
        <v>1.05</v>
      </c>
      <c r="AW207" s="68">
        <f t="shared" si="119"/>
        <v>1.05</v>
      </c>
      <c r="AX207" s="68">
        <f t="shared" ca="1" si="110"/>
        <v>2.1</v>
      </c>
      <c r="AY207" s="106">
        <v>2020</v>
      </c>
      <c r="AZ207" s="106" t="s">
        <v>13</v>
      </c>
      <c r="BA207" s="106" t="str">
        <f t="shared" si="120"/>
        <v/>
      </c>
      <c r="BB207" s="177"/>
      <c r="BC207" s="177">
        <v>4</v>
      </c>
      <c r="BD207" s="177"/>
      <c r="BE207" s="177"/>
      <c r="BF207" s="177"/>
      <c r="BG207" s="177"/>
      <c r="BH207" s="177"/>
      <c r="BI207" s="33"/>
      <c r="BK207" s="48">
        <f>$G207/5280*VLOOKUP($AC207,'Cost and Score'!$B$27:$O$40,6,0)</f>
        <v>1.893939393939394E-2</v>
      </c>
      <c r="BL207" s="48">
        <f>$G207/5280*VLOOKUP($AC207,'Cost and Score'!$B$27:$O$40,7,0)</f>
        <v>2.0833333333333335</v>
      </c>
      <c r="BM207" s="48">
        <f>$G207/5280*VLOOKUP($AC207,'Cost and Score'!$B$27:$O$40,8,0)</f>
        <v>0</v>
      </c>
      <c r="BN207" s="48">
        <f>$G207/5280*VLOOKUP($AC207,'Cost and Score'!$B$27:$O$40,9,0)</f>
        <v>426.13636363636363</v>
      </c>
      <c r="BO207" s="48">
        <f>$G207/5280*VLOOKUP($AC207,'Cost and Score'!$B$27:$O$40,10,0)</f>
        <v>94.696969696969703</v>
      </c>
      <c r="BP207" s="48">
        <f>$G207/5280*VLOOKUP($AC207,'Cost and Score'!$B$27:$O$40,11,0)</f>
        <v>0</v>
      </c>
      <c r="BQ207" s="48">
        <f>$G207/5280*VLOOKUP($AC207,'Cost and Score'!$B$27:$O$40,12,0)</f>
        <v>9.4696969696969688</v>
      </c>
      <c r="BR207" s="48">
        <f>$G207/5280*VLOOKUP($AC207,'Cost and Score'!$B$27:$O$40,13,0)</f>
        <v>11.363636363636363</v>
      </c>
      <c r="BS207" s="48">
        <f>$G207/5280*VLOOKUP($AC207,'Cost and Score'!$B$27:$O$40,14,0)</f>
        <v>0</v>
      </c>
      <c r="BT207" s="220">
        <f t="shared" si="121"/>
        <v>9.4696969696969696E-2</v>
      </c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</row>
    <row r="208" spans="1:103" s="2" customFormat="1" x14ac:dyDescent="0.25">
      <c r="A208" s="15" t="s">
        <v>114</v>
      </c>
      <c r="B208" s="34" t="s">
        <v>112</v>
      </c>
      <c r="C208" s="26" t="s">
        <v>112</v>
      </c>
      <c r="D208" s="82"/>
      <c r="E208" s="82" t="s">
        <v>113</v>
      </c>
      <c r="F208" s="82" t="s">
        <v>110</v>
      </c>
      <c r="G208" s="29">
        <v>5645</v>
      </c>
      <c r="H208" s="29">
        <f t="shared" si="105"/>
        <v>20</v>
      </c>
      <c r="I208" s="26" t="s">
        <v>8</v>
      </c>
      <c r="J208" s="26" t="s">
        <v>6</v>
      </c>
      <c r="K208" s="26">
        <f t="shared" ref="K208:K214" si="126">VLOOKUP(J208,TOWNSHIPS,2,FALSE)</f>
        <v>0</v>
      </c>
      <c r="L208" s="42">
        <v>7</v>
      </c>
      <c r="M208" s="42">
        <v>7</v>
      </c>
      <c r="N208" s="42">
        <v>7</v>
      </c>
      <c r="O208" s="83">
        <v>6</v>
      </c>
      <c r="P208" s="83">
        <v>5</v>
      </c>
      <c r="Q208" s="83">
        <v>5</v>
      </c>
      <c r="R208" s="83">
        <v>8</v>
      </c>
      <c r="S208" s="83">
        <v>8</v>
      </c>
      <c r="T208" s="83">
        <v>7</v>
      </c>
      <c r="U208" s="83">
        <v>7</v>
      </c>
      <c r="V208" s="42"/>
      <c r="W208" s="42"/>
      <c r="X208" s="42"/>
      <c r="Y208" s="26">
        <v>515</v>
      </c>
      <c r="Z208" s="26">
        <f t="shared" si="106"/>
        <v>0.5</v>
      </c>
      <c r="AA208" s="82" t="s">
        <v>102</v>
      </c>
      <c r="AB208" s="111">
        <f t="shared" si="112"/>
        <v>5.5</v>
      </c>
      <c r="AC208" s="85" t="s">
        <v>13</v>
      </c>
      <c r="AD208" s="84">
        <f t="shared" si="107"/>
        <v>22451.704545454544</v>
      </c>
      <c r="AE208" s="140"/>
      <c r="AF208" s="113">
        <f t="shared" si="122"/>
        <v>0</v>
      </c>
      <c r="AG208" s="106">
        <v>2025</v>
      </c>
      <c r="AH208" s="26" t="str">
        <f t="shared" si="103"/>
        <v/>
      </c>
      <c r="AI208" s="26" t="str">
        <f t="shared" si="111"/>
        <v/>
      </c>
      <c r="AJ208" s="26" t="str">
        <f t="shared" si="111"/>
        <v/>
      </c>
      <c r="AK208" s="26" t="str">
        <f t="shared" si="104"/>
        <v>Chip Seal and Fog</v>
      </c>
      <c r="AL208" s="26" t="str">
        <f t="shared" si="124"/>
        <v/>
      </c>
      <c r="AM208" s="26" t="str">
        <f t="shared" si="123"/>
        <v/>
      </c>
      <c r="AN208" s="26" t="str">
        <f t="shared" si="113"/>
        <v>Chip Seal and Fog</v>
      </c>
      <c r="AO208" s="26" t="str">
        <f t="shared" si="125"/>
        <v/>
      </c>
      <c r="AP208" s="26" t="str">
        <f t="shared" si="114"/>
        <v/>
      </c>
      <c r="AQ208" s="68">
        <f t="shared" si="108"/>
        <v>8</v>
      </c>
      <c r="AR208" s="68">
        <f t="shared" si="109"/>
        <v>6</v>
      </c>
      <c r="AS208" s="68">
        <f t="shared" si="115"/>
        <v>1.05</v>
      </c>
      <c r="AT208" s="68">
        <f t="shared" si="116"/>
        <v>1.05</v>
      </c>
      <c r="AU208" s="68">
        <f t="shared" si="117"/>
        <v>1.05</v>
      </c>
      <c r="AV208" s="68">
        <f t="shared" si="118"/>
        <v>1.1000000000000001</v>
      </c>
      <c r="AW208" s="68">
        <f t="shared" si="119"/>
        <v>1.25</v>
      </c>
      <c r="AX208" s="68">
        <f t="shared" ca="1" si="110"/>
        <v>1.05</v>
      </c>
      <c r="AY208" s="106">
        <v>2019</v>
      </c>
      <c r="AZ208" s="106" t="s">
        <v>2072</v>
      </c>
      <c r="BA208" s="106" t="str">
        <f t="shared" si="120"/>
        <v/>
      </c>
      <c r="BB208" s="177"/>
      <c r="BC208" s="177">
        <v>8</v>
      </c>
      <c r="BD208" s="177"/>
      <c r="BE208" s="177"/>
      <c r="BF208" s="177"/>
      <c r="BG208" s="177"/>
      <c r="BH208" s="177"/>
      <c r="BI208" s="33"/>
      <c r="BK208" s="48">
        <f>$G208/5280*VLOOKUP($AC208,'Cost and Score'!$B$27:$O$40,6,0)</f>
        <v>0.21382575757575759</v>
      </c>
      <c r="BL208" s="48">
        <f>$G208/5280*VLOOKUP($AC208,'Cost and Score'!$B$27:$O$40,7,0)</f>
        <v>23.520833333333332</v>
      </c>
      <c r="BM208" s="48">
        <f>$G208/5280*VLOOKUP($AC208,'Cost and Score'!$B$27:$O$40,8,0)</f>
        <v>0</v>
      </c>
      <c r="BN208" s="48">
        <f>$G208/5280*VLOOKUP($AC208,'Cost and Score'!$B$27:$O$40,9,0)</f>
        <v>4811.079545454545</v>
      </c>
      <c r="BO208" s="48">
        <f>$G208/5280*VLOOKUP($AC208,'Cost and Score'!$B$27:$O$40,10,0)</f>
        <v>1069.1287878787878</v>
      </c>
      <c r="BP208" s="48">
        <f>$G208/5280*VLOOKUP($AC208,'Cost and Score'!$B$27:$O$40,11,0)</f>
        <v>0</v>
      </c>
      <c r="BQ208" s="48">
        <f>$G208/5280*VLOOKUP($AC208,'Cost and Score'!$B$27:$O$40,12,0)</f>
        <v>106.91287878787878</v>
      </c>
      <c r="BR208" s="48">
        <f>$G208/5280*VLOOKUP($AC208,'Cost and Score'!$B$27:$O$40,13,0)</f>
        <v>128.29545454545453</v>
      </c>
      <c r="BS208" s="48">
        <f>$G208/5280*VLOOKUP($AC208,'Cost and Score'!$B$27:$O$40,14,0)</f>
        <v>0</v>
      </c>
      <c r="BT208" s="220">
        <f t="shared" si="121"/>
        <v>1.0691287878787878</v>
      </c>
      <c r="BY208" s="2" t="s">
        <v>2074</v>
      </c>
      <c r="BZ208" s="27">
        <v>6500</v>
      </c>
      <c r="CA208" s="2" t="s">
        <v>2085</v>
      </c>
    </row>
    <row r="209" spans="1:103" s="112" customFormat="1" hidden="1" x14ac:dyDescent="0.25">
      <c r="A209" s="15" t="s">
        <v>510</v>
      </c>
      <c r="B209" s="108" t="s">
        <v>509</v>
      </c>
      <c r="C209" s="106" t="s">
        <v>509</v>
      </c>
      <c r="D209" s="106"/>
      <c r="E209" s="106" t="s">
        <v>507</v>
      </c>
      <c r="F209" s="106" t="s">
        <v>73</v>
      </c>
      <c r="G209" s="109">
        <v>3938</v>
      </c>
      <c r="H209" s="109">
        <f t="shared" si="105"/>
        <v>20</v>
      </c>
      <c r="I209" s="106" t="s">
        <v>8</v>
      </c>
      <c r="J209" s="106" t="s">
        <v>26</v>
      </c>
      <c r="K209" s="106">
        <f t="shared" si="126"/>
        <v>0</v>
      </c>
      <c r="L209" s="110">
        <v>7</v>
      </c>
      <c r="M209" s="110">
        <v>7</v>
      </c>
      <c r="N209" s="110">
        <v>7</v>
      </c>
      <c r="O209" s="110">
        <v>7</v>
      </c>
      <c r="P209" s="110">
        <v>7</v>
      </c>
      <c r="Q209" s="110">
        <v>7</v>
      </c>
      <c r="R209" s="110">
        <v>7</v>
      </c>
      <c r="S209" s="110">
        <v>7</v>
      </c>
      <c r="T209" s="110">
        <v>7</v>
      </c>
      <c r="U209" s="110">
        <v>8</v>
      </c>
      <c r="V209" s="110">
        <v>2022</v>
      </c>
      <c r="W209" s="110"/>
      <c r="X209" s="110" t="s">
        <v>2612</v>
      </c>
      <c r="Y209" s="106">
        <v>1367</v>
      </c>
      <c r="Z209" s="106">
        <f t="shared" si="106"/>
        <v>0.5</v>
      </c>
      <c r="AA209" s="106" t="s">
        <v>197</v>
      </c>
      <c r="AB209" s="111">
        <f t="shared" si="112"/>
        <v>3.5</v>
      </c>
      <c r="AC209" s="26" t="s">
        <v>751</v>
      </c>
      <c r="AD209" s="107">
        <f t="shared" si="107"/>
        <v>82041.666666666672</v>
      </c>
      <c r="AE209" s="198"/>
      <c r="AF209" s="113">
        <f t="shared" si="122"/>
        <v>0</v>
      </c>
      <c r="AG209" s="26">
        <v>2027</v>
      </c>
      <c r="AH209" s="26" t="str">
        <f t="shared" si="103"/>
        <v/>
      </c>
      <c r="AI209" s="26" t="str">
        <f t="shared" si="111"/>
        <v/>
      </c>
      <c r="AJ209" s="26" t="str">
        <f t="shared" si="111"/>
        <v/>
      </c>
      <c r="AK209" s="26" t="str">
        <f t="shared" si="104"/>
        <v/>
      </c>
      <c r="AL209" s="26" t="str">
        <f t="shared" si="124"/>
        <v/>
      </c>
      <c r="AM209" s="26" t="str">
        <f t="shared" si="123"/>
        <v>Overlay - 2"</v>
      </c>
      <c r="AN209" s="26" t="str">
        <f t="shared" si="113"/>
        <v>Overlay - 2"</v>
      </c>
      <c r="AO209" s="26" t="str">
        <f t="shared" si="125"/>
        <v/>
      </c>
      <c r="AP209" s="26" t="str">
        <f t="shared" si="114"/>
        <v/>
      </c>
      <c r="AQ209" s="68">
        <f t="shared" si="108"/>
        <v>10</v>
      </c>
      <c r="AR209" s="68">
        <f t="shared" si="109"/>
        <v>12</v>
      </c>
      <c r="AS209" s="68">
        <f t="shared" si="115"/>
        <v>1.05</v>
      </c>
      <c r="AT209" s="68">
        <f t="shared" si="116"/>
        <v>1.05</v>
      </c>
      <c r="AU209" s="68">
        <f t="shared" si="117"/>
        <v>1.05</v>
      </c>
      <c r="AV209" s="68">
        <f t="shared" si="118"/>
        <v>1.05</v>
      </c>
      <c r="AW209" s="68">
        <f t="shared" si="119"/>
        <v>1.05</v>
      </c>
      <c r="AX209" s="68">
        <f t="shared" ca="1" si="110"/>
        <v>3.1500000000000004</v>
      </c>
      <c r="AY209" s="106">
        <v>2017</v>
      </c>
      <c r="AZ209" s="106" t="s">
        <v>2075</v>
      </c>
      <c r="BA209" s="106" t="str">
        <f t="shared" si="120"/>
        <v/>
      </c>
      <c r="BB209" s="177"/>
      <c r="BC209" s="177">
        <v>3</v>
      </c>
      <c r="BD209" s="177"/>
      <c r="BE209" s="177"/>
      <c r="BF209" s="177"/>
      <c r="BG209" s="177"/>
      <c r="BH209" s="177"/>
      <c r="BI209" s="33"/>
      <c r="BJ209" s="2"/>
      <c r="BK209" s="48">
        <f>$G209/5280*VLOOKUP($AC209,'Cost and Score'!$B$27:$O$40,6,0)</f>
        <v>1.6781250000000001</v>
      </c>
      <c r="BL209" s="48">
        <f>$G209/5280*VLOOKUP($AC209,'Cost and Score'!$B$27:$O$40,7,0)</f>
        <v>156.625</v>
      </c>
      <c r="BM209" s="48">
        <f>$G209/5280*VLOOKUP($AC209,'Cost and Score'!$B$27:$O$40,8,0)</f>
        <v>261.04166666666669</v>
      </c>
      <c r="BN209" s="48">
        <f>$G209/5280*VLOOKUP($AC209,'Cost and Score'!$B$27:$O$40,9,0)</f>
        <v>0</v>
      </c>
      <c r="BO209" s="48">
        <f>$G209/5280*VLOOKUP($AC209,'Cost and Score'!$B$27:$O$40,10,0)</f>
        <v>0</v>
      </c>
      <c r="BP209" s="48">
        <f>$G209/5280*VLOOKUP($AC209,'Cost and Score'!$B$27:$O$40,11,0)</f>
        <v>149.16666666666666</v>
      </c>
      <c r="BQ209" s="48">
        <f>$G209/5280*VLOOKUP($AC209,'Cost and Score'!$B$27:$O$40,12,0)</f>
        <v>1267.9166666666667</v>
      </c>
      <c r="BR209" s="48">
        <f>$G209/5280*VLOOKUP($AC209,'Cost and Score'!$B$27:$O$40,13,0)</f>
        <v>0</v>
      </c>
      <c r="BS209" s="48">
        <f>$G209/5280*VLOOKUP($AC209,'Cost and Score'!$B$27:$O$40,14,0)</f>
        <v>0</v>
      </c>
      <c r="BT209" s="220">
        <f t="shared" si="121"/>
        <v>0.74583333333333335</v>
      </c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</row>
    <row r="210" spans="1:103" s="112" customFormat="1" hidden="1" x14ac:dyDescent="0.25">
      <c r="A210" s="15" t="s">
        <v>512</v>
      </c>
      <c r="B210" s="108" t="s">
        <v>511</v>
      </c>
      <c r="C210" s="106" t="s">
        <v>511</v>
      </c>
      <c r="D210" s="106"/>
      <c r="E210" s="106" t="s">
        <v>135</v>
      </c>
      <c r="F210" s="106" t="s">
        <v>138</v>
      </c>
      <c r="G210" s="109">
        <v>5360</v>
      </c>
      <c r="H210" s="109">
        <f t="shared" si="105"/>
        <v>20</v>
      </c>
      <c r="I210" s="106" t="s">
        <v>13</v>
      </c>
      <c r="J210" s="106" t="s">
        <v>125</v>
      </c>
      <c r="K210" s="106">
        <f t="shared" si="126"/>
        <v>0</v>
      </c>
      <c r="L210" s="110">
        <v>7</v>
      </c>
      <c r="M210" s="110">
        <v>7</v>
      </c>
      <c r="N210" s="110">
        <v>7</v>
      </c>
      <c r="O210" s="110">
        <v>7</v>
      </c>
      <c r="P210" s="110">
        <v>7</v>
      </c>
      <c r="Q210" s="110">
        <v>7</v>
      </c>
      <c r="R210" s="110">
        <v>7</v>
      </c>
      <c r="S210" s="110">
        <v>6</v>
      </c>
      <c r="T210" s="110">
        <v>6</v>
      </c>
      <c r="U210" s="110">
        <v>6</v>
      </c>
      <c r="V210" s="110">
        <v>2023</v>
      </c>
      <c r="W210" s="110">
        <v>2023</v>
      </c>
      <c r="X210" s="110" t="s">
        <v>2612</v>
      </c>
      <c r="Y210" s="106">
        <v>4504</v>
      </c>
      <c r="Z210" s="106">
        <f t="shared" si="106"/>
        <v>1.5</v>
      </c>
      <c r="AA210" s="106" t="s">
        <v>197</v>
      </c>
      <c r="AB210" s="111">
        <f t="shared" si="112"/>
        <v>4.5</v>
      </c>
      <c r="AC210" s="82" t="s">
        <v>751</v>
      </c>
      <c r="AD210" s="107">
        <f t="shared" si="107"/>
        <v>111666.66666666667</v>
      </c>
      <c r="AE210" s="198">
        <v>1</v>
      </c>
      <c r="AF210" s="113">
        <f t="shared" si="122"/>
        <v>111666.66666666667</v>
      </c>
      <c r="AG210" s="85">
        <v>2023</v>
      </c>
      <c r="AH210" s="26" t="str">
        <f t="shared" si="103"/>
        <v/>
      </c>
      <c r="AI210" s="26" t="str">
        <f t="shared" si="111"/>
        <v>Overlay - 2"</v>
      </c>
      <c r="AJ210" s="26" t="str">
        <f t="shared" si="111"/>
        <v/>
      </c>
      <c r="AK210" s="26" t="str">
        <f t="shared" si="104"/>
        <v/>
      </c>
      <c r="AL210" s="26" t="str">
        <f t="shared" si="124"/>
        <v/>
      </c>
      <c r="AM210" s="26" t="str">
        <f t="shared" si="123"/>
        <v/>
      </c>
      <c r="AN210" s="26" t="str">
        <f t="shared" si="113"/>
        <v>Overlay - 2"</v>
      </c>
      <c r="AO210" s="26" t="str">
        <f t="shared" si="125"/>
        <v/>
      </c>
      <c r="AP210" s="26" t="str">
        <f t="shared" si="114"/>
        <v/>
      </c>
      <c r="AQ210" s="68">
        <f t="shared" si="108"/>
        <v>10</v>
      </c>
      <c r="AR210" s="68">
        <f t="shared" si="109"/>
        <v>12</v>
      </c>
      <c r="AS210" s="68">
        <f t="shared" si="115"/>
        <v>1.05</v>
      </c>
      <c r="AT210" s="68">
        <f t="shared" si="116"/>
        <v>1.05</v>
      </c>
      <c r="AU210" s="68">
        <f t="shared" si="117"/>
        <v>1.05</v>
      </c>
      <c r="AV210" s="68">
        <f t="shared" si="118"/>
        <v>1.05</v>
      </c>
      <c r="AW210" s="68">
        <f t="shared" si="119"/>
        <v>1.05</v>
      </c>
      <c r="AX210" s="68">
        <f t="shared" ca="1" si="110"/>
        <v>-1.05</v>
      </c>
      <c r="AY210" s="106">
        <v>2023</v>
      </c>
      <c r="AZ210" s="106" t="s">
        <v>751</v>
      </c>
      <c r="BA210" s="106" t="str">
        <f t="shared" si="120"/>
        <v/>
      </c>
      <c r="BB210" s="177"/>
      <c r="BC210" s="177">
        <v>2</v>
      </c>
      <c r="BD210" s="177"/>
      <c r="BE210" s="177"/>
      <c r="BF210" s="177"/>
      <c r="BG210" s="177"/>
      <c r="BH210" s="177"/>
      <c r="BI210" s="33"/>
      <c r="BJ210" s="2"/>
      <c r="BK210" s="48">
        <f>$G210/5280*VLOOKUP($AC210,'Cost and Score'!$B$27:$O$40,6,0)</f>
        <v>2.2840909090909092</v>
      </c>
      <c r="BL210" s="48">
        <f>$G210/5280*VLOOKUP($AC210,'Cost and Score'!$B$27:$O$40,7,0)</f>
        <v>213.18181818181819</v>
      </c>
      <c r="BM210" s="48">
        <f>$G210/5280*VLOOKUP($AC210,'Cost and Score'!$B$27:$O$40,8,0)</f>
        <v>355.30303030303031</v>
      </c>
      <c r="BN210" s="48">
        <f>$G210/5280*VLOOKUP($AC210,'Cost and Score'!$B$27:$O$40,9,0)</f>
        <v>0</v>
      </c>
      <c r="BO210" s="48">
        <f>$G210/5280*VLOOKUP($AC210,'Cost and Score'!$B$27:$O$40,10,0)</f>
        <v>0</v>
      </c>
      <c r="BP210" s="48">
        <f>$G210/5280*VLOOKUP($AC210,'Cost and Score'!$B$27:$O$40,11,0)</f>
        <v>203.03030303030303</v>
      </c>
      <c r="BQ210" s="48">
        <f>$G210/5280*VLOOKUP($AC210,'Cost and Score'!$B$27:$O$40,12,0)</f>
        <v>1725.7575757575758</v>
      </c>
      <c r="BR210" s="48">
        <f>$G210/5280*VLOOKUP($AC210,'Cost and Score'!$B$27:$O$40,13,0)</f>
        <v>0</v>
      </c>
      <c r="BS210" s="48">
        <f>$G210/5280*VLOOKUP($AC210,'Cost and Score'!$B$27:$O$40,14,0)</f>
        <v>0</v>
      </c>
      <c r="BT210" s="220">
        <f t="shared" si="121"/>
        <v>1.0151515151515151</v>
      </c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103" s="2" customFormat="1" hidden="1" x14ac:dyDescent="0.25">
      <c r="A211" s="15" t="s">
        <v>514</v>
      </c>
      <c r="B211" s="34" t="s">
        <v>513</v>
      </c>
      <c r="C211" s="26" t="s">
        <v>513</v>
      </c>
      <c r="D211" s="82"/>
      <c r="E211" s="82" t="s">
        <v>73</v>
      </c>
      <c r="F211" s="82" t="s">
        <v>140</v>
      </c>
      <c r="G211" s="29">
        <v>4432</v>
      </c>
      <c r="H211" s="29">
        <f t="shared" si="105"/>
        <v>20</v>
      </c>
      <c r="I211" s="26" t="s">
        <v>13</v>
      </c>
      <c r="J211" s="26" t="s">
        <v>26</v>
      </c>
      <c r="K211" s="26">
        <f t="shared" si="126"/>
        <v>0</v>
      </c>
      <c r="L211" s="42">
        <v>8</v>
      </c>
      <c r="M211" s="42">
        <v>9</v>
      </c>
      <c r="N211" s="42">
        <v>7</v>
      </c>
      <c r="O211" s="83">
        <v>7</v>
      </c>
      <c r="P211" s="83">
        <v>7</v>
      </c>
      <c r="Q211" s="83">
        <v>7</v>
      </c>
      <c r="R211" s="83">
        <v>7</v>
      </c>
      <c r="S211" s="83">
        <v>7</v>
      </c>
      <c r="T211" s="83">
        <v>7</v>
      </c>
      <c r="U211" s="83">
        <v>7</v>
      </c>
      <c r="V211" s="42"/>
      <c r="W211" s="42"/>
      <c r="X211" s="42"/>
      <c r="Y211" s="26">
        <v>114</v>
      </c>
      <c r="Z211" s="26">
        <f t="shared" si="106"/>
        <v>0</v>
      </c>
      <c r="AA211" s="82" t="s">
        <v>197</v>
      </c>
      <c r="AB211" s="111">
        <f t="shared" si="112"/>
        <v>3</v>
      </c>
      <c r="AC211" s="82" t="s">
        <v>13</v>
      </c>
      <c r="AD211" s="84">
        <f t="shared" si="107"/>
        <v>17627.272727272728</v>
      </c>
      <c r="AE211" s="140">
        <v>1</v>
      </c>
      <c r="AF211" s="113">
        <f t="shared" si="122"/>
        <v>17627.272727272728</v>
      </c>
      <c r="AG211" s="82">
        <v>2024</v>
      </c>
      <c r="AH211" s="26" t="str">
        <f t="shared" si="103"/>
        <v/>
      </c>
      <c r="AI211" s="26" t="str">
        <f t="shared" si="111"/>
        <v/>
      </c>
      <c r="AJ211" s="26" t="str">
        <f t="shared" si="111"/>
        <v>Chip Seal and Fog</v>
      </c>
      <c r="AK211" s="26" t="str">
        <f t="shared" si="104"/>
        <v/>
      </c>
      <c r="AL211" s="26" t="str">
        <f t="shared" si="124"/>
        <v/>
      </c>
      <c r="AM211" s="26" t="str">
        <f t="shared" si="123"/>
        <v/>
      </c>
      <c r="AN211" s="26" t="str">
        <f t="shared" si="113"/>
        <v>Chip Seal and Fog</v>
      </c>
      <c r="AO211" s="26" t="str">
        <f t="shared" si="125"/>
        <v/>
      </c>
      <c r="AP211" s="26" t="str">
        <f t="shared" si="114"/>
        <v/>
      </c>
      <c r="AQ211" s="68">
        <f t="shared" si="108"/>
        <v>10</v>
      </c>
      <c r="AR211" s="68">
        <f t="shared" si="109"/>
        <v>6</v>
      </c>
      <c r="AS211" s="68">
        <f t="shared" si="115"/>
        <v>1</v>
      </c>
      <c r="AT211" s="68">
        <f t="shared" si="116"/>
        <v>1</v>
      </c>
      <c r="AU211" s="68">
        <f t="shared" si="117"/>
        <v>1.05</v>
      </c>
      <c r="AV211" s="68">
        <f t="shared" si="118"/>
        <v>1.05</v>
      </c>
      <c r="AW211" s="68">
        <f t="shared" si="119"/>
        <v>1.05</v>
      </c>
      <c r="AX211" s="68">
        <f t="shared" ca="1" si="110"/>
        <v>0</v>
      </c>
      <c r="AY211" s="106">
        <v>2023</v>
      </c>
      <c r="AZ211" s="106" t="s">
        <v>751</v>
      </c>
      <c r="BA211" s="106" t="str">
        <f t="shared" si="120"/>
        <v/>
      </c>
      <c r="BB211" s="177"/>
      <c r="BC211" s="177">
        <v>5</v>
      </c>
      <c r="BD211" s="177"/>
      <c r="BE211" s="177"/>
      <c r="BF211" s="177"/>
      <c r="BG211" s="177"/>
      <c r="BH211" s="177"/>
      <c r="BI211" s="33"/>
      <c r="BK211" s="48">
        <f>$G211/5280*VLOOKUP($AC211,'Cost and Score'!$B$27:$O$40,6,0)</f>
        <v>0.16787878787878788</v>
      </c>
      <c r="BL211" s="48">
        <f>$G211/5280*VLOOKUP($AC211,'Cost and Score'!$B$27:$O$40,7,0)</f>
        <v>18.466666666666665</v>
      </c>
      <c r="BM211" s="48">
        <f>$G211/5280*VLOOKUP($AC211,'Cost and Score'!$B$27:$O$40,8,0)</f>
        <v>0</v>
      </c>
      <c r="BN211" s="48">
        <f>$G211/5280*VLOOKUP($AC211,'Cost and Score'!$B$27:$O$40,9,0)</f>
        <v>3777.272727272727</v>
      </c>
      <c r="BO211" s="48">
        <f>$G211/5280*VLOOKUP($AC211,'Cost and Score'!$B$27:$O$40,10,0)</f>
        <v>839.39393939393938</v>
      </c>
      <c r="BP211" s="48">
        <f>$G211/5280*VLOOKUP($AC211,'Cost and Score'!$B$27:$O$40,11,0)</f>
        <v>0</v>
      </c>
      <c r="BQ211" s="48">
        <f>$G211/5280*VLOOKUP($AC211,'Cost and Score'!$B$27:$O$40,12,0)</f>
        <v>83.939393939393938</v>
      </c>
      <c r="BR211" s="48">
        <f>$G211/5280*VLOOKUP($AC211,'Cost and Score'!$B$27:$O$40,13,0)</f>
        <v>100.72727272727272</v>
      </c>
      <c r="BS211" s="48">
        <f>$G211/5280*VLOOKUP($AC211,'Cost and Score'!$B$27:$O$40,14,0)</f>
        <v>0</v>
      </c>
      <c r="BT211" s="220">
        <f t="shared" si="121"/>
        <v>0.83939393939393936</v>
      </c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</row>
    <row r="212" spans="1:103" s="2" customFormat="1" hidden="1" x14ac:dyDescent="0.25">
      <c r="A212" s="15" t="s">
        <v>516</v>
      </c>
      <c r="B212" s="34" t="s">
        <v>515</v>
      </c>
      <c r="C212" s="26" t="s">
        <v>515</v>
      </c>
      <c r="D212" s="82"/>
      <c r="E212" s="82" t="s">
        <v>138</v>
      </c>
      <c r="F212" s="82" t="s">
        <v>340</v>
      </c>
      <c r="G212" s="29">
        <v>5320</v>
      </c>
      <c r="H212" s="29">
        <f t="shared" si="105"/>
        <v>20</v>
      </c>
      <c r="I212" s="26" t="s">
        <v>8</v>
      </c>
      <c r="J212" s="26" t="s">
        <v>125</v>
      </c>
      <c r="K212" s="26">
        <f t="shared" si="126"/>
        <v>0</v>
      </c>
      <c r="L212" s="42">
        <v>8</v>
      </c>
      <c r="M212" s="42">
        <v>8</v>
      </c>
      <c r="N212" s="42">
        <v>8</v>
      </c>
      <c r="O212" s="83">
        <v>8</v>
      </c>
      <c r="P212" s="83">
        <v>8</v>
      </c>
      <c r="Q212" s="83">
        <v>7</v>
      </c>
      <c r="R212" s="83">
        <v>7</v>
      </c>
      <c r="S212" s="83">
        <v>7</v>
      </c>
      <c r="T212" s="83">
        <v>7</v>
      </c>
      <c r="U212" s="83">
        <v>7</v>
      </c>
      <c r="V212" s="42">
        <v>2024</v>
      </c>
      <c r="W212" s="42"/>
      <c r="X212" s="42" t="s">
        <v>2612</v>
      </c>
      <c r="Y212" s="26">
        <v>2113</v>
      </c>
      <c r="Z212" s="26">
        <f t="shared" si="106"/>
        <v>1</v>
      </c>
      <c r="AA212" s="82" t="s">
        <v>197</v>
      </c>
      <c r="AB212" s="111">
        <f t="shared" si="112"/>
        <v>3</v>
      </c>
      <c r="AC212" s="85" t="s">
        <v>13</v>
      </c>
      <c r="AD212" s="84">
        <f t="shared" si="107"/>
        <v>21159.090909090908</v>
      </c>
      <c r="AE212" s="140"/>
      <c r="AF212" s="113">
        <f t="shared" si="122"/>
        <v>0</v>
      </c>
      <c r="AG212" s="85">
        <v>2026</v>
      </c>
      <c r="AH212" s="26" t="str">
        <f t="shared" si="103"/>
        <v/>
      </c>
      <c r="AI212" s="26" t="str">
        <f t="shared" ref="AI212:AJ231" si="127">IF($AG212=AI$1,VLOOKUP($AC212,RSL,3,FALSE),"")</f>
        <v/>
      </c>
      <c r="AJ212" s="26" t="str">
        <f t="shared" si="127"/>
        <v/>
      </c>
      <c r="AK212" s="26" t="str">
        <f t="shared" si="104"/>
        <v/>
      </c>
      <c r="AL212" s="26" t="str">
        <f t="shared" si="124"/>
        <v>Chip Seal and Fog</v>
      </c>
      <c r="AM212" s="26" t="str">
        <f t="shared" si="123"/>
        <v/>
      </c>
      <c r="AN212" s="26" t="str">
        <f t="shared" si="113"/>
        <v>Chip Seal and Fog</v>
      </c>
      <c r="AO212" s="26" t="str">
        <f t="shared" si="125"/>
        <v/>
      </c>
      <c r="AP212" s="26" t="str">
        <f t="shared" si="114"/>
        <v/>
      </c>
      <c r="AQ212" s="68">
        <f t="shared" si="108"/>
        <v>12</v>
      </c>
      <c r="AR212" s="68">
        <f t="shared" si="109"/>
        <v>6</v>
      </c>
      <c r="AS212" s="68">
        <f t="shared" si="115"/>
        <v>1</v>
      </c>
      <c r="AT212" s="68">
        <f t="shared" si="116"/>
        <v>1</v>
      </c>
      <c r="AU212" s="68">
        <f t="shared" si="117"/>
        <v>1</v>
      </c>
      <c r="AV212" s="68">
        <f t="shared" si="118"/>
        <v>1</v>
      </c>
      <c r="AW212" s="68">
        <f t="shared" si="119"/>
        <v>1</v>
      </c>
      <c r="AX212" s="68">
        <f t="shared" ca="1" si="110"/>
        <v>2</v>
      </c>
      <c r="AY212" s="106">
        <v>2020</v>
      </c>
      <c r="AZ212" s="106" t="s">
        <v>2075</v>
      </c>
      <c r="BA212" s="106" t="str">
        <f t="shared" si="120"/>
        <v/>
      </c>
      <c r="BB212" s="177"/>
      <c r="BC212" s="177">
        <v>2</v>
      </c>
      <c r="BD212" s="177"/>
      <c r="BE212" s="177"/>
      <c r="BF212" s="177"/>
      <c r="BG212" s="177"/>
      <c r="BH212" s="177"/>
      <c r="BI212" s="33"/>
      <c r="BK212" s="48">
        <f>$G212/5280*VLOOKUP($AC212,'Cost and Score'!$B$27:$O$40,6,0)</f>
        <v>0.20151515151515154</v>
      </c>
      <c r="BL212" s="48">
        <f>$G212/5280*VLOOKUP($AC212,'Cost and Score'!$B$27:$O$40,7,0)</f>
        <v>22.166666666666668</v>
      </c>
      <c r="BM212" s="48">
        <f>$G212/5280*VLOOKUP($AC212,'Cost and Score'!$B$27:$O$40,8,0)</f>
        <v>0</v>
      </c>
      <c r="BN212" s="48">
        <f>$G212/5280*VLOOKUP($AC212,'Cost and Score'!$B$27:$O$40,9,0)</f>
        <v>4534.090909090909</v>
      </c>
      <c r="BO212" s="48">
        <f>$G212/5280*VLOOKUP($AC212,'Cost and Score'!$B$27:$O$40,10,0)</f>
        <v>1007.5757575757576</v>
      </c>
      <c r="BP212" s="48">
        <f>$G212/5280*VLOOKUP($AC212,'Cost and Score'!$B$27:$O$40,11,0)</f>
        <v>0</v>
      </c>
      <c r="BQ212" s="48">
        <f>$G212/5280*VLOOKUP($AC212,'Cost and Score'!$B$27:$O$40,12,0)</f>
        <v>100.75757575757575</v>
      </c>
      <c r="BR212" s="48">
        <f>$G212/5280*VLOOKUP($AC212,'Cost and Score'!$B$27:$O$40,13,0)</f>
        <v>120.90909090909091</v>
      </c>
      <c r="BS212" s="48">
        <f>$G212/5280*VLOOKUP($AC212,'Cost and Score'!$B$27:$O$40,14,0)</f>
        <v>0</v>
      </c>
      <c r="BT212" s="220">
        <f t="shared" si="121"/>
        <v>1.0075757575757576</v>
      </c>
    </row>
    <row r="213" spans="1:103" s="2" customFormat="1" hidden="1" x14ac:dyDescent="0.25">
      <c r="A213" s="15" t="s">
        <v>518</v>
      </c>
      <c r="B213" s="34" t="s">
        <v>517</v>
      </c>
      <c r="C213" s="26" t="s">
        <v>517</v>
      </c>
      <c r="D213" s="82"/>
      <c r="E213" s="82" t="s">
        <v>140</v>
      </c>
      <c r="F213" s="82" t="s">
        <v>147</v>
      </c>
      <c r="G213" s="29">
        <v>5420</v>
      </c>
      <c r="H213" s="29">
        <f t="shared" si="105"/>
        <v>20</v>
      </c>
      <c r="I213" s="26" t="s">
        <v>13</v>
      </c>
      <c r="J213" s="26" t="s">
        <v>26</v>
      </c>
      <c r="K213" s="26">
        <f t="shared" si="126"/>
        <v>0</v>
      </c>
      <c r="L213" s="42">
        <v>8</v>
      </c>
      <c r="M213" s="42">
        <v>9</v>
      </c>
      <c r="N213" s="42">
        <v>8</v>
      </c>
      <c r="O213" s="83">
        <v>8</v>
      </c>
      <c r="P213" s="83">
        <v>7</v>
      </c>
      <c r="Q213" s="83">
        <v>7</v>
      </c>
      <c r="R213" s="83">
        <v>7</v>
      </c>
      <c r="S213" s="83">
        <v>7</v>
      </c>
      <c r="T213" s="83">
        <v>6</v>
      </c>
      <c r="U213" s="83">
        <v>6</v>
      </c>
      <c r="V213" s="42"/>
      <c r="W213" s="42"/>
      <c r="X213" s="42"/>
      <c r="Y213" s="26">
        <v>50</v>
      </c>
      <c r="Z213" s="26">
        <f t="shared" si="106"/>
        <v>0</v>
      </c>
      <c r="AA213" s="82" t="s">
        <v>197</v>
      </c>
      <c r="AB213" s="111">
        <f t="shared" si="112"/>
        <v>3</v>
      </c>
      <c r="AC213" s="82" t="s">
        <v>13</v>
      </c>
      <c r="AD213" s="84">
        <f t="shared" si="107"/>
        <v>21556.81818181818</v>
      </c>
      <c r="AE213" s="140">
        <v>1</v>
      </c>
      <c r="AF213" s="113">
        <f t="shared" si="122"/>
        <v>21556.81818181818</v>
      </c>
      <c r="AG213" s="82">
        <v>2024</v>
      </c>
      <c r="AH213" s="26" t="str">
        <f t="shared" si="103"/>
        <v/>
      </c>
      <c r="AI213" s="26" t="str">
        <f t="shared" si="127"/>
        <v/>
      </c>
      <c r="AJ213" s="26" t="str">
        <f t="shared" si="127"/>
        <v>Chip Seal and Fog</v>
      </c>
      <c r="AK213" s="26" t="str">
        <f t="shared" si="104"/>
        <v/>
      </c>
      <c r="AL213" s="26" t="str">
        <f t="shared" si="124"/>
        <v/>
      </c>
      <c r="AM213" s="26" t="str">
        <f t="shared" si="123"/>
        <v/>
      </c>
      <c r="AN213" s="26" t="str">
        <f t="shared" si="113"/>
        <v>Chip Seal and Fog</v>
      </c>
      <c r="AO213" s="26" t="str">
        <f t="shared" si="125"/>
        <v/>
      </c>
      <c r="AP213" s="26" t="str">
        <f t="shared" si="114"/>
        <v/>
      </c>
      <c r="AQ213" s="68">
        <f t="shared" si="108"/>
        <v>12</v>
      </c>
      <c r="AR213" s="68">
        <f t="shared" si="109"/>
        <v>6</v>
      </c>
      <c r="AS213" s="68">
        <f t="shared" si="115"/>
        <v>1</v>
      </c>
      <c r="AT213" s="68">
        <f t="shared" si="116"/>
        <v>1</v>
      </c>
      <c r="AU213" s="68">
        <f t="shared" si="117"/>
        <v>1</v>
      </c>
      <c r="AV213" s="68">
        <f t="shared" si="118"/>
        <v>1</v>
      </c>
      <c r="AW213" s="68">
        <f t="shared" si="119"/>
        <v>1.05</v>
      </c>
      <c r="AX213" s="68">
        <f t="shared" ca="1" si="110"/>
        <v>0</v>
      </c>
      <c r="AY213" s="106">
        <v>2023</v>
      </c>
      <c r="AZ213" s="106" t="s">
        <v>751</v>
      </c>
      <c r="BA213" s="106" t="str">
        <f t="shared" si="120"/>
        <v/>
      </c>
      <c r="BB213" s="177"/>
      <c r="BC213" s="177">
        <v>5</v>
      </c>
      <c r="BD213" s="177"/>
      <c r="BE213" s="177"/>
      <c r="BF213" s="177"/>
      <c r="BG213" s="177"/>
      <c r="BH213" s="177"/>
      <c r="BI213" s="33"/>
      <c r="BK213" s="48">
        <f>$G213/5280*VLOOKUP($AC213,'Cost and Score'!$B$27:$O$40,6,0)</f>
        <v>0.20530303030303032</v>
      </c>
      <c r="BL213" s="48">
        <f>$G213/5280*VLOOKUP($AC213,'Cost and Score'!$B$27:$O$40,7,0)</f>
        <v>22.583333333333336</v>
      </c>
      <c r="BM213" s="48">
        <f>$G213/5280*VLOOKUP($AC213,'Cost and Score'!$B$27:$O$40,8,0)</f>
        <v>0</v>
      </c>
      <c r="BN213" s="48">
        <f>$G213/5280*VLOOKUP($AC213,'Cost and Score'!$B$27:$O$40,9,0)</f>
        <v>4619.318181818182</v>
      </c>
      <c r="BO213" s="48">
        <f>$G213/5280*VLOOKUP($AC213,'Cost and Score'!$B$27:$O$40,10,0)</f>
        <v>1026.5151515151515</v>
      </c>
      <c r="BP213" s="48">
        <f>$G213/5280*VLOOKUP($AC213,'Cost and Score'!$B$27:$O$40,11,0)</f>
        <v>0</v>
      </c>
      <c r="BQ213" s="48">
        <f>$G213/5280*VLOOKUP($AC213,'Cost and Score'!$B$27:$O$40,12,0)</f>
        <v>102.65151515151516</v>
      </c>
      <c r="BR213" s="48">
        <f>$G213/5280*VLOOKUP($AC213,'Cost and Score'!$B$27:$O$40,13,0)</f>
        <v>123.18181818181819</v>
      </c>
      <c r="BS213" s="48">
        <f>$G213/5280*VLOOKUP($AC213,'Cost and Score'!$B$27:$O$40,14,0)</f>
        <v>0</v>
      </c>
      <c r="BT213" s="220">
        <f t="shared" si="121"/>
        <v>1.0265151515151516</v>
      </c>
      <c r="CW213" s="112"/>
      <c r="CX213" s="112"/>
      <c r="CY213" s="112"/>
    </row>
    <row r="214" spans="1:103" s="2" customFormat="1" hidden="1" x14ac:dyDescent="0.25">
      <c r="A214" s="15" t="s">
        <v>520</v>
      </c>
      <c r="B214" s="34" t="s">
        <v>519</v>
      </c>
      <c r="C214" s="26" t="s">
        <v>519</v>
      </c>
      <c r="D214" s="82"/>
      <c r="E214" s="82" t="s">
        <v>147</v>
      </c>
      <c r="F214" s="82" t="s">
        <v>149</v>
      </c>
      <c r="G214" s="29">
        <v>2640</v>
      </c>
      <c r="H214" s="29">
        <f t="shared" si="105"/>
        <v>20</v>
      </c>
      <c r="I214" s="26" t="s">
        <v>13</v>
      </c>
      <c r="J214" s="26" t="s">
        <v>26</v>
      </c>
      <c r="K214" s="26">
        <f t="shared" si="126"/>
        <v>0</v>
      </c>
      <c r="L214" s="42">
        <v>8</v>
      </c>
      <c r="M214" s="42">
        <v>9</v>
      </c>
      <c r="N214" s="42">
        <v>8</v>
      </c>
      <c r="O214" s="83">
        <v>8</v>
      </c>
      <c r="P214" s="83">
        <v>7</v>
      </c>
      <c r="Q214" s="83">
        <v>7</v>
      </c>
      <c r="R214" s="83">
        <v>7</v>
      </c>
      <c r="S214" s="83">
        <v>7</v>
      </c>
      <c r="T214" s="83">
        <v>6</v>
      </c>
      <c r="U214" s="83">
        <v>6</v>
      </c>
      <c r="V214" s="42"/>
      <c r="W214" s="42"/>
      <c r="X214" s="42"/>
      <c r="Y214" s="26">
        <v>64</v>
      </c>
      <c r="Z214" s="26">
        <f t="shared" si="106"/>
        <v>0</v>
      </c>
      <c r="AA214" s="82" t="s">
        <v>197</v>
      </c>
      <c r="AB214" s="111">
        <f t="shared" si="112"/>
        <v>3</v>
      </c>
      <c r="AC214" s="82" t="s">
        <v>2073</v>
      </c>
      <c r="AD214" s="84">
        <f t="shared" si="107"/>
        <v>16000</v>
      </c>
      <c r="AE214" s="140">
        <v>1</v>
      </c>
      <c r="AF214" s="113">
        <f t="shared" si="122"/>
        <v>16000</v>
      </c>
      <c r="AG214" s="82">
        <v>2023</v>
      </c>
      <c r="AH214" s="26" t="str">
        <f t="shared" si="103"/>
        <v/>
      </c>
      <c r="AI214" s="26" t="str">
        <f t="shared" si="127"/>
        <v>Chip Seal - Double and Fog</v>
      </c>
      <c r="AJ214" s="26" t="str">
        <f t="shared" si="127"/>
        <v/>
      </c>
      <c r="AK214" s="26" t="str">
        <f t="shared" si="104"/>
        <v/>
      </c>
      <c r="AL214" s="26" t="str">
        <f t="shared" si="124"/>
        <v/>
      </c>
      <c r="AM214" s="26" t="str">
        <f t="shared" si="123"/>
        <v/>
      </c>
      <c r="AN214" s="26" t="str">
        <f t="shared" si="113"/>
        <v>Chip Seal - Double and Fog</v>
      </c>
      <c r="AO214" s="26" t="str">
        <f t="shared" si="125"/>
        <v/>
      </c>
      <c r="AP214" s="26" t="str">
        <f t="shared" si="114"/>
        <v/>
      </c>
      <c r="AQ214" s="68">
        <f t="shared" si="108"/>
        <v>12</v>
      </c>
      <c r="AR214" s="68">
        <f t="shared" si="109"/>
        <v>6</v>
      </c>
      <c r="AS214" s="68">
        <f t="shared" si="115"/>
        <v>1</v>
      </c>
      <c r="AT214" s="68">
        <f t="shared" si="116"/>
        <v>1</v>
      </c>
      <c r="AU214" s="68">
        <f t="shared" si="117"/>
        <v>1</v>
      </c>
      <c r="AV214" s="68">
        <f t="shared" si="118"/>
        <v>1</v>
      </c>
      <c r="AW214" s="68">
        <f t="shared" si="119"/>
        <v>1.05</v>
      </c>
      <c r="AX214" s="68">
        <f t="shared" ca="1" si="110"/>
        <v>-1</v>
      </c>
      <c r="AY214" s="106">
        <v>2023</v>
      </c>
      <c r="AZ214" s="106" t="s">
        <v>2073</v>
      </c>
      <c r="BA214" s="106" t="str">
        <f t="shared" si="120"/>
        <v/>
      </c>
      <c r="BB214" s="177"/>
      <c r="BC214" s="177">
        <v>5</v>
      </c>
      <c r="BD214" s="177"/>
      <c r="BE214" s="177"/>
      <c r="BF214" s="177"/>
      <c r="BG214" s="177"/>
      <c r="BH214" s="177"/>
      <c r="BI214" s="33"/>
      <c r="BK214" s="48">
        <f>$G214/5280*VLOOKUP($AC214,'Cost and Score'!$B$27:$O$40,6,0)</f>
        <v>0.25</v>
      </c>
      <c r="BL214" s="48">
        <f>$G214/5280*VLOOKUP($AC214,'Cost and Score'!$B$27:$O$40,7,0)</f>
        <v>25</v>
      </c>
      <c r="BM214" s="48">
        <f>$G214/5280*VLOOKUP($AC214,'Cost and Score'!$B$27:$O$40,8,0)</f>
        <v>0</v>
      </c>
      <c r="BN214" s="48">
        <f>$G214/5280*VLOOKUP($AC214,'Cost and Score'!$B$27:$O$40,9,0)</f>
        <v>4750</v>
      </c>
      <c r="BO214" s="48">
        <f>$G214/5280*VLOOKUP($AC214,'Cost and Score'!$B$27:$O$40,10,0)</f>
        <v>500</v>
      </c>
      <c r="BP214" s="48">
        <f>$G214/5280*VLOOKUP($AC214,'Cost and Score'!$B$27:$O$40,11,0)</f>
        <v>0</v>
      </c>
      <c r="BQ214" s="48">
        <f>$G214/5280*VLOOKUP($AC214,'Cost and Score'!$B$27:$O$40,12,0)</f>
        <v>100</v>
      </c>
      <c r="BR214" s="48">
        <f>$G214/5280*VLOOKUP($AC214,'Cost and Score'!$B$27:$O$40,13,0)</f>
        <v>90</v>
      </c>
      <c r="BS214" s="48">
        <f>$G214/5280*VLOOKUP($AC214,'Cost and Score'!$B$27:$O$40,14,0)</f>
        <v>120</v>
      </c>
      <c r="BT214" s="220">
        <f t="shared" si="121"/>
        <v>0.5</v>
      </c>
    </row>
    <row r="215" spans="1:103" s="2" customFormat="1" hidden="1" x14ac:dyDescent="0.25">
      <c r="A215" s="15" t="s">
        <v>522</v>
      </c>
      <c r="B215" s="34" t="s">
        <v>521</v>
      </c>
      <c r="C215" s="26" t="s">
        <v>521</v>
      </c>
      <c r="D215" s="82"/>
      <c r="E215" s="82" t="s">
        <v>406</v>
      </c>
      <c r="F215" s="82" t="s">
        <v>116</v>
      </c>
      <c r="G215" s="29">
        <v>4663</v>
      </c>
      <c r="H215" s="29">
        <f t="shared" si="105"/>
        <v>20</v>
      </c>
      <c r="I215" s="26" t="s">
        <v>8</v>
      </c>
      <c r="J215" s="26" t="s">
        <v>101</v>
      </c>
      <c r="K215" s="26">
        <v>0</v>
      </c>
      <c r="L215" s="42">
        <v>8</v>
      </c>
      <c r="M215" s="42">
        <v>7</v>
      </c>
      <c r="N215" s="42">
        <v>7</v>
      </c>
      <c r="O215" s="83">
        <v>7</v>
      </c>
      <c r="P215" s="83">
        <v>7</v>
      </c>
      <c r="Q215" s="83">
        <v>6</v>
      </c>
      <c r="R215" s="83">
        <v>6</v>
      </c>
      <c r="S215" s="83">
        <v>6</v>
      </c>
      <c r="T215" s="83">
        <v>6</v>
      </c>
      <c r="U215" s="83">
        <v>6</v>
      </c>
      <c r="V215" s="42">
        <v>2024</v>
      </c>
      <c r="W215" s="42">
        <v>2016</v>
      </c>
      <c r="X215" s="42" t="s">
        <v>2612</v>
      </c>
      <c r="Y215" s="26">
        <v>1793</v>
      </c>
      <c r="Z215" s="26">
        <f t="shared" si="106"/>
        <v>1</v>
      </c>
      <c r="AA215" s="82" t="s">
        <v>197</v>
      </c>
      <c r="AB215" s="111">
        <f t="shared" si="112"/>
        <v>4</v>
      </c>
      <c r="AC215" s="85" t="s">
        <v>751</v>
      </c>
      <c r="AD215" s="84">
        <f t="shared" si="107"/>
        <v>97145.833333333328</v>
      </c>
      <c r="AE215" s="140">
        <v>1</v>
      </c>
      <c r="AF215" s="113">
        <f t="shared" si="122"/>
        <v>97145.833333333328</v>
      </c>
      <c r="AG215" s="106">
        <v>2023</v>
      </c>
      <c r="AH215" s="26" t="str">
        <f t="shared" si="103"/>
        <v/>
      </c>
      <c r="AI215" s="26" t="str">
        <f t="shared" si="127"/>
        <v>Overlay - 2"</v>
      </c>
      <c r="AJ215" s="26" t="str">
        <f t="shared" si="127"/>
        <v/>
      </c>
      <c r="AK215" s="26" t="str">
        <f t="shared" si="104"/>
        <v/>
      </c>
      <c r="AL215" s="26" t="str">
        <f t="shared" si="124"/>
        <v/>
      </c>
      <c r="AM215" s="26" t="str">
        <f t="shared" si="123"/>
        <v/>
      </c>
      <c r="AN215" s="26" t="str">
        <f t="shared" si="113"/>
        <v>Overlay - 2"</v>
      </c>
      <c r="AO215" s="26" t="str">
        <f t="shared" si="125"/>
        <v/>
      </c>
      <c r="AP215" s="26" t="str">
        <f t="shared" si="114"/>
        <v/>
      </c>
      <c r="AQ215" s="68">
        <f t="shared" si="108"/>
        <v>10</v>
      </c>
      <c r="AR215" s="68">
        <f t="shared" si="109"/>
        <v>12</v>
      </c>
      <c r="AS215" s="68">
        <f t="shared" si="115"/>
        <v>1</v>
      </c>
      <c r="AT215" s="68">
        <f t="shared" si="116"/>
        <v>1.05</v>
      </c>
      <c r="AU215" s="68">
        <f t="shared" si="117"/>
        <v>1.05</v>
      </c>
      <c r="AV215" s="68">
        <f t="shared" si="118"/>
        <v>1.05</v>
      </c>
      <c r="AW215" s="68">
        <f t="shared" si="119"/>
        <v>1.05</v>
      </c>
      <c r="AX215" s="68">
        <f t="shared" ca="1" si="110"/>
        <v>-1.05</v>
      </c>
      <c r="AY215" s="106">
        <v>2023</v>
      </c>
      <c r="AZ215" s="106" t="s">
        <v>751</v>
      </c>
      <c r="BA215" s="106" t="str">
        <f t="shared" si="120"/>
        <v/>
      </c>
      <c r="BB215" s="177"/>
      <c r="BC215" s="177">
        <v>4</v>
      </c>
      <c r="BD215" s="177"/>
      <c r="BE215" s="177"/>
      <c r="BF215" s="177"/>
      <c r="BG215" s="177"/>
      <c r="BH215" s="177"/>
      <c r="BI215" s="33" t="s">
        <v>2376</v>
      </c>
      <c r="BK215" s="48">
        <f>$G215/5280*VLOOKUP($AC215,'Cost and Score'!$B$27:$O$40,6,0)</f>
        <v>1.9870738636363636</v>
      </c>
      <c r="BL215" s="48">
        <f>$G215/5280*VLOOKUP($AC215,'Cost and Score'!$B$27:$O$40,7,0)</f>
        <v>185.46022727272728</v>
      </c>
      <c r="BM215" s="48">
        <f>$G215/5280*VLOOKUP($AC215,'Cost and Score'!$B$27:$O$40,8,0)</f>
        <v>309.10037878787881</v>
      </c>
      <c r="BN215" s="48">
        <f>$G215/5280*VLOOKUP($AC215,'Cost and Score'!$B$27:$O$40,9,0)</f>
        <v>0</v>
      </c>
      <c r="BO215" s="48">
        <f>$G215/5280*VLOOKUP($AC215,'Cost and Score'!$B$27:$O$40,10,0)</f>
        <v>0</v>
      </c>
      <c r="BP215" s="48">
        <f>$G215/5280*VLOOKUP($AC215,'Cost and Score'!$B$27:$O$40,11,0)</f>
        <v>176.62878787878788</v>
      </c>
      <c r="BQ215" s="48">
        <f>$G215/5280*VLOOKUP($AC215,'Cost and Score'!$B$27:$O$40,12,0)</f>
        <v>1501.344696969697</v>
      </c>
      <c r="BR215" s="48">
        <f>$G215/5280*VLOOKUP($AC215,'Cost and Score'!$B$27:$O$40,13,0)</f>
        <v>0</v>
      </c>
      <c r="BS215" s="48">
        <f>$G215/5280*VLOOKUP($AC215,'Cost and Score'!$B$27:$O$40,14,0)</f>
        <v>0</v>
      </c>
      <c r="BT215" s="220">
        <f t="shared" si="121"/>
        <v>0.88314393939393943</v>
      </c>
    </row>
    <row r="216" spans="1:103" s="2" customFormat="1" hidden="1" x14ac:dyDescent="0.25">
      <c r="A216" s="15" t="s">
        <v>524</v>
      </c>
      <c r="B216" s="34" t="s">
        <v>523</v>
      </c>
      <c r="C216" s="26" t="s">
        <v>523</v>
      </c>
      <c r="D216" s="26"/>
      <c r="E216" s="26" t="s">
        <v>153</v>
      </c>
      <c r="F216" s="26" t="s">
        <v>149</v>
      </c>
      <c r="G216" s="29">
        <v>5410</v>
      </c>
      <c r="H216" s="29">
        <f t="shared" si="105"/>
        <v>20</v>
      </c>
      <c r="I216" s="26" t="s">
        <v>13</v>
      </c>
      <c r="J216" s="26" t="s">
        <v>26</v>
      </c>
      <c r="K216" s="26">
        <f t="shared" ref="K216:K247" si="128">VLOOKUP(J216,TOWNSHIPS,2,FALSE)</f>
        <v>0</v>
      </c>
      <c r="L216" s="42">
        <v>7</v>
      </c>
      <c r="M216" s="42">
        <v>9</v>
      </c>
      <c r="N216" s="42">
        <v>7</v>
      </c>
      <c r="O216" s="42">
        <v>7</v>
      </c>
      <c r="P216" s="42">
        <v>7</v>
      </c>
      <c r="Q216" s="42">
        <v>6</v>
      </c>
      <c r="R216" s="42">
        <v>6</v>
      </c>
      <c r="S216" s="42">
        <v>6</v>
      </c>
      <c r="T216" s="42">
        <v>6</v>
      </c>
      <c r="U216" s="42">
        <v>6</v>
      </c>
      <c r="V216" s="42"/>
      <c r="W216" s="42"/>
      <c r="X216" s="42"/>
      <c r="Y216" s="26">
        <v>50</v>
      </c>
      <c r="Z216" s="26">
        <f t="shared" si="106"/>
        <v>0</v>
      </c>
      <c r="AA216" s="26" t="s">
        <v>197</v>
      </c>
      <c r="AB216" s="111">
        <f t="shared" si="112"/>
        <v>3</v>
      </c>
      <c r="AC216" s="26" t="s">
        <v>2073</v>
      </c>
      <c r="AD216" s="47">
        <f t="shared" si="107"/>
        <v>32787.878787878784</v>
      </c>
      <c r="AE216" s="140">
        <v>1</v>
      </c>
      <c r="AF216" s="113">
        <f t="shared" si="122"/>
        <v>32787.878787878784</v>
      </c>
      <c r="AG216" s="26">
        <v>2023</v>
      </c>
      <c r="AH216" s="26" t="str">
        <f t="shared" si="103"/>
        <v/>
      </c>
      <c r="AI216" s="26" t="str">
        <f t="shared" si="127"/>
        <v>Chip Seal - Double and Fog</v>
      </c>
      <c r="AJ216" s="26" t="str">
        <f t="shared" si="127"/>
        <v/>
      </c>
      <c r="AK216" s="26" t="str">
        <f t="shared" si="104"/>
        <v/>
      </c>
      <c r="AL216" s="26" t="str">
        <f t="shared" si="124"/>
        <v/>
      </c>
      <c r="AM216" s="26" t="str">
        <f t="shared" si="123"/>
        <v/>
      </c>
      <c r="AN216" s="26" t="str">
        <f t="shared" si="113"/>
        <v>Chip Seal - Double and Fog</v>
      </c>
      <c r="AO216" s="26" t="str">
        <f t="shared" si="125"/>
        <v/>
      </c>
      <c r="AP216" s="26" t="str">
        <f t="shared" si="114"/>
        <v/>
      </c>
      <c r="AQ216" s="68">
        <f t="shared" si="108"/>
        <v>10</v>
      </c>
      <c r="AR216" s="68">
        <f t="shared" si="109"/>
        <v>6</v>
      </c>
      <c r="AS216" s="68">
        <f t="shared" si="115"/>
        <v>1.05</v>
      </c>
      <c r="AT216" s="68">
        <f t="shared" si="116"/>
        <v>1</v>
      </c>
      <c r="AU216" s="68">
        <f t="shared" si="117"/>
        <v>1.05</v>
      </c>
      <c r="AV216" s="68">
        <f t="shared" si="118"/>
        <v>1.05</v>
      </c>
      <c r="AW216" s="68">
        <f t="shared" si="119"/>
        <v>1.05</v>
      </c>
      <c r="AX216" s="68">
        <f t="shared" ca="1" si="110"/>
        <v>-1.05</v>
      </c>
      <c r="AY216" s="106">
        <v>2023</v>
      </c>
      <c r="AZ216" s="106" t="s">
        <v>2073</v>
      </c>
      <c r="BA216" s="106" t="str">
        <f t="shared" si="120"/>
        <v/>
      </c>
      <c r="BB216" s="177"/>
      <c r="BC216" s="177">
        <v>5</v>
      </c>
      <c r="BD216" s="177"/>
      <c r="BE216" s="177"/>
      <c r="BF216" s="177"/>
      <c r="BG216" s="177"/>
      <c r="BH216" s="177"/>
      <c r="BI216" s="33"/>
      <c r="BK216" s="48">
        <f>$G216/5280*VLOOKUP($AC216,'Cost and Score'!$B$27:$O$40,6,0)</f>
        <v>0.51231060606060608</v>
      </c>
      <c r="BL216" s="48">
        <f>$G216/5280*VLOOKUP($AC216,'Cost and Score'!$B$27:$O$40,7,0)</f>
        <v>51.231060606060609</v>
      </c>
      <c r="BM216" s="48">
        <f>$G216/5280*VLOOKUP($AC216,'Cost and Score'!$B$27:$O$40,8,0)</f>
        <v>0</v>
      </c>
      <c r="BN216" s="48">
        <f>$G216/5280*VLOOKUP($AC216,'Cost and Score'!$B$27:$O$40,9,0)</f>
        <v>9733.9015151515159</v>
      </c>
      <c r="BO216" s="48">
        <f>$G216/5280*VLOOKUP($AC216,'Cost and Score'!$B$27:$O$40,10,0)</f>
        <v>1024.6212121212122</v>
      </c>
      <c r="BP216" s="48">
        <f>$G216/5280*VLOOKUP($AC216,'Cost and Score'!$B$27:$O$40,11,0)</f>
        <v>0</v>
      </c>
      <c r="BQ216" s="48">
        <f>$G216/5280*VLOOKUP($AC216,'Cost and Score'!$B$27:$O$40,12,0)</f>
        <v>204.92424242424244</v>
      </c>
      <c r="BR216" s="48">
        <f>$G216/5280*VLOOKUP($AC216,'Cost and Score'!$B$27:$O$40,13,0)</f>
        <v>184.43181818181819</v>
      </c>
      <c r="BS216" s="48">
        <f>$G216/5280*VLOOKUP($AC216,'Cost and Score'!$B$27:$O$40,14,0)</f>
        <v>245.90909090909091</v>
      </c>
      <c r="BT216" s="220">
        <f t="shared" si="121"/>
        <v>1.0246212121212122</v>
      </c>
      <c r="BX216" s="2" t="s">
        <v>2450</v>
      </c>
      <c r="BY216" s="2" t="s">
        <v>6</v>
      </c>
      <c r="BZ216" s="2">
        <v>0</v>
      </c>
      <c r="CC216" s="2">
        <v>2500</v>
      </c>
      <c r="CD216" s="2">
        <v>1.5</v>
      </c>
    </row>
    <row r="217" spans="1:103" s="2" customFormat="1" x14ac:dyDescent="0.25">
      <c r="A217" s="15" t="s">
        <v>178</v>
      </c>
      <c r="B217" s="34" t="s">
        <v>177</v>
      </c>
      <c r="C217" s="26" t="s">
        <v>177</v>
      </c>
      <c r="D217" s="82"/>
      <c r="E217" s="82" t="s">
        <v>79</v>
      </c>
      <c r="F217" s="82" t="s">
        <v>73</v>
      </c>
      <c r="G217" s="29">
        <v>3410</v>
      </c>
      <c r="H217" s="29">
        <f t="shared" si="105"/>
        <v>20</v>
      </c>
      <c r="I217" s="26" t="s">
        <v>8</v>
      </c>
      <c r="J217" s="26" t="s">
        <v>172</v>
      </c>
      <c r="K217" s="26">
        <f t="shared" si="128"/>
        <v>0</v>
      </c>
      <c r="L217" s="42">
        <v>7</v>
      </c>
      <c r="M217" s="42">
        <v>7</v>
      </c>
      <c r="N217" s="42">
        <v>7</v>
      </c>
      <c r="O217" s="83">
        <v>6</v>
      </c>
      <c r="P217" s="83">
        <v>5</v>
      </c>
      <c r="Q217" s="83">
        <v>5</v>
      </c>
      <c r="R217" s="83">
        <v>9</v>
      </c>
      <c r="S217" s="83">
        <v>8</v>
      </c>
      <c r="T217" s="83">
        <v>7</v>
      </c>
      <c r="U217" s="83">
        <v>7</v>
      </c>
      <c r="V217" s="42"/>
      <c r="W217" s="42"/>
      <c r="X217" s="42"/>
      <c r="Y217" s="26">
        <v>487</v>
      </c>
      <c r="Z217" s="26">
        <f t="shared" si="106"/>
        <v>0</v>
      </c>
      <c r="AA217" s="82" t="s">
        <v>100</v>
      </c>
      <c r="AB217" s="111">
        <f t="shared" si="112"/>
        <v>5</v>
      </c>
      <c r="AC217" s="85" t="s">
        <v>13</v>
      </c>
      <c r="AD217" s="84">
        <f t="shared" si="107"/>
        <v>13562.5</v>
      </c>
      <c r="AE217" s="140"/>
      <c r="AF217" s="113">
        <f t="shared" si="122"/>
        <v>0</v>
      </c>
      <c r="AG217" s="106">
        <v>2025</v>
      </c>
      <c r="AH217" s="26" t="str">
        <f t="shared" si="103"/>
        <v/>
      </c>
      <c r="AI217" s="26" t="str">
        <f t="shared" si="127"/>
        <v/>
      </c>
      <c r="AJ217" s="26" t="str">
        <f t="shared" si="127"/>
        <v/>
      </c>
      <c r="AK217" s="26" t="str">
        <f t="shared" si="104"/>
        <v>Chip Seal and Fog</v>
      </c>
      <c r="AL217" s="26" t="str">
        <f t="shared" si="124"/>
        <v/>
      </c>
      <c r="AM217" s="26" t="str">
        <f t="shared" si="123"/>
        <v/>
      </c>
      <c r="AN217" s="26" t="str">
        <f t="shared" si="113"/>
        <v>Chip Seal and Fog</v>
      </c>
      <c r="AO217" s="26" t="str">
        <f t="shared" si="125"/>
        <v/>
      </c>
      <c r="AP217" s="26" t="str">
        <f t="shared" si="114"/>
        <v/>
      </c>
      <c r="AQ217" s="68">
        <f t="shared" si="108"/>
        <v>8</v>
      </c>
      <c r="AR217" s="68">
        <f t="shared" si="109"/>
        <v>6</v>
      </c>
      <c r="AS217" s="68">
        <f t="shared" si="115"/>
        <v>1.05</v>
      </c>
      <c r="AT217" s="68">
        <f t="shared" si="116"/>
        <v>1.05</v>
      </c>
      <c r="AU217" s="68">
        <f t="shared" si="117"/>
        <v>1.05</v>
      </c>
      <c r="AV217" s="68">
        <f t="shared" si="118"/>
        <v>1.1000000000000001</v>
      </c>
      <c r="AW217" s="68">
        <f t="shared" si="119"/>
        <v>1.25</v>
      </c>
      <c r="AX217" s="68">
        <f t="shared" ca="1" si="110"/>
        <v>1.05</v>
      </c>
      <c r="AY217" s="106">
        <v>2019</v>
      </c>
      <c r="AZ217" s="106" t="s">
        <v>751</v>
      </c>
      <c r="BA217" s="106" t="str">
        <f t="shared" si="120"/>
        <v/>
      </c>
      <c r="BB217" s="177"/>
      <c r="BC217" s="177">
        <v>7</v>
      </c>
      <c r="BD217" s="177"/>
      <c r="BE217" s="177"/>
      <c r="BF217" s="177"/>
      <c r="BG217" s="177"/>
      <c r="BH217" s="177"/>
      <c r="BI217" s="33"/>
      <c r="BK217" s="48">
        <f>$G217/5280*VLOOKUP($AC217,'Cost and Score'!$B$27:$O$40,6,0)</f>
        <v>0.12916666666666668</v>
      </c>
      <c r="BL217" s="48">
        <f>$G217/5280*VLOOKUP($AC217,'Cost and Score'!$B$27:$O$40,7,0)</f>
        <v>14.208333333333334</v>
      </c>
      <c r="BM217" s="48">
        <f>$G217/5280*VLOOKUP($AC217,'Cost and Score'!$B$27:$O$40,8,0)</f>
        <v>0</v>
      </c>
      <c r="BN217" s="48">
        <f>$G217/5280*VLOOKUP($AC217,'Cost and Score'!$B$27:$O$40,9,0)</f>
        <v>2906.25</v>
      </c>
      <c r="BO217" s="48">
        <f>$G217/5280*VLOOKUP($AC217,'Cost and Score'!$B$27:$O$40,10,0)</f>
        <v>645.83333333333337</v>
      </c>
      <c r="BP217" s="48">
        <f>$G217/5280*VLOOKUP($AC217,'Cost and Score'!$B$27:$O$40,11,0)</f>
        <v>0</v>
      </c>
      <c r="BQ217" s="48">
        <f>$G217/5280*VLOOKUP($AC217,'Cost and Score'!$B$27:$O$40,12,0)</f>
        <v>64.583333333333343</v>
      </c>
      <c r="BR217" s="48">
        <f>$G217/5280*VLOOKUP($AC217,'Cost and Score'!$B$27:$O$40,13,0)</f>
        <v>77.5</v>
      </c>
      <c r="BS217" s="48">
        <f>$G217/5280*VLOOKUP($AC217,'Cost and Score'!$B$27:$O$40,14,0)</f>
        <v>0</v>
      </c>
      <c r="BT217" s="220">
        <f t="shared" si="121"/>
        <v>0.64583333333333337</v>
      </c>
    </row>
    <row r="218" spans="1:103" s="2" customFormat="1" hidden="1" x14ac:dyDescent="0.25">
      <c r="A218" s="15" t="s">
        <v>528</v>
      </c>
      <c r="B218" s="34" t="s">
        <v>527</v>
      </c>
      <c r="C218" s="26" t="s">
        <v>527</v>
      </c>
      <c r="D218" s="82"/>
      <c r="E218" s="82" t="s">
        <v>155</v>
      </c>
      <c r="F218" s="82" t="s">
        <v>102</v>
      </c>
      <c r="G218" s="29">
        <v>5130</v>
      </c>
      <c r="H218" s="29">
        <f t="shared" si="105"/>
        <v>20</v>
      </c>
      <c r="I218" s="26" t="s">
        <v>8</v>
      </c>
      <c r="J218" s="26" t="s">
        <v>6</v>
      </c>
      <c r="K218" s="26">
        <f t="shared" si="128"/>
        <v>0</v>
      </c>
      <c r="L218" s="42">
        <v>7</v>
      </c>
      <c r="M218" s="42">
        <v>7</v>
      </c>
      <c r="N218" s="42">
        <v>7</v>
      </c>
      <c r="O218" s="83">
        <v>7</v>
      </c>
      <c r="P218" s="83">
        <v>7</v>
      </c>
      <c r="Q218" s="83">
        <v>7</v>
      </c>
      <c r="R218" s="83">
        <v>6</v>
      </c>
      <c r="S218" s="83">
        <v>6</v>
      </c>
      <c r="T218" s="83">
        <v>6</v>
      </c>
      <c r="U218" s="83">
        <v>6</v>
      </c>
      <c r="V218" s="42">
        <v>2024</v>
      </c>
      <c r="W218" s="42"/>
      <c r="X218" s="42" t="s">
        <v>2619</v>
      </c>
      <c r="Y218" s="26">
        <v>1070</v>
      </c>
      <c r="Z218" s="26">
        <f t="shared" si="106"/>
        <v>0.5</v>
      </c>
      <c r="AA218" s="82" t="s">
        <v>104</v>
      </c>
      <c r="AB218" s="111">
        <f t="shared" si="112"/>
        <v>3.5</v>
      </c>
      <c r="AC218" s="85" t="s">
        <v>751</v>
      </c>
      <c r="AD218" s="84">
        <f t="shared" si="107"/>
        <v>106875</v>
      </c>
      <c r="AE218" s="140">
        <v>1</v>
      </c>
      <c r="AF218" s="113">
        <f t="shared" si="122"/>
        <v>106875</v>
      </c>
      <c r="AG218" s="106">
        <v>2024</v>
      </c>
      <c r="AH218" s="26" t="str">
        <f t="shared" si="103"/>
        <v/>
      </c>
      <c r="AI218" s="26" t="str">
        <f t="shared" si="127"/>
        <v/>
      </c>
      <c r="AJ218" s="26" t="str">
        <f t="shared" si="127"/>
        <v>Overlay - 2"</v>
      </c>
      <c r="AK218" s="26" t="str">
        <f t="shared" si="104"/>
        <v/>
      </c>
      <c r="AL218" s="26" t="str">
        <f t="shared" si="124"/>
        <v/>
      </c>
      <c r="AM218" s="26" t="str">
        <f t="shared" si="123"/>
        <v/>
      </c>
      <c r="AN218" s="26" t="str">
        <f t="shared" si="113"/>
        <v>Overlay - 2"</v>
      </c>
      <c r="AO218" s="26" t="str">
        <f t="shared" si="125"/>
        <v/>
      </c>
      <c r="AP218" s="26" t="str">
        <f t="shared" si="114"/>
        <v/>
      </c>
      <c r="AQ218" s="68">
        <f t="shared" si="108"/>
        <v>10</v>
      </c>
      <c r="AR218" s="68">
        <f t="shared" si="109"/>
        <v>12</v>
      </c>
      <c r="AS218" s="68">
        <f t="shared" si="115"/>
        <v>1.05</v>
      </c>
      <c r="AT218" s="68">
        <f t="shared" si="116"/>
        <v>1.05</v>
      </c>
      <c r="AU218" s="68">
        <f t="shared" si="117"/>
        <v>1.05</v>
      </c>
      <c r="AV218" s="68">
        <f t="shared" si="118"/>
        <v>1.05</v>
      </c>
      <c r="AW218" s="68">
        <f t="shared" si="119"/>
        <v>1.05</v>
      </c>
      <c r="AX218" s="68">
        <f t="shared" ca="1" si="110"/>
        <v>0</v>
      </c>
      <c r="AY218" s="106">
        <v>2017</v>
      </c>
      <c r="AZ218" s="106" t="s">
        <v>2075</v>
      </c>
      <c r="BA218" s="106" t="str">
        <f t="shared" si="120"/>
        <v/>
      </c>
      <c r="BB218" s="177"/>
      <c r="BC218" s="177">
        <v>8</v>
      </c>
      <c r="BD218" s="177"/>
      <c r="BE218" s="177"/>
      <c r="BF218" s="177"/>
      <c r="BG218" s="177"/>
      <c r="BH218" s="177"/>
      <c r="BI218" s="33"/>
      <c r="BK218" s="48">
        <f>$G218/5280*VLOOKUP($AC218,'Cost and Score'!$B$27:$O$40,6,0)</f>
        <v>2.1860795454545454</v>
      </c>
      <c r="BL218" s="48">
        <f>$G218/5280*VLOOKUP($AC218,'Cost and Score'!$B$27:$O$40,7,0)</f>
        <v>204.03409090909091</v>
      </c>
      <c r="BM218" s="48">
        <f>$G218/5280*VLOOKUP($AC218,'Cost and Score'!$B$27:$O$40,8,0)</f>
        <v>340.05681818181819</v>
      </c>
      <c r="BN218" s="48">
        <f>$G218/5280*VLOOKUP($AC218,'Cost and Score'!$B$27:$O$40,9,0)</f>
        <v>0</v>
      </c>
      <c r="BO218" s="48">
        <f>$G218/5280*VLOOKUP($AC218,'Cost and Score'!$B$27:$O$40,10,0)</f>
        <v>0</v>
      </c>
      <c r="BP218" s="48">
        <f>$G218/5280*VLOOKUP($AC218,'Cost and Score'!$B$27:$O$40,11,0)</f>
        <v>194.31818181818181</v>
      </c>
      <c r="BQ218" s="48">
        <f>$G218/5280*VLOOKUP($AC218,'Cost and Score'!$B$27:$O$40,12,0)</f>
        <v>1651.7045454545455</v>
      </c>
      <c r="BR218" s="48">
        <f>$G218/5280*VLOOKUP($AC218,'Cost and Score'!$B$27:$O$40,13,0)</f>
        <v>0</v>
      </c>
      <c r="BS218" s="48">
        <f>$G218/5280*VLOOKUP($AC218,'Cost and Score'!$B$27:$O$40,14,0)</f>
        <v>0</v>
      </c>
      <c r="BT218" s="220">
        <f t="shared" si="121"/>
        <v>0.97159090909090906</v>
      </c>
    </row>
    <row r="219" spans="1:103" s="112" customFormat="1" hidden="1" x14ac:dyDescent="0.25">
      <c r="A219" s="15" t="s">
        <v>530</v>
      </c>
      <c r="B219" s="108" t="s">
        <v>529</v>
      </c>
      <c r="C219" s="106" t="s">
        <v>529</v>
      </c>
      <c r="D219" s="106"/>
      <c r="E219" s="106" t="s">
        <v>117</v>
      </c>
      <c r="F219" s="106" t="s">
        <v>55</v>
      </c>
      <c r="G219" s="109">
        <v>1325</v>
      </c>
      <c r="H219" s="109">
        <f t="shared" si="105"/>
        <v>20</v>
      </c>
      <c r="I219" s="106" t="s">
        <v>8</v>
      </c>
      <c r="J219" s="106" t="s">
        <v>6</v>
      </c>
      <c r="K219" s="106">
        <f t="shared" si="128"/>
        <v>0</v>
      </c>
      <c r="L219" s="110">
        <v>7</v>
      </c>
      <c r="M219" s="110">
        <v>7</v>
      </c>
      <c r="N219" s="110">
        <v>7</v>
      </c>
      <c r="O219" s="110">
        <v>7</v>
      </c>
      <c r="P219" s="110">
        <v>7</v>
      </c>
      <c r="Q219" s="110">
        <v>6</v>
      </c>
      <c r="R219" s="110">
        <v>6</v>
      </c>
      <c r="S219" s="110">
        <v>6</v>
      </c>
      <c r="T219" s="110">
        <v>6</v>
      </c>
      <c r="U219" s="110">
        <v>7</v>
      </c>
      <c r="V219" s="110">
        <v>2024</v>
      </c>
      <c r="W219" s="110"/>
      <c r="X219" s="110" t="s">
        <v>2619</v>
      </c>
      <c r="Y219" s="106">
        <v>877</v>
      </c>
      <c r="Z219" s="106">
        <f t="shared" si="106"/>
        <v>0.5</v>
      </c>
      <c r="AA219" s="106" t="s">
        <v>104</v>
      </c>
      <c r="AB219" s="111">
        <f t="shared" si="112"/>
        <v>3.5</v>
      </c>
      <c r="AC219" s="85" t="s">
        <v>751</v>
      </c>
      <c r="AD219" s="107">
        <f t="shared" si="107"/>
        <v>27604.166666666668</v>
      </c>
      <c r="AE219" s="198">
        <v>1</v>
      </c>
      <c r="AF219" s="113">
        <f t="shared" si="122"/>
        <v>27604.166666666668</v>
      </c>
      <c r="AG219" s="26">
        <v>2024</v>
      </c>
      <c r="AH219" s="26" t="str">
        <f t="shared" si="103"/>
        <v/>
      </c>
      <c r="AI219" s="26" t="str">
        <f t="shared" si="127"/>
        <v/>
      </c>
      <c r="AJ219" s="26" t="str">
        <f t="shared" si="127"/>
        <v>Overlay - 2"</v>
      </c>
      <c r="AK219" s="26" t="str">
        <f t="shared" si="104"/>
        <v/>
      </c>
      <c r="AL219" s="26" t="str">
        <f t="shared" si="124"/>
        <v/>
      </c>
      <c r="AM219" s="26" t="str">
        <f t="shared" si="123"/>
        <v/>
      </c>
      <c r="AN219" s="26" t="str">
        <f t="shared" si="113"/>
        <v>Overlay - 2"</v>
      </c>
      <c r="AO219" s="26" t="str">
        <f t="shared" si="125"/>
        <v>Chip Seal and Fog</v>
      </c>
      <c r="AP219" s="26" t="str">
        <f t="shared" si="114"/>
        <v/>
      </c>
      <c r="AQ219" s="68">
        <f t="shared" si="108"/>
        <v>10</v>
      </c>
      <c r="AR219" s="68">
        <f t="shared" si="109"/>
        <v>12</v>
      </c>
      <c r="AS219" s="68">
        <f t="shared" si="115"/>
        <v>1.05</v>
      </c>
      <c r="AT219" s="68">
        <f t="shared" si="116"/>
        <v>1.05</v>
      </c>
      <c r="AU219" s="68">
        <f t="shared" si="117"/>
        <v>1.05</v>
      </c>
      <c r="AV219" s="68">
        <f t="shared" si="118"/>
        <v>1.05</v>
      </c>
      <c r="AW219" s="68">
        <f t="shared" si="119"/>
        <v>1.05</v>
      </c>
      <c r="AX219" s="68">
        <f t="shared" ca="1" si="110"/>
        <v>0</v>
      </c>
      <c r="AY219" s="106">
        <v>2021</v>
      </c>
      <c r="AZ219" s="106" t="s">
        <v>13</v>
      </c>
      <c r="BA219" s="106" t="str">
        <f t="shared" si="120"/>
        <v/>
      </c>
      <c r="BB219" s="177"/>
      <c r="BC219" s="177">
        <v>8</v>
      </c>
      <c r="BD219" s="177"/>
      <c r="BE219" s="177"/>
      <c r="BF219" s="177"/>
      <c r="BG219" s="177"/>
      <c r="BH219" s="177"/>
      <c r="BI219" s="33"/>
      <c r="BJ219" s="2"/>
      <c r="BK219" s="48">
        <f>$G219/5280*VLOOKUP($AC219,'Cost and Score'!$B$27:$O$40,6,0)</f>
        <v>0.56463068181818188</v>
      </c>
      <c r="BL219" s="48">
        <f>$G219/5280*VLOOKUP($AC219,'Cost and Score'!$B$27:$O$40,7,0)</f>
        <v>52.69886363636364</v>
      </c>
      <c r="BM219" s="48">
        <f>$G219/5280*VLOOKUP($AC219,'Cost and Score'!$B$27:$O$40,8,0)</f>
        <v>87.831439393939405</v>
      </c>
      <c r="BN219" s="48">
        <f>$G219/5280*VLOOKUP($AC219,'Cost and Score'!$B$27:$O$40,9,0)</f>
        <v>0</v>
      </c>
      <c r="BO219" s="48">
        <f>$G219/5280*VLOOKUP($AC219,'Cost and Score'!$B$27:$O$40,10,0)</f>
        <v>0</v>
      </c>
      <c r="BP219" s="48">
        <f>$G219/5280*VLOOKUP($AC219,'Cost and Score'!$B$27:$O$40,11,0)</f>
        <v>50.189393939393945</v>
      </c>
      <c r="BQ219" s="48">
        <f>$G219/5280*VLOOKUP($AC219,'Cost and Score'!$B$27:$O$40,12,0)</f>
        <v>426.60984848484856</v>
      </c>
      <c r="BR219" s="48">
        <f>$G219/5280*VLOOKUP($AC219,'Cost and Score'!$B$27:$O$40,13,0)</f>
        <v>0</v>
      </c>
      <c r="BS219" s="48">
        <f>$G219/5280*VLOOKUP($AC219,'Cost and Score'!$B$27:$O$40,14,0)</f>
        <v>0</v>
      </c>
      <c r="BT219" s="220">
        <f t="shared" si="121"/>
        <v>0.25094696969696972</v>
      </c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</row>
    <row r="220" spans="1:103" s="112" customFormat="1" hidden="1" x14ac:dyDescent="0.25">
      <c r="A220" s="15" t="s">
        <v>532</v>
      </c>
      <c r="B220" s="108" t="s">
        <v>531</v>
      </c>
      <c r="C220" s="106" t="s">
        <v>531</v>
      </c>
      <c r="D220" s="106"/>
      <c r="E220" s="106" t="s">
        <v>121</v>
      </c>
      <c r="F220" s="106" t="s">
        <v>117</v>
      </c>
      <c r="G220" s="109">
        <v>2685</v>
      </c>
      <c r="H220" s="109">
        <f t="shared" si="105"/>
        <v>20</v>
      </c>
      <c r="I220" s="106" t="s">
        <v>8</v>
      </c>
      <c r="J220" s="106" t="s">
        <v>6</v>
      </c>
      <c r="K220" s="106">
        <f t="shared" si="128"/>
        <v>0</v>
      </c>
      <c r="L220" s="110">
        <v>7</v>
      </c>
      <c r="M220" s="110">
        <v>7</v>
      </c>
      <c r="N220" s="110">
        <v>7</v>
      </c>
      <c r="O220" s="110">
        <v>7</v>
      </c>
      <c r="P220" s="110">
        <v>7</v>
      </c>
      <c r="Q220" s="110">
        <v>7</v>
      </c>
      <c r="R220" s="110">
        <v>6</v>
      </c>
      <c r="S220" s="110">
        <v>6</v>
      </c>
      <c r="T220" s="110">
        <v>7</v>
      </c>
      <c r="U220" s="110">
        <v>7</v>
      </c>
      <c r="V220" s="110">
        <v>2024</v>
      </c>
      <c r="W220" s="110"/>
      <c r="X220" s="110" t="s">
        <v>2619</v>
      </c>
      <c r="Y220" s="106">
        <v>1205</v>
      </c>
      <c r="Z220" s="106">
        <f t="shared" si="106"/>
        <v>0.5</v>
      </c>
      <c r="AA220" s="106" t="s">
        <v>104</v>
      </c>
      <c r="AB220" s="111">
        <f t="shared" si="112"/>
        <v>3.5</v>
      </c>
      <c r="AC220" s="82" t="s">
        <v>2072</v>
      </c>
      <c r="AD220" s="107">
        <f t="shared" si="107"/>
        <v>23392.045454545456</v>
      </c>
      <c r="AE220" s="198"/>
      <c r="AF220" s="113">
        <f t="shared" si="122"/>
        <v>0</v>
      </c>
      <c r="AG220" s="26">
        <v>2027</v>
      </c>
      <c r="AH220" s="26" t="str">
        <f t="shared" si="103"/>
        <v/>
      </c>
      <c r="AI220" s="26" t="str">
        <f t="shared" si="127"/>
        <v/>
      </c>
      <c r="AJ220" s="26" t="str">
        <f t="shared" si="127"/>
        <v/>
      </c>
      <c r="AK220" s="26" t="str">
        <f t="shared" si="104"/>
        <v/>
      </c>
      <c r="AL220" s="26" t="str">
        <f t="shared" si="124"/>
        <v/>
      </c>
      <c r="AM220" s="26" t="str">
        <f t="shared" si="123"/>
        <v>Chip Seal - Triple</v>
      </c>
      <c r="AN220" s="26" t="str">
        <f t="shared" si="113"/>
        <v>Chip Seal - Triple</v>
      </c>
      <c r="AO220" s="26" t="str">
        <f t="shared" si="125"/>
        <v/>
      </c>
      <c r="AP220" s="26" t="str">
        <f t="shared" si="114"/>
        <v/>
      </c>
      <c r="AQ220" s="68">
        <f t="shared" si="108"/>
        <v>10</v>
      </c>
      <c r="AR220" s="68">
        <f t="shared" si="109"/>
        <v>8</v>
      </c>
      <c r="AS220" s="68">
        <f t="shared" si="115"/>
        <v>1.05</v>
      </c>
      <c r="AT220" s="68">
        <f t="shared" si="116"/>
        <v>1.05</v>
      </c>
      <c r="AU220" s="68">
        <f t="shared" si="117"/>
        <v>1.05</v>
      </c>
      <c r="AV220" s="68">
        <f t="shared" si="118"/>
        <v>1.05</v>
      </c>
      <c r="AW220" s="68">
        <f t="shared" si="119"/>
        <v>1.05</v>
      </c>
      <c r="AX220" s="68">
        <f t="shared" ca="1" si="110"/>
        <v>3.1500000000000004</v>
      </c>
      <c r="AY220" s="106">
        <v>2017</v>
      </c>
      <c r="AZ220" s="106" t="s">
        <v>2075</v>
      </c>
      <c r="BA220" s="106" t="str">
        <f t="shared" si="120"/>
        <v/>
      </c>
      <c r="BB220" s="177"/>
      <c r="BC220" s="177">
        <v>8</v>
      </c>
      <c r="BD220" s="177"/>
      <c r="BE220" s="177"/>
      <c r="BF220" s="177"/>
      <c r="BG220" s="177"/>
      <c r="BH220" s="177"/>
      <c r="BI220" s="33"/>
      <c r="BJ220" s="2"/>
      <c r="BK220" s="48">
        <f>$G220/5280*VLOOKUP($AC220,'Cost and Score'!$B$27:$O$40,6,0)</f>
        <v>0.30511363636363636</v>
      </c>
      <c r="BL220" s="48">
        <f>$G220/5280*VLOOKUP($AC220,'Cost and Score'!$B$27:$O$40,7,0)</f>
        <v>63.565340909090914</v>
      </c>
      <c r="BM220" s="48">
        <f>$G220/5280*VLOOKUP($AC220,'Cost and Score'!$B$27:$O$40,8,0)</f>
        <v>101.70454545454545</v>
      </c>
      <c r="BN220" s="48">
        <f>$G220/5280*VLOOKUP($AC220,'Cost and Score'!$B$27:$O$40,9,0)</f>
        <v>1017.0454545454546</v>
      </c>
      <c r="BO220" s="48">
        <f>$G220/5280*VLOOKUP($AC220,'Cost and Score'!$B$27:$O$40,10,0)</f>
        <v>254.26136363636365</v>
      </c>
      <c r="BP220" s="48">
        <f>$G220/5280*VLOOKUP($AC220,'Cost and Score'!$B$27:$O$40,11,0)</f>
        <v>50.852272727272727</v>
      </c>
      <c r="BQ220" s="48">
        <f>$G220/5280*VLOOKUP($AC220,'Cost and Score'!$B$27:$O$40,12,0)</f>
        <v>406.81818181818181</v>
      </c>
      <c r="BR220" s="48">
        <f>$G220/5280*VLOOKUP($AC220,'Cost and Score'!$B$27:$O$40,13,0)</f>
        <v>40.681818181818187</v>
      </c>
      <c r="BS220" s="48">
        <f>$G220/5280*VLOOKUP($AC220,'Cost and Score'!$B$27:$O$40,14,0)</f>
        <v>0</v>
      </c>
      <c r="BT220" s="220">
        <f t="shared" si="121"/>
        <v>0.50852272727272729</v>
      </c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W220" s="2"/>
      <c r="CX220" s="2"/>
      <c r="CY220" s="2"/>
    </row>
    <row r="221" spans="1:103" s="2" customFormat="1" hidden="1" x14ac:dyDescent="0.25">
      <c r="A221" s="36" t="s">
        <v>534</v>
      </c>
      <c r="B221" s="34" t="s">
        <v>533</v>
      </c>
      <c r="C221" s="85" t="s">
        <v>533</v>
      </c>
      <c r="D221" s="85"/>
      <c r="E221" s="85" t="s">
        <v>158</v>
      </c>
      <c r="F221" s="85" t="s">
        <v>121</v>
      </c>
      <c r="G221" s="29">
        <v>2645</v>
      </c>
      <c r="H221" s="29">
        <f t="shared" ref="H221:H252" si="129">IF(I221="NC",26,20)</f>
        <v>20</v>
      </c>
      <c r="I221" s="85" t="s">
        <v>8</v>
      </c>
      <c r="J221" s="85" t="s">
        <v>160</v>
      </c>
      <c r="K221" s="85">
        <f t="shared" si="128"/>
        <v>0</v>
      </c>
      <c r="L221" s="74">
        <v>8</v>
      </c>
      <c r="M221" s="74">
        <v>7</v>
      </c>
      <c r="N221" s="74">
        <v>7</v>
      </c>
      <c r="O221" s="74">
        <v>7</v>
      </c>
      <c r="P221" s="74">
        <v>7</v>
      </c>
      <c r="Q221" s="74">
        <v>7</v>
      </c>
      <c r="R221" s="74">
        <v>7</v>
      </c>
      <c r="S221" s="74">
        <v>7</v>
      </c>
      <c r="T221" s="74">
        <v>6</v>
      </c>
      <c r="U221" s="74">
        <v>7</v>
      </c>
      <c r="V221" s="74">
        <v>2024</v>
      </c>
      <c r="W221" s="74"/>
      <c r="X221" s="74" t="s">
        <v>2619</v>
      </c>
      <c r="Y221" s="85">
        <v>1320</v>
      </c>
      <c r="Z221" s="85">
        <f t="shared" ref="Z221:Z252" si="130">VLOOKUP(Y221,AADT,2)</f>
        <v>0.5</v>
      </c>
      <c r="AA221" s="85" t="s">
        <v>104</v>
      </c>
      <c r="AB221" s="111">
        <f t="shared" si="112"/>
        <v>3.5</v>
      </c>
      <c r="AC221" s="85" t="s">
        <v>2073</v>
      </c>
      <c r="AD221" s="47">
        <f t="shared" si="107"/>
        <v>16030.30303030303</v>
      </c>
      <c r="AE221" s="140"/>
      <c r="AF221" s="113">
        <f t="shared" si="122"/>
        <v>0</v>
      </c>
      <c r="AG221" s="26">
        <v>2027</v>
      </c>
      <c r="AH221" s="26" t="str">
        <f t="shared" si="103"/>
        <v/>
      </c>
      <c r="AI221" s="26" t="str">
        <f t="shared" si="127"/>
        <v/>
      </c>
      <c r="AJ221" s="26" t="str">
        <f t="shared" si="127"/>
        <v/>
      </c>
      <c r="AK221" s="26" t="str">
        <f t="shared" si="104"/>
        <v/>
      </c>
      <c r="AL221" s="26" t="str">
        <f t="shared" si="124"/>
        <v/>
      </c>
      <c r="AM221" s="26" t="str">
        <f t="shared" si="123"/>
        <v>Chip Seal - Double and Fog</v>
      </c>
      <c r="AN221" s="26" t="str">
        <f t="shared" si="113"/>
        <v>Chip Seal - Double and Fog</v>
      </c>
      <c r="AO221" s="26" t="str">
        <f t="shared" si="125"/>
        <v>Crack Seal</v>
      </c>
      <c r="AP221" s="26" t="str">
        <f t="shared" si="114"/>
        <v/>
      </c>
      <c r="AQ221" s="68">
        <f t="shared" si="108"/>
        <v>10</v>
      </c>
      <c r="AR221" s="68">
        <f t="shared" si="109"/>
        <v>6</v>
      </c>
      <c r="AS221" s="68">
        <f t="shared" si="115"/>
        <v>1</v>
      </c>
      <c r="AT221" s="68">
        <f t="shared" si="116"/>
        <v>1.05</v>
      </c>
      <c r="AU221" s="68">
        <f t="shared" si="117"/>
        <v>1.05</v>
      </c>
      <c r="AV221" s="68">
        <f t="shared" si="118"/>
        <v>1.05</v>
      </c>
      <c r="AW221" s="68">
        <f t="shared" si="119"/>
        <v>1.05</v>
      </c>
      <c r="AX221" s="68">
        <f t="shared" ca="1" si="110"/>
        <v>3.1500000000000004</v>
      </c>
      <c r="AY221" s="106">
        <v>2021</v>
      </c>
      <c r="AZ221" s="106" t="s">
        <v>2075</v>
      </c>
      <c r="BA221" s="106" t="str">
        <f t="shared" si="120"/>
        <v/>
      </c>
      <c r="BB221" s="177"/>
      <c r="BC221" s="177">
        <v>8</v>
      </c>
      <c r="BD221" s="177"/>
      <c r="BE221" s="177"/>
      <c r="BF221" s="177"/>
      <c r="BG221" s="177"/>
      <c r="BH221" s="177"/>
      <c r="BI221" s="33"/>
      <c r="BK221" s="48">
        <f>$G221/5280*VLOOKUP($AC221,'Cost and Score'!$B$27:$O$40,6,0)</f>
        <v>0.25047348484848486</v>
      </c>
      <c r="BL221" s="48">
        <f>$G221/5280*VLOOKUP($AC221,'Cost and Score'!$B$27:$O$40,7,0)</f>
        <v>25.047348484848484</v>
      </c>
      <c r="BM221" s="48">
        <f>$G221/5280*VLOOKUP($AC221,'Cost and Score'!$B$27:$O$40,8,0)</f>
        <v>0</v>
      </c>
      <c r="BN221" s="48">
        <f>$G221/5280*VLOOKUP($AC221,'Cost and Score'!$B$27:$O$40,9,0)</f>
        <v>4758.996212121212</v>
      </c>
      <c r="BO221" s="48">
        <f>$G221/5280*VLOOKUP($AC221,'Cost and Score'!$B$27:$O$40,10,0)</f>
        <v>500.94696969696975</v>
      </c>
      <c r="BP221" s="48">
        <f>$G221/5280*VLOOKUP($AC221,'Cost and Score'!$B$27:$O$40,11,0)</f>
        <v>0</v>
      </c>
      <c r="BQ221" s="48">
        <f>$G221/5280*VLOOKUP($AC221,'Cost and Score'!$B$27:$O$40,12,0)</f>
        <v>100.18939393939394</v>
      </c>
      <c r="BR221" s="48">
        <f>$G221/5280*VLOOKUP($AC221,'Cost and Score'!$B$27:$O$40,13,0)</f>
        <v>90.170454545454547</v>
      </c>
      <c r="BS221" s="48">
        <f>$G221/5280*VLOOKUP($AC221,'Cost and Score'!$B$27:$O$40,14,0)</f>
        <v>120.22727272727273</v>
      </c>
      <c r="BT221" s="220">
        <f t="shared" si="121"/>
        <v>0.50094696969696972</v>
      </c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</row>
    <row r="222" spans="1:103" s="2" customFormat="1" hidden="1" x14ac:dyDescent="0.25">
      <c r="A222" s="36" t="s">
        <v>536</v>
      </c>
      <c r="B222" s="34" t="s">
        <v>535</v>
      </c>
      <c r="C222" s="85" t="s">
        <v>535</v>
      </c>
      <c r="D222" s="85"/>
      <c r="E222" s="85" t="s">
        <v>124</v>
      </c>
      <c r="F222" s="85" t="s">
        <v>158</v>
      </c>
      <c r="G222" s="29">
        <v>2645</v>
      </c>
      <c r="H222" s="29">
        <f t="shared" si="129"/>
        <v>20</v>
      </c>
      <c r="I222" s="85" t="s">
        <v>8</v>
      </c>
      <c r="J222" s="85" t="s">
        <v>160</v>
      </c>
      <c r="K222" s="85">
        <f t="shared" si="128"/>
        <v>0</v>
      </c>
      <c r="L222" s="74">
        <v>8</v>
      </c>
      <c r="M222" s="74">
        <v>7</v>
      </c>
      <c r="N222" s="74">
        <v>7</v>
      </c>
      <c r="O222" s="74">
        <v>7</v>
      </c>
      <c r="P222" s="74">
        <v>7</v>
      </c>
      <c r="Q222" s="74">
        <v>7</v>
      </c>
      <c r="R222" s="74">
        <v>7</v>
      </c>
      <c r="S222" s="74">
        <v>7</v>
      </c>
      <c r="T222" s="74">
        <v>7</v>
      </c>
      <c r="U222" s="74">
        <v>7</v>
      </c>
      <c r="V222" s="74">
        <v>2024</v>
      </c>
      <c r="W222" s="74"/>
      <c r="X222" s="74" t="s">
        <v>2619</v>
      </c>
      <c r="Y222" s="85">
        <v>1389</v>
      </c>
      <c r="Z222" s="85">
        <f t="shared" si="130"/>
        <v>0.5</v>
      </c>
      <c r="AA222" s="85" t="s">
        <v>104</v>
      </c>
      <c r="AB222" s="111">
        <f t="shared" si="112"/>
        <v>3.5</v>
      </c>
      <c r="AC222" s="85" t="s">
        <v>2073</v>
      </c>
      <c r="AD222" s="47">
        <f t="shared" si="107"/>
        <v>16030.30303030303</v>
      </c>
      <c r="AE222" s="140"/>
      <c r="AF222" s="113">
        <f t="shared" si="122"/>
        <v>0</v>
      </c>
      <c r="AG222" s="26">
        <v>2027</v>
      </c>
      <c r="AH222" s="26" t="str">
        <f t="shared" si="103"/>
        <v/>
      </c>
      <c r="AI222" s="26" t="str">
        <f t="shared" si="127"/>
        <v/>
      </c>
      <c r="AJ222" s="26" t="str">
        <f t="shared" si="127"/>
        <v/>
      </c>
      <c r="AK222" s="26" t="str">
        <f t="shared" si="104"/>
        <v/>
      </c>
      <c r="AL222" s="26" t="str">
        <f t="shared" si="124"/>
        <v/>
      </c>
      <c r="AM222" s="26" t="str">
        <f t="shared" si="123"/>
        <v>Chip Seal - Double and Fog</v>
      </c>
      <c r="AN222" s="26" t="str">
        <f t="shared" si="113"/>
        <v>Chip Seal - Double and Fog</v>
      </c>
      <c r="AO222" s="26" t="str">
        <f t="shared" si="125"/>
        <v>Crack Seal</v>
      </c>
      <c r="AP222" s="26" t="str">
        <f t="shared" si="114"/>
        <v/>
      </c>
      <c r="AQ222" s="68">
        <f t="shared" si="108"/>
        <v>10</v>
      </c>
      <c r="AR222" s="68">
        <f t="shared" si="109"/>
        <v>6</v>
      </c>
      <c r="AS222" s="68">
        <f t="shared" si="115"/>
        <v>1</v>
      </c>
      <c r="AT222" s="68">
        <f t="shared" si="116"/>
        <v>1.05</v>
      </c>
      <c r="AU222" s="68">
        <f t="shared" si="117"/>
        <v>1.05</v>
      </c>
      <c r="AV222" s="68">
        <f t="shared" si="118"/>
        <v>1.05</v>
      </c>
      <c r="AW222" s="68">
        <f t="shared" si="119"/>
        <v>1.05</v>
      </c>
      <c r="AX222" s="68">
        <f t="shared" ca="1" si="110"/>
        <v>3.1500000000000004</v>
      </c>
      <c r="AY222" s="106">
        <v>2021</v>
      </c>
      <c r="AZ222" s="106" t="s">
        <v>2075</v>
      </c>
      <c r="BA222" s="106" t="str">
        <f t="shared" si="120"/>
        <v/>
      </c>
      <c r="BB222" s="177"/>
      <c r="BC222" s="177">
        <v>8</v>
      </c>
      <c r="BD222" s="177"/>
      <c r="BE222" s="177"/>
      <c r="BF222" s="177"/>
      <c r="BG222" s="177"/>
      <c r="BH222" s="177"/>
      <c r="BI222" s="33"/>
      <c r="BK222" s="48">
        <f>$G222/5280*VLOOKUP($AC222,'Cost and Score'!$B$27:$O$40,6,0)</f>
        <v>0.25047348484848486</v>
      </c>
      <c r="BL222" s="48">
        <f>$G222/5280*VLOOKUP($AC222,'Cost and Score'!$B$27:$O$40,7,0)</f>
        <v>25.047348484848484</v>
      </c>
      <c r="BM222" s="48">
        <f>$G222/5280*VLOOKUP($AC222,'Cost and Score'!$B$27:$O$40,8,0)</f>
        <v>0</v>
      </c>
      <c r="BN222" s="48">
        <f>$G222/5280*VLOOKUP($AC222,'Cost and Score'!$B$27:$O$40,9,0)</f>
        <v>4758.996212121212</v>
      </c>
      <c r="BO222" s="48">
        <f>$G222/5280*VLOOKUP($AC222,'Cost and Score'!$B$27:$O$40,10,0)</f>
        <v>500.94696969696975</v>
      </c>
      <c r="BP222" s="48">
        <f>$G222/5280*VLOOKUP($AC222,'Cost and Score'!$B$27:$O$40,11,0)</f>
        <v>0</v>
      </c>
      <c r="BQ222" s="48">
        <f>$G222/5280*VLOOKUP($AC222,'Cost and Score'!$B$27:$O$40,12,0)</f>
        <v>100.18939393939394</v>
      </c>
      <c r="BR222" s="48">
        <f>$G222/5280*VLOOKUP($AC222,'Cost and Score'!$B$27:$O$40,13,0)</f>
        <v>90.170454545454547</v>
      </c>
      <c r="BS222" s="48">
        <f>$G222/5280*VLOOKUP($AC222,'Cost and Score'!$B$27:$O$40,14,0)</f>
        <v>120.22727272727273</v>
      </c>
      <c r="BT222" s="220">
        <f t="shared" si="121"/>
        <v>0.50094696969696972</v>
      </c>
    </row>
    <row r="223" spans="1:103" s="2" customFormat="1" x14ac:dyDescent="0.25">
      <c r="A223" s="16" t="s">
        <v>61</v>
      </c>
      <c r="B223" s="34" t="s">
        <v>58</v>
      </c>
      <c r="C223" s="26" t="s">
        <v>58</v>
      </c>
      <c r="D223" s="82"/>
      <c r="E223" s="82" t="s">
        <v>59</v>
      </c>
      <c r="F223" s="82" t="s">
        <v>60</v>
      </c>
      <c r="G223" s="29">
        <v>6697</v>
      </c>
      <c r="H223" s="29">
        <f t="shared" si="129"/>
        <v>20</v>
      </c>
      <c r="I223" s="26" t="s">
        <v>8</v>
      </c>
      <c r="J223" s="26" t="s">
        <v>62</v>
      </c>
      <c r="K223" s="26">
        <f t="shared" si="128"/>
        <v>0</v>
      </c>
      <c r="L223" s="42">
        <v>7</v>
      </c>
      <c r="M223" s="42">
        <v>7</v>
      </c>
      <c r="N223" s="42">
        <v>7</v>
      </c>
      <c r="O223" s="83">
        <v>7</v>
      </c>
      <c r="P223" s="83">
        <v>7</v>
      </c>
      <c r="Q223" s="83">
        <v>7</v>
      </c>
      <c r="R223" s="83">
        <v>7</v>
      </c>
      <c r="S223" s="83">
        <v>7</v>
      </c>
      <c r="T223" s="83">
        <v>7</v>
      </c>
      <c r="U223" s="83">
        <v>6</v>
      </c>
      <c r="V223" s="42">
        <v>2023</v>
      </c>
      <c r="W223" s="42">
        <v>2023</v>
      </c>
      <c r="X223" s="42" t="s">
        <v>2612</v>
      </c>
      <c r="Y223" s="26">
        <v>464</v>
      </c>
      <c r="Z223" s="26">
        <f t="shared" si="130"/>
        <v>0</v>
      </c>
      <c r="AA223" s="82" t="s">
        <v>20</v>
      </c>
      <c r="AB223" s="111">
        <f t="shared" si="112"/>
        <v>3</v>
      </c>
      <c r="AC223" s="85" t="s">
        <v>13</v>
      </c>
      <c r="AD223" s="84">
        <f t="shared" si="107"/>
        <v>26635.795454545456</v>
      </c>
      <c r="AE223" s="140"/>
      <c r="AF223" s="113">
        <f t="shared" si="122"/>
        <v>0</v>
      </c>
      <c r="AG223" s="106">
        <v>2025</v>
      </c>
      <c r="AH223" s="26" t="str">
        <f t="shared" si="103"/>
        <v/>
      </c>
      <c r="AI223" s="26" t="str">
        <f t="shared" si="127"/>
        <v/>
      </c>
      <c r="AJ223" s="26" t="str">
        <f t="shared" si="127"/>
        <v/>
      </c>
      <c r="AK223" s="26" t="str">
        <f t="shared" si="104"/>
        <v>Chip Seal and Fog</v>
      </c>
      <c r="AL223" s="26" t="str">
        <f t="shared" si="124"/>
        <v/>
      </c>
      <c r="AM223" s="26" t="str">
        <f t="shared" si="123"/>
        <v/>
      </c>
      <c r="AN223" s="26" t="str">
        <f t="shared" si="113"/>
        <v>Chip Seal and Fog</v>
      </c>
      <c r="AO223" s="26" t="str">
        <f t="shared" si="125"/>
        <v/>
      </c>
      <c r="AP223" s="26" t="str">
        <f t="shared" si="114"/>
        <v/>
      </c>
      <c r="AQ223" s="68">
        <f t="shared" si="108"/>
        <v>10</v>
      </c>
      <c r="AR223" s="68">
        <f t="shared" si="109"/>
        <v>6</v>
      </c>
      <c r="AS223" s="68">
        <f t="shared" si="115"/>
        <v>1.05</v>
      </c>
      <c r="AT223" s="68">
        <f t="shared" si="116"/>
        <v>1.05</v>
      </c>
      <c r="AU223" s="68">
        <f t="shared" si="117"/>
        <v>1.05</v>
      </c>
      <c r="AV223" s="68">
        <f t="shared" si="118"/>
        <v>1.05</v>
      </c>
      <c r="AW223" s="68">
        <f t="shared" si="119"/>
        <v>1.05</v>
      </c>
      <c r="AX223" s="68">
        <f t="shared" ca="1" si="110"/>
        <v>1.05</v>
      </c>
      <c r="AY223" s="106">
        <v>2019</v>
      </c>
      <c r="AZ223" s="106" t="s">
        <v>13</v>
      </c>
      <c r="BA223" s="106" t="str">
        <f t="shared" si="120"/>
        <v/>
      </c>
      <c r="BB223" s="177"/>
      <c r="BC223" s="177">
        <v>1</v>
      </c>
      <c r="BD223" s="177"/>
      <c r="BE223" s="177"/>
      <c r="BF223" s="177"/>
      <c r="BG223" s="177"/>
      <c r="BH223" s="177"/>
      <c r="BI223" s="33"/>
      <c r="BK223" s="48">
        <f>$G223/5280*VLOOKUP($AC223,'Cost and Score'!$B$27:$O$40,6,0)</f>
        <v>0.25367424242424241</v>
      </c>
      <c r="BL223" s="48">
        <f>$G223/5280*VLOOKUP($AC223,'Cost and Score'!$B$27:$O$40,7,0)</f>
        <v>27.904166666666665</v>
      </c>
      <c r="BM223" s="48">
        <f>$G223/5280*VLOOKUP($AC223,'Cost and Score'!$B$27:$O$40,8,0)</f>
        <v>0</v>
      </c>
      <c r="BN223" s="48">
        <f>$G223/5280*VLOOKUP($AC223,'Cost and Score'!$B$27:$O$40,9,0)</f>
        <v>5707.670454545454</v>
      </c>
      <c r="BO223" s="48">
        <f>$G223/5280*VLOOKUP($AC223,'Cost and Score'!$B$27:$O$40,10,0)</f>
        <v>1268.371212121212</v>
      </c>
      <c r="BP223" s="48">
        <f>$G223/5280*VLOOKUP($AC223,'Cost and Score'!$B$27:$O$40,11,0)</f>
        <v>0</v>
      </c>
      <c r="BQ223" s="48">
        <f>$G223/5280*VLOOKUP($AC223,'Cost and Score'!$B$27:$O$40,12,0)</f>
        <v>126.8371212121212</v>
      </c>
      <c r="BR223" s="48">
        <f>$G223/5280*VLOOKUP($AC223,'Cost and Score'!$B$27:$O$40,13,0)</f>
        <v>152.20454545454544</v>
      </c>
      <c r="BS223" s="48">
        <f>$G223/5280*VLOOKUP($AC223,'Cost and Score'!$B$27:$O$40,14,0)</f>
        <v>0</v>
      </c>
      <c r="BT223" s="220">
        <f t="shared" si="121"/>
        <v>1.2683712121212121</v>
      </c>
    </row>
    <row r="224" spans="1:103" s="2" customFormat="1" hidden="1" x14ac:dyDescent="0.25">
      <c r="A224" s="36" t="s">
        <v>540</v>
      </c>
      <c r="B224" s="34" t="s">
        <v>539</v>
      </c>
      <c r="C224" s="85" t="s">
        <v>539</v>
      </c>
      <c r="D224" s="85"/>
      <c r="E224" s="85" t="s">
        <v>162</v>
      </c>
      <c r="F224" s="85" t="s">
        <v>124</v>
      </c>
      <c r="G224" s="29">
        <v>2680</v>
      </c>
      <c r="H224" s="29">
        <f t="shared" si="129"/>
        <v>20</v>
      </c>
      <c r="I224" s="85" t="s">
        <v>8</v>
      </c>
      <c r="J224" s="85" t="s">
        <v>160</v>
      </c>
      <c r="K224" s="85">
        <f t="shared" si="128"/>
        <v>0</v>
      </c>
      <c r="L224" s="74">
        <v>8</v>
      </c>
      <c r="M224" s="74">
        <v>7</v>
      </c>
      <c r="N224" s="74">
        <v>7</v>
      </c>
      <c r="O224" s="74">
        <v>7</v>
      </c>
      <c r="P224" s="74">
        <v>7</v>
      </c>
      <c r="Q224" s="74">
        <v>7</v>
      </c>
      <c r="R224" s="74">
        <v>7</v>
      </c>
      <c r="S224" s="74">
        <v>7</v>
      </c>
      <c r="T224" s="74">
        <v>7</v>
      </c>
      <c r="U224" s="74">
        <v>7</v>
      </c>
      <c r="V224" s="74">
        <v>2024</v>
      </c>
      <c r="W224" s="74"/>
      <c r="X224" s="74" t="s">
        <v>2619</v>
      </c>
      <c r="Y224" s="85">
        <v>1427</v>
      </c>
      <c r="Z224" s="85">
        <f t="shared" si="130"/>
        <v>0.5</v>
      </c>
      <c r="AA224" s="85" t="s">
        <v>104</v>
      </c>
      <c r="AB224" s="111">
        <f t="shared" si="112"/>
        <v>3.5</v>
      </c>
      <c r="AC224" s="85" t="s">
        <v>2073</v>
      </c>
      <c r="AD224" s="47">
        <f t="shared" si="107"/>
        <v>16242.424242424242</v>
      </c>
      <c r="AE224" s="140"/>
      <c r="AF224" s="113">
        <f t="shared" si="122"/>
        <v>0</v>
      </c>
      <c r="AG224" s="26">
        <v>2027</v>
      </c>
      <c r="AH224" s="26" t="str">
        <f t="shared" si="103"/>
        <v/>
      </c>
      <c r="AI224" s="26" t="str">
        <f t="shared" si="127"/>
        <v/>
      </c>
      <c r="AJ224" s="26" t="str">
        <f t="shared" si="127"/>
        <v/>
      </c>
      <c r="AK224" s="26" t="str">
        <f t="shared" si="104"/>
        <v/>
      </c>
      <c r="AL224" s="26" t="str">
        <f t="shared" si="124"/>
        <v/>
      </c>
      <c r="AM224" s="26" t="str">
        <f t="shared" si="123"/>
        <v>Chip Seal - Double and Fog</v>
      </c>
      <c r="AN224" s="26" t="str">
        <f t="shared" si="113"/>
        <v>Chip Seal - Double and Fog</v>
      </c>
      <c r="AO224" s="26" t="str">
        <f t="shared" si="125"/>
        <v>Crack Seal</v>
      </c>
      <c r="AP224" s="26" t="str">
        <f t="shared" si="114"/>
        <v/>
      </c>
      <c r="AQ224" s="68">
        <f t="shared" si="108"/>
        <v>10</v>
      </c>
      <c r="AR224" s="68">
        <f t="shared" si="109"/>
        <v>6</v>
      </c>
      <c r="AS224" s="68">
        <f t="shared" si="115"/>
        <v>1</v>
      </c>
      <c r="AT224" s="68">
        <f t="shared" si="116"/>
        <v>1.05</v>
      </c>
      <c r="AU224" s="68">
        <f t="shared" si="117"/>
        <v>1.05</v>
      </c>
      <c r="AV224" s="68">
        <f t="shared" si="118"/>
        <v>1.05</v>
      </c>
      <c r="AW224" s="68">
        <f t="shared" si="119"/>
        <v>1.05</v>
      </c>
      <c r="AX224" s="68">
        <f t="shared" ca="1" si="110"/>
        <v>3.1500000000000004</v>
      </c>
      <c r="AY224" s="106">
        <v>2021</v>
      </c>
      <c r="AZ224" s="106" t="s">
        <v>2075</v>
      </c>
      <c r="BA224" s="106" t="str">
        <f t="shared" si="120"/>
        <v/>
      </c>
      <c r="BB224" s="177"/>
      <c r="BC224" s="177">
        <v>8</v>
      </c>
      <c r="BD224" s="177"/>
      <c r="BE224" s="177"/>
      <c r="BF224" s="177"/>
      <c r="BG224" s="177"/>
      <c r="BH224" s="177"/>
      <c r="BI224" s="33"/>
      <c r="BK224" s="48">
        <f>$G224/5280*VLOOKUP($AC224,'Cost and Score'!$B$27:$O$40,6,0)</f>
        <v>0.25378787878787878</v>
      </c>
      <c r="BL224" s="48">
        <f>$G224/5280*VLOOKUP($AC224,'Cost and Score'!$B$27:$O$40,7,0)</f>
        <v>25.378787878787879</v>
      </c>
      <c r="BM224" s="48">
        <f>$G224/5280*VLOOKUP($AC224,'Cost and Score'!$B$27:$O$40,8,0)</f>
        <v>0</v>
      </c>
      <c r="BN224" s="48">
        <f>$G224/5280*VLOOKUP($AC224,'Cost and Score'!$B$27:$O$40,9,0)</f>
        <v>4821.969696969697</v>
      </c>
      <c r="BO224" s="48">
        <f>$G224/5280*VLOOKUP($AC224,'Cost and Score'!$B$27:$O$40,10,0)</f>
        <v>507.57575757575756</v>
      </c>
      <c r="BP224" s="48">
        <f>$G224/5280*VLOOKUP($AC224,'Cost and Score'!$B$27:$O$40,11,0)</f>
        <v>0</v>
      </c>
      <c r="BQ224" s="48">
        <f>$G224/5280*VLOOKUP($AC224,'Cost and Score'!$B$27:$O$40,12,0)</f>
        <v>101.51515151515152</v>
      </c>
      <c r="BR224" s="48">
        <f>$G224/5280*VLOOKUP($AC224,'Cost and Score'!$B$27:$O$40,13,0)</f>
        <v>91.36363636363636</v>
      </c>
      <c r="BS224" s="48">
        <f>$G224/5280*VLOOKUP($AC224,'Cost and Score'!$B$27:$O$40,14,0)</f>
        <v>121.81818181818181</v>
      </c>
      <c r="BT224" s="220">
        <f t="shared" si="121"/>
        <v>0.50757575757575757</v>
      </c>
    </row>
    <row r="225" spans="1:103" s="2" customFormat="1" hidden="1" x14ac:dyDescent="0.25">
      <c r="A225" s="15" t="s">
        <v>542</v>
      </c>
      <c r="B225" s="34" t="s">
        <v>541</v>
      </c>
      <c r="C225" s="26" t="s">
        <v>541</v>
      </c>
      <c r="D225" s="82"/>
      <c r="E225" s="82" t="s">
        <v>165</v>
      </c>
      <c r="F225" s="82" t="s">
        <v>59</v>
      </c>
      <c r="G225" s="29">
        <v>1750</v>
      </c>
      <c r="H225" s="29">
        <f t="shared" si="129"/>
        <v>20</v>
      </c>
      <c r="I225" s="26" t="s">
        <v>13</v>
      </c>
      <c r="J225" s="26" t="s">
        <v>6</v>
      </c>
      <c r="K225" s="26">
        <f t="shared" si="128"/>
        <v>0</v>
      </c>
      <c r="L225" s="42">
        <v>9</v>
      </c>
      <c r="M225" s="42">
        <v>8</v>
      </c>
      <c r="N225" s="42">
        <v>8</v>
      </c>
      <c r="O225" s="83">
        <v>7</v>
      </c>
      <c r="P225" s="83">
        <v>7</v>
      </c>
      <c r="Q225" s="83">
        <v>7</v>
      </c>
      <c r="R225" s="83">
        <v>7</v>
      </c>
      <c r="S225" s="83">
        <v>7</v>
      </c>
      <c r="T225" s="83">
        <v>7</v>
      </c>
      <c r="U225" s="83">
        <v>7</v>
      </c>
      <c r="V225" s="42"/>
      <c r="W225" s="42"/>
      <c r="X225" s="42"/>
      <c r="Y225" s="26">
        <v>856</v>
      </c>
      <c r="Z225" s="26">
        <f t="shared" si="130"/>
        <v>0.5</v>
      </c>
      <c r="AA225" s="82" t="s">
        <v>104</v>
      </c>
      <c r="AB225" s="111">
        <f t="shared" si="112"/>
        <v>3.5</v>
      </c>
      <c r="AC225" s="82" t="s">
        <v>13</v>
      </c>
      <c r="AD225" s="84">
        <f t="shared" si="107"/>
        <v>6960.227272727273</v>
      </c>
      <c r="AE225" s="140"/>
      <c r="AF225" s="113">
        <f t="shared" si="122"/>
        <v>0</v>
      </c>
      <c r="AG225" s="85">
        <v>2026</v>
      </c>
      <c r="AH225" s="26" t="str">
        <f t="shared" si="103"/>
        <v/>
      </c>
      <c r="AI225" s="26" t="str">
        <f t="shared" si="127"/>
        <v/>
      </c>
      <c r="AJ225" s="26" t="str">
        <f t="shared" si="127"/>
        <v/>
      </c>
      <c r="AK225" s="26" t="str">
        <f t="shared" si="104"/>
        <v/>
      </c>
      <c r="AL225" s="26" t="str">
        <f t="shared" si="124"/>
        <v>Chip Seal and Fog</v>
      </c>
      <c r="AM225" s="26" t="str">
        <f t="shared" si="123"/>
        <v/>
      </c>
      <c r="AN225" s="26" t="str">
        <f t="shared" si="113"/>
        <v>Chip Seal and Fog</v>
      </c>
      <c r="AO225" s="26" t="str">
        <f t="shared" si="125"/>
        <v/>
      </c>
      <c r="AP225" s="26" t="str">
        <f t="shared" si="114"/>
        <v/>
      </c>
      <c r="AQ225" s="68">
        <f t="shared" si="108"/>
        <v>10</v>
      </c>
      <c r="AR225" s="68">
        <f t="shared" si="109"/>
        <v>6</v>
      </c>
      <c r="AS225" s="68">
        <f t="shared" si="115"/>
        <v>1</v>
      </c>
      <c r="AT225" s="68">
        <f t="shared" si="116"/>
        <v>1</v>
      </c>
      <c r="AU225" s="68">
        <f t="shared" si="117"/>
        <v>1</v>
      </c>
      <c r="AV225" s="68">
        <f t="shared" si="118"/>
        <v>1.05</v>
      </c>
      <c r="AW225" s="68">
        <f t="shared" si="119"/>
        <v>1.05</v>
      </c>
      <c r="AX225" s="68">
        <f t="shared" ca="1" si="110"/>
        <v>2</v>
      </c>
      <c r="AY225" s="106">
        <v>2020</v>
      </c>
      <c r="AZ225" s="106" t="s">
        <v>13</v>
      </c>
      <c r="BA225" s="106" t="str">
        <f t="shared" si="120"/>
        <v/>
      </c>
      <c r="BB225" s="177"/>
      <c r="BC225" s="177">
        <v>9</v>
      </c>
      <c r="BD225" s="177"/>
      <c r="BE225" s="177"/>
      <c r="BF225" s="177"/>
      <c r="BG225" s="177"/>
      <c r="BH225" s="177"/>
      <c r="BI225" s="33"/>
      <c r="BK225" s="48">
        <f>$G225/5280*VLOOKUP($AC225,'Cost and Score'!$B$27:$O$40,6,0)</f>
        <v>6.6287878787878785E-2</v>
      </c>
      <c r="BL225" s="48">
        <f>$G225/5280*VLOOKUP($AC225,'Cost and Score'!$B$27:$O$40,7,0)</f>
        <v>7.2916666666666661</v>
      </c>
      <c r="BM225" s="48">
        <f>$G225/5280*VLOOKUP($AC225,'Cost and Score'!$B$27:$O$40,8,0)</f>
        <v>0</v>
      </c>
      <c r="BN225" s="48">
        <f>$G225/5280*VLOOKUP($AC225,'Cost and Score'!$B$27:$O$40,9,0)</f>
        <v>1491.4772727272727</v>
      </c>
      <c r="BO225" s="48">
        <f>$G225/5280*VLOOKUP($AC225,'Cost and Score'!$B$27:$O$40,10,0)</f>
        <v>331.43939393939394</v>
      </c>
      <c r="BP225" s="48">
        <f>$G225/5280*VLOOKUP($AC225,'Cost and Score'!$B$27:$O$40,11,0)</f>
        <v>0</v>
      </c>
      <c r="BQ225" s="48">
        <f>$G225/5280*VLOOKUP($AC225,'Cost and Score'!$B$27:$O$40,12,0)</f>
        <v>33.143939393939391</v>
      </c>
      <c r="BR225" s="48">
        <f>$G225/5280*VLOOKUP($AC225,'Cost and Score'!$B$27:$O$40,13,0)</f>
        <v>39.772727272727273</v>
      </c>
      <c r="BS225" s="48">
        <f>$G225/5280*VLOOKUP($AC225,'Cost and Score'!$B$27:$O$40,14,0)</f>
        <v>0</v>
      </c>
      <c r="BT225" s="220">
        <f t="shared" si="121"/>
        <v>0.33143939393939392</v>
      </c>
    </row>
    <row r="226" spans="1:103" s="2" customFormat="1" x14ac:dyDescent="0.25">
      <c r="A226" s="15" t="s">
        <v>756</v>
      </c>
      <c r="B226" s="34" t="s">
        <v>755</v>
      </c>
      <c r="C226" s="26" t="s">
        <v>755</v>
      </c>
      <c r="D226" s="82"/>
      <c r="E226" s="82" t="s">
        <v>25</v>
      </c>
      <c r="F226" s="82" t="s">
        <v>197</v>
      </c>
      <c r="G226" s="29">
        <v>5320</v>
      </c>
      <c r="H226" s="29">
        <f t="shared" si="129"/>
        <v>20</v>
      </c>
      <c r="I226" s="26" t="s">
        <v>13</v>
      </c>
      <c r="J226" s="26" t="s">
        <v>125</v>
      </c>
      <c r="K226" s="26">
        <f t="shared" si="128"/>
        <v>0</v>
      </c>
      <c r="L226" s="42">
        <v>8</v>
      </c>
      <c r="M226" s="42">
        <v>7</v>
      </c>
      <c r="N226" s="42">
        <v>6</v>
      </c>
      <c r="O226" s="83">
        <v>5</v>
      </c>
      <c r="P226" s="83">
        <v>4</v>
      </c>
      <c r="Q226" s="83">
        <v>4</v>
      </c>
      <c r="R226" s="83">
        <v>9</v>
      </c>
      <c r="S226" s="83">
        <v>8</v>
      </c>
      <c r="T226" s="83">
        <v>8</v>
      </c>
      <c r="U226" s="83">
        <v>8</v>
      </c>
      <c r="V226" s="42"/>
      <c r="W226" s="42"/>
      <c r="X226" s="42"/>
      <c r="Y226" s="26">
        <v>445</v>
      </c>
      <c r="Z226" s="26">
        <f t="shared" si="130"/>
        <v>0</v>
      </c>
      <c r="AA226" s="82" t="s">
        <v>129</v>
      </c>
      <c r="AB226" s="111">
        <f t="shared" si="112"/>
        <v>6</v>
      </c>
      <c r="AC226" s="85" t="s">
        <v>13</v>
      </c>
      <c r="AD226" s="84">
        <f t="shared" si="107"/>
        <v>21159.090909090908</v>
      </c>
      <c r="AE226" s="140"/>
      <c r="AF226" s="113">
        <f t="shared" si="122"/>
        <v>0</v>
      </c>
      <c r="AG226" s="106">
        <v>2025</v>
      </c>
      <c r="AH226" s="26" t="str">
        <f t="shared" si="103"/>
        <v/>
      </c>
      <c r="AI226" s="26" t="str">
        <f t="shared" si="127"/>
        <v/>
      </c>
      <c r="AJ226" s="26" t="str">
        <f t="shared" si="127"/>
        <v/>
      </c>
      <c r="AK226" s="26" t="str">
        <f t="shared" si="104"/>
        <v>Chip Seal and Fog</v>
      </c>
      <c r="AL226" s="26" t="str">
        <f t="shared" si="124"/>
        <v/>
      </c>
      <c r="AM226" s="26" t="str">
        <f t="shared" si="123"/>
        <v/>
      </c>
      <c r="AN226" s="26" t="str">
        <f t="shared" si="113"/>
        <v>Chip Seal and Fog</v>
      </c>
      <c r="AO226" s="26" t="str">
        <f t="shared" si="125"/>
        <v/>
      </c>
      <c r="AP226" s="26" t="str">
        <f t="shared" si="114"/>
        <v/>
      </c>
      <c r="AQ226" s="68">
        <f t="shared" si="108"/>
        <v>6</v>
      </c>
      <c r="AR226" s="68">
        <f t="shared" si="109"/>
        <v>6</v>
      </c>
      <c r="AS226" s="68">
        <f t="shared" si="115"/>
        <v>1</v>
      </c>
      <c r="AT226" s="68">
        <f t="shared" si="116"/>
        <v>1.05</v>
      </c>
      <c r="AU226" s="68">
        <f t="shared" si="117"/>
        <v>1.1000000000000001</v>
      </c>
      <c r="AV226" s="68">
        <f t="shared" si="118"/>
        <v>1.25</v>
      </c>
      <c r="AW226" s="68">
        <f t="shared" si="119"/>
        <v>1.5</v>
      </c>
      <c r="AX226" s="68">
        <f t="shared" ca="1" si="110"/>
        <v>1.1000000000000001</v>
      </c>
      <c r="AY226" s="68">
        <v>2019</v>
      </c>
      <c r="AZ226" s="68" t="s">
        <v>751</v>
      </c>
      <c r="BA226" s="106" t="str">
        <f t="shared" si="120"/>
        <v/>
      </c>
      <c r="BB226" s="178"/>
      <c r="BC226" s="178">
        <v>2</v>
      </c>
      <c r="BD226" s="178"/>
      <c r="BE226" s="178"/>
      <c r="BF226" s="178"/>
      <c r="BG226" s="178"/>
      <c r="BH226" s="178"/>
      <c r="BI226" s="33"/>
      <c r="BK226" s="48">
        <f>$G226/5280*VLOOKUP($AC226,'Cost and Score'!$B$27:$O$40,6,0)</f>
        <v>0.20151515151515154</v>
      </c>
      <c r="BL226" s="48">
        <f>$G226/5280*VLOOKUP($AC226,'Cost and Score'!$B$27:$O$40,7,0)</f>
        <v>22.166666666666668</v>
      </c>
      <c r="BM226" s="48">
        <f>$G226/5280*VLOOKUP($AC226,'Cost and Score'!$B$27:$O$40,8,0)</f>
        <v>0</v>
      </c>
      <c r="BN226" s="48">
        <f>$G226/5280*VLOOKUP($AC226,'Cost and Score'!$B$27:$O$40,9,0)</f>
        <v>4534.090909090909</v>
      </c>
      <c r="BO226" s="48">
        <f>$G226/5280*VLOOKUP($AC226,'Cost and Score'!$B$27:$O$40,10,0)</f>
        <v>1007.5757575757576</v>
      </c>
      <c r="BP226" s="48">
        <f>$G226/5280*VLOOKUP($AC226,'Cost and Score'!$B$27:$O$40,11,0)</f>
        <v>0</v>
      </c>
      <c r="BQ226" s="48">
        <f>$G226/5280*VLOOKUP($AC226,'Cost and Score'!$B$27:$O$40,12,0)</f>
        <v>100.75757575757575</v>
      </c>
      <c r="BR226" s="48">
        <f>$G226/5280*VLOOKUP($AC226,'Cost and Score'!$B$27:$O$40,13,0)</f>
        <v>120.90909090909091</v>
      </c>
      <c r="BS226" s="48">
        <f>$G226/5280*VLOOKUP($AC226,'Cost and Score'!$B$27:$O$40,14,0)</f>
        <v>0</v>
      </c>
      <c r="BT226" s="220">
        <f t="shared" si="121"/>
        <v>1.0075757575757576</v>
      </c>
    </row>
    <row r="227" spans="1:103" s="2" customFormat="1" x14ac:dyDescent="0.25">
      <c r="A227" s="15" t="s">
        <v>2144</v>
      </c>
      <c r="B227" s="34" t="s">
        <v>890</v>
      </c>
      <c r="C227" s="26" t="s">
        <v>890</v>
      </c>
      <c r="D227" s="82"/>
      <c r="E227" s="82" t="s">
        <v>67</v>
      </c>
      <c r="F227" s="82" t="s">
        <v>155</v>
      </c>
      <c r="G227" s="29">
        <v>2675</v>
      </c>
      <c r="H227" s="29">
        <f t="shared" si="129"/>
        <v>20</v>
      </c>
      <c r="I227" s="26" t="s">
        <v>8</v>
      </c>
      <c r="J227" s="26" t="s">
        <v>6</v>
      </c>
      <c r="K227" s="26">
        <f t="shared" si="128"/>
        <v>0</v>
      </c>
      <c r="L227" s="42">
        <v>7</v>
      </c>
      <c r="M227" s="42">
        <v>6</v>
      </c>
      <c r="N227" s="42">
        <v>5</v>
      </c>
      <c r="O227" s="83">
        <v>5</v>
      </c>
      <c r="P227" s="83">
        <v>5</v>
      </c>
      <c r="Q227" s="83">
        <v>5</v>
      </c>
      <c r="R227" s="83">
        <v>8</v>
      </c>
      <c r="S227" s="83">
        <v>8</v>
      </c>
      <c r="T227" s="83">
        <v>7</v>
      </c>
      <c r="U227" s="83">
        <v>7</v>
      </c>
      <c r="V227" s="42"/>
      <c r="W227" s="42"/>
      <c r="X227" s="42"/>
      <c r="Y227" s="26">
        <v>407</v>
      </c>
      <c r="Z227" s="26">
        <f t="shared" si="130"/>
        <v>0</v>
      </c>
      <c r="AA227" s="82" t="s">
        <v>110</v>
      </c>
      <c r="AB227" s="111">
        <f t="shared" si="112"/>
        <v>5</v>
      </c>
      <c r="AC227" s="85" t="s">
        <v>13</v>
      </c>
      <c r="AD227" s="84">
        <f t="shared" si="107"/>
        <v>10639.204545454546</v>
      </c>
      <c r="AE227" s="140"/>
      <c r="AF227" s="113">
        <f t="shared" ref="AF227:AF258" si="131">AD227*AE227</f>
        <v>0</v>
      </c>
      <c r="AG227" s="106">
        <v>2025</v>
      </c>
      <c r="AH227" s="26" t="str">
        <f t="shared" si="103"/>
        <v/>
      </c>
      <c r="AI227" s="26" t="str">
        <f t="shared" si="127"/>
        <v/>
      </c>
      <c r="AJ227" s="26" t="str">
        <f t="shared" si="127"/>
        <v/>
      </c>
      <c r="AK227" s="26" t="str">
        <f t="shared" si="104"/>
        <v>Chip Seal and Fog</v>
      </c>
      <c r="AL227" s="26" t="str">
        <f t="shared" si="124"/>
        <v/>
      </c>
      <c r="AM227" s="26" t="str">
        <f t="shared" si="123"/>
        <v/>
      </c>
      <c r="AN227" s="26" t="str">
        <f t="shared" si="113"/>
        <v>Chip Seal and Fog</v>
      </c>
      <c r="AO227" s="26" t="str">
        <f t="shared" si="125"/>
        <v/>
      </c>
      <c r="AP227" s="26" t="str">
        <f t="shared" si="114"/>
        <v/>
      </c>
      <c r="AQ227" s="68">
        <f t="shared" si="108"/>
        <v>6</v>
      </c>
      <c r="AR227" s="68">
        <f t="shared" si="109"/>
        <v>6</v>
      </c>
      <c r="AS227" s="68">
        <f t="shared" si="115"/>
        <v>1.05</v>
      </c>
      <c r="AT227" s="68">
        <f t="shared" si="116"/>
        <v>1.1000000000000001</v>
      </c>
      <c r="AU227" s="68">
        <f t="shared" si="117"/>
        <v>1.25</v>
      </c>
      <c r="AV227" s="68">
        <f t="shared" si="118"/>
        <v>1.25</v>
      </c>
      <c r="AW227" s="68">
        <f t="shared" si="119"/>
        <v>1.25</v>
      </c>
      <c r="AX227" s="68">
        <f t="shared" ca="1" si="110"/>
        <v>1.25</v>
      </c>
      <c r="AY227" s="68">
        <v>2019</v>
      </c>
      <c r="AZ227" s="68" t="s">
        <v>13</v>
      </c>
      <c r="BA227" s="106" t="str">
        <f t="shared" si="120"/>
        <v/>
      </c>
      <c r="BB227" s="178"/>
      <c r="BC227" s="178">
        <v>8</v>
      </c>
      <c r="BD227" s="178"/>
      <c r="BE227" s="178"/>
      <c r="BF227" s="178"/>
      <c r="BG227" s="178"/>
      <c r="BH227" s="178"/>
      <c r="BI227" s="33"/>
      <c r="BK227" s="48">
        <f>$G227/5280*VLOOKUP($AC227,'Cost and Score'!$B$27:$O$40,6,0)</f>
        <v>0.10132575757575757</v>
      </c>
      <c r="BL227" s="48">
        <f>$G227/5280*VLOOKUP($AC227,'Cost and Score'!$B$27:$O$40,7,0)</f>
        <v>11.145833333333332</v>
      </c>
      <c r="BM227" s="48">
        <f>$G227/5280*VLOOKUP($AC227,'Cost and Score'!$B$27:$O$40,8,0)</f>
        <v>0</v>
      </c>
      <c r="BN227" s="48">
        <f>$G227/5280*VLOOKUP($AC227,'Cost and Score'!$B$27:$O$40,9,0)</f>
        <v>2279.8295454545455</v>
      </c>
      <c r="BO227" s="48">
        <f>$G227/5280*VLOOKUP($AC227,'Cost and Score'!$B$27:$O$40,10,0)</f>
        <v>506.62878787878782</v>
      </c>
      <c r="BP227" s="48">
        <f>$G227/5280*VLOOKUP($AC227,'Cost and Score'!$B$27:$O$40,11,0)</f>
        <v>0</v>
      </c>
      <c r="BQ227" s="48">
        <f>$G227/5280*VLOOKUP($AC227,'Cost and Score'!$B$27:$O$40,12,0)</f>
        <v>50.662878787878782</v>
      </c>
      <c r="BR227" s="48">
        <f>$G227/5280*VLOOKUP($AC227,'Cost and Score'!$B$27:$O$40,13,0)</f>
        <v>60.79545454545454</v>
      </c>
      <c r="BS227" s="48">
        <f>$G227/5280*VLOOKUP($AC227,'Cost and Score'!$B$27:$O$40,14,0)</f>
        <v>0</v>
      </c>
      <c r="BT227" s="220">
        <f t="shared" si="121"/>
        <v>0.50662878787878785</v>
      </c>
    </row>
    <row r="228" spans="1:103" s="112" customFormat="1" hidden="1" x14ac:dyDescent="0.25">
      <c r="A228" s="36" t="s">
        <v>549</v>
      </c>
      <c r="B228" s="108" t="s">
        <v>548</v>
      </c>
      <c r="C228" s="106" t="s">
        <v>548</v>
      </c>
      <c r="D228" s="106"/>
      <c r="E228" s="106" t="s">
        <v>546</v>
      </c>
      <c r="F228" s="106" t="s">
        <v>168</v>
      </c>
      <c r="G228" s="109">
        <v>875</v>
      </c>
      <c r="H228" s="109">
        <f t="shared" si="129"/>
        <v>20</v>
      </c>
      <c r="I228" s="106" t="s">
        <v>8</v>
      </c>
      <c r="J228" s="106" t="s">
        <v>160</v>
      </c>
      <c r="K228" s="106">
        <f t="shared" si="128"/>
        <v>0</v>
      </c>
      <c r="L228" s="110">
        <v>8</v>
      </c>
      <c r="M228" s="110">
        <v>7</v>
      </c>
      <c r="N228" s="110">
        <v>7</v>
      </c>
      <c r="O228" s="110">
        <v>7</v>
      </c>
      <c r="P228" s="110">
        <v>7</v>
      </c>
      <c r="Q228" s="110">
        <v>7</v>
      </c>
      <c r="R228" s="110">
        <v>6</v>
      </c>
      <c r="S228" s="110">
        <v>6</v>
      </c>
      <c r="T228" s="110">
        <v>6</v>
      </c>
      <c r="U228" s="110">
        <v>8</v>
      </c>
      <c r="V228" s="110">
        <v>2024</v>
      </c>
      <c r="W228" s="110"/>
      <c r="X228" s="110" t="s">
        <v>2619</v>
      </c>
      <c r="Y228" s="106">
        <v>2473</v>
      </c>
      <c r="Z228" s="106">
        <f t="shared" si="130"/>
        <v>1</v>
      </c>
      <c r="AA228" s="106" t="s">
        <v>104</v>
      </c>
      <c r="AB228" s="111">
        <f t="shared" si="112"/>
        <v>4</v>
      </c>
      <c r="AC228" s="106" t="s">
        <v>2371</v>
      </c>
      <c r="AD228" s="107">
        <f t="shared" si="107"/>
        <v>13257.575757575758</v>
      </c>
      <c r="AE228" s="140">
        <v>1</v>
      </c>
      <c r="AF228" s="113">
        <f t="shared" si="131"/>
        <v>13257.575757575758</v>
      </c>
      <c r="AG228" s="106">
        <v>2024</v>
      </c>
      <c r="AH228" s="26" t="str">
        <f t="shared" si="103"/>
        <v/>
      </c>
      <c r="AI228" s="26" t="str">
        <f t="shared" si="127"/>
        <v/>
      </c>
      <c r="AJ228" s="26" t="str">
        <f t="shared" si="127"/>
        <v>Microsurface double</v>
      </c>
      <c r="AK228" s="26" t="str">
        <f t="shared" si="104"/>
        <v/>
      </c>
      <c r="AL228" s="26" t="str">
        <f t="shared" si="124"/>
        <v/>
      </c>
      <c r="AM228" s="26" t="str">
        <f t="shared" si="123"/>
        <v/>
      </c>
      <c r="AN228" s="26" t="str">
        <f t="shared" si="113"/>
        <v>Microsurface double</v>
      </c>
      <c r="AO228" s="26" t="str">
        <f t="shared" si="125"/>
        <v/>
      </c>
      <c r="AP228" s="26" t="str">
        <f t="shared" si="114"/>
        <v/>
      </c>
      <c r="AQ228" s="68">
        <f t="shared" si="108"/>
        <v>10</v>
      </c>
      <c r="AR228" s="68">
        <f t="shared" si="109"/>
        <v>10</v>
      </c>
      <c r="AS228" s="68">
        <f t="shared" si="115"/>
        <v>1</v>
      </c>
      <c r="AT228" s="68">
        <f t="shared" si="116"/>
        <v>1.05</v>
      </c>
      <c r="AU228" s="68">
        <f t="shared" si="117"/>
        <v>1.05</v>
      </c>
      <c r="AV228" s="68">
        <f t="shared" si="118"/>
        <v>1.05</v>
      </c>
      <c r="AW228" s="68">
        <f t="shared" si="119"/>
        <v>1.05</v>
      </c>
      <c r="AX228" s="68">
        <f t="shared" ca="1" si="110"/>
        <v>0</v>
      </c>
      <c r="AY228" s="106">
        <v>2017</v>
      </c>
      <c r="AZ228" s="106" t="s">
        <v>2086</v>
      </c>
      <c r="BA228" s="106" t="str">
        <f t="shared" si="120"/>
        <v/>
      </c>
      <c r="BB228" s="177"/>
      <c r="BC228" s="177">
        <v>8</v>
      </c>
      <c r="BD228" s="177"/>
      <c r="BE228" s="177"/>
      <c r="BF228" s="177"/>
      <c r="BG228" s="177"/>
      <c r="BH228" s="177"/>
      <c r="BI228" s="33" t="s">
        <v>2190</v>
      </c>
      <c r="BJ228" s="2"/>
      <c r="BK228" s="48">
        <f>$G228/5280*VLOOKUP($AC228,'Cost and Score'!$B$27:$O$40,6,0)</f>
        <v>8.2859848484848481E-2</v>
      </c>
      <c r="BL228" s="48">
        <f>$G228/5280*VLOOKUP($AC228,'Cost and Score'!$B$27:$O$40,7,0)</f>
        <v>0</v>
      </c>
      <c r="BM228" s="48">
        <f>$G228/5280*VLOOKUP($AC228,'Cost and Score'!$B$27:$O$40,8,0)</f>
        <v>0</v>
      </c>
      <c r="BN228" s="48">
        <f>$G228/5280*VLOOKUP($AC228,'Cost and Score'!$B$27:$O$40,9,0)</f>
        <v>0</v>
      </c>
      <c r="BO228" s="48">
        <f>$G228/5280*VLOOKUP($AC228,'Cost and Score'!$B$27:$O$40,10,0)</f>
        <v>0</v>
      </c>
      <c r="BP228" s="48">
        <f>$G228/5280*VLOOKUP($AC228,'Cost and Score'!$B$27:$O$40,11,0)</f>
        <v>0</v>
      </c>
      <c r="BQ228" s="48">
        <f>$G228/5280*VLOOKUP($AC228,'Cost and Score'!$B$27:$O$40,12,0)</f>
        <v>0</v>
      </c>
      <c r="BR228" s="48">
        <f>$G228/5280*VLOOKUP($AC228,'Cost and Score'!$B$27:$O$40,13,0)</f>
        <v>0</v>
      </c>
      <c r="BS228" s="48">
        <f>$G228/5280*VLOOKUP($AC228,'Cost and Score'!$B$27:$O$40,14,0)</f>
        <v>0</v>
      </c>
      <c r="BT228" s="220">
        <f t="shared" si="121"/>
        <v>0.16571969696969696</v>
      </c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</row>
    <row r="229" spans="1:103" s="2" customFormat="1" hidden="1" x14ac:dyDescent="0.25">
      <c r="A229" s="15" t="s">
        <v>551</v>
      </c>
      <c r="B229" s="34" t="s">
        <v>550</v>
      </c>
      <c r="C229" s="26" t="s">
        <v>550</v>
      </c>
      <c r="D229" s="82"/>
      <c r="E229" s="82" t="s">
        <v>59</v>
      </c>
      <c r="F229" s="82" t="s">
        <v>64</v>
      </c>
      <c r="G229" s="29">
        <v>5350</v>
      </c>
      <c r="H229" s="29">
        <f t="shared" si="129"/>
        <v>20</v>
      </c>
      <c r="I229" s="26" t="s">
        <v>13</v>
      </c>
      <c r="J229" s="26" t="s">
        <v>172</v>
      </c>
      <c r="K229" s="26">
        <f t="shared" si="128"/>
        <v>0</v>
      </c>
      <c r="L229" s="42">
        <v>8</v>
      </c>
      <c r="M229" s="42">
        <v>7</v>
      </c>
      <c r="N229" s="42">
        <v>7</v>
      </c>
      <c r="O229" s="83">
        <v>7</v>
      </c>
      <c r="P229" s="83">
        <v>7</v>
      </c>
      <c r="Q229" s="83">
        <v>7</v>
      </c>
      <c r="R229" s="83">
        <v>6</v>
      </c>
      <c r="S229" s="83">
        <v>7</v>
      </c>
      <c r="T229" s="83">
        <v>7</v>
      </c>
      <c r="U229" s="83">
        <v>7</v>
      </c>
      <c r="V229" s="42"/>
      <c r="W229" s="42"/>
      <c r="X229" s="42"/>
      <c r="Y229" s="26">
        <v>856</v>
      </c>
      <c r="Z229" s="26">
        <f t="shared" si="130"/>
        <v>0.5</v>
      </c>
      <c r="AA229" s="82" t="s">
        <v>104</v>
      </c>
      <c r="AB229" s="111">
        <f t="shared" si="112"/>
        <v>3.5</v>
      </c>
      <c r="AC229" s="82" t="s">
        <v>13</v>
      </c>
      <c r="AD229" s="84">
        <f t="shared" si="107"/>
        <v>21278.409090909092</v>
      </c>
      <c r="AE229" s="140"/>
      <c r="AF229" s="113">
        <f t="shared" si="131"/>
        <v>0</v>
      </c>
      <c r="AG229" s="85">
        <v>2026</v>
      </c>
      <c r="AH229" s="26" t="str">
        <f t="shared" si="103"/>
        <v/>
      </c>
      <c r="AI229" s="26" t="str">
        <f t="shared" si="127"/>
        <v/>
      </c>
      <c r="AJ229" s="26" t="str">
        <f t="shared" si="127"/>
        <v/>
      </c>
      <c r="AK229" s="26" t="str">
        <f t="shared" si="104"/>
        <v/>
      </c>
      <c r="AL229" s="26" t="str">
        <f t="shared" si="124"/>
        <v>Chip Seal and Fog</v>
      </c>
      <c r="AM229" s="26" t="str">
        <f t="shared" si="123"/>
        <v/>
      </c>
      <c r="AN229" s="26" t="str">
        <f t="shared" si="113"/>
        <v>Chip Seal and Fog</v>
      </c>
      <c r="AO229" s="26" t="str">
        <f t="shared" si="125"/>
        <v/>
      </c>
      <c r="AP229" s="26" t="str">
        <f t="shared" si="114"/>
        <v/>
      </c>
      <c r="AQ229" s="68">
        <f t="shared" si="108"/>
        <v>10</v>
      </c>
      <c r="AR229" s="68">
        <f t="shared" si="109"/>
        <v>6</v>
      </c>
      <c r="AS229" s="68">
        <f t="shared" si="115"/>
        <v>1</v>
      </c>
      <c r="AT229" s="68">
        <f t="shared" si="116"/>
        <v>1.05</v>
      </c>
      <c r="AU229" s="68">
        <f t="shared" si="117"/>
        <v>1.05</v>
      </c>
      <c r="AV229" s="68">
        <f t="shared" si="118"/>
        <v>1.05</v>
      </c>
      <c r="AW229" s="68">
        <f t="shared" si="119"/>
        <v>1.05</v>
      </c>
      <c r="AX229" s="68">
        <f t="shared" ca="1" si="110"/>
        <v>2.1</v>
      </c>
      <c r="AY229" s="106">
        <v>2020</v>
      </c>
      <c r="AZ229" s="106" t="s">
        <v>13</v>
      </c>
      <c r="BA229" s="106" t="str">
        <f t="shared" si="120"/>
        <v/>
      </c>
      <c r="BB229" s="177"/>
      <c r="BC229" s="177">
        <v>9</v>
      </c>
      <c r="BD229" s="177"/>
      <c r="BE229" s="177"/>
      <c r="BF229" s="177"/>
      <c r="BG229" s="177"/>
      <c r="BH229" s="177"/>
      <c r="BI229" s="33"/>
      <c r="BK229" s="48">
        <f>$G229/5280*VLOOKUP($AC229,'Cost and Score'!$B$27:$O$40,6,0)</f>
        <v>0.20265151515151514</v>
      </c>
      <c r="BL229" s="48">
        <f>$G229/5280*VLOOKUP($AC229,'Cost and Score'!$B$27:$O$40,7,0)</f>
        <v>22.291666666666664</v>
      </c>
      <c r="BM229" s="48">
        <f>$G229/5280*VLOOKUP($AC229,'Cost and Score'!$B$27:$O$40,8,0)</f>
        <v>0</v>
      </c>
      <c r="BN229" s="48">
        <f>$G229/5280*VLOOKUP($AC229,'Cost and Score'!$B$27:$O$40,9,0)</f>
        <v>4559.659090909091</v>
      </c>
      <c r="BO229" s="48">
        <f>$G229/5280*VLOOKUP($AC229,'Cost and Score'!$B$27:$O$40,10,0)</f>
        <v>1013.2575757575756</v>
      </c>
      <c r="BP229" s="48">
        <f>$G229/5280*VLOOKUP($AC229,'Cost and Score'!$B$27:$O$40,11,0)</f>
        <v>0</v>
      </c>
      <c r="BQ229" s="48">
        <f>$G229/5280*VLOOKUP($AC229,'Cost and Score'!$B$27:$O$40,12,0)</f>
        <v>101.32575757575756</v>
      </c>
      <c r="BR229" s="48">
        <f>$G229/5280*VLOOKUP($AC229,'Cost and Score'!$B$27:$O$40,13,0)</f>
        <v>121.59090909090908</v>
      </c>
      <c r="BS229" s="48">
        <f>$G229/5280*VLOOKUP($AC229,'Cost and Score'!$B$27:$O$40,14,0)</f>
        <v>0</v>
      </c>
      <c r="BT229" s="220">
        <f t="shared" si="121"/>
        <v>1.0132575757575757</v>
      </c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  <c r="CQ229" s="112"/>
      <c r="CR229" s="112"/>
      <c r="CS229" s="112"/>
      <c r="CT229" s="112"/>
      <c r="CU229" s="112"/>
      <c r="CV229" s="112"/>
    </row>
    <row r="230" spans="1:103" s="112" customFormat="1" ht="14.45" hidden="1" customHeight="1" x14ac:dyDescent="0.25">
      <c r="A230" s="15" t="s">
        <v>553</v>
      </c>
      <c r="B230" s="108" t="s">
        <v>552</v>
      </c>
      <c r="C230" s="106" t="s">
        <v>552</v>
      </c>
      <c r="D230" s="106"/>
      <c r="E230" s="106" t="s">
        <v>135</v>
      </c>
      <c r="F230" s="106" t="s">
        <v>168</v>
      </c>
      <c r="G230" s="109">
        <v>5215</v>
      </c>
      <c r="H230" s="109">
        <f t="shared" si="129"/>
        <v>20</v>
      </c>
      <c r="I230" s="106" t="s">
        <v>8</v>
      </c>
      <c r="J230" s="106" t="s">
        <v>160</v>
      </c>
      <c r="K230" s="106">
        <f t="shared" si="128"/>
        <v>0</v>
      </c>
      <c r="L230" s="110">
        <v>7</v>
      </c>
      <c r="M230" s="110">
        <v>7</v>
      </c>
      <c r="N230" s="110">
        <v>7</v>
      </c>
      <c r="O230" s="110">
        <v>7</v>
      </c>
      <c r="P230" s="110">
        <v>7</v>
      </c>
      <c r="Q230" s="110">
        <v>7</v>
      </c>
      <c r="R230" s="110">
        <v>7</v>
      </c>
      <c r="S230" s="110">
        <v>7</v>
      </c>
      <c r="T230" s="110">
        <v>7</v>
      </c>
      <c r="U230" s="110">
        <v>7</v>
      </c>
      <c r="V230" s="110">
        <v>2024</v>
      </c>
      <c r="W230" s="110"/>
      <c r="X230" s="110" t="s">
        <v>2619</v>
      </c>
      <c r="Y230" s="106">
        <v>2315</v>
      </c>
      <c r="Z230" s="106">
        <f t="shared" si="130"/>
        <v>1</v>
      </c>
      <c r="AA230" s="106" t="s">
        <v>104</v>
      </c>
      <c r="AB230" s="111">
        <f t="shared" si="112"/>
        <v>4</v>
      </c>
      <c r="AC230" s="106" t="s">
        <v>2371</v>
      </c>
      <c r="AD230" s="107">
        <f t="shared" si="107"/>
        <v>79015.15151515152</v>
      </c>
      <c r="AE230" s="198"/>
      <c r="AF230" s="113">
        <f t="shared" si="131"/>
        <v>0</v>
      </c>
      <c r="AG230" s="106">
        <v>2027</v>
      </c>
      <c r="AH230" s="26" t="str">
        <f t="shared" si="103"/>
        <v/>
      </c>
      <c r="AI230" s="26" t="str">
        <f t="shared" si="127"/>
        <v/>
      </c>
      <c r="AJ230" s="26" t="str">
        <f t="shared" si="127"/>
        <v/>
      </c>
      <c r="AK230" s="26" t="str">
        <f t="shared" si="104"/>
        <v/>
      </c>
      <c r="AL230" s="26" t="str">
        <f t="shared" si="124"/>
        <v/>
      </c>
      <c r="AM230" s="26" t="str">
        <f t="shared" si="123"/>
        <v>Microsurface double</v>
      </c>
      <c r="AN230" s="26" t="str">
        <f t="shared" si="113"/>
        <v>Microsurface double</v>
      </c>
      <c r="AO230" s="26" t="str">
        <f t="shared" si="125"/>
        <v/>
      </c>
      <c r="AP230" s="26" t="str">
        <f t="shared" si="114"/>
        <v/>
      </c>
      <c r="AQ230" s="68">
        <f t="shared" si="108"/>
        <v>10</v>
      </c>
      <c r="AR230" s="68">
        <f t="shared" si="109"/>
        <v>10</v>
      </c>
      <c r="AS230" s="68">
        <f t="shared" si="115"/>
        <v>1.05</v>
      </c>
      <c r="AT230" s="68">
        <f t="shared" si="116"/>
        <v>1.05</v>
      </c>
      <c r="AU230" s="68">
        <f t="shared" si="117"/>
        <v>1.05</v>
      </c>
      <c r="AV230" s="68">
        <f t="shared" si="118"/>
        <v>1.05</v>
      </c>
      <c r="AW230" s="68">
        <f t="shared" si="119"/>
        <v>1.05</v>
      </c>
      <c r="AX230" s="68">
        <f t="shared" ca="1" si="110"/>
        <v>3.1500000000000004</v>
      </c>
      <c r="AY230" s="106">
        <v>2017</v>
      </c>
      <c r="AZ230" s="106" t="s">
        <v>2086</v>
      </c>
      <c r="BA230" s="106" t="str">
        <f t="shared" si="120"/>
        <v/>
      </c>
      <c r="BB230" s="177"/>
      <c r="BC230" s="177">
        <v>8</v>
      </c>
      <c r="BD230" s="177"/>
      <c r="BE230" s="177"/>
      <c r="BF230" s="177"/>
      <c r="BG230" s="177"/>
      <c r="BH230" s="177"/>
      <c r="BI230" s="33"/>
      <c r="BJ230" s="2"/>
      <c r="BK230" s="48">
        <f>$G230/5280*VLOOKUP($AC230,'Cost and Score'!$B$27:$O$40,6,0)</f>
        <v>0.49384469696969696</v>
      </c>
      <c r="BL230" s="48">
        <f>$G230/5280*VLOOKUP($AC230,'Cost and Score'!$B$27:$O$40,7,0)</f>
        <v>0</v>
      </c>
      <c r="BM230" s="48">
        <f>$G230/5280*VLOOKUP($AC230,'Cost and Score'!$B$27:$O$40,8,0)</f>
        <v>0</v>
      </c>
      <c r="BN230" s="48">
        <f>$G230/5280*VLOOKUP($AC230,'Cost and Score'!$B$27:$O$40,9,0)</f>
        <v>0</v>
      </c>
      <c r="BO230" s="48">
        <f>$G230/5280*VLOOKUP($AC230,'Cost and Score'!$B$27:$O$40,10,0)</f>
        <v>0</v>
      </c>
      <c r="BP230" s="48">
        <f>$G230/5280*VLOOKUP($AC230,'Cost and Score'!$B$27:$O$40,11,0)</f>
        <v>0</v>
      </c>
      <c r="BQ230" s="48">
        <f>$G230/5280*VLOOKUP($AC230,'Cost and Score'!$B$27:$O$40,12,0)</f>
        <v>0</v>
      </c>
      <c r="BR230" s="48">
        <f>$G230/5280*VLOOKUP($AC230,'Cost and Score'!$B$27:$O$40,13,0)</f>
        <v>0</v>
      </c>
      <c r="BS230" s="48">
        <f>$G230/5280*VLOOKUP($AC230,'Cost and Score'!$B$27:$O$40,14,0)</f>
        <v>0</v>
      </c>
      <c r="BT230" s="220">
        <f t="shared" si="121"/>
        <v>0.98768939393939392</v>
      </c>
      <c r="BU230" s="2"/>
      <c r="BV230" s="2"/>
      <c r="BW230" s="2"/>
      <c r="BX230" s="2" t="s">
        <v>2058</v>
      </c>
      <c r="BY230" s="2" t="s">
        <v>62</v>
      </c>
      <c r="BZ230" s="2">
        <v>0</v>
      </c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</row>
    <row r="231" spans="1:103" s="2" customFormat="1" ht="14.45" hidden="1" customHeight="1" x14ac:dyDescent="0.25">
      <c r="A231" s="15" t="s">
        <v>555</v>
      </c>
      <c r="B231" s="34" t="s">
        <v>554</v>
      </c>
      <c r="C231" s="26" t="s">
        <v>554</v>
      </c>
      <c r="D231" s="82"/>
      <c r="E231" s="82" t="s">
        <v>55</v>
      </c>
      <c r="F231" s="82" t="s">
        <v>67</v>
      </c>
      <c r="G231" s="29">
        <v>4038</v>
      </c>
      <c r="H231" s="29">
        <f t="shared" si="129"/>
        <v>20</v>
      </c>
      <c r="I231" s="26" t="s">
        <v>8</v>
      </c>
      <c r="J231" s="26" t="s">
        <v>6</v>
      </c>
      <c r="K231" s="26">
        <f t="shared" si="128"/>
        <v>0</v>
      </c>
      <c r="L231" s="42">
        <v>7</v>
      </c>
      <c r="M231" s="42">
        <v>7</v>
      </c>
      <c r="N231" s="42">
        <v>6</v>
      </c>
      <c r="O231" s="83">
        <v>6</v>
      </c>
      <c r="P231" s="83">
        <v>6</v>
      </c>
      <c r="Q231" s="83">
        <v>6</v>
      </c>
      <c r="R231" s="83">
        <v>6</v>
      </c>
      <c r="S231" s="83">
        <v>6</v>
      </c>
      <c r="T231" s="83">
        <v>6</v>
      </c>
      <c r="U231" s="83">
        <v>6</v>
      </c>
      <c r="V231" s="42">
        <v>2024</v>
      </c>
      <c r="W231" s="42"/>
      <c r="X231" s="42" t="s">
        <v>2619</v>
      </c>
      <c r="Y231" s="26">
        <v>1217</v>
      </c>
      <c r="Z231" s="26">
        <f t="shared" si="130"/>
        <v>0.5</v>
      </c>
      <c r="AA231" s="82" t="s">
        <v>104</v>
      </c>
      <c r="AB231" s="111">
        <f t="shared" si="112"/>
        <v>4.5</v>
      </c>
      <c r="AC231" s="85" t="s">
        <v>751</v>
      </c>
      <c r="AD231" s="84">
        <f t="shared" si="107"/>
        <v>84125</v>
      </c>
      <c r="AE231" s="140"/>
      <c r="AF231" s="113">
        <f t="shared" si="131"/>
        <v>0</v>
      </c>
      <c r="AG231" s="106">
        <v>2024</v>
      </c>
      <c r="AH231" s="26" t="str">
        <f t="shared" si="103"/>
        <v/>
      </c>
      <c r="AI231" s="26" t="str">
        <f t="shared" si="127"/>
        <v/>
      </c>
      <c r="AJ231" s="26" t="str">
        <f t="shared" si="127"/>
        <v>Overlay - 2"</v>
      </c>
      <c r="AK231" s="26" t="str">
        <f t="shared" si="104"/>
        <v/>
      </c>
      <c r="AL231" s="26" t="str">
        <f t="shared" si="124"/>
        <v/>
      </c>
      <c r="AM231" s="26" t="str">
        <f t="shared" si="123"/>
        <v/>
      </c>
      <c r="AN231" s="26" t="str">
        <f t="shared" si="113"/>
        <v>Overlay - 2"</v>
      </c>
      <c r="AO231" s="26" t="str">
        <f t="shared" si="125"/>
        <v/>
      </c>
      <c r="AP231" s="26" t="str">
        <f t="shared" si="114"/>
        <v/>
      </c>
      <c r="AQ231" s="68">
        <f t="shared" si="108"/>
        <v>8</v>
      </c>
      <c r="AR231" s="68">
        <f t="shared" si="109"/>
        <v>12</v>
      </c>
      <c r="AS231" s="68">
        <f t="shared" si="115"/>
        <v>1.05</v>
      </c>
      <c r="AT231" s="68">
        <f t="shared" si="116"/>
        <v>1.05</v>
      </c>
      <c r="AU231" s="68">
        <f t="shared" si="117"/>
        <v>1.1000000000000001</v>
      </c>
      <c r="AV231" s="68">
        <f t="shared" si="118"/>
        <v>1.1000000000000001</v>
      </c>
      <c r="AW231" s="68">
        <f t="shared" si="119"/>
        <v>1.1000000000000001</v>
      </c>
      <c r="AX231" s="68">
        <f t="shared" ca="1" si="110"/>
        <v>0</v>
      </c>
      <c r="AY231" s="106">
        <v>2017</v>
      </c>
      <c r="AZ231" s="106" t="s">
        <v>2075</v>
      </c>
      <c r="BA231" s="106" t="str">
        <f t="shared" si="120"/>
        <v/>
      </c>
      <c r="BB231" s="177"/>
      <c r="BC231" s="177">
        <v>8</v>
      </c>
      <c r="BD231" s="177"/>
      <c r="BE231" s="177"/>
      <c r="BF231" s="177"/>
      <c r="BG231" s="177"/>
      <c r="BH231" s="177"/>
      <c r="BI231" s="33"/>
      <c r="BK231" s="48">
        <f>$G231/5280*VLOOKUP($AC231,'Cost and Score'!$B$27:$O$40,6,0)</f>
        <v>1.7207386363636363</v>
      </c>
      <c r="BL231" s="48">
        <f>$G231/5280*VLOOKUP($AC231,'Cost and Score'!$B$27:$O$40,7,0)</f>
        <v>160.60227272727272</v>
      </c>
      <c r="BM231" s="48">
        <f>$G231/5280*VLOOKUP($AC231,'Cost and Score'!$B$27:$O$40,8,0)</f>
        <v>267.67045454545456</v>
      </c>
      <c r="BN231" s="48">
        <f>$G231/5280*VLOOKUP($AC231,'Cost and Score'!$B$27:$O$40,9,0)</f>
        <v>0</v>
      </c>
      <c r="BO231" s="48">
        <f>$G231/5280*VLOOKUP($AC231,'Cost and Score'!$B$27:$O$40,10,0)</f>
        <v>0</v>
      </c>
      <c r="BP231" s="48">
        <f>$G231/5280*VLOOKUP($AC231,'Cost and Score'!$B$27:$O$40,11,0)</f>
        <v>152.95454545454547</v>
      </c>
      <c r="BQ231" s="48">
        <f>$G231/5280*VLOOKUP($AC231,'Cost and Score'!$B$27:$O$40,12,0)</f>
        <v>1300.1136363636363</v>
      </c>
      <c r="BR231" s="48">
        <f>$G231/5280*VLOOKUP($AC231,'Cost and Score'!$B$27:$O$40,13,0)</f>
        <v>0</v>
      </c>
      <c r="BS231" s="48">
        <f>$G231/5280*VLOOKUP($AC231,'Cost and Score'!$B$27:$O$40,14,0)</f>
        <v>0</v>
      </c>
      <c r="BT231" s="220">
        <f t="shared" si="121"/>
        <v>0.76477272727272727</v>
      </c>
      <c r="CV231" s="112"/>
    </row>
    <row r="232" spans="1:103" s="2" customFormat="1" ht="14.45" hidden="1" customHeight="1" x14ac:dyDescent="0.25">
      <c r="A232" s="15" t="s">
        <v>557</v>
      </c>
      <c r="B232" s="34" t="s">
        <v>556</v>
      </c>
      <c r="C232" s="26" t="s">
        <v>556</v>
      </c>
      <c r="D232" s="82"/>
      <c r="E232" s="82" t="s">
        <v>64</v>
      </c>
      <c r="F232" s="82" t="s">
        <v>73</v>
      </c>
      <c r="G232" s="29">
        <v>5320</v>
      </c>
      <c r="H232" s="29">
        <f t="shared" si="129"/>
        <v>20</v>
      </c>
      <c r="I232" s="26" t="s">
        <v>13</v>
      </c>
      <c r="J232" s="26" t="s">
        <v>172</v>
      </c>
      <c r="K232" s="26">
        <f t="shared" si="128"/>
        <v>0</v>
      </c>
      <c r="L232" s="42">
        <v>6</v>
      </c>
      <c r="M232" s="42">
        <v>8</v>
      </c>
      <c r="N232" s="42">
        <v>8</v>
      </c>
      <c r="O232" s="83">
        <v>8</v>
      </c>
      <c r="P232" s="83">
        <v>8</v>
      </c>
      <c r="Q232" s="83">
        <v>8</v>
      </c>
      <c r="R232" s="83">
        <v>8</v>
      </c>
      <c r="S232" s="83">
        <v>7</v>
      </c>
      <c r="T232" s="83">
        <v>7</v>
      </c>
      <c r="U232" s="83">
        <v>7</v>
      </c>
      <c r="V232" s="42"/>
      <c r="W232" s="42"/>
      <c r="X232" s="42"/>
      <c r="Y232" s="26">
        <v>833</v>
      </c>
      <c r="Z232" s="26">
        <f t="shared" si="130"/>
        <v>0.5</v>
      </c>
      <c r="AA232" s="82" t="s">
        <v>104</v>
      </c>
      <c r="AB232" s="111">
        <f t="shared" si="112"/>
        <v>2.5</v>
      </c>
      <c r="AC232" s="85" t="s">
        <v>13</v>
      </c>
      <c r="AD232" s="84">
        <f t="shared" si="107"/>
        <v>21159.090909090908</v>
      </c>
      <c r="AE232" s="140"/>
      <c r="AF232" s="113">
        <f t="shared" si="131"/>
        <v>0</v>
      </c>
      <c r="AG232" s="85">
        <v>2026</v>
      </c>
      <c r="AH232" s="26" t="str">
        <f t="shared" si="103"/>
        <v/>
      </c>
      <c r="AI232" s="26" t="str">
        <f t="shared" ref="AI232:AJ251" si="132">IF($AG232=AI$1,VLOOKUP($AC232,RSL,3,FALSE),"")</f>
        <v/>
      </c>
      <c r="AJ232" s="26" t="str">
        <f t="shared" si="132"/>
        <v/>
      </c>
      <c r="AK232" s="26" t="str">
        <f t="shared" si="104"/>
        <v/>
      </c>
      <c r="AL232" s="26" t="str">
        <f t="shared" si="124"/>
        <v>Chip Seal and Fog</v>
      </c>
      <c r="AM232" s="26" t="str">
        <f t="shared" si="123"/>
        <v/>
      </c>
      <c r="AN232" s="26" t="str">
        <f t="shared" si="113"/>
        <v>Chip Seal and Fog</v>
      </c>
      <c r="AO232" s="26" t="str">
        <f t="shared" si="125"/>
        <v/>
      </c>
      <c r="AP232" s="26" t="str">
        <f t="shared" si="114"/>
        <v/>
      </c>
      <c r="AQ232" s="68">
        <f t="shared" si="108"/>
        <v>12</v>
      </c>
      <c r="AR232" s="68">
        <f t="shared" si="109"/>
        <v>6</v>
      </c>
      <c r="AS232" s="68">
        <f t="shared" si="115"/>
        <v>1.1000000000000001</v>
      </c>
      <c r="AT232" s="68">
        <f t="shared" si="116"/>
        <v>1</v>
      </c>
      <c r="AU232" s="68">
        <f t="shared" si="117"/>
        <v>1</v>
      </c>
      <c r="AV232" s="68">
        <f t="shared" si="118"/>
        <v>1</v>
      </c>
      <c r="AW232" s="68">
        <f t="shared" si="119"/>
        <v>1</v>
      </c>
      <c r="AX232" s="68">
        <f t="shared" ca="1" si="110"/>
        <v>2</v>
      </c>
      <c r="AY232" s="106">
        <v>2020</v>
      </c>
      <c r="AZ232" s="106" t="s">
        <v>2075</v>
      </c>
      <c r="BA232" s="106" t="str">
        <f t="shared" si="120"/>
        <v/>
      </c>
      <c r="BB232" s="177"/>
      <c r="BC232" s="177">
        <v>9</v>
      </c>
      <c r="BD232" s="177"/>
      <c r="BE232" s="177"/>
      <c r="BF232" s="177"/>
      <c r="BG232" s="177"/>
      <c r="BH232" s="177"/>
      <c r="BI232" s="33" t="s">
        <v>2464</v>
      </c>
      <c r="BK232" s="48">
        <f>$G232/5280*VLOOKUP($AC232,'Cost and Score'!$B$27:$O$40,6,0)</f>
        <v>0.20151515151515154</v>
      </c>
      <c r="BL232" s="48">
        <f>$G232/5280*VLOOKUP($AC232,'Cost and Score'!$B$27:$O$40,7,0)</f>
        <v>22.166666666666668</v>
      </c>
      <c r="BM232" s="48">
        <f>$G232/5280*VLOOKUP($AC232,'Cost and Score'!$B$27:$O$40,8,0)</f>
        <v>0</v>
      </c>
      <c r="BN232" s="48">
        <f>$G232/5280*VLOOKUP($AC232,'Cost and Score'!$B$27:$O$40,9,0)</f>
        <v>4534.090909090909</v>
      </c>
      <c r="BO232" s="48">
        <f>$G232/5280*VLOOKUP($AC232,'Cost and Score'!$B$27:$O$40,10,0)</f>
        <v>1007.5757575757576</v>
      </c>
      <c r="BP232" s="48">
        <f>$G232/5280*VLOOKUP($AC232,'Cost and Score'!$B$27:$O$40,11,0)</f>
        <v>0</v>
      </c>
      <c r="BQ232" s="48">
        <f>$G232/5280*VLOOKUP($AC232,'Cost and Score'!$B$27:$O$40,12,0)</f>
        <v>100.75757575757575</v>
      </c>
      <c r="BR232" s="48">
        <f>$G232/5280*VLOOKUP($AC232,'Cost and Score'!$B$27:$O$40,13,0)</f>
        <v>120.90909090909091</v>
      </c>
      <c r="BS232" s="48">
        <f>$G232/5280*VLOOKUP($AC232,'Cost and Score'!$B$27:$O$40,14,0)</f>
        <v>0</v>
      </c>
      <c r="BT232" s="220">
        <f t="shared" si="121"/>
        <v>1.0075757575757576</v>
      </c>
      <c r="CW232" s="112"/>
      <c r="CX232" s="112"/>
      <c r="CY232" s="112"/>
    </row>
    <row r="233" spans="1:103" s="112" customFormat="1" ht="14.45" hidden="1" customHeight="1" x14ac:dyDescent="0.25">
      <c r="A233" s="15" t="s">
        <v>559</v>
      </c>
      <c r="B233" s="108" t="s">
        <v>558</v>
      </c>
      <c r="C233" s="106" t="s">
        <v>558</v>
      </c>
      <c r="D233" s="106"/>
      <c r="E233" s="106" t="s">
        <v>138</v>
      </c>
      <c r="F233" s="106" t="s">
        <v>135</v>
      </c>
      <c r="G233" s="109">
        <v>5300</v>
      </c>
      <c r="H233" s="109">
        <f t="shared" si="129"/>
        <v>20</v>
      </c>
      <c r="I233" s="106" t="s">
        <v>8</v>
      </c>
      <c r="J233" s="106" t="s">
        <v>160</v>
      </c>
      <c r="K233" s="106">
        <f t="shared" si="128"/>
        <v>0</v>
      </c>
      <c r="L233" s="110">
        <v>6</v>
      </c>
      <c r="M233" s="110">
        <v>8</v>
      </c>
      <c r="N233" s="110">
        <v>8</v>
      </c>
      <c r="O233" s="110">
        <v>8</v>
      </c>
      <c r="P233" s="110">
        <v>8</v>
      </c>
      <c r="Q233" s="110">
        <v>7</v>
      </c>
      <c r="R233" s="110">
        <v>7</v>
      </c>
      <c r="S233" s="110">
        <v>7</v>
      </c>
      <c r="T233" s="110">
        <v>7</v>
      </c>
      <c r="U233" s="110">
        <v>7</v>
      </c>
      <c r="V233" s="110">
        <v>2024</v>
      </c>
      <c r="W233" s="110">
        <v>2018</v>
      </c>
      <c r="X233" s="110" t="s">
        <v>2612</v>
      </c>
      <c r="Y233" s="106">
        <v>1958</v>
      </c>
      <c r="Z233" s="106">
        <f t="shared" si="130"/>
        <v>1</v>
      </c>
      <c r="AA233" s="106" t="s">
        <v>104</v>
      </c>
      <c r="AB233" s="111">
        <f t="shared" si="112"/>
        <v>3</v>
      </c>
      <c r="AC233" s="106" t="s">
        <v>2371</v>
      </c>
      <c r="AD233" s="107">
        <f t="shared" si="107"/>
        <v>80303.030303030304</v>
      </c>
      <c r="AE233" s="198"/>
      <c r="AF233" s="113">
        <f t="shared" si="131"/>
        <v>0</v>
      </c>
      <c r="AG233" s="106">
        <v>2027</v>
      </c>
      <c r="AH233" s="26" t="str">
        <f t="shared" si="103"/>
        <v/>
      </c>
      <c r="AI233" s="26" t="str">
        <f t="shared" si="132"/>
        <v/>
      </c>
      <c r="AJ233" s="26" t="str">
        <f t="shared" si="132"/>
        <v/>
      </c>
      <c r="AK233" s="26" t="str">
        <f t="shared" si="104"/>
        <v/>
      </c>
      <c r="AL233" s="26" t="str">
        <f t="shared" si="124"/>
        <v/>
      </c>
      <c r="AM233" s="26" t="str">
        <f t="shared" si="123"/>
        <v>Microsurface double</v>
      </c>
      <c r="AN233" s="26" t="str">
        <f t="shared" si="113"/>
        <v>Microsurface double</v>
      </c>
      <c r="AO233" s="26" t="str">
        <f t="shared" si="125"/>
        <v/>
      </c>
      <c r="AP233" s="26" t="str">
        <f t="shared" si="114"/>
        <v/>
      </c>
      <c r="AQ233" s="68">
        <f t="shared" si="108"/>
        <v>12</v>
      </c>
      <c r="AR233" s="68">
        <f t="shared" si="109"/>
        <v>10</v>
      </c>
      <c r="AS233" s="68">
        <f t="shared" si="115"/>
        <v>1.1000000000000001</v>
      </c>
      <c r="AT233" s="68">
        <f t="shared" si="116"/>
        <v>1</v>
      </c>
      <c r="AU233" s="68">
        <f t="shared" si="117"/>
        <v>1</v>
      </c>
      <c r="AV233" s="68">
        <f t="shared" si="118"/>
        <v>1</v>
      </c>
      <c r="AW233" s="68">
        <f t="shared" si="119"/>
        <v>1</v>
      </c>
      <c r="AX233" s="68">
        <f t="shared" ca="1" si="110"/>
        <v>3</v>
      </c>
      <c r="AY233" s="106">
        <v>2017</v>
      </c>
      <c r="AZ233" s="106" t="s">
        <v>2086</v>
      </c>
      <c r="BA233" s="106" t="str">
        <f t="shared" si="120"/>
        <v/>
      </c>
      <c r="BB233" s="177"/>
      <c r="BC233" s="177">
        <v>8</v>
      </c>
      <c r="BD233" s="177"/>
      <c r="BE233" s="177"/>
      <c r="BF233" s="177"/>
      <c r="BG233" s="177"/>
      <c r="BH233" s="177"/>
      <c r="BI233" s="33"/>
      <c r="BJ233" s="2"/>
      <c r="BK233" s="48">
        <f>$G233/5280*VLOOKUP($AC233,'Cost and Score'!$B$27:$O$40,6,0)</f>
        <v>0.50189393939393945</v>
      </c>
      <c r="BL233" s="48">
        <f>$G233/5280*VLOOKUP($AC233,'Cost and Score'!$B$27:$O$40,7,0)</f>
        <v>0</v>
      </c>
      <c r="BM233" s="48">
        <f>$G233/5280*VLOOKUP($AC233,'Cost and Score'!$B$27:$O$40,8,0)</f>
        <v>0</v>
      </c>
      <c r="BN233" s="48">
        <f>$G233/5280*VLOOKUP($AC233,'Cost and Score'!$B$27:$O$40,9,0)</f>
        <v>0</v>
      </c>
      <c r="BO233" s="48">
        <f>$G233/5280*VLOOKUP($AC233,'Cost and Score'!$B$27:$O$40,10,0)</f>
        <v>0</v>
      </c>
      <c r="BP233" s="48">
        <f>$G233/5280*VLOOKUP($AC233,'Cost and Score'!$B$27:$O$40,11,0)</f>
        <v>0</v>
      </c>
      <c r="BQ233" s="48">
        <f>$G233/5280*VLOOKUP($AC233,'Cost and Score'!$B$27:$O$40,12,0)</f>
        <v>0</v>
      </c>
      <c r="BR233" s="48">
        <f>$G233/5280*VLOOKUP($AC233,'Cost and Score'!$B$27:$O$40,13,0)</f>
        <v>0</v>
      </c>
      <c r="BS233" s="48">
        <f>$G233/5280*VLOOKUP($AC233,'Cost and Score'!$B$27:$O$40,14,0)</f>
        <v>0</v>
      </c>
      <c r="BT233" s="220">
        <f t="shared" si="121"/>
        <v>1.0037878787878789</v>
      </c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</row>
    <row r="234" spans="1:103" s="112" customFormat="1" ht="14.45" hidden="1" customHeight="1" x14ac:dyDescent="0.25">
      <c r="A234" s="15" t="s">
        <v>561</v>
      </c>
      <c r="B234" s="108" t="s">
        <v>560</v>
      </c>
      <c r="C234" s="106" t="s">
        <v>560</v>
      </c>
      <c r="D234" s="106"/>
      <c r="E234" s="106" t="s">
        <v>73</v>
      </c>
      <c r="F234" s="106" t="s">
        <v>140</v>
      </c>
      <c r="G234" s="109">
        <v>4768</v>
      </c>
      <c r="H234" s="109">
        <f t="shared" si="129"/>
        <v>20</v>
      </c>
      <c r="I234" s="106" t="s">
        <v>13</v>
      </c>
      <c r="J234" s="106" t="s">
        <v>172</v>
      </c>
      <c r="K234" s="106">
        <f t="shared" si="128"/>
        <v>0</v>
      </c>
      <c r="L234" s="110">
        <v>6</v>
      </c>
      <c r="M234" s="110">
        <v>6</v>
      </c>
      <c r="N234" s="110">
        <v>6</v>
      </c>
      <c r="O234" s="110">
        <v>6</v>
      </c>
      <c r="P234" s="110">
        <v>7</v>
      </c>
      <c r="Q234" s="110">
        <v>7</v>
      </c>
      <c r="R234" s="110">
        <v>7</v>
      </c>
      <c r="S234" s="110">
        <v>7</v>
      </c>
      <c r="T234" s="110">
        <v>7</v>
      </c>
      <c r="U234" s="110">
        <v>7</v>
      </c>
      <c r="V234" s="110"/>
      <c r="W234" s="110"/>
      <c r="X234" s="110"/>
      <c r="Y234" s="106">
        <v>698</v>
      </c>
      <c r="Z234" s="106">
        <f t="shared" si="130"/>
        <v>0.5</v>
      </c>
      <c r="AA234" s="106" t="s">
        <v>104</v>
      </c>
      <c r="AB234" s="111">
        <f t="shared" si="112"/>
        <v>3.5</v>
      </c>
      <c r="AC234" s="26" t="s">
        <v>13</v>
      </c>
      <c r="AD234" s="107">
        <f t="shared" si="107"/>
        <v>18963.636363636364</v>
      </c>
      <c r="AE234" s="198">
        <v>1</v>
      </c>
      <c r="AF234" s="113">
        <f t="shared" si="131"/>
        <v>18963.636363636364</v>
      </c>
      <c r="AG234" s="26">
        <v>2023</v>
      </c>
      <c r="AH234" s="26" t="str">
        <f t="shared" si="103"/>
        <v/>
      </c>
      <c r="AI234" s="26" t="str">
        <f t="shared" si="132"/>
        <v>Chip Seal and Fog</v>
      </c>
      <c r="AJ234" s="26" t="str">
        <f t="shared" si="132"/>
        <v/>
      </c>
      <c r="AK234" s="26" t="str">
        <f t="shared" si="104"/>
        <v/>
      </c>
      <c r="AL234" s="26" t="str">
        <f t="shared" si="124"/>
        <v/>
      </c>
      <c r="AM234" s="26" t="str">
        <f t="shared" si="123"/>
        <v/>
      </c>
      <c r="AN234" s="26" t="str">
        <f t="shared" si="113"/>
        <v>Chip Seal and Fog</v>
      </c>
      <c r="AO234" s="26" t="str">
        <f t="shared" si="125"/>
        <v/>
      </c>
      <c r="AP234" s="26" t="str">
        <f t="shared" si="114"/>
        <v/>
      </c>
      <c r="AQ234" s="68">
        <f t="shared" si="108"/>
        <v>8</v>
      </c>
      <c r="AR234" s="68">
        <f t="shared" si="109"/>
        <v>6</v>
      </c>
      <c r="AS234" s="68">
        <f t="shared" si="115"/>
        <v>1.1000000000000001</v>
      </c>
      <c r="AT234" s="68">
        <f t="shared" si="116"/>
        <v>1.1000000000000001</v>
      </c>
      <c r="AU234" s="68">
        <f t="shared" si="117"/>
        <v>1.1000000000000001</v>
      </c>
      <c r="AV234" s="68">
        <f t="shared" si="118"/>
        <v>1.1000000000000001</v>
      </c>
      <c r="AW234" s="68">
        <f t="shared" si="119"/>
        <v>1.05</v>
      </c>
      <c r="AX234" s="68">
        <f t="shared" ca="1" si="110"/>
        <v>-1.1000000000000001</v>
      </c>
      <c r="AY234" s="106">
        <v>2023</v>
      </c>
      <c r="AZ234" s="111" t="s">
        <v>13</v>
      </c>
      <c r="BA234" s="106" t="str">
        <f t="shared" si="120"/>
        <v/>
      </c>
      <c r="BB234" s="110"/>
      <c r="BC234" s="110">
        <v>7</v>
      </c>
      <c r="BD234" s="110"/>
      <c r="BE234" s="110"/>
      <c r="BF234" s="110"/>
      <c r="BG234" s="110"/>
      <c r="BH234" s="110"/>
      <c r="BI234" s="33"/>
      <c r="BJ234" s="2"/>
      <c r="BK234" s="48">
        <f>$G234/5280*VLOOKUP($AC234,'Cost and Score'!$B$27:$O$40,6,0)</f>
        <v>0.18060606060606063</v>
      </c>
      <c r="BL234" s="48">
        <f>$G234/5280*VLOOKUP($AC234,'Cost and Score'!$B$27:$O$40,7,0)</f>
        <v>19.866666666666667</v>
      </c>
      <c r="BM234" s="48">
        <f>$G234/5280*VLOOKUP($AC234,'Cost and Score'!$B$27:$O$40,8,0)</f>
        <v>0</v>
      </c>
      <c r="BN234" s="48">
        <f>$G234/5280*VLOOKUP($AC234,'Cost and Score'!$B$27:$O$40,9,0)</f>
        <v>4063.636363636364</v>
      </c>
      <c r="BO234" s="48">
        <f>$G234/5280*VLOOKUP($AC234,'Cost and Score'!$B$27:$O$40,10,0)</f>
        <v>903.03030303030312</v>
      </c>
      <c r="BP234" s="48">
        <f>$G234/5280*VLOOKUP($AC234,'Cost and Score'!$B$27:$O$40,11,0)</f>
        <v>0</v>
      </c>
      <c r="BQ234" s="48">
        <f>$G234/5280*VLOOKUP($AC234,'Cost and Score'!$B$27:$O$40,12,0)</f>
        <v>90.303030303030312</v>
      </c>
      <c r="BR234" s="48">
        <f>$G234/5280*VLOOKUP($AC234,'Cost and Score'!$B$27:$O$40,13,0)</f>
        <v>108.36363636363637</v>
      </c>
      <c r="BS234" s="48">
        <f>$G234/5280*VLOOKUP($AC234,'Cost and Score'!$B$27:$O$40,14,0)</f>
        <v>0</v>
      </c>
      <c r="BT234" s="220">
        <f t="shared" si="121"/>
        <v>0.90303030303030307</v>
      </c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W234" s="2"/>
      <c r="CX234" s="2"/>
      <c r="CY234" s="2"/>
    </row>
    <row r="235" spans="1:103" s="2" customFormat="1" x14ac:dyDescent="0.25">
      <c r="A235" s="15" t="s">
        <v>597</v>
      </c>
      <c r="B235" s="34" t="s">
        <v>596</v>
      </c>
      <c r="C235" s="85" t="s">
        <v>596</v>
      </c>
      <c r="D235" s="85"/>
      <c r="E235" s="85" t="s">
        <v>39</v>
      </c>
      <c r="F235" s="85" t="s">
        <v>38</v>
      </c>
      <c r="G235" s="29">
        <v>5289</v>
      </c>
      <c r="H235" s="29">
        <f t="shared" si="129"/>
        <v>20</v>
      </c>
      <c r="I235" s="85" t="s">
        <v>8</v>
      </c>
      <c r="J235" s="85" t="s">
        <v>11</v>
      </c>
      <c r="K235" s="85">
        <f t="shared" si="128"/>
        <v>0</v>
      </c>
      <c r="L235" s="74">
        <v>6</v>
      </c>
      <c r="M235" s="74">
        <v>6</v>
      </c>
      <c r="N235" s="74">
        <v>6</v>
      </c>
      <c r="O235" s="74">
        <v>6</v>
      </c>
      <c r="P235" s="74">
        <v>6</v>
      </c>
      <c r="Q235" s="74">
        <v>6</v>
      </c>
      <c r="R235" s="74">
        <v>8</v>
      </c>
      <c r="S235" s="74">
        <v>7</v>
      </c>
      <c r="T235" s="74">
        <v>7</v>
      </c>
      <c r="U235" s="74">
        <v>7</v>
      </c>
      <c r="V235" s="74"/>
      <c r="W235" s="74"/>
      <c r="X235" s="74"/>
      <c r="Y235" s="85">
        <v>370</v>
      </c>
      <c r="Z235" s="85">
        <f t="shared" si="130"/>
        <v>0</v>
      </c>
      <c r="AA235" s="85" t="s">
        <v>124</v>
      </c>
      <c r="AB235" s="111">
        <f t="shared" si="112"/>
        <v>4</v>
      </c>
      <c r="AC235" s="85" t="s">
        <v>13</v>
      </c>
      <c r="AD235" s="47">
        <f t="shared" si="107"/>
        <v>21035.795454545456</v>
      </c>
      <c r="AE235" s="140"/>
      <c r="AF235" s="113">
        <f t="shared" si="131"/>
        <v>0</v>
      </c>
      <c r="AG235" s="106">
        <v>2025</v>
      </c>
      <c r="AH235" s="26" t="str">
        <f t="shared" si="103"/>
        <v/>
      </c>
      <c r="AI235" s="26" t="str">
        <f t="shared" si="132"/>
        <v/>
      </c>
      <c r="AJ235" s="26" t="str">
        <f t="shared" si="132"/>
        <v/>
      </c>
      <c r="AK235" s="26" t="str">
        <f t="shared" si="104"/>
        <v>Chip Seal and Fog</v>
      </c>
      <c r="AL235" s="26" t="str">
        <f t="shared" si="124"/>
        <v/>
      </c>
      <c r="AM235" s="26" t="str">
        <f t="shared" si="123"/>
        <v/>
      </c>
      <c r="AN235" s="26" t="str">
        <f t="shared" si="113"/>
        <v>Chip Seal and Fog</v>
      </c>
      <c r="AO235" s="26" t="str">
        <f t="shared" si="125"/>
        <v/>
      </c>
      <c r="AP235" s="26" t="str">
        <f t="shared" si="114"/>
        <v/>
      </c>
      <c r="AQ235" s="68">
        <f t="shared" si="108"/>
        <v>8</v>
      </c>
      <c r="AR235" s="68">
        <f t="shared" si="109"/>
        <v>6</v>
      </c>
      <c r="AS235" s="68">
        <f t="shared" si="115"/>
        <v>1.1000000000000001</v>
      </c>
      <c r="AT235" s="68">
        <f t="shared" si="116"/>
        <v>1.1000000000000001</v>
      </c>
      <c r="AU235" s="68">
        <f t="shared" si="117"/>
        <v>1.1000000000000001</v>
      </c>
      <c r="AV235" s="68">
        <f t="shared" si="118"/>
        <v>1.1000000000000001</v>
      </c>
      <c r="AW235" s="68">
        <f t="shared" si="119"/>
        <v>1.1000000000000001</v>
      </c>
      <c r="AX235" s="68">
        <f t="shared" ca="1" si="110"/>
        <v>1.1000000000000001</v>
      </c>
      <c r="AY235" s="106">
        <v>2019</v>
      </c>
      <c r="AZ235" s="106" t="s">
        <v>2075</v>
      </c>
      <c r="BA235" s="106" t="str">
        <f t="shared" si="120"/>
        <v/>
      </c>
      <c r="BB235" s="177"/>
      <c r="BC235" s="177">
        <v>2</v>
      </c>
      <c r="BD235" s="177"/>
      <c r="BE235" s="177"/>
      <c r="BF235" s="177"/>
      <c r="BG235" s="177"/>
      <c r="BH235" s="177"/>
      <c r="BI235" s="33"/>
      <c r="BK235" s="48">
        <f>$G235/5280*VLOOKUP($AC235,'Cost and Score'!$B$27:$O$40,6,0)</f>
        <v>0.2003409090909091</v>
      </c>
      <c r="BL235" s="48">
        <f>$G235/5280*VLOOKUP($AC235,'Cost and Score'!$B$27:$O$40,7,0)</f>
        <v>22.037500000000001</v>
      </c>
      <c r="BM235" s="48">
        <f>$G235/5280*VLOOKUP($AC235,'Cost and Score'!$B$27:$O$40,8,0)</f>
        <v>0</v>
      </c>
      <c r="BN235" s="48">
        <f>$G235/5280*VLOOKUP($AC235,'Cost and Score'!$B$27:$O$40,9,0)</f>
        <v>4507.670454545455</v>
      </c>
      <c r="BO235" s="48">
        <f>$G235/5280*VLOOKUP($AC235,'Cost and Score'!$B$27:$O$40,10,0)</f>
        <v>1001.7045454545455</v>
      </c>
      <c r="BP235" s="48">
        <f>$G235/5280*VLOOKUP($AC235,'Cost and Score'!$B$27:$O$40,11,0)</f>
        <v>0</v>
      </c>
      <c r="BQ235" s="48">
        <f>$G235/5280*VLOOKUP($AC235,'Cost and Score'!$B$27:$O$40,12,0)</f>
        <v>100.17045454545455</v>
      </c>
      <c r="BR235" s="48">
        <f>$G235/5280*VLOOKUP($AC235,'Cost and Score'!$B$27:$O$40,13,0)</f>
        <v>120.20454545454545</v>
      </c>
      <c r="BS235" s="48">
        <f>$G235/5280*VLOOKUP($AC235,'Cost and Score'!$B$27:$O$40,14,0)</f>
        <v>0</v>
      </c>
      <c r="BT235" s="220">
        <f t="shared" si="121"/>
        <v>1.0017045454545455</v>
      </c>
    </row>
    <row r="236" spans="1:103" s="2" customFormat="1" ht="14.45" hidden="1" customHeight="1" x14ac:dyDescent="0.25">
      <c r="A236" s="15" t="s">
        <v>566</v>
      </c>
      <c r="B236" s="34" t="s">
        <v>564</v>
      </c>
      <c r="C236" s="26" t="s">
        <v>564</v>
      </c>
      <c r="D236" s="82"/>
      <c r="E236" s="82" t="s">
        <v>565</v>
      </c>
      <c r="F236" s="82" t="s">
        <v>147</v>
      </c>
      <c r="G236" s="29">
        <v>4440</v>
      </c>
      <c r="H236" s="29">
        <f t="shared" si="129"/>
        <v>20</v>
      </c>
      <c r="I236" s="26" t="s">
        <v>8</v>
      </c>
      <c r="J236" s="26" t="s">
        <v>172</v>
      </c>
      <c r="K236" s="26">
        <f t="shared" si="128"/>
        <v>0</v>
      </c>
      <c r="L236" s="42">
        <v>7</v>
      </c>
      <c r="M236" s="42">
        <v>6</v>
      </c>
      <c r="N236" s="42">
        <v>9</v>
      </c>
      <c r="O236" s="83">
        <v>9</v>
      </c>
      <c r="P236" s="83">
        <v>8</v>
      </c>
      <c r="Q236" s="83">
        <v>7</v>
      </c>
      <c r="R236" s="83">
        <v>7</v>
      </c>
      <c r="S236" s="83">
        <v>7</v>
      </c>
      <c r="T236" s="83">
        <v>7</v>
      </c>
      <c r="U236" s="83">
        <v>7</v>
      </c>
      <c r="V236" s="42"/>
      <c r="W236" s="42"/>
      <c r="X236" s="42"/>
      <c r="Y236" s="26">
        <v>383</v>
      </c>
      <c r="Z236" s="26">
        <f t="shared" si="130"/>
        <v>0</v>
      </c>
      <c r="AA236" s="82" t="s">
        <v>104</v>
      </c>
      <c r="AB236" s="111">
        <f t="shared" si="112"/>
        <v>2</v>
      </c>
      <c r="AC236" s="82" t="s">
        <v>13</v>
      </c>
      <c r="AD236" s="84">
        <f t="shared" si="107"/>
        <v>17659.090909090908</v>
      </c>
      <c r="AE236" s="140"/>
      <c r="AF236" s="113">
        <f t="shared" si="131"/>
        <v>0</v>
      </c>
      <c r="AG236" s="85">
        <v>2026</v>
      </c>
      <c r="AH236" s="26" t="str">
        <f t="shared" si="103"/>
        <v/>
      </c>
      <c r="AI236" s="26" t="str">
        <f t="shared" si="132"/>
        <v/>
      </c>
      <c r="AJ236" s="26" t="str">
        <f t="shared" si="132"/>
        <v/>
      </c>
      <c r="AK236" s="26" t="str">
        <f t="shared" si="104"/>
        <v/>
      </c>
      <c r="AL236" s="26" t="str">
        <f t="shared" si="124"/>
        <v>Chip Seal and Fog</v>
      </c>
      <c r="AM236" s="26" t="str">
        <f t="shared" si="123"/>
        <v/>
      </c>
      <c r="AN236" s="26" t="str">
        <f t="shared" si="113"/>
        <v>Chip Seal and Fog</v>
      </c>
      <c r="AO236" s="26" t="str">
        <f t="shared" si="125"/>
        <v/>
      </c>
      <c r="AP236" s="26" t="str">
        <f t="shared" si="114"/>
        <v/>
      </c>
      <c r="AQ236" s="68">
        <f t="shared" si="108"/>
        <v>14</v>
      </c>
      <c r="AR236" s="68">
        <f t="shared" si="109"/>
        <v>6</v>
      </c>
      <c r="AS236" s="68">
        <f t="shared" si="115"/>
        <v>1.05</v>
      </c>
      <c r="AT236" s="68">
        <f t="shared" si="116"/>
        <v>1.1000000000000001</v>
      </c>
      <c r="AU236" s="68">
        <f t="shared" si="117"/>
        <v>1</v>
      </c>
      <c r="AV236" s="68">
        <f t="shared" si="118"/>
        <v>1</v>
      </c>
      <c r="AW236" s="68">
        <f t="shared" si="119"/>
        <v>1</v>
      </c>
      <c r="AX236" s="68">
        <f t="shared" ca="1" si="110"/>
        <v>2</v>
      </c>
      <c r="AY236" s="106">
        <v>2020</v>
      </c>
      <c r="AZ236" s="106" t="s">
        <v>13</v>
      </c>
      <c r="BA236" s="106" t="str">
        <f t="shared" si="120"/>
        <v/>
      </c>
      <c r="BB236" s="177"/>
      <c r="BC236" s="177">
        <v>7</v>
      </c>
      <c r="BD236" s="177"/>
      <c r="BE236" s="177"/>
      <c r="BF236" s="177"/>
      <c r="BG236" s="177"/>
      <c r="BH236" s="177"/>
      <c r="BI236" s="33"/>
      <c r="BK236" s="48">
        <f>$G236/5280*VLOOKUP($AC236,'Cost and Score'!$B$27:$O$40,6,0)</f>
        <v>0.16818181818181821</v>
      </c>
      <c r="BL236" s="48">
        <f>$G236/5280*VLOOKUP($AC236,'Cost and Score'!$B$27:$O$40,7,0)</f>
        <v>18.5</v>
      </c>
      <c r="BM236" s="48">
        <f>$G236/5280*VLOOKUP($AC236,'Cost and Score'!$B$27:$O$40,8,0)</f>
        <v>0</v>
      </c>
      <c r="BN236" s="48">
        <f>$G236/5280*VLOOKUP($AC236,'Cost and Score'!$B$27:$O$40,9,0)</f>
        <v>3784.090909090909</v>
      </c>
      <c r="BO236" s="48">
        <f>$G236/5280*VLOOKUP($AC236,'Cost and Score'!$B$27:$O$40,10,0)</f>
        <v>840.90909090909099</v>
      </c>
      <c r="BP236" s="48">
        <f>$G236/5280*VLOOKUP($AC236,'Cost and Score'!$B$27:$O$40,11,0)</f>
        <v>0</v>
      </c>
      <c r="BQ236" s="48">
        <f>$G236/5280*VLOOKUP($AC236,'Cost and Score'!$B$27:$O$40,12,0)</f>
        <v>84.090909090909093</v>
      </c>
      <c r="BR236" s="48">
        <f>$G236/5280*VLOOKUP($AC236,'Cost and Score'!$B$27:$O$40,13,0)</f>
        <v>100.90909090909091</v>
      </c>
      <c r="BS236" s="48">
        <f>$G236/5280*VLOOKUP($AC236,'Cost and Score'!$B$27:$O$40,14,0)</f>
        <v>0</v>
      </c>
      <c r="BT236" s="220">
        <f t="shared" si="121"/>
        <v>0.84090909090909094</v>
      </c>
      <c r="CW236" s="112"/>
      <c r="CX236" s="112"/>
      <c r="CY236" s="112"/>
    </row>
    <row r="237" spans="1:103" s="2" customFormat="1" ht="14.45" hidden="1" customHeight="1" x14ac:dyDescent="0.25">
      <c r="A237" s="15" t="s">
        <v>568</v>
      </c>
      <c r="B237" s="34" t="s">
        <v>567</v>
      </c>
      <c r="C237" s="26" t="s">
        <v>567</v>
      </c>
      <c r="D237" s="26"/>
      <c r="E237" s="26" t="s">
        <v>147</v>
      </c>
      <c r="F237" s="26" t="s">
        <v>297</v>
      </c>
      <c r="G237" s="29">
        <v>5435</v>
      </c>
      <c r="H237" s="29">
        <f t="shared" si="129"/>
        <v>20</v>
      </c>
      <c r="I237" s="26" t="s">
        <v>8</v>
      </c>
      <c r="J237" s="26" t="s">
        <v>172</v>
      </c>
      <c r="K237" s="26">
        <f t="shared" si="128"/>
        <v>0</v>
      </c>
      <c r="L237" s="42">
        <v>5</v>
      </c>
      <c r="M237" s="42">
        <v>5</v>
      </c>
      <c r="N237" s="42">
        <v>9</v>
      </c>
      <c r="O237" s="42">
        <v>9</v>
      </c>
      <c r="P237" s="42">
        <v>8</v>
      </c>
      <c r="Q237" s="42">
        <v>8</v>
      </c>
      <c r="R237" s="42">
        <v>7</v>
      </c>
      <c r="S237" s="42">
        <v>7</v>
      </c>
      <c r="T237" s="42">
        <v>7</v>
      </c>
      <c r="U237" s="42">
        <v>7</v>
      </c>
      <c r="V237" s="42"/>
      <c r="W237" s="42"/>
      <c r="X237" s="42"/>
      <c r="Y237" s="26">
        <v>398</v>
      </c>
      <c r="Z237" s="26">
        <f t="shared" si="130"/>
        <v>0</v>
      </c>
      <c r="AA237" s="26" t="s">
        <v>104</v>
      </c>
      <c r="AB237" s="111">
        <f t="shared" si="112"/>
        <v>2</v>
      </c>
      <c r="AC237" s="26" t="s">
        <v>13</v>
      </c>
      <c r="AD237" s="47">
        <f t="shared" si="107"/>
        <v>21616.477272727272</v>
      </c>
      <c r="AE237" s="140"/>
      <c r="AF237" s="113">
        <f t="shared" si="131"/>
        <v>0</v>
      </c>
      <c r="AG237" s="26">
        <v>2022</v>
      </c>
      <c r="AH237" s="26" t="str">
        <f t="shared" si="103"/>
        <v>Chip Seal and Fog</v>
      </c>
      <c r="AI237" s="26" t="str">
        <f t="shared" si="132"/>
        <v/>
      </c>
      <c r="AJ237" s="26" t="str">
        <f t="shared" si="132"/>
        <v/>
      </c>
      <c r="AK237" s="26" t="str">
        <f t="shared" si="104"/>
        <v/>
      </c>
      <c r="AL237" s="26" t="str">
        <f t="shared" si="124"/>
        <v/>
      </c>
      <c r="AM237" s="26" t="str">
        <f t="shared" si="123"/>
        <v/>
      </c>
      <c r="AN237" s="26" t="str">
        <f t="shared" si="113"/>
        <v>Chip Seal and Fog</v>
      </c>
      <c r="AO237" s="26" t="str">
        <f t="shared" si="125"/>
        <v/>
      </c>
      <c r="AP237" s="26" t="str">
        <f t="shared" si="114"/>
        <v/>
      </c>
      <c r="AQ237" s="68">
        <f t="shared" si="108"/>
        <v>14</v>
      </c>
      <c r="AR237" s="68">
        <f t="shared" si="109"/>
        <v>6</v>
      </c>
      <c r="AS237" s="68">
        <f t="shared" si="115"/>
        <v>1.25</v>
      </c>
      <c r="AT237" s="68">
        <f t="shared" si="116"/>
        <v>1.25</v>
      </c>
      <c r="AU237" s="68">
        <f t="shared" si="117"/>
        <v>1</v>
      </c>
      <c r="AV237" s="68">
        <f t="shared" si="118"/>
        <v>1</v>
      </c>
      <c r="AW237" s="68">
        <f t="shared" si="119"/>
        <v>1</v>
      </c>
      <c r="AX237" s="68">
        <f t="shared" ca="1" si="110"/>
        <v>-2</v>
      </c>
      <c r="AY237" s="106">
        <v>2015</v>
      </c>
      <c r="AZ237" s="106" t="s">
        <v>2072</v>
      </c>
      <c r="BA237" s="106" t="str">
        <f t="shared" si="120"/>
        <v/>
      </c>
      <c r="BB237" s="177"/>
      <c r="BC237" s="177">
        <v>7</v>
      </c>
      <c r="BD237" s="177"/>
      <c r="BE237" s="177"/>
      <c r="BF237" s="177"/>
      <c r="BG237" s="177"/>
      <c r="BH237" s="177"/>
      <c r="BI237" s="33"/>
      <c r="BK237" s="48">
        <f>$G237/5280*VLOOKUP($AC237,'Cost and Score'!$B$27:$O$40,6,0)</f>
        <v>0.20587121212121212</v>
      </c>
      <c r="BL237" s="48">
        <f>$G237/5280*VLOOKUP($AC237,'Cost and Score'!$B$27:$O$40,7,0)</f>
        <v>22.645833333333332</v>
      </c>
      <c r="BM237" s="48">
        <f>$G237/5280*VLOOKUP($AC237,'Cost and Score'!$B$27:$O$40,8,0)</f>
        <v>0</v>
      </c>
      <c r="BN237" s="48">
        <f>$G237/5280*VLOOKUP($AC237,'Cost and Score'!$B$27:$O$40,9,0)</f>
        <v>4632.1022727272721</v>
      </c>
      <c r="BO237" s="48">
        <f>$G237/5280*VLOOKUP($AC237,'Cost and Score'!$B$27:$O$40,10,0)</f>
        <v>1029.3560606060605</v>
      </c>
      <c r="BP237" s="48">
        <f>$G237/5280*VLOOKUP($AC237,'Cost and Score'!$B$27:$O$40,11,0)</f>
        <v>0</v>
      </c>
      <c r="BQ237" s="48">
        <f>$G237/5280*VLOOKUP($AC237,'Cost and Score'!$B$27:$O$40,12,0)</f>
        <v>102.93560606060606</v>
      </c>
      <c r="BR237" s="48">
        <f>$G237/5280*VLOOKUP($AC237,'Cost and Score'!$B$27:$O$40,13,0)</f>
        <v>123.52272727272727</v>
      </c>
      <c r="BS237" s="48">
        <f>$G237/5280*VLOOKUP($AC237,'Cost and Score'!$B$27:$O$40,14,0)</f>
        <v>0</v>
      </c>
      <c r="BT237" s="220">
        <f t="shared" si="121"/>
        <v>1.0293560606060606</v>
      </c>
      <c r="BY237" s="2" t="s">
        <v>2078</v>
      </c>
      <c r="BZ237" s="27">
        <v>30000</v>
      </c>
      <c r="CA237" s="2" t="s">
        <v>2091</v>
      </c>
    </row>
    <row r="238" spans="1:103" s="2" customFormat="1" ht="14.45" hidden="1" customHeight="1" x14ac:dyDescent="0.25">
      <c r="A238" s="15" t="s">
        <v>570</v>
      </c>
      <c r="B238" s="34" t="s">
        <v>569</v>
      </c>
      <c r="C238" s="26" t="s">
        <v>569</v>
      </c>
      <c r="D238" s="26"/>
      <c r="E238" s="26" t="s">
        <v>140</v>
      </c>
      <c r="F238" s="26" t="s">
        <v>565</v>
      </c>
      <c r="G238" s="29">
        <v>1015</v>
      </c>
      <c r="H238" s="29">
        <f t="shared" si="129"/>
        <v>20</v>
      </c>
      <c r="I238" s="26" t="s">
        <v>8</v>
      </c>
      <c r="J238" s="26" t="s">
        <v>172</v>
      </c>
      <c r="K238" s="26">
        <f t="shared" si="128"/>
        <v>0</v>
      </c>
      <c r="L238" s="42">
        <v>5</v>
      </c>
      <c r="M238" s="42">
        <v>5</v>
      </c>
      <c r="N238" s="42">
        <v>7</v>
      </c>
      <c r="O238" s="42">
        <v>9</v>
      </c>
      <c r="P238" s="42">
        <v>8</v>
      </c>
      <c r="Q238" s="42">
        <v>7</v>
      </c>
      <c r="R238" s="42">
        <v>6</v>
      </c>
      <c r="S238" s="42">
        <v>7</v>
      </c>
      <c r="T238" s="42">
        <v>7</v>
      </c>
      <c r="U238" s="42">
        <v>7</v>
      </c>
      <c r="V238" s="42"/>
      <c r="W238" s="42"/>
      <c r="X238" s="42"/>
      <c r="Y238" s="26">
        <v>383</v>
      </c>
      <c r="Z238" s="26">
        <f t="shared" si="130"/>
        <v>0</v>
      </c>
      <c r="AA238" s="26" t="s">
        <v>104</v>
      </c>
      <c r="AB238" s="111">
        <f t="shared" si="112"/>
        <v>2</v>
      </c>
      <c r="AC238" s="26" t="s">
        <v>13</v>
      </c>
      <c r="AD238" s="47">
        <f t="shared" si="107"/>
        <v>4036.931818181818</v>
      </c>
      <c r="AE238" s="140"/>
      <c r="AF238" s="113">
        <f t="shared" si="131"/>
        <v>0</v>
      </c>
      <c r="AG238" s="26">
        <v>2022</v>
      </c>
      <c r="AH238" s="26" t="str">
        <f t="shared" si="103"/>
        <v>Chip Seal and Fog</v>
      </c>
      <c r="AI238" s="26" t="str">
        <f t="shared" si="132"/>
        <v/>
      </c>
      <c r="AJ238" s="26" t="str">
        <f t="shared" si="132"/>
        <v/>
      </c>
      <c r="AK238" s="26" t="str">
        <f t="shared" si="104"/>
        <v/>
      </c>
      <c r="AL238" s="26" t="str">
        <f t="shared" si="124"/>
        <v/>
      </c>
      <c r="AM238" s="26" t="str">
        <f t="shared" si="123"/>
        <v/>
      </c>
      <c r="AN238" s="26" t="str">
        <f t="shared" si="113"/>
        <v>Chip Seal and Fog</v>
      </c>
      <c r="AO238" s="26" t="str">
        <f t="shared" si="125"/>
        <v/>
      </c>
      <c r="AP238" s="26" t="str">
        <f t="shared" si="114"/>
        <v/>
      </c>
      <c r="AQ238" s="68">
        <f t="shared" si="108"/>
        <v>14</v>
      </c>
      <c r="AR238" s="68">
        <f t="shared" si="109"/>
        <v>6</v>
      </c>
      <c r="AS238" s="68">
        <f t="shared" si="115"/>
        <v>1.25</v>
      </c>
      <c r="AT238" s="68">
        <f t="shared" si="116"/>
        <v>1.25</v>
      </c>
      <c r="AU238" s="68">
        <f t="shared" si="117"/>
        <v>1.05</v>
      </c>
      <c r="AV238" s="68">
        <f t="shared" si="118"/>
        <v>1</v>
      </c>
      <c r="AW238" s="68">
        <f t="shared" si="119"/>
        <v>1</v>
      </c>
      <c r="AX238" s="68">
        <f t="shared" ca="1" si="110"/>
        <v>-2.1</v>
      </c>
      <c r="AY238" s="106">
        <v>2015</v>
      </c>
      <c r="AZ238" s="106" t="s">
        <v>2072</v>
      </c>
      <c r="BA238" s="106" t="str">
        <f t="shared" si="120"/>
        <v/>
      </c>
      <c r="BB238" s="177"/>
      <c r="BC238" s="177">
        <v>7</v>
      </c>
      <c r="BD238" s="177"/>
      <c r="BE238" s="177"/>
      <c r="BF238" s="177"/>
      <c r="BG238" s="177"/>
      <c r="BH238" s="177"/>
      <c r="BI238" s="33"/>
      <c r="BK238" s="48">
        <f>$G238/5280*VLOOKUP($AC238,'Cost and Score'!$B$27:$O$40,6,0)</f>
        <v>3.8446969696969702E-2</v>
      </c>
      <c r="BL238" s="48">
        <f>$G238/5280*VLOOKUP($AC238,'Cost and Score'!$B$27:$O$40,7,0)</f>
        <v>4.229166666666667</v>
      </c>
      <c r="BM238" s="48">
        <f>$G238/5280*VLOOKUP($AC238,'Cost and Score'!$B$27:$O$40,8,0)</f>
        <v>0</v>
      </c>
      <c r="BN238" s="48">
        <f>$G238/5280*VLOOKUP($AC238,'Cost and Score'!$B$27:$O$40,9,0)</f>
        <v>865.05681818181813</v>
      </c>
      <c r="BO238" s="48">
        <f>$G238/5280*VLOOKUP($AC238,'Cost and Score'!$B$27:$O$40,10,0)</f>
        <v>192.23484848484847</v>
      </c>
      <c r="BP238" s="48">
        <f>$G238/5280*VLOOKUP($AC238,'Cost and Score'!$B$27:$O$40,11,0)</f>
        <v>0</v>
      </c>
      <c r="BQ238" s="48">
        <f>$G238/5280*VLOOKUP($AC238,'Cost and Score'!$B$27:$O$40,12,0)</f>
        <v>19.223484848484848</v>
      </c>
      <c r="BR238" s="48">
        <f>$G238/5280*VLOOKUP($AC238,'Cost and Score'!$B$27:$O$40,13,0)</f>
        <v>23.068181818181817</v>
      </c>
      <c r="BS238" s="48">
        <f>$G238/5280*VLOOKUP($AC238,'Cost and Score'!$B$27:$O$40,14,0)</f>
        <v>0</v>
      </c>
      <c r="BT238" s="220">
        <f t="shared" si="121"/>
        <v>0.19223484848484848</v>
      </c>
      <c r="BY238" s="2" t="s">
        <v>2371</v>
      </c>
      <c r="BZ238" s="27">
        <v>40000</v>
      </c>
      <c r="CA238" s="2" t="s">
        <v>2372</v>
      </c>
      <c r="CR238" s="112"/>
    </row>
    <row r="239" spans="1:103" s="2" customFormat="1" ht="14.45" hidden="1" customHeight="1" x14ac:dyDescent="0.25">
      <c r="A239" s="36" t="s">
        <v>572</v>
      </c>
      <c r="B239" s="34" t="s">
        <v>571</v>
      </c>
      <c r="C239" s="85" t="s">
        <v>571</v>
      </c>
      <c r="D239" s="85"/>
      <c r="E239" s="85" t="s">
        <v>129</v>
      </c>
      <c r="F239" s="85" t="s">
        <v>162</v>
      </c>
      <c r="G239" s="29">
        <v>2675</v>
      </c>
      <c r="H239" s="29">
        <f t="shared" si="129"/>
        <v>20</v>
      </c>
      <c r="I239" s="85" t="s">
        <v>8</v>
      </c>
      <c r="J239" s="85" t="s">
        <v>160</v>
      </c>
      <c r="K239" s="85">
        <f t="shared" si="128"/>
        <v>0</v>
      </c>
      <c r="L239" s="74">
        <v>8</v>
      </c>
      <c r="M239" s="74">
        <v>7</v>
      </c>
      <c r="N239" s="74">
        <v>7</v>
      </c>
      <c r="O239" s="74">
        <v>6</v>
      </c>
      <c r="P239" s="74">
        <v>6</v>
      </c>
      <c r="Q239" s="74">
        <v>6</v>
      </c>
      <c r="R239" s="74">
        <v>6</v>
      </c>
      <c r="S239" s="74">
        <v>6</v>
      </c>
      <c r="T239" s="74">
        <v>6</v>
      </c>
      <c r="U239" s="74">
        <v>6</v>
      </c>
      <c r="V239" s="74">
        <v>2024</v>
      </c>
      <c r="W239" s="74"/>
      <c r="X239" s="74" t="s">
        <v>2619</v>
      </c>
      <c r="Y239" s="85">
        <v>1427</v>
      </c>
      <c r="Z239" s="85">
        <f t="shared" si="130"/>
        <v>0.5</v>
      </c>
      <c r="AA239" s="85" t="s">
        <v>104</v>
      </c>
      <c r="AB239" s="111">
        <f t="shared" si="112"/>
        <v>4.5</v>
      </c>
      <c r="AC239" s="85" t="s">
        <v>2072</v>
      </c>
      <c r="AD239" s="47">
        <f t="shared" si="107"/>
        <v>23304.924242424244</v>
      </c>
      <c r="AE239" s="140"/>
      <c r="AF239" s="113">
        <f t="shared" si="131"/>
        <v>0</v>
      </c>
      <c r="AG239" s="85">
        <v>2026</v>
      </c>
      <c r="AH239" s="26" t="str">
        <f t="shared" si="103"/>
        <v/>
      </c>
      <c r="AI239" s="26" t="str">
        <f t="shared" si="132"/>
        <v/>
      </c>
      <c r="AJ239" s="26" t="str">
        <f t="shared" si="132"/>
        <v/>
      </c>
      <c r="AK239" s="26" t="str">
        <f t="shared" si="104"/>
        <v/>
      </c>
      <c r="AL239" s="26" t="str">
        <f t="shared" si="124"/>
        <v>Chip Seal - Triple</v>
      </c>
      <c r="AM239" s="26" t="str">
        <f t="shared" si="123"/>
        <v/>
      </c>
      <c r="AN239" s="26" t="str">
        <f t="shared" si="113"/>
        <v>Chip Seal - Triple</v>
      </c>
      <c r="AO239" s="26" t="str">
        <f t="shared" si="125"/>
        <v/>
      </c>
      <c r="AP239" s="26" t="str">
        <f t="shared" si="114"/>
        <v/>
      </c>
      <c r="AQ239" s="68">
        <f t="shared" si="108"/>
        <v>8</v>
      </c>
      <c r="AR239" s="68">
        <f t="shared" si="109"/>
        <v>8</v>
      </c>
      <c r="AS239" s="68">
        <f t="shared" si="115"/>
        <v>1</v>
      </c>
      <c r="AT239" s="68">
        <f t="shared" si="116"/>
        <v>1.05</v>
      </c>
      <c r="AU239" s="68">
        <f t="shared" si="117"/>
        <v>1.05</v>
      </c>
      <c r="AV239" s="68">
        <f t="shared" si="118"/>
        <v>1.1000000000000001</v>
      </c>
      <c r="AW239" s="68">
        <f t="shared" si="119"/>
        <v>1.1000000000000001</v>
      </c>
      <c r="AX239" s="68">
        <f t="shared" ca="1" si="110"/>
        <v>2.1</v>
      </c>
      <c r="AY239" s="106">
        <v>2020</v>
      </c>
      <c r="AZ239" s="106" t="s">
        <v>2075</v>
      </c>
      <c r="BA239" s="106" t="str">
        <f t="shared" si="120"/>
        <v/>
      </c>
      <c r="BB239" s="177"/>
      <c r="BC239" s="177">
        <v>8</v>
      </c>
      <c r="BD239" s="177"/>
      <c r="BE239" s="177"/>
      <c r="BF239" s="177"/>
      <c r="BG239" s="177"/>
      <c r="BH239" s="177"/>
      <c r="BI239" s="33"/>
      <c r="BK239" s="48">
        <f>$G239/5280*VLOOKUP($AC239,'Cost and Score'!$B$27:$O$40,6,0)</f>
        <v>0.30397727272727271</v>
      </c>
      <c r="BL239" s="48">
        <f>$G239/5280*VLOOKUP($AC239,'Cost and Score'!$B$27:$O$40,7,0)</f>
        <v>63.328598484848477</v>
      </c>
      <c r="BM239" s="48">
        <f>$G239/5280*VLOOKUP($AC239,'Cost and Score'!$B$27:$O$40,8,0)</f>
        <v>101.32575757575756</v>
      </c>
      <c r="BN239" s="48">
        <f>$G239/5280*VLOOKUP($AC239,'Cost and Score'!$B$27:$O$40,9,0)</f>
        <v>1013.2575757575756</v>
      </c>
      <c r="BO239" s="48">
        <f>$G239/5280*VLOOKUP($AC239,'Cost and Score'!$B$27:$O$40,10,0)</f>
        <v>253.31439393939391</v>
      </c>
      <c r="BP239" s="48">
        <f>$G239/5280*VLOOKUP($AC239,'Cost and Score'!$B$27:$O$40,11,0)</f>
        <v>50.662878787878782</v>
      </c>
      <c r="BQ239" s="48">
        <f>$G239/5280*VLOOKUP($AC239,'Cost and Score'!$B$27:$O$40,12,0)</f>
        <v>405.30303030303025</v>
      </c>
      <c r="BR239" s="48">
        <f>$G239/5280*VLOOKUP($AC239,'Cost and Score'!$B$27:$O$40,13,0)</f>
        <v>40.530303030303031</v>
      </c>
      <c r="BS239" s="48">
        <f>$G239/5280*VLOOKUP($AC239,'Cost and Score'!$B$27:$O$40,14,0)</f>
        <v>0</v>
      </c>
      <c r="BT239" s="220">
        <f t="shared" si="121"/>
        <v>0.50662878787878785</v>
      </c>
    </row>
    <row r="240" spans="1:103" s="112" customFormat="1" ht="14.45" hidden="1" customHeight="1" x14ac:dyDescent="0.25">
      <c r="A240" s="15" t="s">
        <v>574</v>
      </c>
      <c r="B240" s="108" t="s">
        <v>573</v>
      </c>
      <c r="C240" s="106" t="s">
        <v>573</v>
      </c>
      <c r="D240" s="106"/>
      <c r="E240" s="106" t="s">
        <v>67</v>
      </c>
      <c r="F240" s="106" t="s">
        <v>155</v>
      </c>
      <c r="G240" s="109">
        <v>2580</v>
      </c>
      <c r="H240" s="109">
        <f t="shared" si="129"/>
        <v>20</v>
      </c>
      <c r="I240" s="106" t="s">
        <v>8</v>
      </c>
      <c r="J240" s="106" t="s">
        <v>6</v>
      </c>
      <c r="K240" s="106">
        <f t="shared" si="128"/>
        <v>0</v>
      </c>
      <c r="L240" s="110">
        <v>7</v>
      </c>
      <c r="M240" s="110">
        <v>7</v>
      </c>
      <c r="N240" s="110">
        <v>6</v>
      </c>
      <c r="O240" s="110">
        <v>6</v>
      </c>
      <c r="P240" s="110">
        <v>6</v>
      </c>
      <c r="Q240" s="110">
        <v>6</v>
      </c>
      <c r="R240" s="110">
        <v>6</v>
      </c>
      <c r="S240" s="110">
        <v>6</v>
      </c>
      <c r="T240" s="110">
        <v>6</v>
      </c>
      <c r="U240" s="110">
        <v>6</v>
      </c>
      <c r="V240" s="110">
        <v>2024</v>
      </c>
      <c r="W240" s="110"/>
      <c r="X240" s="110" t="s">
        <v>2619</v>
      </c>
      <c r="Y240" s="106">
        <v>1250</v>
      </c>
      <c r="Z240" s="106">
        <f t="shared" si="130"/>
        <v>0.5</v>
      </c>
      <c r="AA240" s="106" t="s">
        <v>104</v>
      </c>
      <c r="AB240" s="111">
        <f t="shared" si="112"/>
        <v>4.5</v>
      </c>
      <c r="AC240" s="85" t="s">
        <v>751</v>
      </c>
      <c r="AD240" s="107">
        <f t="shared" si="107"/>
        <v>53750</v>
      </c>
      <c r="AE240" s="198">
        <v>1</v>
      </c>
      <c r="AF240" s="113">
        <f t="shared" si="131"/>
        <v>53750</v>
      </c>
      <c r="AG240" s="106">
        <v>2024</v>
      </c>
      <c r="AH240" s="26" t="str">
        <f t="shared" si="103"/>
        <v/>
      </c>
      <c r="AI240" s="26" t="str">
        <f t="shared" si="132"/>
        <v/>
      </c>
      <c r="AJ240" s="26" t="str">
        <f t="shared" si="132"/>
        <v>Overlay - 2"</v>
      </c>
      <c r="AK240" s="26" t="str">
        <f t="shared" si="104"/>
        <v/>
      </c>
      <c r="AL240" s="26" t="str">
        <f t="shared" si="124"/>
        <v/>
      </c>
      <c r="AM240" s="26" t="str">
        <f t="shared" si="123"/>
        <v/>
      </c>
      <c r="AN240" s="26" t="str">
        <f t="shared" si="113"/>
        <v>Overlay - 2"</v>
      </c>
      <c r="AO240" s="26" t="str">
        <f t="shared" si="125"/>
        <v/>
      </c>
      <c r="AP240" s="26" t="str">
        <f t="shared" si="114"/>
        <v/>
      </c>
      <c r="AQ240" s="68">
        <f t="shared" si="108"/>
        <v>8</v>
      </c>
      <c r="AR240" s="68">
        <f t="shared" si="109"/>
        <v>12</v>
      </c>
      <c r="AS240" s="68">
        <f t="shared" si="115"/>
        <v>1.05</v>
      </c>
      <c r="AT240" s="68">
        <f t="shared" si="116"/>
        <v>1.05</v>
      </c>
      <c r="AU240" s="68">
        <f t="shared" si="117"/>
        <v>1.1000000000000001</v>
      </c>
      <c r="AV240" s="68">
        <f t="shared" si="118"/>
        <v>1.1000000000000001</v>
      </c>
      <c r="AW240" s="68">
        <f t="shared" si="119"/>
        <v>1.1000000000000001</v>
      </c>
      <c r="AX240" s="68">
        <f t="shared" ca="1" si="110"/>
        <v>0</v>
      </c>
      <c r="AY240" s="106">
        <v>2017</v>
      </c>
      <c r="AZ240" s="106" t="s">
        <v>2075</v>
      </c>
      <c r="BA240" s="106" t="str">
        <f t="shared" si="120"/>
        <v/>
      </c>
      <c r="BB240" s="177"/>
      <c r="BC240" s="177">
        <v>8</v>
      </c>
      <c r="BD240" s="177"/>
      <c r="BE240" s="177"/>
      <c r="BF240" s="177"/>
      <c r="BG240" s="177"/>
      <c r="BH240" s="177"/>
      <c r="BI240" s="33"/>
      <c r="BJ240" s="2"/>
      <c r="BK240" s="48">
        <f>$G240/5280*VLOOKUP($AC240,'Cost and Score'!$B$27:$O$40,6,0)</f>
        <v>1.0994318181818181</v>
      </c>
      <c r="BL240" s="48">
        <f>$G240/5280*VLOOKUP($AC240,'Cost and Score'!$B$27:$O$40,7,0)</f>
        <v>102.61363636363636</v>
      </c>
      <c r="BM240" s="48">
        <f>$G240/5280*VLOOKUP($AC240,'Cost and Score'!$B$27:$O$40,8,0)</f>
        <v>171.02272727272728</v>
      </c>
      <c r="BN240" s="48">
        <f>$G240/5280*VLOOKUP($AC240,'Cost and Score'!$B$27:$O$40,9,0)</f>
        <v>0</v>
      </c>
      <c r="BO240" s="48">
        <f>$G240/5280*VLOOKUP($AC240,'Cost and Score'!$B$27:$O$40,10,0)</f>
        <v>0</v>
      </c>
      <c r="BP240" s="48">
        <f>$G240/5280*VLOOKUP($AC240,'Cost and Score'!$B$27:$O$40,11,0)</f>
        <v>97.727272727272734</v>
      </c>
      <c r="BQ240" s="48">
        <f>$G240/5280*VLOOKUP($AC240,'Cost and Score'!$B$27:$O$40,12,0)</f>
        <v>830.68181818181824</v>
      </c>
      <c r="BR240" s="48">
        <f>$G240/5280*VLOOKUP($AC240,'Cost and Score'!$B$27:$O$40,13,0)</f>
        <v>0</v>
      </c>
      <c r="BS240" s="48">
        <f>$G240/5280*VLOOKUP($AC240,'Cost and Score'!$B$27:$O$40,14,0)</f>
        <v>0</v>
      </c>
      <c r="BT240" s="220">
        <f t="shared" si="121"/>
        <v>0.48863636363636365</v>
      </c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S240" s="2"/>
      <c r="CT240" s="2"/>
      <c r="CU240" s="2"/>
      <c r="CV240" s="2"/>
    </row>
    <row r="241" spans="1:103" s="2" customFormat="1" ht="14.45" hidden="1" customHeight="1" x14ac:dyDescent="0.25">
      <c r="A241" s="15" t="s">
        <v>576</v>
      </c>
      <c r="B241" s="34" t="s">
        <v>575</v>
      </c>
      <c r="C241" s="26" t="s">
        <v>575</v>
      </c>
      <c r="D241" s="26"/>
      <c r="E241" s="26" t="s">
        <v>455</v>
      </c>
      <c r="F241" s="26" t="s">
        <v>165</v>
      </c>
      <c r="G241" s="29">
        <v>4890</v>
      </c>
      <c r="H241" s="29">
        <f t="shared" si="129"/>
        <v>20</v>
      </c>
      <c r="I241" s="26" t="s">
        <v>8</v>
      </c>
      <c r="J241" s="26" t="s">
        <v>6</v>
      </c>
      <c r="K241" s="26">
        <f t="shared" si="128"/>
        <v>0</v>
      </c>
      <c r="L241" s="42">
        <v>9</v>
      </c>
      <c r="M241" s="42">
        <v>8</v>
      </c>
      <c r="N241" s="42">
        <v>8</v>
      </c>
      <c r="O241" s="42">
        <v>8</v>
      </c>
      <c r="P241" s="42">
        <v>8</v>
      </c>
      <c r="Q241" s="42">
        <v>8</v>
      </c>
      <c r="R241" s="42">
        <v>8</v>
      </c>
      <c r="S241" s="42">
        <v>7</v>
      </c>
      <c r="T241" s="42">
        <v>7</v>
      </c>
      <c r="U241" s="42">
        <v>7</v>
      </c>
      <c r="V241" s="42"/>
      <c r="W241" s="42"/>
      <c r="X241" s="42"/>
      <c r="Y241" s="26">
        <v>992</v>
      </c>
      <c r="Z241" s="26">
        <f t="shared" si="130"/>
        <v>0.5</v>
      </c>
      <c r="AA241" s="26" t="s">
        <v>104</v>
      </c>
      <c r="AB241" s="111">
        <f t="shared" si="112"/>
        <v>2.5</v>
      </c>
      <c r="AC241" s="106" t="s">
        <v>13</v>
      </c>
      <c r="AD241" s="47">
        <f t="shared" si="107"/>
        <v>19448.863636363636</v>
      </c>
      <c r="AE241" s="140"/>
      <c r="AF241" s="113">
        <f t="shared" si="131"/>
        <v>0</v>
      </c>
      <c r="AG241" s="85">
        <v>2026</v>
      </c>
      <c r="AH241" s="26" t="str">
        <f t="shared" si="103"/>
        <v/>
      </c>
      <c r="AI241" s="26" t="str">
        <f t="shared" si="132"/>
        <v/>
      </c>
      <c r="AJ241" s="26" t="str">
        <f t="shared" si="132"/>
        <v/>
      </c>
      <c r="AK241" s="26" t="str">
        <f t="shared" si="104"/>
        <v/>
      </c>
      <c r="AL241" s="26" t="str">
        <f t="shared" si="124"/>
        <v>Chip Seal and Fog</v>
      </c>
      <c r="AM241" s="26" t="str">
        <f t="shared" si="123"/>
        <v/>
      </c>
      <c r="AN241" s="26" t="str">
        <f t="shared" si="113"/>
        <v>Chip Seal and Fog</v>
      </c>
      <c r="AO241" s="26" t="str">
        <f t="shared" si="125"/>
        <v/>
      </c>
      <c r="AP241" s="26" t="str">
        <f t="shared" si="114"/>
        <v/>
      </c>
      <c r="AQ241" s="68">
        <f t="shared" si="108"/>
        <v>12</v>
      </c>
      <c r="AR241" s="68">
        <f t="shared" si="109"/>
        <v>6</v>
      </c>
      <c r="AS241" s="68">
        <f t="shared" si="115"/>
        <v>1</v>
      </c>
      <c r="AT241" s="68">
        <f t="shared" si="116"/>
        <v>1</v>
      </c>
      <c r="AU241" s="68">
        <f t="shared" si="117"/>
        <v>1</v>
      </c>
      <c r="AV241" s="68">
        <f t="shared" si="118"/>
        <v>1</v>
      </c>
      <c r="AW241" s="68">
        <f t="shared" si="119"/>
        <v>1</v>
      </c>
      <c r="AX241" s="68">
        <f t="shared" ca="1" si="110"/>
        <v>2</v>
      </c>
      <c r="AY241" s="106">
        <v>2020</v>
      </c>
      <c r="AZ241" s="106" t="s">
        <v>13</v>
      </c>
      <c r="BA241" s="106" t="str">
        <f t="shared" si="120"/>
        <v/>
      </c>
      <c r="BB241" s="177"/>
      <c r="BC241" s="177">
        <v>9</v>
      </c>
      <c r="BD241" s="177"/>
      <c r="BE241" s="177"/>
      <c r="BF241" s="177"/>
      <c r="BG241" s="177"/>
      <c r="BH241" s="177"/>
      <c r="BI241" s="33"/>
      <c r="BK241" s="48">
        <f>$G241/5280*VLOOKUP($AC241,'Cost and Score'!$B$27:$O$40,6,0)</f>
        <v>0.18522727272727274</v>
      </c>
      <c r="BL241" s="48">
        <f>$G241/5280*VLOOKUP($AC241,'Cost and Score'!$B$27:$O$40,7,0)</f>
        <v>20.375</v>
      </c>
      <c r="BM241" s="48">
        <f>$G241/5280*VLOOKUP($AC241,'Cost and Score'!$B$27:$O$40,8,0)</f>
        <v>0</v>
      </c>
      <c r="BN241" s="48">
        <f>$G241/5280*VLOOKUP($AC241,'Cost and Score'!$B$27:$O$40,9,0)</f>
        <v>4167.613636363636</v>
      </c>
      <c r="BO241" s="48">
        <f>$G241/5280*VLOOKUP($AC241,'Cost and Score'!$B$27:$O$40,10,0)</f>
        <v>926.13636363636363</v>
      </c>
      <c r="BP241" s="48">
        <f>$G241/5280*VLOOKUP($AC241,'Cost and Score'!$B$27:$O$40,11,0)</f>
        <v>0</v>
      </c>
      <c r="BQ241" s="48">
        <f>$G241/5280*VLOOKUP($AC241,'Cost and Score'!$B$27:$O$40,12,0)</f>
        <v>92.61363636363636</v>
      </c>
      <c r="BR241" s="48">
        <f>$G241/5280*VLOOKUP($AC241,'Cost and Score'!$B$27:$O$40,13,0)</f>
        <v>111.13636363636364</v>
      </c>
      <c r="BS241" s="48">
        <f>$G241/5280*VLOOKUP($AC241,'Cost and Score'!$B$27:$O$40,14,0)</f>
        <v>0</v>
      </c>
      <c r="BT241" s="220">
        <f t="shared" si="121"/>
        <v>0.92613636363636365</v>
      </c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</row>
    <row r="242" spans="1:103" s="112" customFormat="1" ht="14.45" customHeight="1" x14ac:dyDescent="0.25">
      <c r="A242" s="15" t="s">
        <v>2141</v>
      </c>
      <c r="B242" s="34" t="s">
        <v>883</v>
      </c>
      <c r="C242" s="26" t="s">
        <v>883</v>
      </c>
      <c r="D242" s="82"/>
      <c r="E242" s="82" t="s">
        <v>116</v>
      </c>
      <c r="F242" s="82" t="s">
        <v>67</v>
      </c>
      <c r="G242" s="29">
        <v>2670</v>
      </c>
      <c r="H242" s="29">
        <f t="shared" si="129"/>
        <v>20</v>
      </c>
      <c r="I242" s="26" t="s">
        <v>8</v>
      </c>
      <c r="J242" s="26" t="s">
        <v>6</v>
      </c>
      <c r="K242" s="26">
        <f t="shared" si="128"/>
        <v>0</v>
      </c>
      <c r="L242" s="42">
        <v>7</v>
      </c>
      <c r="M242" s="42">
        <v>6</v>
      </c>
      <c r="N242" s="42">
        <v>5</v>
      </c>
      <c r="O242" s="83">
        <v>5</v>
      </c>
      <c r="P242" s="83">
        <v>5</v>
      </c>
      <c r="Q242" s="83">
        <v>5</v>
      </c>
      <c r="R242" s="83">
        <v>8</v>
      </c>
      <c r="S242" s="83">
        <v>7</v>
      </c>
      <c r="T242" s="83">
        <v>7</v>
      </c>
      <c r="U242" s="83">
        <v>7</v>
      </c>
      <c r="V242" s="42"/>
      <c r="W242" s="42"/>
      <c r="X242" s="42"/>
      <c r="Y242" s="26">
        <v>368</v>
      </c>
      <c r="Z242" s="26">
        <f t="shared" si="130"/>
        <v>0</v>
      </c>
      <c r="AA242" s="82" t="s">
        <v>110</v>
      </c>
      <c r="AB242" s="111">
        <f t="shared" si="112"/>
        <v>5</v>
      </c>
      <c r="AC242" s="85" t="s">
        <v>13</v>
      </c>
      <c r="AD242" s="84">
        <f t="shared" si="107"/>
        <v>10619.318181818182</v>
      </c>
      <c r="AE242" s="140"/>
      <c r="AF242" s="113">
        <f t="shared" si="131"/>
        <v>0</v>
      </c>
      <c r="AG242" s="106">
        <v>2025</v>
      </c>
      <c r="AH242" s="26" t="str">
        <f t="shared" si="103"/>
        <v/>
      </c>
      <c r="AI242" s="26" t="str">
        <f t="shared" si="132"/>
        <v/>
      </c>
      <c r="AJ242" s="26" t="str">
        <f t="shared" si="132"/>
        <v/>
      </c>
      <c r="AK242" s="26" t="str">
        <f t="shared" si="104"/>
        <v>Chip Seal and Fog</v>
      </c>
      <c r="AL242" s="26" t="str">
        <f t="shared" si="124"/>
        <v/>
      </c>
      <c r="AM242" s="26" t="str">
        <f t="shared" si="123"/>
        <v/>
      </c>
      <c r="AN242" s="26" t="str">
        <f t="shared" si="113"/>
        <v>Chip Seal and Fog</v>
      </c>
      <c r="AO242" s="26" t="str">
        <f t="shared" si="125"/>
        <v/>
      </c>
      <c r="AP242" s="26" t="str">
        <f t="shared" si="114"/>
        <v/>
      </c>
      <c r="AQ242" s="68">
        <f t="shared" si="108"/>
        <v>6</v>
      </c>
      <c r="AR242" s="68">
        <f t="shared" si="109"/>
        <v>6</v>
      </c>
      <c r="AS242" s="68">
        <f t="shared" si="115"/>
        <v>1.05</v>
      </c>
      <c r="AT242" s="68">
        <f t="shared" si="116"/>
        <v>1.1000000000000001</v>
      </c>
      <c r="AU242" s="68">
        <f t="shared" si="117"/>
        <v>1.25</v>
      </c>
      <c r="AV242" s="68">
        <f t="shared" si="118"/>
        <v>1.25</v>
      </c>
      <c r="AW242" s="68">
        <f t="shared" si="119"/>
        <v>1.25</v>
      </c>
      <c r="AX242" s="68">
        <f t="shared" ca="1" si="110"/>
        <v>1.25</v>
      </c>
      <c r="AY242" s="68">
        <v>2019</v>
      </c>
      <c r="AZ242" s="68" t="s">
        <v>2073</v>
      </c>
      <c r="BA242" s="106" t="str">
        <f t="shared" si="120"/>
        <v/>
      </c>
      <c r="BB242" s="178"/>
      <c r="BC242" s="178">
        <v>8</v>
      </c>
      <c r="BD242" s="178"/>
      <c r="BE242" s="178"/>
      <c r="BF242" s="178"/>
      <c r="BG242" s="178"/>
      <c r="BH242" s="178"/>
      <c r="BI242" s="33"/>
      <c r="BJ242" s="2"/>
      <c r="BK242" s="48">
        <f>$G242/5280*VLOOKUP($AC242,'Cost and Score'!$B$27:$O$40,6,0)</f>
        <v>0.10113636363636365</v>
      </c>
      <c r="BL242" s="48">
        <f>$G242/5280*VLOOKUP($AC242,'Cost and Score'!$B$27:$O$40,7,0)</f>
        <v>11.125000000000002</v>
      </c>
      <c r="BM242" s="48">
        <f>$G242/5280*VLOOKUP($AC242,'Cost and Score'!$B$27:$O$40,8,0)</f>
        <v>0</v>
      </c>
      <c r="BN242" s="48">
        <f>$G242/5280*VLOOKUP($AC242,'Cost and Score'!$B$27:$O$40,9,0)</f>
        <v>2275.568181818182</v>
      </c>
      <c r="BO242" s="48">
        <f>$G242/5280*VLOOKUP($AC242,'Cost and Score'!$B$27:$O$40,10,0)</f>
        <v>505.68181818181824</v>
      </c>
      <c r="BP242" s="48">
        <f>$G242/5280*VLOOKUP($AC242,'Cost and Score'!$B$27:$O$40,11,0)</f>
        <v>0</v>
      </c>
      <c r="BQ242" s="48">
        <f>$G242/5280*VLOOKUP($AC242,'Cost and Score'!$B$27:$O$40,12,0)</f>
        <v>50.56818181818182</v>
      </c>
      <c r="BR242" s="48">
        <f>$G242/5280*VLOOKUP($AC242,'Cost and Score'!$B$27:$O$40,13,0)</f>
        <v>60.681818181818187</v>
      </c>
      <c r="BS242" s="48">
        <f>$G242/5280*VLOOKUP($AC242,'Cost and Score'!$B$27:$O$40,14,0)</f>
        <v>0</v>
      </c>
      <c r="BT242" s="220">
        <f t="shared" si="121"/>
        <v>0.50568181818181823</v>
      </c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</row>
    <row r="243" spans="1:103" s="112" customFormat="1" ht="14.45" hidden="1" customHeight="1" x14ac:dyDescent="0.25">
      <c r="A243" s="15" t="s">
        <v>580</v>
      </c>
      <c r="B243" s="108" t="s">
        <v>579</v>
      </c>
      <c r="C243" s="106" t="s">
        <v>579</v>
      </c>
      <c r="D243" s="106"/>
      <c r="E243" s="106" t="s">
        <v>240</v>
      </c>
      <c r="F243" s="106" t="s">
        <v>119</v>
      </c>
      <c r="G243" s="109">
        <v>6342</v>
      </c>
      <c r="H243" s="109">
        <f t="shared" si="129"/>
        <v>20</v>
      </c>
      <c r="I243" s="106" t="s">
        <v>13</v>
      </c>
      <c r="J243" s="106" t="s">
        <v>125</v>
      </c>
      <c r="K243" s="106">
        <f t="shared" si="128"/>
        <v>0</v>
      </c>
      <c r="L243" s="110">
        <v>6</v>
      </c>
      <c r="M243" s="110">
        <v>6</v>
      </c>
      <c r="N243" s="110">
        <v>6</v>
      </c>
      <c r="O243" s="110">
        <v>6</v>
      </c>
      <c r="P243" s="110">
        <v>6</v>
      </c>
      <c r="Q243" s="110">
        <v>5</v>
      </c>
      <c r="R243" s="110">
        <v>6</v>
      </c>
      <c r="S243" s="110">
        <v>6</v>
      </c>
      <c r="T243" s="110">
        <v>7</v>
      </c>
      <c r="U243" s="110">
        <v>7</v>
      </c>
      <c r="V243" s="110">
        <v>2023</v>
      </c>
      <c r="W243" s="110">
        <v>2023</v>
      </c>
      <c r="X243" s="110" t="s">
        <v>2612</v>
      </c>
      <c r="Y243" s="106">
        <v>560</v>
      </c>
      <c r="Z243" s="106">
        <f t="shared" si="130"/>
        <v>0.5</v>
      </c>
      <c r="AA243" s="106" t="s">
        <v>124</v>
      </c>
      <c r="AB243" s="111">
        <f t="shared" si="112"/>
        <v>4.5</v>
      </c>
      <c r="AC243" s="106" t="s">
        <v>2073</v>
      </c>
      <c r="AD243" s="107">
        <f t="shared" si="107"/>
        <v>38436.36363636364</v>
      </c>
      <c r="AE243" s="198">
        <v>1</v>
      </c>
      <c r="AF243" s="113">
        <f t="shared" si="131"/>
        <v>38436.36363636364</v>
      </c>
      <c r="AG243" s="26">
        <v>2023</v>
      </c>
      <c r="AH243" s="26" t="str">
        <f t="shared" si="103"/>
        <v/>
      </c>
      <c r="AI243" s="26" t="str">
        <f t="shared" si="132"/>
        <v>Chip Seal - Double and Fog</v>
      </c>
      <c r="AJ243" s="26" t="str">
        <f t="shared" si="132"/>
        <v/>
      </c>
      <c r="AK243" s="26" t="str">
        <f t="shared" si="104"/>
        <v/>
      </c>
      <c r="AL243" s="26" t="str">
        <f t="shared" si="124"/>
        <v/>
      </c>
      <c r="AM243" s="26" t="str">
        <f t="shared" si="123"/>
        <v/>
      </c>
      <c r="AN243" s="26" t="str">
        <f t="shared" si="113"/>
        <v>Chip Seal - Double and Fog</v>
      </c>
      <c r="AO243" s="26" t="str">
        <f t="shared" si="125"/>
        <v/>
      </c>
      <c r="AP243" s="26" t="str">
        <f t="shared" si="114"/>
        <v/>
      </c>
      <c r="AQ243" s="68">
        <f t="shared" si="108"/>
        <v>8</v>
      </c>
      <c r="AR243" s="68">
        <f t="shared" si="109"/>
        <v>6</v>
      </c>
      <c r="AS243" s="68">
        <f t="shared" si="115"/>
        <v>1.1000000000000001</v>
      </c>
      <c r="AT243" s="68">
        <f t="shared" si="116"/>
        <v>1.1000000000000001</v>
      </c>
      <c r="AU243" s="68">
        <f t="shared" si="117"/>
        <v>1.1000000000000001</v>
      </c>
      <c r="AV243" s="68">
        <f t="shared" si="118"/>
        <v>1.1000000000000001</v>
      </c>
      <c r="AW243" s="68">
        <f t="shared" si="119"/>
        <v>1.1000000000000001</v>
      </c>
      <c r="AX243" s="68">
        <f t="shared" ca="1" si="110"/>
        <v>-1.1000000000000001</v>
      </c>
      <c r="AY243" s="106">
        <v>2023</v>
      </c>
      <c r="AZ243" s="111" t="s">
        <v>2073</v>
      </c>
      <c r="BA243" s="106" t="str">
        <f t="shared" si="120"/>
        <v/>
      </c>
      <c r="BB243" s="110"/>
      <c r="BC243" s="110">
        <v>6</v>
      </c>
      <c r="BD243" s="110"/>
      <c r="BE243" s="110"/>
      <c r="BF243" s="110"/>
      <c r="BG243" s="110"/>
      <c r="BH243" s="110"/>
      <c r="BI243" s="33"/>
      <c r="BJ243" s="2"/>
      <c r="BK243" s="48">
        <f>$G243/5280*VLOOKUP($AC243,'Cost and Score'!$B$27:$O$40,6,0)</f>
        <v>0.60056818181818183</v>
      </c>
      <c r="BL243" s="48">
        <f>$G243/5280*VLOOKUP($AC243,'Cost and Score'!$B$27:$O$40,7,0)</f>
        <v>60.056818181818187</v>
      </c>
      <c r="BM243" s="48">
        <f>$G243/5280*VLOOKUP($AC243,'Cost and Score'!$B$27:$O$40,8,0)</f>
        <v>0</v>
      </c>
      <c r="BN243" s="48">
        <f>$G243/5280*VLOOKUP($AC243,'Cost and Score'!$B$27:$O$40,9,0)</f>
        <v>11410.795454545454</v>
      </c>
      <c r="BO243" s="48">
        <f>$G243/5280*VLOOKUP($AC243,'Cost and Score'!$B$27:$O$40,10,0)</f>
        <v>1201.1363636363637</v>
      </c>
      <c r="BP243" s="48">
        <f>$G243/5280*VLOOKUP($AC243,'Cost and Score'!$B$27:$O$40,11,0)</f>
        <v>0</v>
      </c>
      <c r="BQ243" s="48">
        <f>$G243/5280*VLOOKUP($AC243,'Cost and Score'!$B$27:$O$40,12,0)</f>
        <v>240.22727272727275</v>
      </c>
      <c r="BR243" s="48">
        <f>$G243/5280*VLOOKUP($AC243,'Cost and Score'!$B$27:$O$40,13,0)</f>
        <v>216.20454545454547</v>
      </c>
      <c r="BS243" s="48">
        <f>$G243/5280*VLOOKUP($AC243,'Cost and Score'!$B$27:$O$40,14,0)</f>
        <v>288.27272727272725</v>
      </c>
      <c r="BT243" s="220">
        <f t="shared" si="121"/>
        <v>1.2011363636363637</v>
      </c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103" s="2" customFormat="1" ht="14.45" hidden="1" customHeight="1" x14ac:dyDescent="0.25">
      <c r="A244" s="15" t="s">
        <v>582</v>
      </c>
      <c r="B244" s="34" t="s">
        <v>581</v>
      </c>
      <c r="C244" s="26" t="s">
        <v>581</v>
      </c>
      <c r="D244" s="26"/>
      <c r="E244" s="26" t="s">
        <v>119</v>
      </c>
      <c r="F244" s="26" t="s">
        <v>193</v>
      </c>
      <c r="G244" s="29">
        <v>5300</v>
      </c>
      <c r="H244" s="29">
        <f t="shared" si="129"/>
        <v>20</v>
      </c>
      <c r="I244" s="26" t="s">
        <v>8</v>
      </c>
      <c r="J244" s="26" t="s">
        <v>125</v>
      </c>
      <c r="K244" s="26">
        <f t="shared" si="128"/>
        <v>0</v>
      </c>
      <c r="L244" s="42">
        <v>6</v>
      </c>
      <c r="M244" s="42">
        <v>6</v>
      </c>
      <c r="N244" s="42">
        <v>10</v>
      </c>
      <c r="O244" s="42">
        <v>9</v>
      </c>
      <c r="P244" s="42">
        <v>8</v>
      </c>
      <c r="Q244" s="42">
        <v>7</v>
      </c>
      <c r="R244" s="42">
        <v>7</v>
      </c>
      <c r="S244" s="42">
        <v>7</v>
      </c>
      <c r="T244" s="42">
        <v>7</v>
      </c>
      <c r="U244" s="42">
        <v>7</v>
      </c>
      <c r="V244" s="42"/>
      <c r="W244" s="42"/>
      <c r="X244" s="42"/>
      <c r="Y244" s="26">
        <v>535</v>
      </c>
      <c r="Z244" s="26">
        <f t="shared" si="130"/>
        <v>0.5</v>
      </c>
      <c r="AA244" s="26" t="s">
        <v>124</v>
      </c>
      <c r="AB244" s="111">
        <f t="shared" si="112"/>
        <v>2.5</v>
      </c>
      <c r="AC244" s="85" t="s">
        <v>2073</v>
      </c>
      <c r="AD244" s="47">
        <f t="shared" si="107"/>
        <v>32121.21212121212</v>
      </c>
      <c r="AE244" s="140"/>
      <c r="AF244" s="113">
        <f t="shared" si="131"/>
        <v>0</v>
      </c>
      <c r="AG244" s="26">
        <v>2027</v>
      </c>
      <c r="AH244" s="26" t="str">
        <f t="shared" si="103"/>
        <v/>
      </c>
      <c r="AI244" s="26" t="str">
        <f t="shared" si="132"/>
        <v/>
      </c>
      <c r="AJ244" s="26" t="str">
        <f t="shared" si="132"/>
        <v/>
      </c>
      <c r="AK244" s="26" t="str">
        <f t="shared" si="104"/>
        <v/>
      </c>
      <c r="AL244" s="26" t="str">
        <f t="shared" si="124"/>
        <v/>
      </c>
      <c r="AM244" s="26" t="str">
        <f t="shared" si="123"/>
        <v>Chip Seal - Double and Fog</v>
      </c>
      <c r="AN244" s="26" t="str">
        <f t="shared" si="113"/>
        <v>Chip Seal - Double and Fog</v>
      </c>
      <c r="AO244" s="26" t="str">
        <f t="shared" si="125"/>
        <v/>
      </c>
      <c r="AP244" s="26" t="str">
        <f t="shared" si="114"/>
        <v/>
      </c>
      <c r="AQ244" s="68">
        <f t="shared" si="108"/>
        <v>14</v>
      </c>
      <c r="AR244" s="68">
        <f t="shared" si="109"/>
        <v>6</v>
      </c>
      <c r="AS244" s="68">
        <f t="shared" si="115"/>
        <v>1.1000000000000001</v>
      </c>
      <c r="AT244" s="68">
        <f t="shared" si="116"/>
        <v>1.1000000000000001</v>
      </c>
      <c r="AU244" s="68">
        <f t="shared" si="117"/>
        <v>1</v>
      </c>
      <c r="AV244" s="68">
        <f t="shared" si="118"/>
        <v>1</v>
      </c>
      <c r="AW244" s="68">
        <f t="shared" si="119"/>
        <v>1</v>
      </c>
      <c r="AX244" s="68">
        <f t="shared" ca="1" si="110"/>
        <v>3</v>
      </c>
      <c r="AY244" s="106">
        <v>2016</v>
      </c>
      <c r="AZ244" s="106" t="s">
        <v>751</v>
      </c>
      <c r="BA244" s="106" t="str">
        <f t="shared" si="120"/>
        <v/>
      </c>
      <c r="BB244" s="177"/>
      <c r="BC244" s="177">
        <v>6</v>
      </c>
      <c r="BD244" s="177"/>
      <c r="BE244" s="177"/>
      <c r="BF244" s="177"/>
      <c r="BG244" s="177"/>
      <c r="BH244" s="177"/>
      <c r="BI244" s="33" t="s">
        <v>2373</v>
      </c>
      <c r="BK244" s="48">
        <f>$G244/5280*VLOOKUP($AC244,'Cost and Score'!$B$27:$O$40,6,0)</f>
        <v>0.50189393939393945</v>
      </c>
      <c r="BL244" s="48">
        <f>$G244/5280*VLOOKUP($AC244,'Cost and Score'!$B$27:$O$40,7,0)</f>
        <v>50.189393939393945</v>
      </c>
      <c r="BM244" s="48">
        <f>$G244/5280*VLOOKUP($AC244,'Cost and Score'!$B$27:$O$40,8,0)</f>
        <v>0</v>
      </c>
      <c r="BN244" s="48">
        <f>$G244/5280*VLOOKUP($AC244,'Cost and Score'!$B$27:$O$40,9,0)</f>
        <v>9535.9848484848499</v>
      </c>
      <c r="BO244" s="48">
        <f>$G244/5280*VLOOKUP($AC244,'Cost and Score'!$B$27:$O$40,10,0)</f>
        <v>1003.7878787878789</v>
      </c>
      <c r="BP244" s="48">
        <f>$G244/5280*VLOOKUP($AC244,'Cost and Score'!$B$27:$O$40,11,0)</f>
        <v>0</v>
      </c>
      <c r="BQ244" s="48">
        <f>$G244/5280*VLOOKUP($AC244,'Cost and Score'!$B$27:$O$40,12,0)</f>
        <v>200.75757575757578</v>
      </c>
      <c r="BR244" s="48">
        <f>$G244/5280*VLOOKUP($AC244,'Cost and Score'!$B$27:$O$40,13,0)</f>
        <v>180.68181818181819</v>
      </c>
      <c r="BS244" s="48">
        <f>$G244/5280*VLOOKUP($AC244,'Cost and Score'!$B$27:$O$40,14,0)</f>
        <v>240.90909090909093</v>
      </c>
      <c r="BT244" s="220">
        <f t="shared" si="121"/>
        <v>1.0037878787878789</v>
      </c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</row>
    <row r="245" spans="1:103" s="2" customFormat="1" ht="14.45" customHeight="1" x14ac:dyDescent="0.25">
      <c r="A245" s="15" t="s">
        <v>740</v>
      </c>
      <c r="B245" s="34" t="s">
        <v>739</v>
      </c>
      <c r="C245" s="26" t="s">
        <v>739</v>
      </c>
      <c r="D245" s="82"/>
      <c r="E245" s="82" t="s">
        <v>608</v>
      </c>
      <c r="F245" s="82" t="s">
        <v>20</v>
      </c>
      <c r="G245" s="29">
        <v>4340</v>
      </c>
      <c r="H245" s="29">
        <f t="shared" si="129"/>
        <v>20</v>
      </c>
      <c r="I245" s="26" t="s">
        <v>13</v>
      </c>
      <c r="J245" s="26" t="s">
        <v>11</v>
      </c>
      <c r="K245" s="26">
        <f t="shared" si="128"/>
        <v>0</v>
      </c>
      <c r="L245" s="42">
        <v>7</v>
      </c>
      <c r="M245" s="42">
        <v>7</v>
      </c>
      <c r="N245" s="42">
        <v>7</v>
      </c>
      <c r="O245" s="83">
        <v>7</v>
      </c>
      <c r="P245" s="83">
        <v>6</v>
      </c>
      <c r="Q245" s="83">
        <v>6</v>
      </c>
      <c r="R245" s="83">
        <v>5</v>
      </c>
      <c r="S245" s="83">
        <v>8</v>
      </c>
      <c r="T245" s="83">
        <v>7</v>
      </c>
      <c r="U245" s="83">
        <v>7</v>
      </c>
      <c r="V245" s="42">
        <v>2023</v>
      </c>
      <c r="W245" s="42">
        <v>2023</v>
      </c>
      <c r="X245" s="42" t="s">
        <v>2612</v>
      </c>
      <c r="Y245" s="26">
        <v>366</v>
      </c>
      <c r="Z245" s="26">
        <f t="shared" si="130"/>
        <v>0</v>
      </c>
      <c r="AA245" s="82" t="s">
        <v>129</v>
      </c>
      <c r="AB245" s="111">
        <f t="shared" si="112"/>
        <v>4</v>
      </c>
      <c r="AC245" s="85" t="s">
        <v>13</v>
      </c>
      <c r="AD245" s="84">
        <f t="shared" si="107"/>
        <v>17261.363636363636</v>
      </c>
      <c r="AE245" s="140"/>
      <c r="AF245" s="113">
        <f t="shared" si="131"/>
        <v>0</v>
      </c>
      <c r="AG245" s="106">
        <v>2025</v>
      </c>
      <c r="AH245" s="26" t="str">
        <f t="shared" si="103"/>
        <v/>
      </c>
      <c r="AI245" s="26" t="str">
        <f t="shared" si="132"/>
        <v/>
      </c>
      <c r="AJ245" s="26" t="str">
        <f t="shared" si="132"/>
        <v/>
      </c>
      <c r="AK245" s="26" t="str">
        <f t="shared" si="104"/>
        <v>Chip Seal and Fog</v>
      </c>
      <c r="AL245" s="26" t="str">
        <f t="shared" si="124"/>
        <v/>
      </c>
      <c r="AM245" s="26" t="str">
        <f t="shared" si="123"/>
        <v/>
      </c>
      <c r="AN245" s="26" t="str">
        <f t="shared" si="113"/>
        <v>Chip Seal and Fog</v>
      </c>
      <c r="AO245" s="26" t="str">
        <f t="shared" si="125"/>
        <v/>
      </c>
      <c r="AP245" s="26" t="str">
        <f t="shared" si="114"/>
        <v/>
      </c>
      <c r="AQ245" s="68">
        <f t="shared" si="108"/>
        <v>10</v>
      </c>
      <c r="AR245" s="68">
        <f t="shared" si="109"/>
        <v>6</v>
      </c>
      <c r="AS245" s="68">
        <f t="shared" si="115"/>
        <v>1.05</v>
      </c>
      <c r="AT245" s="68">
        <f t="shared" si="116"/>
        <v>1.05</v>
      </c>
      <c r="AU245" s="68">
        <f t="shared" si="117"/>
        <v>1.05</v>
      </c>
      <c r="AV245" s="68">
        <f t="shared" si="118"/>
        <v>1.05</v>
      </c>
      <c r="AW245" s="68">
        <f t="shared" si="119"/>
        <v>1.1000000000000001</v>
      </c>
      <c r="AX245" s="68">
        <f t="shared" ca="1" si="110"/>
        <v>1.05</v>
      </c>
      <c r="AY245" s="68">
        <v>2019</v>
      </c>
      <c r="AZ245" s="68" t="s">
        <v>2073</v>
      </c>
      <c r="BA245" s="106" t="str">
        <f t="shared" si="120"/>
        <v/>
      </c>
      <c r="BB245" s="178"/>
      <c r="BC245" s="178">
        <v>2</v>
      </c>
      <c r="BD245" s="178"/>
      <c r="BE245" s="178"/>
      <c r="BF245" s="178"/>
      <c r="BG245" s="178"/>
      <c r="BH245" s="178"/>
      <c r="BI245" s="33"/>
      <c r="BK245" s="48">
        <f>$G245/5280*VLOOKUP($AC245,'Cost and Score'!$B$27:$O$40,6,0)</f>
        <v>0.16439393939393943</v>
      </c>
      <c r="BL245" s="48">
        <f>$G245/5280*VLOOKUP($AC245,'Cost and Score'!$B$27:$O$40,7,0)</f>
        <v>18.083333333333336</v>
      </c>
      <c r="BM245" s="48">
        <f>$G245/5280*VLOOKUP($AC245,'Cost and Score'!$B$27:$O$40,8,0)</f>
        <v>0</v>
      </c>
      <c r="BN245" s="48">
        <f>$G245/5280*VLOOKUP($AC245,'Cost and Score'!$B$27:$O$40,9,0)</f>
        <v>3698.8636363636365</v>
      </c>
      <c r="BO245" s="48">
        <f>$G245/5280*VLOOKUP($AC245,'Cost and Score'!$B$27:$O$40,10,0)</f>
        <v>821.969696969697</v>
      </c>
      <c r="BP245" s="48">
        <f>$G245/5280*VLOOKUP($AC245,'Cost and Score'!$B$27:$O$40,11,0)</f>
        <v>0</v>
      </c>
      <c r="BQ245" s="48">
        <f>$G245/5280*VLOOKUP($AC245,'Cost and Score'!$B$27:$O$40,12,0)</f>
        <v>82.196969696969703</v>
      </c>
      <c r="BR245" s="48">
        <f>$G245/5280*VLOOKUP($AC245,'Cost and Score'!$B$27:$O$40,13,0)</f>
        <v>98.63636363636364</v>
      </c>
      <c r="BS245" s="48">
        <f>$G245/5280*VLOOKUP($AC245,'Cost and Score'!$B$27:$O$40,14,0)</f>
        <v>0</v>
      </c>
      <c r="BT245" s="220">
        <f t="shared" si="121"/>
        <v>0.82196969696969702</v>
      </c>
    </row>
    <row r="246" spans="1:103" s="2" customFormat="1" ht="14.45" hidden="1" customHeight="1" x14ac:dyDescent="0.25">
      <c r="A246" s="15" t="s">
        <v>586</v>
      </c>
      <c r="B246" s="34" t="s">
        <v>585</v>
      </c>
      <c r="C246" s="26" t="s">
        <v>585</v>
      </c>
      <c r="D246" s="82"/>
      <c r="E246" s="82" t="s">
        <v>197</v>
      </c>
      <c r="F246" s="82" t="s">
        <v>206</v>
      </c>
      <c r="G246" s="29">
        <v>2624</v>
      </c>
      <c r="H246" s="29">
        <f t="shared" si="129"/>
        <v>20</v>
      </c>
      <c r="I246" s="26" t="s">
        <v>13</v>
      </c>
      <c r="J246" s="26" t="s">
        <v>125</v>
      </c>
      <c r="K246" s="26">
        <f t="shared" si="128"/>
        <v>0</v>
      </c>
      <c r="L246" s="42">
        <v>8</v>
      </c>
      <c r="M246" s="42">
        <v>5</v>
      </c>
      <c r="N246" s="42">
        <v>5</v>
      </c>
      <c r="O246" s="83">
        <v>5</v>
      </c>
      <c r="P246" s="83">
        <v>5</v>
      </c>
      <c r="Q246" s="83">
        <v>4</v>
      </c>
      <c r="R246" s="83">
        <v>3</v>
      </c>
      <c r="S246" s="83">
        <v>8</v>
      </c>
      <c r="T246" s="83">
        <v>7</v>
      </c>
      <c r="U246" s="83">
        <v>7</v>
      </c>
      <c r="V246" s="42"/>
      <c r="W246" s="42"/>
      <c r="X246" s="42"/>
      <c r="Y246" s="26">
        <v>50</v>
      </c>
      <c r="Z246" s="26">
        <f t="shared" si="130"/>
        <v>0</v>
      </c>
      <c r="AA246" s="82" t="s">
        <v>124</v>
      </c>
      <c r="AB246" s="111">
        <f t="shared" si="112"/>
        <v>5</v>
      </c>
      <c r="AC246" s="85" t="s">
        <v>13</v>
      </c>
      <c r="AD246" s="84">
        <f t="shared" si="107"/>
        <v>10436.363636363636</v>
      </c>
      <c r="AE246" s="140"/>
      <c r="AF246" s="113">
        <f t="shared" si="131"/>
        <v>0</v>
      </c>
      <c r="AG246" s="85">
        <v>2026</v>
      </c>
      <c r="AH246" s="26" t="str">
        <f t="shared" si="103"/>
        <v/>
      </c>
      <c r="AI246" s="26" t="str">
        <f t="shared" si="132"/>
        <v/>
      </c>
      <c r="AJ246" s="26" t="str">
        <f t="shared" si="132"/>
        <v/>
      </c>
      <c r="AK246" s="26" t="str">
        <f t="shared" si="104"/>
        <v/>
      </c>
      <c r="AL246" s="26" t="str">
        <f t="shared" si="124"/>
        <v>Chip Seal and Fog</v>
      </c>
      <c r="AM246" s="26" t="str">
        <f t="shared" si="123"/>
        <v/>
      </c>
      <c r="AN246" s="26" t="str">
        <f t="shared" si="113"/>
        <v>Chip Seal and Fog</v>
      </c>
      <c r="AO246" s="26" t="str">
        <f t="shared" si="125"/>
        <v/>
      </c>
      <c r="AP246" s="26" t="str">
        <f t="shared" si="114"/>
        <v/>
      </c>
      <c r="AQ246" s="68">
        <f t="shared" si="108"/>
        <v>6</v>
      </c>
      <c r="AR246" s="68">
        <f t="shared" si="109"/>
        <v>6</v>
      </c>
      <c r="AS246" s="68">
        <f t="shared" si="115"/>
        <v>1</v>
      </c>
      <c r="AT246" s="68">
        <f t="shared" si="116"/>
        <v>1.25</v>
      </c>
      <c r="AU246" s="68">
        <f t="shared" si="117"/>
        <v>1.25</v>
      </c>
      <c r="AV246" s="68">
        <f t="shared" si="118"/>
        <v>1.25</v>
      </c>
      <c r="AW246" s="68">
        <f t="shared" si="119"/>
        <v>1.25</v>
      </c>
      <c r="AX246" s="68">
        <f t="shared" ca="1" si="110"/>
        <v>2.5</v>
      </c>
      <c r="AY246" s="106">
        <v>2020</v>
      </c>
      <c r="AZ246" s="106" t="s">
        <v>751</v>
      </c>
      <c r="BA246" s="106" t="str">
        <f t="shared" si="120"/>
        <v/>
      </c>
      <c r="BB246" s="177"/>
      <c r="BC246" s="177">
        <v>2</v>
      </c>
      <c r="BD246" s="177"/>
      <c r="BE246" s="177"/>
      <c r="BF246" s="177"/>
      <c r="BG246" s="177"/>
      <c r="BH246" s="177"/>
      <c r="BI246" s="33"/>
      <c r="BK246" s="48">
        <f>$G246/5280*VLOOKUP($AC246,'Cost and Score'!$B$27:$O$40,6,0)</f>
        <v>9.9393939393939396E-2</v>
      </c>
      <c r="BL246" s="48">
        <f>$G246/5280*VLOOKUP($AC246,'Cost and Score'!$B$27:$O$40,7,0)</f>
        <v>10.933333333333334</v>
      </c>
      <c r="BM246" s="48">
        <f>$G246/5280*VLOOKUP($AC246,'Cost and Score'!$B$27:$O$40,8,0)</f>
        <v>0</v>
      </c>
      <c r="BN246" s="48">
        <f>$G246/5280*VLOOKUP($AC246,'Cost and Score'!$B$27:$O$40,9,0)</f>
        <v>2236.3636363636365</v>
      </c>
      <c r="BO246" s="48">
        <f>$G246/5280*VLOOKUP($AC246,'Cost and Score'!$B$27:$O$40,10,0)</f>
        <v>496.96969696969694</v>
      </c>
      <c r="BP246" s="48">
        <f>$G246/5280*VLOOKUP($AC246,'Cost and Score'!$B$27:$O$40,11,0)</f>
        <v>0</v>
      </c>
      <c r="BQ246" s="48">
        <f>$G246/5280*VLOOKUP($AC246,'Cost and Score'!$B$27:$O$40,12,0)</f>
        <v>49.696969696969695</v>
      </c>
      <c r="BR246" s="48">
        <f>$G246/5280*VLOOKUP($AC246,'Cost and Score'!$B$27:$O$40,13,0)</f>
        <v>59.636363636363633</v>
      </c>
      <c r="BS246" s="48">
        <f>$G246/5280*VLOOKUP($AC246,'Cost and Score'!$B$27:$O$40,14,0)</f>
        <v>0</v>
      </c>
      <c r="BT246" s="220">
        <f t="shared" si="121"/>
        <v>0.49696969696969695</v>
      </c>
    </row>
    <row r="247" spans="1:103" s="112" customFormat="1" ht="14.45" hidden="1" customHeight="1" x14ac:dyDescent="0.25">
      <c r="A247" s="15" t="s">
        <v>2107</v>
      </c>
      <c r="B247" s="108" t="s">
        <v>587</v>
      </c>
      <c r="C247" s="106" t="s">
        <v>587</v>
      </c>
      <c r="D247" s="106"/>
      <c r="E247" s="106" t="s">
        <v>104</v>
      </c>
      <c r="F247" s="106" t="s">
        <v>107</v>
      </c>
      <c r="G247" s="109">
        <v>5335</v>
      </c>
      <c r="H247" s="109">
        <f t="shared" si="129"/>
        <v>20</v>
      </c>
      <c r="I247" s="106" t="s">
        <v>13</v>
      </c>
      <c r="J247" s="106" t="s">
        <v>160</v>
      </c>
      <c r="K247" s="106">
        <f t="shared" si="128"/>
        <v>0</v>
      </c>
      <c r="L247" s="110">
        <v>6</v>
      </c>
      <c r="M247" s="110">
        <v>8</v>
      </c>
      <c r="N247" s="110">
        <v>8</v>
      </c>
      <c r="O247" s="110">
        <v>7</v>
      </c>
      <c r="P247" s="110">
        <v>8</v>
      </c>
      <c r="Q247" s="110">
        <v>8</v>
      </c>
      <c r="R247" s="110">
        <v>7</v>
      </c>
      <c r="S247" s="110">
        <v>7</v>
      </c>
      <c r="T247" s="110">
        <v>7</v>
      </c>
      <c r="U247" s="110">
        <v>7</v>
      </c>
      <c r="V247" s="110"/>
      <c r="W247" s="110"/>
      <c r="X247" s="110"/>
      <c r="Y247" s="106">
        <v>521</v>
      </c>
      <c r="Z247" s="106">
        <f t="shared" si="130"/>
        <v>0.5</v>
      </c>
      <c r="AA247" s="106" t="s">
        <v>124</v>
      </c>
      <c r="AB247" s="111">
        <f t="shared" si="112"/>
        <v>2.5</v>
      </c>
      <c r="AC247" s="106" t="s">
        <v>13</v>
      </c>
      <c r="AD247" s="107">
        <f t="shared" si="107"/>
        <v>21218.75</v>
      </c>
      <c r="AE247" s="198"/>
      <c r="AF247" s="113">
        <f t="shared" si="131"/>
        <v>0</v>
      </c>
      <c r="AG247" s="106">
        <v>2024</v>
      </c>
      <c r="AH247" s="26" t="str">
        <f t="shared" ref="AH247:AH310" si="133">IF($AG247=AH$1,VLOOKUP($AC247,RSL,3,FALSE),"")</f>
        <v/>
      </c>
      <c r="AI247" s="26" t="str">
        <f t="shared" si="132"/>
        <v/>
      </c>
      <c r="AJ247" s="26" t="str">
        <f t="shared" si="132"/>
        <v>Chip Seal and Fog</v>
      </c>
      <c r="AK247" s="26" t="str">
        <f t="shared" si="104"/>
        <v/>
      </c>
      <c r="AL247" s="26" t="str">
        <f t="shared" si="124"/>
        <v/>
      </c>
      <c r="AM247" s="26" t="str">
        <f t="shared" si="123"/>
        <v/>
      </c>
      <c r="AN247" s="26" t="str">
        <f t="shared" si="113"/>
        <v>Chip Seal and Fog</v>
      </c>
      <c r="AO247" s="26" t="str">
        <f t="shared" si="125"/>
        <v/>
      </c>
      <c r="AP247" s="26" t="str">
        <f t="shared" si="114"/>
        <v/>
      </c>
      <c r="AQ247" s="68">
        <f t="shared" si="108"/>
        <v>10</v>
      </c>
      <c r="AR247" s="68">
        <f t="shared" si="109"/>
        <v>6</v>
      </c>
      <c r="AS247" s="68">
        <f t="shared" si="115"/>
        <v>1.1000000000000001</v>
      </c>
      <c r="AT247" s="68">
        <f t="shared" si="116"/>
        <v>1</v>
      </c>
      <c r="AU247" s="68">
        <f t="shared" si="117"/>
        <v>1</v>
      </c>
      <c r="AV247" s="68">
        <f t="shared" si="118"/>
        <v>1.05</v>
      </c>
      <c r="AW247" s="68">
        <f t="shared" si="119"/>
        <v>1</v>
      </c>
      <c r="AX247" s="68">
        <f t="shared" ca="1" si="110"/>
        <v>0</v>
      </c>
      <c r="AY247" s="106">
        <v>2017</v>
      </c>
      <c r="AZ247" s="106" t="s">
        <v>13</v>
      </c>
      <c r="BA247" s="106" t="str">
        <f t="shared" si="120"/>
        <v/>
      </c>
      <c r="BB247" s="177"/>
      <c r="BC247" s="177">
        <v>8</v>
      </c>
      <c r="BD247" s="177"/>
      <c r="BE247" s="177"/>
      <c r="BF247" s="177"/>
      <c r="BG247" s="177"/>
      <c r="BH247" s="177"/>
      <c r="BI247" s="33"/>
      <c r="BJ247" s="2"/>
      <c r="BK247" s="48">
        <f>$G247/5280*VLOOKUP($AC247,'Cost and Score'!$B$27:$O$40,6,0)</f>
        <v>0.20208333333333336</v>
      </c>
      <c r="BL247" s="48">
        <f>$G247/5280*VLOOKUP($AC247,'Cost and Score'!$B$27:$O$40,7,0)</f>
        <v>22.229166666666668</v>
      </c>
      <c r="BM247" s="48">
        <f>$G247/5280*VLOOKUP($AC247,'Cost and Score'!$B$27:$O$40,8,0)</f>
        <v>0</v>
      </c>
      <c r="BN247" s="48">
        <f>$G247/5280*VLOOKUP($AC247,'Cost and Score'!$B$27:$O$40,9,0)</f>
        <v>4546.875</v>
      </c>
      <c r="BO247" s="48">
        <f>$G247/5280*VLOOKUP($AC247,'Cost and Score'!$B$27:$O$40,10,0)</f>
        <v>1010.4166666666667</v>
      </c>
      <c r="BP247" s="48">
        <f>$G247/5280*VLOOKUP($AC247,'Cost and Score'!$B$27:$O$40,11,0)</f>
        <v>0</v>
      </c>
      <c r="BQ247" s="48">
        <f>$G247/5280*VLOOKUP($AC247,'Cost and Score'!$B$27:$O$40,12,0)</f>
        <v>101.04166666666667</v>
      </c>
      <c r="BR247" s="48">
        <f>$G247/5280*VLOOKUP($AC247,'Cost and Score'!$B$27:$O$40,13,0)</f>
        <v>121.25000000000001</v>
      </c>
      <c r="BS247" s="48">
        <f>$G247/5280*VLOOKUP($AC247,'Cost and Score'!$B$27:$O$40,14,0)</f>
        <v>0</v>
      </c>
      <c r="BT247" s="220">
        <f t="shared" si="121"/>
        <v>1.0104166666666667</v>
      </c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</row>
    <row r="248" spans="1:103" s="2" customFormat="1" ht="14.45" hidden="1" customHeight="1" x14ac:dyDescent="0.25">
      <c r="A248" s="15" t="s">
        <v>589</v>
      </c>
      <c r="B248" s="34" t="s">
        <v>588</v>
      </c>
      <c r="C248" s="26" t="s">
        <v>588</v>
      </c>
      <c r="D248" s="26"/>
      <c r="E248" s="26" t="s">
        <v>25</v>
      </c>
      <c r="F248" s="26" t="s">
        <v>197</v>
      </c>
      <c r="G248" s="29">
        <v>5288</v>
      </c>
      <c r="H248" s="29">
        <f t="shared" si="129"/>
        <v>20</v>
      </c>
      <c r="I248" s="106" t="s">
        <v>751</v>
      </c>
      <c r="J248" s="26" t="s">
        <v>125</v>
      </c>
      <c r="K248" s="26">
        <f t="shared" ref="K248:K279" si="134">VLOOKUP(J248,TOWNSHIPS,2,FALSE)</f>
        <v>0</v>
      </c>
      <c r="L248" s="42">
        <v>4</v>
      </c>
      <c r="M248" s="42">
        <v>4</v>
      </c>
      <c r="N248" s="42">
        <v>7</v>
      </c>
      <c r="O248" s="42">
        <v>9</v>
      </c>
      <c r="P248" s="42">
        <v>8</v>
      </c>
      <c r="Q248" s="42">
        <v>8</v>
      </c>
      <c r="R248" s="42">
        <v>8</v>
      </c>
      <c r="S248" s="42">
        <v>8</v>
      </c>
      <c r="T248" s="42">
        <v>7</v>
      </c>
      <c r="U248" s="42">
        <v>7</v>
      </c>
      <c r="V248" s="42"/>
      <c r="W248" s="42"/>
      <c r="X248" s="42"/>
      <c r="Y248" s="26">
        <v>218</v>
      </c>
      <c r="Z248" s="26">
        <f t="shared" si="130"/>
        <v>0</v>
      </c>
      <c r="AA248" s="26" t="s">
        <v>124</v>
      </c>
      <c r="AB248" s="111">
        <f t="shared" si="112"/>
        <v>2</v>
      </c>
      <c r="AC248" s="85" t="s">
        <v>13</v>
      </c>
      <c r="AD248" s="47">
        <f t="shared" si="107"/>
        <v>21031.81818181818</v>
      </c>
      <c r="AE248" s="140"/>
      <c r="AF248" s="113">
        <f t="shared" si="131"/>
        <v>0</v>
      </c>
      <c r="AG248" s="26">
        <v>2027</v>
      </c>
      <c r="AH248" s="26" t="str">
        <f t="shared" si="133"/>
        <v/>
      </c>
      <c r="AI248" s="26" t="str">
        <f t="shared" si="132"/>
        <v/>
      </c>
      <c r="AJ248" s="26" t="str">
        <f t="shared" si="132"/>
        <v/>
      </c>
      <c r="AK248" s="26" t="str">
        <f t="shared" si="104"/>
        <v/>
      </c>
      <c r="AL248" s="26" t="str">
        <f t="shared" si="124"/>
        <v/>
      </c>
      <c r="AM248" s="26" t="str">
        <f t="shared" si="123"/>
        <v>Chip Seal and Fog</v>
      </c>
      <c r="AN248" s="26" t="str">
        <f t="shared" si="113"/>
        <v>Chip Seal and Fog</v>
      </c>
      <c r="AO248" s="26" t="str">
        <f t="shared" si="125"/>
        <v>Crack Seal</v>
      </c>
      <c r="AP248" s="26" t="str">
        <f t="shared" si="114"/>
        <v/>
      </c>
      <c r="AQ248" s="68">
        <f t="shared" si="108"/>
        <v>14</v>
      </c>
      <c r="AR248" s="68">
        <f t="shared" si="109"/>
        <v>6</v>
      </c>
      <c r="AS248" s="68">
        <f t="shared" si="115"/>
        <v>1.5</v>
      </c>
      <c r="AT248" s="68">
        <f t="shared" si="116"/>
        <v>1.5</v>
      </c>
      <c r="AU248" s="68">
        <f t="shared" si="117"/>
        <v>1.05</v>
      </c>
      <c r="AV248" s="68">
        <f t="shared" si="118"/>
        <v>1</v>
      </c>
      <c r="AW248" s="68">
        <f t="shared" si="119"/>
        <v>1</v>
      </c>
      <c r="AX248" s="68">
        <f t="shared" ca="1" si="110"/>
        <v>3.1500000000000004</v>
      </c>
      <c r="AY248" s="106">
        <v>2021</v>
      </c>
      <c r="AZ248" s="106" t="s">
        <v>2075</v>
      </c>
      <c r="BA248" s="106" t="str">
        <f t="shared" si="120"/>
        <v/>
      </c>
      <c r="BB248" s="177"/>
      <c r="BC248" s="177">
        <v>2</v>
      </c>
      <c r="BD248" s="177"/>
      <c r="BE248" s="177"/>
      <c r="BF248" s="177"/>
      <c r="BG248" s="177"/>
      <c r="BH248" s="177"/>
      <c r="BI248" s="33" t="s">
        <v>2192</v>
      </c>
      <c r="BK248" s="48">
        <f>$G248/5280*VLOOKUP($AC248,'Cost and Score'!$B$27:$O$40,6,0)</f>
        <v>0.20030303030303032</v>
      </c>
      <c r="BL248" s="48">
        <f>$G248/5280*VLOOKUP($AC248,'Cost and Score'!$B$27:$O$40,7,0)</f>
        <v>22.033333333333331</v>
      </c>
      <c r="BM248" s="48">
        <f>$G248/5280*VLOOKUP($AC248,'Cost and Score'!$B$27:$O$40,8,0)</f>
        <v>0</v>
      </c>
      <c r="BN248" s="48">
        <f>$G248/5280*VLOOKUP($AC248,'Cost and Score'!$B$27:$O$40,9,0)</f>
        <v>4506.818181818182</v>
      </c>
      <c r="BO248" s="48">
        <f>$G248/5280*VLOOKUP($AC248,'Cost and Score'!$B$27:$O$40,10,0)</f>
        <v>1001.5151515151515</v>
      </c>
      <c r="BP248" s="48">
        <f>$G248/5280*VLOOKUP($AC248,'Cost and Score'!$B$27:$O$40,11,0)</f>
        <v>0</v>
      </c>
      <c r="BQ248" s="48">
        <f>$G248/5280*VLOOKUP($AC248,'Cost and Score'!$B$27:$O$40,12,0)</f>
        <v>100.15151515151514</v>
      </c>
      <c r="BR248" s="48">
        <f>$G248/5280*VLOOKUP($AC248,'Cost and Score'!$B$27:$O$40,13,0)</f>
        <v>120.18181818181817</v>
      </c>
      <c r="BS248" s="48">
        <f>$G248/5280*VLOOKUP($AC248,'Cost and Score'!$B$27:$O$40,14,0)</f>
        <v>0</v>
      </c>
      <c r="BT248" s="220">
        <f t="shared" si="121"/>
        <v>1.0015151515151515</v>
      </c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</row>
    <row r="249" spans="1:103" s="2" customFormat="1" ht="14.45" hidden="1" customHeight="1" x14ac:dyDescent="0.25">
      <c r="A249" s="15"/>
      <c r="B249" s="34" t="s">
        <v>2500</v>
      </c>
      <c r="C249" s="34" t="s">
        <v>2500</v>
      </c>
      <c r="D249" s="85"/>
      <c r="E249" s="85" t="s">
        <v>107</v>
      </c>
      <c r="F249" s="85" t="s">
        <v>209</v>
      </c>
      <c r="G249" s="29">
        <v>4000</v>
      </c>
      <c r="H249" s="29">
        <v>20</v>
      </c>
      <c r="I249" s="85" t="s">
        <v>8</v>
      </c>
      <c r="J249" s="85" t="s">
        <v>160</v>
      </c>
      <c r="K249" s="85">
        <f t="shared" si="134"/>
        <v>0</v>
      </c>
      <c r="L249" s="74">
        <v>6</v>
      </c>
      <c r="M249" s="74">
        <v>6</v>
      </c>
      <c r="N249" s="74">
        <v>6</v>
      </c>
      <c r="O249" s="74">
        <v>6</v>
      </c>
      <c r="P249" s="74">
        <v>6</v>
      </c>
      <c r="Q249" s="74">
        <v>6</v>
      </c>
      <c r="R249" s="74">
        <v>6</v>
      </c>
      <c r="S249" s="74">
        <v>6</v>
      </c>
      <c r="T249" s="74">
        <v>6</v>
      </c>
      <c r="U249" s="74">
        <v>7</v>
      </c>
      <c r="V249" s="74"/>
      <c r="W249" s="74"/>
      <c r="X249" s="74"/>
      <c r="Y249" s="85">
        <v>500</v>
      </c>
      <c r="Z249" s="85">
        <v>0</v>
      </c>
      <c r="AA249" s="85" t="s">
        <v>124</v>
      </c>
      <c r="AB249" s="111">
        <f t="shared" si="112"/>
        <v>4</v>
      </c>
      <c r="AC249" s="82" t="s">
        <v>2072</v>
      </c>
      <c r="AD249" s="47">
        <f t="shared" si="107"/>
        <v>34848.484848484848</v>
      </c>
      <c r="AE249" s="140"/>
      <c r="AF249" s="113"/>
      <c r="AG249" s="26">
        <v>2027</v>
      </c>
      <c r="AH249" s="26" t="str">
        <f t="shared" si="133"/>
        <v/>
      </c>
      <c r="AI249" s="26" t="str">
        <f t="shared" si="132"/>
        <v/>
      </c>
      <c r="AJ249" s="26" t="str">
        <f t="shared" si="132"/>
        <v/>
      </c>
      <c r="AK249" s="26" t="str">
        <f t="shared" si="104"/>
        <v/>
      </c>
      <c r="AL249" s="26" t="str">
        <f t="shared" si="124"/>
        <v/>
      </c>
      <c r="AM249" s="26" t="str">
        <f t="shared" si="123"/>
        <v>Chip Seal - Triple</v>
      </c>
      <c r="AN249" s="26" t="str">
        <f t="shared" si="113"/>
        <v>Chip Seal - Triple</v>
      </c>
      <c r="AO249" s="26" t="str">
        <f t="shared" si="125"/>
        <v>Overlay - 2"</v>
      </c>
      <c r="AP249" s="26" t="str">
        <f t="shared" si="114"/>
        <v/>
      </c>
      <c r="AQ249" s="68">
        <f t="shared" si="108"/>
        <v>8</v>
      </c>
      <c r="AR249" s="68">
        <f t="shared" si="109"/>
        <v>8</v>
      </c>
      <c r="AS249" s="68">
        <f t="shared" si="115"/>
        <v>1.1000000000000001</v>
      </c>
      <c r="AT249" s="68">
        <f t="shared" si="116"/>
        <v>1.1000000000000001</v>
      </c>
      <c r="AU249" s="68">
        <f t="shared" si="117"/>
        <v>1.1000000000000001</v>
      </c>
      <c r="AV249" s="68">
        <f t="shared" si="118"/>
        <v>1.1000000000000001</v>
      </c>
      <c r="AW249" s="68">
        <f t="shared" si="119"/>
        <v>1.1000000000000001</v>
      </c>
      <c r="AX249" s="68">
        <f t="shared" ca="1" si="110"/>
        <v>3.3000000000000003</v>
      </c>
      <c r="AY249" s="106">
        <v>2021</v>
      </c>
      <c r="AZ249" s="106" t="s">
        <v>751</v>
      </c>
      <c r="BA249" s="106" t="str">
        <f t="shared" si="120"/>
        <v/>
      </c>
      <c r="BB249" s="177">
        <v>21</v>
      </c>
      <c r="BC249" s="177">
        <v>8</v>
      </c>
      <c r="BD249" s="177"/>
      <c r="BE249" s="177"/>
      <c r="BF249" s="177"/>
      <c r="BG249" s="177"/>
      <c r="BH249" s="177"/>
      <c r="BI249" s="33"/>
      <c r="BK249" s="48">
        <f>$G249/5280*VLOOKUP($AC249,'Cost and Score'!$B$27:$O$40,6,0)</f>
        <v>0.45454545454545453</v>
      </c>
      <c r="BL249" s="48">
        <f>$G249/5280*VLOOKUP($AC249,'Cost and Score'!$B$27:$O$40,7,0)</f>
        <v>94.696969696969703</v>
      </c>
      <c r="BM249" s="48">
        <f>$G249/5280*VLOOKUP($AC249,'Cost and Score'!$B$27:$O$40,8,0)</f>
        <v>151.5151515151515</v>
      </c>
      <c r="BN249" s="48">
        <f>$G249/5280*VLOOKUP($AC249,'Cost and Score'!$B$27:$O$40,9,0)</f>
        <v>1515.1515151515152</v>
      </c>
      <c r="BO249" s="48">
        <f>$G249/5280*VLOOKUP($AC249,'Cost and Score'!$B$27:$O$40,10,0)</f>
        <v>378.78787878787881</v>
      </c>
      <c r="BP249" s="48">
        <f>$G249/5280*VLOOKUP($AC249,'Cost and Score'!$B$27:$O$40,11,0)</f>
        <v>75.757575757575751</v>
      </c>
      <c r="BQ249" s="48">
        <f>$G249/5280*VLOOKUP($AC249,'Cost and Score'!$B$27:$O$40,12,0)</f>
        <v>606.06060606060601</v>
      </c>
      <c r="BR249" s="48">
        <f>$G249/5280*VLOOKUP($AC249,'Cost and Score'!$B$27:$O$40,13,0)</f>
        <v>60.606060606060609</v>
      </c>
      <c r="BS249" s="48">
        <f>$G249/5280*VLOOKUP($AC249,'Cost and Score'!$B$27:$O$40,14,0)</f>
        <v>0</v>
      </c>
      <c r="BT249" s="220">
        <f t="shared" si="121"/>
        <v>0.75757575757575757</v>
      </c>
    </row>
    <row r="250" spans="1:103" s="2" customFormat="1" ht="14.45" hidden="1" customHeight="1" x14ac:dyDescent="0.25">
      <c r="A250" s="15" t="s">
        <v>591</v>
      </c>
      <c r="B250" s="34" t="s">
        <v>590</v>
      </c>
      <c r="C250" s="26" t="s">
        <v>590</v>
      </c>
      <c r="D250" s="26"/>
      <c r="E250" s="26" t="s">
        <v>28</v>
      </c>
      <c r="F250" s="26" t="s">
        <v>25</v>
      </c>
      <c r="G250" s="29">
        <v>5326</v>
      </c>
      <c r="H250" s="29">
        <f t="shared" ref="H250:H281" si="135">IF(I250="NC",26,20)</f>
        <v>20</v>
      </c>
      <c r="I250" s="26" t="s">
        <v>13</v>
      </c>
      <c r="J250" s="26" t="s">
        <v>125</v>
      </c>
      <c r="K250" s="26">
        <f t="shared" si="134"/>
        <v>0</v>
      </c>
      <c r="L250" s="42">
        <v>8</v>
      </c>
      <c r="M250" s="42">
        <v>7</v>
      </c>
      <c r="N250" s="42">
        <v>7</v>
      </c>
      <c r="O250" s="42">
        <v>7</v>
      </c>
      <c r="P250" s="42">
        <v>7</v>
      </c>
      <c r="Q250" s="42">
        <v>6</v>
      </c>
      <c r="R250" s="42">
        <v>6</v>
      </c>
      <c r="S250" s="42">
        <v>6</v>
      </c>
      <c r="T250" s="42">
        <v>6</v>
      </c>
      <c r="U250" s="42">
        <v>8</v>
      </c>
      <c r="V250" s="42"/>
      <c r="W250" s="42"/>
      <c r="X250" s="42"/>
      <c r="Y250" s="26">
        <v>187</v>
      </c>
      <c r="Z250" s="26">
        <f t="shared" ref="Z250:Z281" si="136">VLOOKUP(Y250,AADT,2)</f>
        <v>0</v>
      </c>
      <c r="AA250" s="26" t="s">
        <v>124</v>
      </c>
      <c r="AB250" s="111">
        <f t="shared" si="112"/>
        <v>3</v>
      </c>
      <c r="AC250" s="26" t="s">
        <v>13</v>
      </c>
      <c r="AD250" s="47">
        <f t="shared" si="107"/>
        <v>21182.954545454544</v>
      </c>
      <c r="AE250" s="140"/>
      <c r="AF250" s="113">
        <f t="shared" ref="AF250:AF281" si="137">AD250*AE250</f>
        <v>0</v>
      </c>
      <c r="AG250" s="26">
        <v>2022</v>
      </c>
      <c r="AH250" s="26" t="str">
        <f t="shared" si="133"/>
        <v>Chip Seal and Fog</v>
      </c>
      <c r="AI250" s="26" t="str">
        <f t="shared" si="132"/>
        <v/>
      </c>
      <c r="AJ250" s="26" t="str">
        <f t="shared" si="132"/>
        <v/>
      </c>
      <c r="AK250" s="26" t="str">
        <f t="shared" si="104"/>
        <v/>
      </c>
      <c r="AL250" s="26" t="str">
        <f t="shared" si="124"/>
        <v/>
      </c>
      <c r="AM250" s="26" t="str">
        <f t="shared" si="123"/>
        <v/>
      </c>
      <c r="AN250" s="26" t="str">
        <f t="shared" si="113"/>
        <v>Chip Seal and Fog</v>
      </c>
      <c r="AO250" s="26" t="str">
        <f t="shared" si="125"/>
        <v/>
      </c>
      <c r="AP250" s="26" t="str">
        <f t="shared" si="114"/>
        <v>Chip Seal and Fog</v>
      </c>
      <c r="AQ250" s="68">
        <f t="shared" si="108"/>
        <v>10</v>
      </c>
      <c r="AR250" s="68">
        <f t="shared" si="109"/>
        <v>6</v>
      </c>
      <c r="AS250" s="68">
        <f t="shared" si="115"/>
        <v>1</v>
      </c>
      <c r="AT250" s="68">
        <f t="shared" si="116"/>
        <v>1.05</v>
      </c>
      <c r="AU250" s="68">
        <f t="shared" si="117"/>
        <v>1.05</v>
      </c>
      <c r="AV250" s="68">
        <f t="shared" si="118"/>
        <v>1.05</v>
      </c>
      <c r="AW250" s="68">
        <f t="shared" si="119"/>
        <v>1.05</v>
      </c>
      <c r="AX250" s="68">
        <f t="shared" ca="1" si="110"/>
        <v>-2.1</v>
      </c>
      <c r="AY250" s="106">
        <v>2022</v>
      </c>
      <c r="AZ250" s="106" t="s">
        <v>13</v>
      </c>
      <c r="BA250" s="106" t="str">
        <f t="shared" si="120"/>
        <v/>
      </c>
      <c r="BB250" s="177">
        <v>20</v>
      </c>
      <c r="BC250" s="177">
        <v>2</v>
      </c>
      <c r="BD250" s="177"/>
      <c r="BE250" s="177"/>
      <c r="BF250" s="177"/>
      <c r="BG250" s="177"/>
      <c r="BH250" s="177"/>
      <c r="BI250" s="33"/>
      <c r="BK250" s="48">
        <f>$G250/5280*VLOOKUP($AC250,'Cost and Score'!$B$27:$O$40,6,0)</f>
        <v>0.20174242424242428</v>
      </c>
      <c r="BL250" s="48">
        <f>$G250/5280*VLOOKUP($AC250,'Cost and Score'!$B$27:$O$40,7,0)</f>
        <v>22.19166666666667</v>
      </c>
      <c r="BM250" s="48">
        <f>$G250/5280*VLOOKUP($AC250,'Cost and Score'!$B$27:$O$40,8,0)</f>
        <v>0</v>
      </c>
      <c r="BN250" s="48">
        <f>$G250/5280*VLOOKUP($AC250,'Cost and Score'!$B$27:$O$40,9,0)</f>
        <v>4539.204545454546</v>
      </c>
      <c r="BO250" s="48">
        <f>$G250/5280*VLOOKUP($AC250,'Cost and Score'!$B$27:$O$40,10,0)</f>
        <v>1008.7121212121212</v>
      </c>
      <c r="BP250" s="48">
        <f>$G250/5280*VLOOKUP($AC250,'Cost and Score'!$B$27:$O$40,11,0)</f>
        <v>0</v>
      </c>
      <c r="BQ250" s="48">
        <f>$G250/5280*VLOOKUP($AC250,'Cost and Score'!$B$27:$O$40,12,0)</f>
        <v>100.87121212121212</v>
      </c>
      <c r="BR250" s="48">
        <f>$G250/5280*VLOOKUP($AC250,'Cost and Score'!$B$27:$O$40,13,0)</f>
        <v>121.04545454545456</v>
      </c>
      <c r="BS250" s="48">
        <f>$G250/5280*VLOOKUP($AC250,'Cost and Score'!$B$27:$O$40,14,0)</f>
        <v>0</v>
      </c>
      <c r="BT250" s="220">
        <f t="shared" si="121"/>
        <v>1.0087121212121213</v>
      </c>
    </row>
    <row r="251" spans="1:103" s="2" customFormat="1" ht="14.45" customHeight="1" x14ac:dyDescent="0.25">
      <c r="A251" s="15" t="s">
        <v>961</v>
      </c>
      <c r="B251" s="34" t="s">
        <v>960</v>
      </c>
      <c r="C251" s="26" t="s">
        <v>960</v>
      </c>
      <c r="D251" s="82"/>
      <c r="E251" s="82" t="s">
        <v>958</v>
      </c>
      <c r="F251" s="82" t="s">
        <v>38</v>
      </c>
      <c r="G251" s="29">
        <v>2640</v>
      </c>
      <c r="H251" s="29">
        <f t="shared" si="135"/>
        <v>20</v>
      </c>
      <c r="I251" s="26" t="s">
        <v>13</v>
      </c>
      <c r="J251" s="26" t="s">
        <v>11</v>
      </c>
      <c r="K251" s="26">
        <f t="shared" si="134"/>
        <v>0</v>
      </c>
      <c r="L251" s="42">
        <v>7</v>
      </c>
      <c r="M251" s="42">
        <v>7</v>
      </c>
      <c r="N251" s="42">
        <v>6</v>
      </c>
      <c r="O251" s="83">
        <v>6</v>
      </c>
      <c r="P251" s="83">
        <v>5</v>
      </c>
      <c r="Q251" s="83">
        <v>5</v>
      </c>
      <c r="R251" s="83">
        <v>7</v>
      </c>
      <c r="S251" s="83">
        <v>8</v>
      </c>
      <c r="T251" s="83">
        <v>7</v>
      </c>
      <c r="U251" s="83">
        <v>7</v>
      </c>
      <c r="V251" s="42"/>
      <c r="W251" s="42"/>
      <c r="X251" s="42"/>
      <c r="Y251" s="26">
        <v>366</v>
      </c>
      <c r="Z251" s="26">
        <f t="shared" si="136"/>
        <v>0</v>
      </c>
      <c r="AA251" s="82" t="s">
        <v>67</v>
      </c>
      <c r="AB251" s="111">
        <f t="shared" si="112"/>
        <v>5</v>
      </c>
      <c r="AC251" s="85" t="s">
        <v>13</v>
      </c>
      <c r="AD251" s="84">
        <f t="shared" si="107"/>
        <v>10500</v>
      </c>
      <c r="AE251" s="140"/>
      <c r="AF251" s="113">
        <f t="shared" si="137"/>
        <v>0</v>
      </c>
      <c r="AG251" s="106">
        <v>2025</v>
      </c>
      <c r="AH251" s="26" t="str">
        <f t="shared" si="133"/>
        <v/>
      </c>
      <c r="AI251" s="26" t="str">
        <f t="shared" si="132"/>
        <v/>
      </c>
      <c r="AJ251" s="26" t="str">
        <f t="shared" si="132"/>
        <v/>
      </c>
      <c r="AK251" s="26" t="str">
        <f t="shared" ref="AK251:AK314" si="138">IF($AG251=AK$1,VLOOKUP($AC251,RSL,3,FALSE),"")</f>
        <v>Chip Seal and Fog</v>
      </c>
      <c r="AL251" s="26" t="str">
        <f t="shared" si="124"/>
        <v/>
      </c>
      <c r="AM251" s="26" t="str">
        <f t="shared" si="123"/>
        <v/>
      </c>
      <c r="AN251" s="26" t="str">
        <f t="shared" si="113"/>
        <v>Chip Seal and Fog</v>
      </c>
      <c r="AO251" s="26" t="str">
        <f t="shared" si="125"/>
        <v/>
      </c>
      <c r="AP251" s="26" t="str">
        <f t="shared" si="114"/>
        <v/>
      </c>
      <c r="AQ251" s="68">
        <f t="shared" si="108"/>
        <v>8</v>
      </c>
      <c r="AR251" s="68">
        <f t="shared" si="109"/>
        <v>6</v>
      </c>
      <c r="AS251" s="68">
        <f t="shared" si="115"/>
        <v>1.05</v>
      </c>
      <c r="AT251" s="68">
        <f t="shared" si="116"/>
        <v>1.05</v>
      </c>
      <c r="AU251" s="68">
        <f t="shared" si="117"/>
        <v>1.1000000000000001</v>
      </c>
      <c r="AV251" s="68">
        <f t="shared" si="118"/>
        <v>1.1000000000000001</v>
      </c>
      <c r="AW251" s="68">
        <f t="shared" si="119"/>
        <v>1.25</v>
      </c>
      <c r="AX251" s="68">
        <f t="shared" ca="1" si="110"/>
        <v>1.1000000000000001</v>
      </c>
      <c r="AY251" s="68">
        <v>2019</v>
      </c>
      <c r="AZ251" s="68" t="s">
        <v>2073</v>
      </c>
      <c r="BA251" s="106" t="str">
        <f t="shared" si="120"/>
        <v/>
      </c>
      <c r="BB251" s="178"/>
      <c r="BC251" s="178">
        <v>4</v>
      </c>
      <c r="BD251" s="178"/>
      <c r="BE251" s="178"/>
      <c r="BF251" s="178"/>
      <c r="BG251" s="178"/>
      <c r="BH251" s="178"/>
      <c r="BI251" s="33"/>
      <c r="BK251" s="48">
        <f>$G251/5280*VLOOKUP($AC251,'Cost and Score'!$B$27:$O$40,6,0)</f>
        <v>0.1</v>
      </c>
      <c r="BL251" s="48">
        <f>$G251/5280*VLOOKUP($AC251,'Cost and Score'!$B$27:$O$40,7,0)</f>
        <v>11</v>
      </c>
      <c r="BM251" s="48">
        <f>$G251/5280*VLOOKUP($AC251,'Cost and Score'!$B$27:$O$40,8,0)</f>
        <v>0</v>
      </c>
      <c r="BN251" s="48">
        <f>$G251/5280*VLOOKUP($AC251,'Cost and Score'!$B$27:$O$40,9,0)</f>
        <v>2250</v>
      </c>
      <c r="BO251" s="48">
        <f>$G251/5280*VLOOKUP($AC251,'Cost and Score'!$B$27:$O$40,10,0)</f>
        <v>500</v>
      </c>
      <c r="BP251" s="48">
        <f>$G251/5280*VLOOKUP($AC251,'Cost and Score'!$B$27:$O$40,11,0)</f>
        <v>0</v>
      </c>
      <c r="BQ251" s="48">
        <f>$G251/5280*VLOOKUP($AC251,'Cost and Score'!$B$27:$O$40,12,0)</f>
        <v>50</v>
      </c>
      <c r="BR251" s="48">
        <f>$G251/5280*VLOOKUP($AC251,'Cost and Score'!$B$27:$O$40,13,0)</f>
        <v>60</v>
      </c>
      <c r="BS251" s="48">
        <f>$G251/5280*VLOOKUP($AC251,'Cost and Score'!$B$27:$O$40,14,0)</f>
        <v>0</v>
      </c>
      <c r="BT251" s="220">
        <f t="shared" si="121"/>
        <v>0.5</v>
      </c>
    </row>
    <row r="252" spans="1:103" s="2" customFormat="1" ht="14.45" customHeight="1" x14ac:dyDescent="0.25">
      <c r="A252" s="15" t="s">
        <v>959</v>
      </c>
      <c r="B252" s="34" t="s">
        <v>957</v>
      </c>
      <c r="C252" s="26" t="s">
        <v>957</v>
      </c>
      <c r="D252" s="82"/>
      <c r="E252" s="82" t="s">
        <v>39</v>
      </c>
      <c r="F252" s="82" t="s">
        <v>958</v>
      </c>
      <c r="G252" s="29">
        <v>2642</v>
      </c>
      <c r="H252" s="29">
        <f t="shared" si="135"/>
        <v>20</v>
      </c>
      <c r="I252" s="26" t="s">
        <v>13</v>
      </c>
      <c r="J252" s="26" t="s">
        <v>11</v>
      </c>
      <c r="K252" s="26">
        <f t="shared" si="134"/>
        <v>0</v>
      </c>
      <c r="L252" s="42">
        <v>8</v>
      </c>
      <c r="M252" s="42">
        <v>7</v>
      </c>
      <c r="N252" s="42">
        <v>6</v>
      </c>
      <c r="O252" s="83">
        <v>6</v>
      </c>
      <c r="P252" s="83">
        <v>5</v>
      </c>
      <c r="Q252" s="83">
        <v>5</v>
      </c>
      <c r="R252" s="83">
        <v>7</v>
      </c>
      <c r="S252" s="83">
        <v>8</v>
      </c>
      <c r="T252" s="83">
        <v>7</v>
      </c>
      <c r="U252" s="83">
        <v>7</v>
      </c>
      <c r="V252" s="42"/>
      <c r="W252" s="42"/>
      <c r="X252" s="42"/>
      <c r="Y252" s="26">
        <v>360</v>
      </c>
      <c r="Z252" s="26">
        <f t="shared" si="136"/>
        <v>0</v>
      </c>
      <c r="AA252" s="82" t="s">
        <v>67</v>
      </c>
      <c r="AB252" s="111">
        <f t="shared" si="112"/>
        <v>5</v>
      </c>
      <c r="AC252" s="85" t="s">
        <v>13</v>
      </c>
      <c r="AD252" s="84">
        <f t="shared" si="107"/>
        <v>10507.954545454546</v>
      </c>
      <c r="AE252" s="140"/>
      <c r="AF252" s="113">
        <f t="shared" si="137"/>
        <v>0</v>
      </c>
      <c r="AG252" s="106">
        <v>2025</v>
      </c>
      <c r="AH252" s="26" t="str">
        <f t="shared" si="133"/>
        <v/>
      </c>
      <c r="AI252" s="26" t="str">
        <f t="shared" ref="AI252:AJ271" si="139">IF($AG252=AI$1,VLOOKUP($AC252,RSL,3,FALSE),"")</f>
        <v/>
      </c>
      <c r="AJ252" s="26" t="str">
        <f t="shared" si="139"/>
        <v/>
      </c>
      <c r="AK252" s="26" t="str">
        <f t="shared" si="138"/>
        <v>Chip Seal and Fog</v>
      </c>
      <c r="AL252" s="26" t="str">
        <f t="shared" si="124"/>
        <v/>
      </c>
      <c r="AM252" s="26" t="str">
        <f t="shared" si="123"/>
        <v/>
      </c>
      <c r="AN252" s="26" t="str">
        <f t="shared" si="113"/>
        <v>Chip Seal and Fog</v>
      </c>
      <c r="AO252" s="26" t="str">
        <f t="shared" si="125"/>
        <v/>
      </c>
      <c r="AP252" s="26" t="str">
        <f t="shared" si="114"/>
        <v/>
      </c>
      <c r="AQ252" s="68">
        <f t="shared" si="108"/>
        <v>8</v>
      </c>
      <c r="AR252" s="68">
        <f t="shared" si="109"/>
        <v>6</v>
      </c>
      <c r="AS252" s="68">
        <f t="shared" si="115"/>
        <v>1</v>
      </c>
      <c r="AT252" s="68">
        <f t="shared" si="116"/>
        <v>1.05</v>
      </c>
      <c r="AU252" s="68">
        <f t="shared" si="117"/>
        <v>1.1000000000000001</v>
      </c>
      <c r="AV252" s="68">
        <f t="shared" si="118"/>
        <v>1.1000000000000001</v>
      </c>
      <c r="AW252" s="68">
        <f t="shared" si="119"/>
        <v>1.25</v>
      </c>
      <c r="AX252" s="68">
        <f t="shared" ca="1" si="110"/>
        <v>1.1000000000000001</v>
      </c>
      <c r="AY252" s="68">
        <v>2019</v>
      </c>
      <c r="AZ252" s="68" t="s">
        <v>2073</v>
      </c>
      <c r="BA252" s="106" t="str">
        <f t="shared" si="120"/>
        <v/>
      </c>
      <c r="BB252" s="178"/>
      <c r="BC252" s="178">
        <v>4</v>
      </c>
      <c r="BD252" s="178"/>
      <c r="BE252" s="178"/>
      <c r="BF252" s="178"/>
      <c r="BG252" s="178"/>
      <c r="BH252" s="178"/>
      <c r="BI252" s="33"/>
      <c r="BK252" s="48">
        <f>$G252/5280*VLOOKUP($AC252,'Cost and Score'!$B$27:$O$40,6,0)</f>
        <v>0.10007575757575758</v>
      </c>
      <c r="BL252" s="48">
        <f>$G252/5280*VLOOKUP($AC252,'Cost and Score'!$B$27:$O$40,7,0)</f>
        <v>11.008333333333333</v>
      </c>
      <c r="BM252" s="48">
        <f>$G252/5280*VLOOKUP($AC252,'Cost and Score'!$B$27:$O$40,8,0)</f>
        <v>0</v>
      </c>
      <c r="BN252" s="48">
        <f>$G252/5280*VLOOKUP($AC252,'Cost and Score'!$B$27:$O$40,9,0)</f>
        <v>2251.7045454545455</v>
      </c>
      <c r="BO252" s="48">
        <f>$G252/5280*VLOOKUP($AC252,'Cost and Score'!$B$27:$O$40,10,0)</f>
        <v>500.37878787878788</v>
      </c>
      <c r="BP252" s="48">
        <f>$G252/5280*VLOOKUP($AC252,'Cost and Score'!$B$27:$O$40,11,0)</f>
        <v>0</v>
      </c>
      <c r="BQ252" s="48">
        <f>$G252/5280*VLOOKUP($AC252,'Cost and Score'!$B$27:$O$40,12,0)</f>
        <v>50.037878787878789</v>
      </c>
      <c r="BR252" s="48">
        <f>$G252/5280*VLOOKUP($AC252,'Cost and Score'!$B$27:$O$40,13,0)</f>
        <v>60.045454545454547</v>
      </c>
      <c r="BS252" s="48">
        <f>$G252/5280*VLOOKUP($AC252,'Cost and Score'!$B$27:$O$40,14,0)</f>
        <v>0</v>
      </c>
      <c r="BT252" s="220">
        <f t="shared" si="121"/>
        <v>0.50037878787878787</v>
      </c>
      <c r="CN252" s="112"/>
      <c r="CO252" s="112"/>
      <c r="CP252" s="112"/>
      <c r="CQ252" s="112"/>
      <c r="CV252" s="112"/>
    </row>
    <row r="253" spans="1:103" s="2" customFormat="1" x14ac:dyDescent="0.25">
      <c r="A253" s="37" t="s">
        <v>1299</v>
      </c>
      <c r="B253" s="108" t="s">
        <v>1298</v>
      </c>
      <c r="C253" s="106" t="s">
        <v>1298</v>
      </c>
      <c r="D253" s="106"/>
      <c r="E253" s="106" t="s">
        <v>119</v>
      </c>
      <c r="F253" s="106" t="s">
        <v>222</v>
      </c>
      <c r="G253" s="109">
        <v>7950</v>
      </c>
      <c r="H253" s="109">
        <f t="shared" si="135"/>
        <v>20</v>
      </c>
      <c r="I253" s="106" t="s">
        <v>13</v>
      </c>
      <c r="J253" s="106" t="s">
        <v>26</v>
      </c>
      <c r="K253" s="106">
        <f t="shared" si="134"/>
        <v>0</v>
      </c>
      <c r="L253" s="110">
        <v>6</v>
      </c>
      <c r="M253" s="110">
        <v>7</v>
      </c>
      <c r="N253" s="110">
        <v>7</v>
      </c>
      <c r="O253" s="110">
        <v>7</v>
      </c>
      <c r="P253" s="110">
        <v>7</v>
      </c>
      <c r="Q253" s="110">
        <v>7</v>
      </c>
      <c r="R253" s="110">
        <v>7</v>
      </c>
      <c r="S253" s="110">
        <v>8</v>
      </c>
      <c r="T253" s="110">
        <v>7</v>
      </c>
      <c r="U253" s="110">
        <v>7</v>
      </c>
      <c r="V253" s="110"/>
      <c r="W253" s="110"/>
      <c r="X253" s="110"/>
      <c r="Y253" s="106">
        <v>335</v>
      </c>
      <c r="Z253" s="106">
        <f t="shared" si="136"/>
        <v>0</v>
      </c>
      <c r="AA253" s="106" t="s">
        <v>149</v>
      </c>
      <c r="AB253" s="111">
        <f t="shared" si="112"/>
        <v>3</v>
      </c>
      <c r="AC253" s="26" t="s">
        <v>13</v>
      </c>
      <c r="AD253" s="107">
        <f t="shared" ref="AD253:AD316" si="140">VLOOKUP(AC253,Cost,2,FALSE)*G253/5280</f>
        <v>31619.31818181818</v>
      </c>
      <c r="AE253" s="198"/>
      <c r="AF253" s="113">
        <f t="shared" si="137"/>
        <v>0</v>
      </c>
      <c r="AG253" s="26">
        <v>2025</v>
      </c>
      <c r="AH253" s="26" t="str">
        <f t="shared" si="133"/>
        <v/>
      </c>
      <c r="AI253" s="26" t="str">
        <f t="shared" si="139"/>
        <v/>
      </c>
      <c r="AJ253" s="26" t="str">
        <f t="shared" si="139"/>
        <v/>
      </c>
      <c r="AK253" s="26" t="str">
        <f t="shared" si="138"/>
        <v>Chip Seal and Fog</v>
      </c>
      <c r="AL253" s="26" t="str">
        <f t="shared" si="124"/>
        <v/>
      </c>
      <c r="AM253" s="26" t="str">
        <f t="shared" si="123"/>
        <v/>
      </c>
      <c r="AN253" s="26" t="str">
        <f t="shared" si="113"/>
        <v>Chip Seal and Fog</v>
      </c>
      <c r="AO253" s="26" t="str">
        <f t="shared" si="125"/>
        <v/>
      </c>
      <c r="AP253" s="26" t="str">
        <f t="shared" si="114"/>
        <v/>
      </c>
      <c r="AQ253" s="68">
        <f t="shared" ref="AQ253:AQ316" si="141">VLOOKUP(O253,RSLrem,2,FALSE)</f>
        <v>10</v>
      </c>
      <c r="AR253" s="68">
        <f t="shared" ref="AR253:AR316" si="142">VLOOKUP(AC253,RSL,5,FALSE)</f>
        <v>6</v>
      </c>
      <c r="AS253" s="68">
        <f t="shared" si="115"/>
        <v>1.1000000000000001</v>
      </c>
      <c r="AT253" s="68">
        <f t="shared" si="116"/>
        <v>1.05</v>
      </c>
      <c r="AU253" s="68">
        <f t="shared" si="117"/>
        <v>1.05</v>
      </c>
      <c r="AV253" s="68">
        <f t="shared" si="118"/>
        <v>1.05</v>
      </c>
      <c r="AW253" s="68">
        <f t="shared" si="119"/>
        <v>1.05</v>
      </c>
      <c r="AX253" s="68">
        <f t="shared" ref="AX253:AX316" ca="1" si="143">AU253*(AG253-YEAR(TODAY()))</f>
        <v>1.05</v>
      </c>
      <c r="AY253" s="106">
        <v>2017</v>
      </c>
      <c r="AZ253" s="111" t="s">
        <v>2073</v>
      </c>
      <c r="BA253" s="106" t="str">
        <f t="shared" si="120"/>
        <v/>
      </c>
      <c r="BB253" s="110"/>
      <c r="BC253" s="110">
        <v>7</v>
      </c>
      <c r="BD253" s="110"/>
      <c r="BE253" s="110"/>
      <c r="BF253" s="110"/>
      <c r="BG253" s="110"/>
      <c r="BH253" s="110"/>
      <c r="BI253" s="33"/>
      <c r="BK253" s="48">
        <f>$G253/5280*VLOOKUP($AC253,'Cost and Score'!$B$27:$O$40,6,0)</f>
        <v>0.30113636363636365</v>
      </c>
      <c r="BL253" s="48">
        <f>$G253/5280*VLOOKUP($AC253,'Cost and Score'!$B$27:$O$40,7,0)</f>
        <v>33.125</v>
      </c>
      <c r="BM253" s="48">
        <f>$G253/5280*VLOOKUP($AC253,'Cost and Score'!$B$27:$O$40,8,0)</f>
        <v>0</v>
      </c>
      <c r="BN253" s="48">
        <f>$G253/5280*VLOOKUP($AC253,'Cost and Score'!$B$27:$O$40,9,0)</f>
        <v>6775.568181818182</v>
      </c>
      <c r="BO253" s="48">
        <f>$G253/5280*VLOOKUP($AC253,'Cost and Score'!$B$27:$O$40,10,0)</f>
        <v>1505.681818181818</v>
      </c>
      <c r="BP253" s="48">
        <f>$G253/5280*VLOOKUP($AC253,'Cost and Score'!$B$27:$O$40,11,0)</f>
        <v>0</v>
      </c>
      <c r="BQ253" s="48">
        <f>$G253/5280*VLOOKUP($AC253,'Cost and Score'!$B$27:$O$40,12,0)</f>
        <v>150.56818181818181</v>
      </c>
      <c r="BR253" s="48">
        <f>$G253/5280*VLOOKUP($AC253,'Cost and Score'!$B$27:$O$40,13,0)</f>
        <v>180.68181818181819</v>
      </c>
      <c r="BS253" s="48">
        <f>$G253/5280*VLOOKUP($AC253,'Cost and Score'!$B$27:$O$40,14,0)</f>
        <v>0</v>
      </c>
      <c r="BT253" s="220">
        <f t="shared" si="121"/>
        <v>1.5056818181818181</v>
      </c>
      <c r="CF253" s="112"/>
      <c r="CG253" s="112"/>
      <c r="CH253" s="112"/>
      <c r="CI253" s="112"/>
      <c r="CJ253" s="112"/>
      <c r="CK253" s="112"/>
      <c r="CL253" s="112"/>
      <c r="CM253" s="112"/>
      <c r="CS253" s="112"/>
      <c r="CT253" s="112"/>
      <c r="CU253" s="112"/>
    </row>
    <row r="254" spans="1:103" s="2" customFormat="1" ht="14.45" hidden="1" customHeight="1" x14ac:dyDescent="0.25">
      <c r="A254" s="15" t="s">
        <v>599</v>
      </c>
      <c r="B254" s="34" t="s">
        <v>598</v>
      </c>
      <c r="C254" s="26" t="s">
        <v>598</v>
      </c>
      <c r="D254" s="82"/>
      <c r="E254" s="82" t="s">
        <v>38</v>
      </c>
      <c r="F254" s="82" t="s">
        <v>405</v>
      </c>
      <c r="G254" s="29">
        <v>1373</v>
      </c>
      <c r="H254" s="29">
        <f t="shared" si="135"/>
        <v>20</v>
      </c>
      <c r="I254" s="26" t="s">
        <v>8</v>
      </c>
      <c r="J254" s="26" t="s">
        <v>11</v>
      </c>
      <c r="K254" s="26">
        <f t="shared" si="134"/>
        <v>0</v>
      </c>
      <c r="L254" s="42">
        <v>7</v>
      </c>
      <c r="M254" s="42">
        <v>7</v>
      </c>
      <c r="N254" s="42">
        <v>7</v>
      </c>
      <c r="O254" s="83">
        <v>7</v>
      </c>
      <c r="P254" s="83">
        <v>6</v>
      </c>
      <c r="Q254" s="83">
        <v>8</v>
      </c>
      <c r="R254" s="83">
        <v>8</v>
      </c>
      <c r="S254" s="83">
        <v>7</v>
      </c>
      <c r="T254" s="83">
        <v>7</v>
      </c>
      <c r="U254" s="83">
        <v>7</v>
      </c>
      <c r="V254" s="42"/>
      <c r="W254" s="42"/>
      <c r="X254" s="42"/>
      <c r="Y254" s="26">
        <v>309</v>
      </c>
      <c r="Z254" s="26">
        <f t="shared" si="136"/>
        <v>0</v>
      </c>
      <c r="AA254" s="82" t="s">
        <v>124</v>
      </c>
      <c r="AB254" s="111">
        <f t="shared" si="112"/>
        <v>4</v>
      </c>
      <c r="AC254" s="82" t="s">
        <v>13</v>
      </c>
      <c r="AD254" s="84">
        <f t="shared" si="140"/>
        <v>5460.795454545455</v>
      </c>
      <c r="AE254" s="140"/>
      <c r="AF254" s="113">
        <f t="shared" si="137"/>
        <v>0</v>
      </c>
      <c r="AG254" s="82">
        <v>2024</v>
      </c>
      <c r="AH254" s="26" t="str">
        <f t="shared" si="133"/>
        <v/>
      </c>
      <c r="AI254" s="26" t="str">
        <f t="shared" si="139"/>
        <v/>
      </c>
      <c r="AJ254" s="26" t="str">
        <f t="shared" si="139"/>
        <v>Chip Seal and Fog</v>
      </c>
      <c r="AK254" s="26" t="str">
        <f t="shared" si="138"/>
        <v/>
      </c>
      <c r="AL254" s="26" t="str">
        <f t="shared" si="124"/>
        <v/>
      </c>
      <c r="AM254" s="26" t="str">
        <f t="shared" si="123"/>
        <v/>
      </c>
      <c r="AN254" s="26" t="str">
        <f t="shared" si="113"/>
        <v>Chip Seal and Fog</v>
      </c>
      <c r="AO254" s="26" t="str">
        <f t="shared" si="125"/>
        <v/>
      </c>
      <c r="AP254" s="26" t="str">
        <f t="shared" si="114"/>
        <v/>
      </c>
      <c r="AQ254" s="68">
        <f t="shared" si="141"/>
        <v>10</v>
      </c>
      <c r="AR254" s="68">
        <f t="shared" si="142"/>
        <v>6</v>
      </c>
      <c r="AS254" s="68">
        <f t="shared" si="115"/>
        <v>1.05</v>
      </c>
      <c r="AT254" s="68">
        <f t="shared" si="116"/>
        <v>1.05</v>
      </c>
      <c r="AU254" s="68">
        <f t="shared" si="117"/>
        <v>1.05</v>
      </c>
      <c r="AV254" s="68">
        <f t="shared" si="118"/>
        <v>1.05</v>
      </c>
      <c r="AW254" s="68">
        <f t="shared" si="119"/>
        <v>1.1000000000000001</v>
      </c>
      <c r="AX254" s="68">
        <f t="shared" ca="1" si="143"/>
        <v>0</v>
      </c>
      <c r="AY254" s="106">
        <v>2018</v>
      </c>
      <c r="AZ254" s="106" t="s">
        <v>13</v>
      </c>
      <c r="BA254" s="106" t="str">
        <f t="shared" si="120"/>
        <v>CS</v>
      </c>
      <c r="BB254" s="177"/>
      <c r="BC254" s="177">
        <v>2</v>
      </c>
      <c r="BD254" s="177"/>
      <c r="BE254" s="177"/>
      <c r="BF254" s="177"/>
      <c r="BG254" s="177"/>
      <c r="BH254" s="177"/>
      <c r="BI254" s="33"/>
      <c r="BK254" s="48">
        <f>$G254/5280*VLOOKUP($AC254,'Cost and Score'!$B$27:$O$40,6,0)</f>
        <v>5.2007575757575752E-2</v>
      </c>
      <c r="BL254" s="48">
        <f>$G254/5280*VLOOKUP($AC254,'Cost and Score'!$B$27:$O$40,7,0)</f>
        <v>5.7208333333333332</v>
      </c>
      <c r="BM254" s="48">
        <f>$G254/5280*VLOOKUP($AC254,'Cost and Score'!$B$27:$O$40,8,0)</f>
        <v>0</v>
      </c>
      <c r="BN254" s="48">
        <f>$G254/5280*VLOOKUP($AC254,'Cost and Score'!$B$27:$O$40,9,0)</f>
        <v>1170.1704545454545</v>
      </c>
      <c r="BO254" s="48">
        <f>$G254/5280*VLOOKUP($AC254,'Cost and Score'!$B$27:$O$40,10,0)</f>
        <v>260.03787878787875</v>
      </c>
      <c r="BP254" s="48">
        <f>$G254/5280*VLOOKUP($AC254,'Cost and Score'!$B$27:$O$40,11,0)</f>
        <v>0</v>
      </c>
      <c r="BQ254" s="48">
        <f>$G254/5280*VLOOKUP($AC254,'Cost and Score'!$B$27:$O$40,12,0)</f>
        <v>26.003787878787875</v>
      </c>
      <c r="BR254" s="48">
        <f>$G254/5280*VLOOKUP($AC254,'Cost and Score'!$B$27:$O$40,13,0)</f>
        <v>31.204545454545453</v>
      </c>
      <c r="BS254" s="48">
        <f>$G254/5280*VLOOKUP($AC254,'Cost and Score'!$B$27:$O$40,14,0)</f>
        <v>0</v>
      </c>
      <c r="BT254" s="220">
        <f t="shared" si="121"/>
        <v>0.26003787878787876</v>
      </c>
      <c r="CW254" s="112"/>
      <c r="CX254" s="112"/>
      <c r="CY254" s="112"/>
    </row>
    <row r="255" spans="1:103" s="112" customFormat="1" ht="14.45" hidden="1" customHeight="1" x14ac:dyDescent="0.25">
      <c r="A255" s="15" t="s">
        <v>602</v>
      </c>
      <c r="B255" s="108" t="s">
        <v>600</v>
      </c>
      <c r="C255" s="106" t="s">
        <v>600</v>
      </c>
      <c r="D255" s="106"/>
      <c r="E255" s="106" t="s">
        <v>601</v>
      </c>
      <c r="F255" s="106" t="s">
        <v>210</v>
      </c>
      <c r="G255" s="109">
        <v>3960</v>
      </c>
      <c r="H255" s="109">
        <f t="shared" si="135"/>
        <v>20</v>
      </c>
      <c r="I255" s="106" t="s">
        <v>8</v>
      </c>
      <c r="J255" s="106" t="s">
        <v>160</v>
      </c>
      <c r="K255" s="106">
        <f t="shared" si="134"/>
        <v>0</v>
      </c>
      <c r="L255" s="110">
        <v>6</v>
      </c>
      <c r="M255" s="110">
        <v>6</v>
      </c>
      <c r="N255" s="110">
        <v>6</v>
      </c>
      <c r="O255" s="110">
        <v>6</v>
      </c>
      <c r="P255" s="110">
        <v>9</v>
      </c>
      <c r="Q255" s="110">
        <v>8</v>
      </c>
      <c r="R255" s="110">
        <v>8</v>
      </c>
      <c r="S255" s="110">
        <v>7</v>
      </c>
      <c r="T255" s="110">
        <v>7</v>
      </c>
      <c r="U255" s="110">
        <v>7</v>
      </c>
      <c r="V255" s="110"/>
      <c r="W255" s="110"/>
      <c r="X255" s="110"/>
      <c r="Y255" s="106">
        <v>495</v>
      </c>
      <c r="Z255" s="106">
        <f t="shared" si="136"/>
        <v>0</v>
      </c>
      <c r="AA255" s="106" t="s">
        <v>124</v>
      </c>
      <c r="AB255" s="111">
        <f t="shared" si="112"/>
        <v>1</v>
      </c>
      <c r="AC255" s="85" t="s">
        <v>2075</v>
      </c>
      <c r="AD255" s="107">
        <f t="shared" si="140"/>
        <v>4050</v>
      </c>
      <c r="AE255" s="198"/>
      <c r="AF255" s="113">
        <f t="shared" si="137"/>
        <v>0</v>
      </c>
      <c r="AG255" s="106">
        <v>2022</v>
      </c>
      <c r="AH255" s="26" t="str">
        <f t="shared" si="133"/>
        <v>Crack Seal</v>
      </c>
      <c r="AI255" s="26" t="str">
        <f t="shared" si="139"/>
        <v/>
      </c>
      <c r="AJ255" s="26" t="str">
        <f t="shared" si="139"/>
        <v/>
      </c>
      <c r="AK255" s="26" t="str">
        <f t="shared" si="138"/>
        <v/>
      </c>
      <c r="AL255" s="26" t="str">
        <f t="shared" si="124"/>
        <v/>
      </c>
      <c r="AM255" s="26" t="str">
        <f t="shared" si="123"/>
        <v/>
      </c>
      <c r="AN255" s="26" t="str">
        <f t="shared" si="113"/>
        <v>Crack Seal</v>
      </c>
      <c r="AO255" s="26" t="str">
        <f t="shared" si="125"/>
        <v/>
      </c>
      <c r="AP255" s="26" t="str">
        <f t="shared" si="114"/>
        <v/>
      </c>
      <c r="AQ255" s="68">
        <f t="shared" si="141"/>
        <v>8</v>
      </c>
      <c r="AR255" s="68">
        <f t="shared" si="142"/>
        <v>3</v>
      </c>
      <c r="AS255" s="68">
        <f t="shared" si="115"/>
        <v>1.1000000000000001</v>
      </c>
      <c r="AT255" s="68">
        <f t="shared" si="116"/>
        <v>1.1000000000000001</v>
      </c>
      <c r="AU255" s="68">
        <f t="shared" si="117"/>
        <v>1.1000000000000001</v>
      </c>
      <c r="AV255" s="68">
        <f t="shared" si="118"/>
        <v>1.1000000000000001</v>
      </c>
      <c r="AW255" s="68">
        <f t="shared" si="119"/>
        <v>1</v>
      </c>
      <c r="AX255" s="68">
        <f t="shared" ca="1" si="143"/>
        <v>-2.2000000000000002</v>
      </c>
      <c r="AY255" s="106">
        <v>2017</v>
      </c>
      <c r="AZ255" s="106" t="s">
        <v>751</v>
      </c>
      <c r="BA255" s="106" t="str">
        <f t="shared" si="120"/>
        <v/>
      </c>
      <c r="BB255" s="177"/>
      <c r="BC255" s="177">
        <v>8</v>
      </c>
      <c r="BD255" s="177"/>
      <c r="BE255" s="177"/>
      <c r="BF255" s="177"/>
      <c r="BG255" s="177"/>
      <c r="BH255" s="177"/>
      <c r="BI255" s="33"/>
      <c r="BJ255" s="2"/>
      <c r="BK255" s="48">
        <f>$G255/5280*VLOOKUP($AC255,'Cost and Score'!$B$27:$O$40,6,0)</f>
        <v>0.75</v>
      </c>
      <c r="BL255" s="48">
        <f>$G255/5280*VLOOKUP($AC255,'Cost and Score'!$B$27:$O$40,7,0)</f>
        <v>0</v>
      </c>
      <c r="BM255" s="48">
        <f>$G255/5280*VLOOKUP($AC255,'Cost and Score'!$B$27:$O$40,8,0)</f>
        <v>0</v>
      </c>
      <c r="BN255" s="48">
        <f>$G255/5280*VLOOKUP($AC255,'Cost and Score'!$B$27:$O$40,9,0)</f>
        <v>0</v>
      </c>
      <c r="BO255" s="48">
        <f>$G255/5280*VLOOKUP($AC255,'Cost and Score'!$B$27:$O$40,10,0)</f>
        <v>0</v>
      </c>
      <c r="BP255" s="48">
        <f>$G255/5280*VLOOKUP($AC255,'Cost and Score'!$B$27:$O$40,11,0)</f>
        <v>0</v>
      </c>
      <c r="BQ255" s="48">
        <f>$G255/5280*VLOOKUP($AC255,'Cost and Score'!$B$27:$O$40,12,0)</f>
        <v>0</v>
      </c>
      <c r="BR255" s="48">
        <f>$G255/5280*VLOOKUP($AC255,'Cost and Score'!$B$27:$O$40,13,0)</f>
        <v>0</v>
      </c>
      <c r="BS255" s="48">
        <f>$G255/5280*VLOOKUP($AC255,'Cost and Score'!$B$27:$O$40,14,0)</f>
        <v>0</v>
      </c>
      <c r="BT255" s="220">
        <f t="shared" si="121"/>
        <v>0.75</v>
      </c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R255" s="2"/>
      <c r="CV255" s="2"/>
      <c r="CW255" s="2"/>
      <c r="CX255" s="2"/>
      <c r="CY255" s="2"/>
    </row>
    <row r="256" spans="1:103" s="2" customFormat="1" ht="14.45" hidden="1" customHeight="1" x14ac:dyDescent="0.25">
      <c r="A256" s="15" t="s">
        <v>604</v>
      </c>
      <c r="B256" s="34" t="s">
        <v>603</v>
      </c>
      <c r="C256" s="26" t="s">
        <v>603</v>
      </c>
      <c r="D256" s="26"/>
      <c r="E256" s="26" t="s">
        <v>193</v>
      </c>
      <c r="F256" s="26" t="s">
        <v>10</v>
      </c>
      <c r="G256" s="29">
        <v>1740</v>
      </c>
      <c r="H256" s="29">
        <f t="shared" si="135"/>
        <v>20</v>
      </c>
      <c r="I256" s="26" t="s">
        <v>13</v>
      </c>
      <c r="J256" s="26" t="s">
        <v>125</v>
      </c>
      <c r="K256" s="26">
        <f t="shared" si="134"/>
        <v>0</v>
      </c>
      <c r="L256" s="42">
        <v>4</v>
      </c>
      <c r="M256" s="42">
        <v>4</v>
      </c>
      <c r="N256" s="42">
        <v>10</v>
      </c>
      <c r="O256" s="42">
        <v>9</v>
      </c>
      <c r="P256" s="42">
        <v>8</v>
      </c>
      <c r="Q256" s="42">
        <v>9</v>
      </c>
      <c r="R256" s="42">
        <v>8</v>
      </c>
      <c r="S256" s="42">
        <v>8</v>
      </c>
      <c r="T256" s="42">
        <v>8</v>
      </c>
      <c r="U256" s="42">
        <v>8</v>
      </c>
      <c r="V256" s="42"/>
      <c r="W256" s="42"/>
      <c r="X256" s="42"/>
      <c r="Y256" s="26">
        <v>50</v>
      </c>
      <c r="Z256" s="26">
        <f t="shared" si="136"/>
        <v>0</v>
      </c>
      <c r="AA256" s="26" t="s">
        <v>124</v>
      </c>
      <c r="AB256" s="111">
        <f t="shared" si="112"/>
        <v>2</v>
      </c>
      <c r="AC256" s="26" t="s">
        <v>13</v>
      </c>
      <c r="AD256" s="47">
        <f t="shared" si="140"/>
        <v>6920.454545454545</v>
      </c>
      <c r="AE256" s="140"/>
      <c r="AF256" s="113">
        <f t="shared" si="137"/>
        <v>0</v>
      </c>
      <c r="AG256" s="26">
        <v>2026</v>
      </c>
      <c r="AH256" s="26" t="str">
        <f t="shared" si="133"/>
        <v/>
      </c>
      <c r="AI256" s="26" t="str">
        <f t="shared" si="139"/>
        <v/>
      </c>
      <c r="AJ256" s="26" t="str">
        <f t="shared" si="139"/>
        <v/>
      </c>
      <c r="AK256" s="26" t="str">
        <f t="shared" si="138"/>
        <v/>
      </c>
      <c r="AL256" s="26" t="str">
        <f t="shared" si="124"/>
        <v>Chip Seal and Fog</v>
      </c>
      <c r="AM256" s="26" t="str">
        <f t="shared" si="123"/>
        <v/>
      </c>
      <c r="AN256" s="26" t="str">
        <f t="shared" si="113"/>
        <v>Chip Seal and Fog</v>
      </c>
      <c r="AO256" s="26" t="str">
        <f t="shared" si="125"/>
        <v/>
      </c>
      <c r="AP256" s="26" t="str">
        <f t="shared" si="114"/>
        <v/>
      </c>
      <c r="AQ256" s="68">
        <f t="shared" si="141"/>
        <v>14</v>
      </c>
      <c r="AR256" s="68">
        <f t="shared" si="142"/>
        <v>6</v>
      </c>
      <c r="AS256" s="68">
        <f t="shared" si="115"/>
        <v>1.5</v>
      </c>
      <c r="AT256" s="68">
        <f t="shared" si="116"/>
        <v>1.5</v>
      </c>
      <c r="AU256" s="68">
        <f t="shared" si="117"/>
        <v>1</v>
      </c>
      <c r="AV256" s="68">
        <f t="shared" si="118"/>
        <v>1</v>
      </c>
      <c r="AW256" s="68">
        <f t="shared" si="119"/>
        <v>1</v>
      </c>
      <c r="AX256" s="68">
        <f t="shared" ca="1" si="143"/>
        <v>2</v>
      </c>
      <c r="AY256" s="106">
        <v>2016</v>
      </c>
      <c r="AZ256" s="106" t="s">
        <v>2072</v>
      </c>
      <c r="BA256" s="106" t="str">
        <f t="shared" si="120"/>
        <v/>
      </c>
      <c r="BB256" s="177"/>
      <c r="BC256" s="177">
        <v>6</v>
      </c>
      <c r="BD256" s="177"/>
      <c r="BE256" s="177"/>
      <c r="BF256" s="177"/>
      <c r="BG256" s="177"/>
      <c r="BH256" s="177"/>
      <c r="BI256" s="33"/>
      <c r="BK256" s="48">
        <f>$G256/5280*VLOOKUP($AC256,'Cost and Score'!$B$27:$O$40,6,0)</f>
        <v>6.5909090909090903E-2</v>
      </c>
      <c r="BL256" s="48">
        <f>$G256/5280*VLOOKUP($AC256,'Cost and Score'!$B$27:$O$40,7,0)</f>
        <v>7.25</v>
      </c>
      <c r="BM256" s="48">
        <f>$G256/5280*VLOOKUP($AC256,'Cost and Score'!$B$27:$O$40,8,0)</f>
        <v>0</v>
      </c>
      <c r="BN256" s="48">
        <f>$G256/5280*VLOOKUP($AC256,'Cost and Score'!$B$27:$O$40,9,0)</f>
        <v>1482.9545454545455</v>
      </c>
      <c r="BO256" s="48">
        <f>$G256/5280*VLOOKUP($AC256,'Cost and Score'!$B$27:$O$40,10,0)</f>
        <v>329.5454545454545</v>
      </c>
      <c r="BP256" s="48">
        <f>$G256/5280*VLOOKUP($AC256,'Cost and Score'!$B$27:$O$40,11,0)</f>
        <v>0</v>
      </c>
      <c r="BQ256" s="48">
        <f>$G256/5280*VLOOKUP($AC256,'Cost and Score'!$B$27:$O$40,12,0)</f>
        <v>32.954545454545453</v>
      </c>
      <c r="BR256" s="48">
        <f>$G256/5280*VLOOKUP($AC256,'Cost and Score'!$B$27:$O$40,13,0)</f>
        <v>39.545454545454547</v>
      </c>
      <c r="BS256" s="48">
        <f>$G256/5280*VLOOKUP($AC256,'Cost and Score'!$B$27:$O$40,14,0)</f>
        <v>0</v>
      </c>
      <c r="BT256" s="220">
        <f t="shared" si="121"/>
        <v>0.32954545454545453</v>
      </c>
      <c r="CV256" s="112"/>
    </row>
    <row r="257" spans="1:103" s="112" customFormat="1" ht="14.45" hidden="1" customHeight="1" x14ac:dyDescent="0.25">
      <c r="A257" s="15" t="s">
        <v>606</v>
      </c>
      <c r="B257" s="108" t="s">
        <v>605</v>
      </c>
      <c r="C257" s="106" t="s">
        <v>605</v>
      </c>
      <c r="D257" s="106"/>
      <c r="E257" s="106" t="s">
        <v>213</v>
      </c>
      <c r="F257" s="106" t="s">
        <v>39</v>
      </c>
      <c r="G257" s="109">
        <v>5438</v>
      </c>
      <c r="H257" s="109">
        <f t="shared" si="135"/>
        <v>20</v>
      </c>
      <c r="I257" s="106" t="s">
        <v>751</v>
      </c>
      <c r="J257" s="106" t="s">
        <v>11</v>
      </c>
      <c r="K257" s="106">
        <f t="shared" si="134"/>
        <v>0</v>
      </c>
      <c r="L257" s="110">
        <v>6</v>
      </c>
      <c r="M257" s="110">
        <v>6</v>
      </c>
      <c r="N257" s="110">
        <v>6</v>
      </c>
      <c r="O257" s="110">
        <v>6</v>
      </c>
      <c r="P257" s="110">
        <v>6</v>
      </c>
      <c r="Q257" s="110">
        <v>8</v>
      </c>
      <c r="R257" s="110">
        <v>7</v>
      </c>
      <c r="S257" s="110">
        <v>7</v>
      </c>
      <c r="T257" s="110">
        <v>7</v>
      </c>
      <c r="U257" s="110">
        <v>7</v>
      </c>
      <c r="V257" s="110"/>
      <c r="W257" s="110"/>
      <c r="X257" s="110"/>
      <c r="Y257" s="106">
        <v>184</v>
      </c>
      <c r="Z257" s="106">
        <f t="shared" si="136"/>
        <v>0</v>
      </c>
      <c r="AA257" s="106" t="s">
        <v>124</v>
      </c>
      <c r="AB257" s="111">
        <f t="shared" si="112"/>
        <v>4</v>
      </c>
      <c r="AC257" s="85" t="s">
        <v>2075</v>
      </c>
      <c r="AD257" s="107">
        <f t="shared" si="140"/>
        <v>5561.590909090909</v>
      </c>
      <c r="AE257" s="198"/>
      <c r="AF257" s="113">
        <f t="shared" si="137"/>
        <v>0</v>
      </c>
      <c r="AG257" s="106">
        <v>2022</v>
      </c>
      <c r="AH257" s="26" t="str">
        <f t="shared" si="133"/>
        <v>Crack Seal</v>
      </c>
      <c r="AI257" s="26" t="str">
        <f t="shared" si="139"/>
        <v/>
      </c>
      <c r="AJ257" s="26" t="str">
        <f t="shared" si="139"/>
        <v/>
      </c>
      <c r="AK257" s="26" t="str">
        <f t="shared" si="138"/>
        <v/>
      </c>
      <c r="AL257" s="26" t="str">
        <f t="shared" si="124"/>
        <v/>
      </c>
      <c r="AM257" s="26" t="str">
        <f t="shared" si="123"/>
        <v/>
      </c>
      <c r="AN257" s="26" t="str">
        <f t="shared" si="113"/>
        <v>Crack Seal</v>
      </c>
      <c r="AO257" s="26" t="str">
        <f t="shared" si="125"/>
        <v/>
      </c>
      <c r="AP257" s="26" t="str">
        <f t="shared" si="114"/>
        <v/>
      </c>
      <c r="AQ257" s="68">
        <f t="shared" si="141"/>
        <v>8</v>
      </c>
      <c r="AR257" s="68">
        <f t="shared" si="142"/>
        <v>3</v>
      </c>
      <c r="AS257" s="68">
        <f t="shared" si="115"/>
        <v>1.1000000000000001</v>
      </c>
      <c r="AT257" s="68">
        <f t="shared" si="116"/>
        <v>1.1000000000000001</v>
      </c>
      <c r="AU257" s="68">
        <f t="shared" si="117"/>
        <v>1.1000000000000001</v>
      </c>
      <c r="AV257" s="68">
        <f t="shared" si="118"/>
        <v>1.1000000000000001</v>
      </c>
      <c r="AW257" s="68">
        <f t="shared" si="119"/>
        <v>1.1000000000000001</v>
      </c>
      <c r="AX257" s="68">
        <f t="shared" ca="1" si="143"/>
        <v>-2.2000000000000002</v>
      </c>
      <c r="AY257" s="106">
        <v>2017</v>
      </c>
      <c r="AZ257" s="106" t="s">
        <v>751</v>
      </c>
      <c r="BA257" s="106" t="str">
        <f t="shared" si="120"/>
        <v/>
      </c>
      <c r="BB257" s="177"/>
      <c r="BC257" s="177">
        <v>2</v>
      </c>
      <c r="BD257" s="177"/>
      <c r="BE257" s="177"/>
      <c r="BF257" s="177"/>
      <c r="BG257" s="177"/>
      <c r="BH257" s="177"/>
      <c r="BI257" s="33"/>
      <c r="BJ257" s="2"/>
      <c r="BK257" s="48">
        <f>$G257/5280*VLOOKUP($AC257,'Cost and Score'!$B$27:$O$40,6,0)</f>
        <v>1.0299242424242425</v>
      </c>
      <c r="BL257" s="48">
        <f>$G257/5280*VLOOKUP($AC257,'Cost and Score'!$B$27:$O$40,7,0)</f>
        <v>0</v>
      </c>
      <c r="BM257" s="48">
        <f>$G257/5280*VLOOKUP($AC257,'Cost and Score'!$B$27:$O$40,8,0)</f>
        <v>0</v>
      </c>
      <c r="BN257" s="48">
        <f>$G257/5280*VLOOKUP($AC257,'Cost and Score'!$B$27:$O$40,9,0)</f>
        <v>0</v>
      </c>
      <c r="BO257" s="48">
        <f>$G257/5280*VLOOKUP($AC257,'Cost and Score'!$B$27:$O$40,10,0)</f>
        <v>0</v>
      </c>
      <c r="BP257" s="48">
        <f>$G257/5280*VLOOKUP($AC257,'Cost and Score'!$B$27:$O$40,11,0)</f>
        <v>0</v>
      </c>
      <c r="BQ257" s="48">
        <f>$G257/5280*VLOOKUP($AC257,'Cost and Score'!$B$27:$O$40,12,0)</f>
        <v>0</v>
      </c>
      <c r="BR257" s="48">
        <f>$G257/5280*VLOOKUP($AC257,'Cost and Score'!$B$27:$O$40,13,0)</f>
        <v>0</v>
      </c>
      <c r="BS257" s="48">
        <f>$G257/5280*VLOOKUP($AC257,'Cost and Score'!$B$27:$O$40,14,0)</f>
        <v>0</v>
      </c>
      <c r="BT257" s="220">
        <f t="shared" si="121"/>
        <v>1.0299242424242425</v>
      </c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</row>
    <row r="258" spans="1:103" s="2" customFormat="1" ht="14.45" hidden="1" customHeight="1" x14ac:dyDescent="0.25">
      <c r="A258" s="15" t="s">
        <v>609</v>
      </c>
      <c r="B258" s="34" t="s">
        <v>607</v>
      </c>
      <c r="C258" s="26" t="s">
        <v>607</v>
      </c>
      <c r="D258" s="82"/>
      <c r="E258" s="82" t="s">
        <v>405</v>
      </c>
      <c r="F258" s="82" t="s">
        <v>608</v>
      </c>
      <c r="G258" s="29">
        <v>2706</v>
      </c>
      <c r="H258" s="29">
        <f t="shared" si="135"/>
        <v>20</v>
      </c>
      <c r="I258" s="26" t="s">
        <v>8</v>
      </c>
      <c r="J258" s="26" t="s">
        <v>11</v>
      </c>
      <c r="K258" s="26">
        <f t="shared" si="134"/>
        <v>0</v>
      </c>
      <c r="L258" s="42">
        <v>7</v>
      </c>
      <c r="M258" s="42">
        <v>6</v>
      </c>
      <c r="N258" s="42">
        <v>6</v>
      </c>
      <c r="O258" s="83">
        <v>5</v>
      </c>
      <c r="P258" s="83">
        <v>5</v>
      </c>
      <c r="Q258" s="83">
        <v>8</v>
      </c>
      <c r="R258" s="83">
        <v>8</v>
      </c>
      <c r="S258" s="83">
        <v>7</v>
      </c>
      <c r="T258" s="83">
        <v>7</v>
      </c>
      <c r="U258" s="83">
        <v>7</v>
      </c>
      <c r="V258" s="42"/>
      <c r="W258" s="42"/>
      <c r="X258" s="42"/>
      <c r="Y258" s="26">
        <v>309</v>
      </c>
      <c r="Z258" s="26">
        <f t="shared" si="136"/>
        <v>0</v>
      </c>
      <c r="AA258" s="82" t="s">
        <v>124</v>
      </c>
      <c r="AB258" s="111">
        <f t="shared" ref="AB258:AB321" si="144">(10-P258)+Z258+K258</f>
        <v>5</v>
      </c>
      <c r="AC258" s="85" t="s">
        <v>13</v>
      </c>
      <c r="AD258" s="84">
        <f t="shared" si="140"/>
        <v>10762.5</v>
      </c>
      <c r="AE258" s="140"/>
      <c r="AF258" s="113">
        <f t="shared" si="137"/>
        <v>0</v>
      </c>
      <c r="AG258" s="26">
        <v>2024</v>
      </c>
      <c r="AH258" s="26" t="str">
        <f t="shared" si="133"/>
        <v/>
      </c>
      <c r="AI258" s="26" t="str">
        <f t="shared" si="139"/>
        <v/>
      </c>
      <c r="AJ258" s="26" t="str">
        <f t="shared" si="139"/>
        <v>Chip Seal and Fog</v>
      </c>
      <c r="AK258" s="26" t="str">
        <f t="shared" si="138"/>
        <v/>
      </c>
      <c r="AL258" s="26" t="str">
        <f t="shared" si="124"/>
        <v/>
      </c>
      <c r="AM258" s="26" t="str">
        <f t="shared" si="123"/>
        <v/>
      </c>
      <c r="AN258" s="26" t="str">
        <f t="shared" ref="AN258:AN321" si="145">VLOOKUP($AC258,RSL,3,FALSE)</f>
        <v>Chip Seal and Fog</v>
      </c>
      <c r="AO258" s="26" t="str">
        <f t="shared" si="125"/>
        <v/>
      </c>
      <c r="AP258" s="26" t="str">
        <f t="shared" ref="AP258:AP321" si="146">IF(AY258=AP$1,VLOOKUP(AZ258,RSL,3,FALSE),"")</f>
        <v/>
      </c>
      <c r="AQ258" s="68">
        <f t="shared" si="141"/>
        <v>6</v>
      </c>
      <c r="AR258" s="68">
        <f t="shared" si="142"/>
        <v>6</v>
      </c>
      <c r="AS258" s="68">
        <f t="shared" ref="AS258:AS321" si="147">IF(L258 &lt;&gt; "",VLOOKUP(L258,RSLloss,3,FALSE),0)</f>
        <v>1.05</v>
      </c>
      <c r="AT258" s="68">
        <f t="shared" ref="AT258:AT321" si="148">IF(M258 &lt;&gt; "",VLOOKUP(M258,RSLloss,3,FALSE),0)</f>
        <v>1.1000000000000001</v>
      </c>
      <c r="AU258" s="68">
        <f t="shared" ref="AU258:AU321" si="149">IF(N258 &lt;&gt; "",VLOOKUP(N258,RSLloss,3,FALSE),0)</f>
        <v>1.1000000000000001</v>
      </c>
      <c r="AV258" s="68">
        <f t="shared" ref="AV258:AV321" si="150">IF(O258 &lt;&gt; "",VLOOKUP(O258,RSLloss,3,FALSE),0)</f>
        <v>1.25</v>
      </c>
      <c r="AW258" s="68">
        <f t="shared" ref="AW258:AW321" si="151">IF(P258 &lt;&gt; "",VLOOKUP(P258,RSLloss,3,FALSE),0)</f>
        <v>1.25</v>
      </c>
      <c r="AX258" s="68">
        <f t="shared" ca="1" si="143"/>
        <v>0</v>
      </c>
      <c r="AY258" s="106">
        <v>2018</v>
      </c>
      <c r="AZ258" s="106" t="s">
        <v>2072</v>
      </c>
      <c r="BA258" s="106" t="str">
        <f t="shared" ref="BA258:BA321" si="152">IF(AY258=2018,AZ258,"")</f>
        <v>SP/CS</v>
      </c>
      <c r="BB258" s="177"/>
      <c r="BC258" s="177">
        <v>2</v>
      </c>
      <c r="BD258" s="177"/>
      <c r="BE258" s="177"/>
      <c r="BF258" s="177"/>
      <c r="BG258" s="177"/>
      <c r="BH258" s="177"/>
      <c r="BI258" s="33"/>
      <c r="BK258" s="48">
        <f>$G258/5280*VLOOKUP($AC258,'Cost and Score'!$B$27:$O$40,6,0)</f>
        <v>0.10249999999999999</v>
      </c>
      <c r="BL258" s="48">
        <f>$G258/5280*VLOOKUP($AC258,'Cost and Score'!$B$27:$O$40,7,0)</f>
        <v>11.274999999999999</v>
      </c>
      <c r="BM258" s="48">
        <f>$G258/5280*VLOOKUP($AC258,'Cost and Score'!$B$27:$O$40,8,0)</f>
        <v>0</v>
      </c>
      <c r="BN258" s="48">
        <f>$G258/5280*VLOOKUP($AC258,'Cost and Score'!$B$27:$O$40,9,0)</f>
        <v>2306.25</v>
      </c>
      <c r="BO258" s="48">
        <f>$G258/5280*VLOOKUP($AC258,'Cost and Score'!$B$27:$O$40,10,0)</f>
        <v>512.5</v>
      </c>
      <c r="BP258" s="48">
        <f>$G258/5280*VLOOKUP($AC258,'Cost and Score'!$B$27:$O$40,11,0)</f>
        <v>0</v>
      </c>
      <c r="BQ258" s="48">
        <f>$G258/5280*VLOOKUP($AC258,'Cost and Score'!$B$27:$O$40,12,0)</f>
        <v>51.249999999999993</v>
      </c>
      <c r="BR258" s="48">
        <f>$G258/5280*VLOOKUP($AC258,'Cost and Score'!$B$27:$O$40,13,0)</f>
        <v>61.499999999999993</v>
      </c>
      <c r="BS258" s="48">
        <f>$G258/5280*VLOOKUP($AC258,'Cost and Score'!$B$27:$O$40,14,0)</f>
        <v>0</v>
      </c>
      <c r="BT258" s="220">
        <f t="shared" ref="BT258:BT321" si="153">G258/5280</f>
        <v>0.51249999999999996</v>
      </c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</row>
    <row r="259" spans="1:103" s="112" customFormat="1" ht="14.45" customHeight="1" x14ac:dyDescent="0.25">
      <c r="A259" s="15" t="s">
        <v>944</v>
      </c>
      <c r="B259" s="108" t="s">
        <v>943</v>
      </c>
      <c r="C259" s="106" t="s">
        <v>943</v>
      </c>
      <c r="D259" s="106"/>
      <c r="E259" s="106" t="s">
        <v>281</v>
      </c>
      <c r="F259" s="106" t="s">
        <v>20</v>
      </c>
      <c r="G259" s="109">
        <v>2798</v>
      </c>
      <c r="H259" s="109">
        <f t="shared" si="135"/>
        <v>20</v>
      </c>
      <c r="I259" s="106" t="s">
        <v>13</v>
      </c>
      <c r="J259" s="106" t="s">
        <v>11</v>
      </c>
      <c r="K259" s="106">
        <f t="shared" si="134"/>
        <v>0</v>
      </c>
      <c r="L259" s="110">
        <v>6</v>
      </c>
      <c r="M259" s="110">
        <v>6</v>
      </c>
      <c r="N259" s="110">
        <v>6</v>
      </c>
      <c r="O259" s="110">
        <v>6</v>
      </c>
      <c r="P259" s="110">
        <v>6</v>
      </c>
      <c r="Q259" s="110">
        <v>7</v>
      </c>
      <c r="R259" s="110">
        <v>7</v>
      </c>
      <c r="S259" s="110">
        <v>7</v>
      </c>
      <c r="T259" s="110">
        <v>7</v>
      </c>
      <c r="U259" s="110">
        <v>7</v>
      </c>
      <c r="V259" s="110"/>
      <c r="W259" s="110"/>
      <c r="X259" s="110"/>
      <c r="Y259" s="106">
        <v>292</v>
      </c>
      <c r="Z259" s="106">
        <f t="shared" si="136"/>
        <v>0</v>
      </c>
      <c r="AA259" s="106" t="s">
        <v>67</v>
      </c>
      <c r="AB259" s="111">
        <f t="shared" si="144"/>
        <v>4</v>
      </c>
      <c r="AC259" s="106" t="s">
        <v>13</v>
      </c>
      <c r="AD259" s="107">
        <f t="shared" si="140"/>
        <v>11128.40909090909</v>
      </c>
      <c r="AE259" s="198"/>
      <c r="AF259" s="113">
        <f t="shared" si="137"/>
        <v>0</v>
      </c>
      <c r="AG259" s="26">
        <v>2025</v>
      </c>
      <c r="AH259" s="26" t="str">
        <f t="shared" si="133"/>
        <v/>
      </c>
      <c r="AI259" s="26" t="str">
        <f t="shared" si="139"/>
        <v/>
      </c>
      <c r="AJ259" s="26" t="str">
        <f t="shared" si="139"/>
        <v/>
      </c>
      <c r="AK259" s="26" t="str">
        <f t="shared" si="138"/>
        <v>Chip Seal and Fog</v>
      </c>
      <c r="AL259" s="26" t="str">
        <f t="shared" si="124"/>
        <v/>
      </c>
      <c r="AM259" s="26" t="str">
        <f t="shared" ref="AM259:AM322" si="154">IF($AG259=AM$1,VLOOKUP($AC259,RSL,3,FALSE),"")</f>
        <v/>
      </c>
      <c r="AN259" s="26" t="str">
        <f t="shared" si="145"/>
        <v>Chip Seal and Fog</v>
      </c>
      <c r="AO259" s="26" t="str">
        <f t="shared" si="125"/>
        <v/>
      </c>
      <c r="AP259" s="26" t="str">
        <f t="shared" si="146"/>
        <v/>
      </c>
      <c r="AQ259" s="68">
        <f t="shared" si="141"/>
        <v>8</v>
      </c>
      <c r="AR259" s="68">
        <f t="shared" si="142"/>
        <v>6</v>
      </c>
      <c r="AS259" s="68">
        <f t="shared" si="147"/>
        <v>1.1000000000000001</v>
      </c>
      <c r="AT259" s="68">
        <f t="shared" si="148"/>
        <v>1.1000000000000001</v>
      </c>
      <c r="AU259" s="68">
        <f t="shared" si="149"/>
        <v>1.1000000000000001</v>
      </c>
      <c r="AV259" s="68">
        <f t="shared" si="150"/>
        <v>1.1000000000000001</v>
      </c>
      <c r="AW259" s="68">
        <f t="shared" si="151"/>
        <v>1.1000000000000001</v>
      </c>
      <c r="AX259" s="68">
        <f t="shared" ca="1" si="143"/>
        <v>1.1000000000000001</v>
      </c>
      <c r="AY259" s="106">
        <v>2017</v>
      </c>
      <c r="AZ259" s="106" t="s">
        <v>13</v>
      </c>
      <c r="BA259" s="106" t="str">
        <f t="shared" si="152"/>
        <v/>
      </c>
      <c r="BB259" s="177"/>
      <c r="BC259" s="177">
        <v>4</v>
      </c>
      <c r="BD259" s="177"/>
      <c r="BE259" s="177"/>
      <c r="BF259" s="177"/>
      <c r="BG259" s="177"/>
      <c r="BH259" s="177"/>
      <c r="BI259" s="33"/>
      <c r="BJ259" s="2"/>
      <c r="BK259" s="48">
        <f>$G259/5280*VLOOKUP($AC259,'Cost and Score'!$B$27:$O$40,6,0)</f>
        <v>0.10598484848484849</v>
      </c>
      <c r="BL259" s="48">
        <f>$G259/5280*VLOOKUP($AC259,'Cost and Score'!$B$27:$O$40,7,0)</f>
        <v>11.658333333333333</v>
      </c>
      <c r="BM259" s="48">
        <f>$G259/5280*VLOOKUP($AC259,'Cost and Score'!$B$27:$O$40,8,0)</f>
        <v>0</v>
      </c>
      <c r="BN259" s="48">
        <f>$G259/5280*VLOOKUP($AC259,'Cost and Score'!$B$27:$O$40,9,0)</f>
        <v>2384.659090909091</v>
      </c>
      <c r="BO259" s="48">
        <f>$G259/5280*VLOOKUP($AC259,'Cost and Score'!$B$27:$O$40,10,0)</f>
        <v>529.92424242424238</v>
      </c>
      <c r="BP259" s="48">
        <f>$G259/5280*VLOOKUP($AC259,'Cost and Score'!$B$27:$O$40,11,0)</f>
        <v>0</v>
      </c>
      <c r="BQ259" s="48">
        <f>$G259/5280*VLOOKUP($AC259,'Cost and Score'!$B$27:$O$40,12,0)</f>
        <v>52.992424242424242</v>
      </c>
      <c r="BR259" s="48">
        <f>$G259/5280*VLOOKUP($AC259,'Cost and Score'!$B$27:$O$40,13,0)</f>
        <v>63.590909090909086</v>
      </c>
      <c r="BS259" s="48">
        <f>$G259/5280*VLOOKUP($AC259,'Cost and Score'!$B$27:$O$40,14,0)</f>
        <v>0</v>
      </c>
      <c r="BT259" s="220">
        <f t="shared" si="153"/>
        <v>0.52992424242424241</v>
      </c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S259" s="2"/>
      <c r="CT259" s="2"/>
      <c r="CU259" s="2"/>
      <c r="CV259" s="2"/>
      <c r="CW259" s="2"/>
      <c r="CX259" s="2"/>
      <c r="CY259" s="2"/>
    </row>
    <row r="260" spans="1:103" s="112" customFormat="1" ht="14.45" hidden="1" customHeight="1" x14ac:dyDescent="0.25">
      <c r="A260" s="15" t="s">
        <v>612</v>
      </c>
      <c r="B260" s="108" t="s">
        <v>611</v>
      </c>
      <c r="C260" s="106" t="s">
        <v>611</v>
      </c>
      <c r="D260" s="106"/>
      <c r="E260" s="106" t="s">
        <v>209</v>
      </c>
      <c r="F260" s="106" t="s">
        <v>601</v>
      </c>
      <c r="G260" s="109">
        <v>1478</v>
      </c>
      <c r="H260" s="109">
        <f t="shared" si="135"/>
        <v>20</v>
      </c>
      <c r="I260" s="106" t="s">
        <v>13</v>
      </c>
      <c r="J260" s="106" t="s">
        <v>160</v>
      </c>
      <c r="K260" s="106">
        <f t="shared" si="134"/>
        <v>0</v>
      </c>
      <c r="L260" s="110">
        <v>6</v>
      </c>
      <c r="M260" s="110">
        <v>6</v>
      </c>
      <c r="N260" s="110">
        <v>6</v>
      </c>
      <c r="O260" s="110">
        <v>6</v>
      </c>
      <c r="P260" s="110">
        <v>9</v>
      </c>
      <c r="Q260" s="110">
        <v>8</v>
      </c>
      <c r="R260" s="110">
        <v>8</v>
      </c>
      <c r="S260" s="110">
        <v>8</v>
      </c>
      <c r="T260" s="110">
        <v>8</v>
      </c>
      <c r="U260" s="110">
        <v>7</v>
      </c>
      <c r="V260" s="110"/>
      <c r="W260" s="110"/>
      <c r="X260" s="110"/>
      <c r="Y260" s="106">
        <v>495</v>
      </c>
      <c r="Z260" s="106">
        <f t="shared" si="136"/>
        <v>0</v>
      </c>
      <c r="AA260" s="106" t="s">
        <v>124</v>
      </c>
      <c r="AB260" s="111">
        <f t="shared" si="144"/>
        <v>1</v>
      </c>
      <c r="AC260" s="106" t="s">
        <v>13</v>
      </c>
      <c r="AD260" s="107">
        <f t="shared" si="140"/>
        <v>5878.409090909091</v>
      </c>
      <c r="AE260" s="198"/>
      <c r="AF260" s="113">
        <f t="shared" si="137"/>
        <v>0</v>
      </c>
      <c r="AG260" s="26">
        <v>2024</v>
      </c>
      <c r="AH260" s="26" t="str">
        <f t="shared" si="133"/>
        <v/>
      </c>
      <c r="AI260" s="26" t="str">
        <f t="shared" si="139"/>
        <v/>
      </c>
      <c r="AJ260" s="26" t="str">
        <f t="shared" si="139"/>
        <v>Chip Seal and Fog</v>
      </c>
      <c r="AK260" s="26" t="str">
        <f t="shared" si="138"/>
        <v/>
      </c>
      <c r="AL260" s="26" t="str">
        <f t="shared" ref="AL260:AL323" si="155">IF($AG260=AL$1,VLOOKUP($AC260,RSL,3,FALSE),"")</f>
        <v/>
      </c>
      <c r="AM260" s="26" t="str">
        <f t="shared" si="154"/>
        <v/>
      </c>
      <c r="AN260" s="26" t="str">
        <f t="shared" si="145"/>
        <v>Chip Seal and Fog</v>
      </c>
      <c r="AO260" s="26" t="str">
        <f t="shared" ref="AO260:AO323" si="156">IF(AY260=AO$1,VLOOKUP(AZ260,RSL,3,FALSE),"")</f>
        <v/>
      </c>
      <c r="AP260" s="26" t="str">
        <f t="shared" si="146"/>
        <v/>
      </c>
      <c r="AQ260" s="68">
        <f t="shared" si="141"/>
        <v>8</v>
      </c>
      <c r="AR260" s="68">
        <f t="shared" si="142"/>
        <v>6</v>
      </c>
      <c r="AS260" s="68">
        <f t="shared" si="147"/>
        <v>1.1000000000000001</v>
      </c>
      <c r="AT260" s="68">
        <f t="shared" si="148"/>
        <v>1.1000000000000001</v>
      </c>
      <c r="AU260" s="68">
        <f t="shared" si="149"/>
        <v>1.1000000000000001</v>
      </c>
      <c r="AV260" s="68">
        <f t="shared" si="150"/>
        <v>1.1000000000000001</v>
      </c>
      <c r="AW260" s="68">
        <f t="shared" si="151"/>
        <v>1</v>
      </c>
      <c r="AX260" s="68">
        <f t="shared" ca="1" si="143"/>
        <v>0</v>
      </c>
      <c r="AY260" s="106">
        <v>2017</v>
      </c>
      <c r="AZ260" s="111" t="s">
        <v>2073</v>
      </c>
      <c r="BA260" s="106" t="str">
        <f t="shared" si="152"/>
        <v/>
      </c>
      <c r="BB260" s="110"/>
      <c r="BC260" s="110">
        <v>8</v>
      </c>
      <c r="BD260" s="110"/>
      <c r="BE260" s="110"/>
      <c r="BF260" s="110"/>
      <c r="BG260" s="110"/>
      <c r="BH260" s="110"/>
      <c r="BI260" s="33"/>
      <c r="BJ260" s="2"/>
      <c r="BK260" s="48">
        <f>$G260/5280*VLOOKUP($AC260,'Cost and Score'!$B$27:$O$40,6,0)</f>
        <v>5.5984848484848485E-2</v>
      </c>
      <c r="BL260" s="48">
        <f>$G260/5280*VLOOKUP($AC260,'Cost and Score'!$B$27:$O$40,7,0)</f>
        <v>6.1583333333333332</v>
      </c>
      <c r="BM260" s="48">
        <f>$G260/5280*VLOOKUP($AC260,'Cost and Score'!$B$27:$O$40,8,0)</f>
        <v>0</v>
      </c>
      <c r="BN260" s="48">
        <f>$G260/5280*VLOOKUP($AC260,'Cost and Score'!$B$27:$O$40,9,0)</f>
        <v>1259.6590909090908</v>
      </c>
      <c r="BO260" s="48">
        <f>$G260/5280*VLOOKUP($AC260,'Cost and Score'!$B$27:$O$40,10,0)</f>
        <v>279.92424242424244</v>
      </c>
      <c r="BP260" s="48">
        <f>$G260/5280*VLOOKUP($AC260,'Cost and Score'!$B$27:$O$40,11,0)</f>
        <v>0</v>
      </c>
      <c r="BQ260" s="48">
        <f>$G260/5280*VLOOKUP($AC260,'Cost and Score'!$B$27:$O$40,12,0)</f>
        <v>27.992424242424242</v>
      </c>
      <c r="BR260" s="48">
        <f>$G260/5280*VLOOKUP($AC260,'Cost and Score'!$B$27:$O$40,13,0)</f>
        <v>33.590909090909086</v>
      </c>
      <c r="BS260" s="48">
        <f>$G260/5280*VLOOKUP($AC260,'Cost and Score'!$B$27:$O$40,14,0)</f>
        <v>0</v>
      </c>
      <c r="BT260" s="220">
        <f t="shared" si="153"/>
        <v>0.27992424242424241</v>
      </c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103" s="2" customFormat="1" ht="14.45" hidden="1" customHeight="1" x14ac:dyDescent="0.25">
      <c r="A261" s="15" t="s">
        <v>614</v>
      </c>
      <c r="B261" s="34" t="s">
        <v>613</v>
      </c>
      <c r="C261" s="26" t="s">
        <v>613</v>
      </c>
      <c r="D261" s="82"/>
      <c r="E261" s="82" t="s">
        <v>288</v>
      </c>
      <c r="F261" s="82" t="s">
        <v>295</v>
      </c>
      <c r="G261" s="29">
        <v>2720</v>
      </c>
      <c r="H261" s="29">
        <f t="shared" si="135"/>
        <v>20</v>
      </c>
      <c r="I261" s="26" t="s">
        <v>8</v>
      </c>
      <c r="J261" s="26" t="s">
        <v>26</v>
      </c>
      <c r="K261" s="26">
        <f t="shared" si="134"/>
        <v>0</v>
      </c>
      <c r="L261" s="42">
        <v>4</v>
      </c>
      <c r="M261" s="42">
        <v>7</v>
      </c>
      <c r="N261" s="42">
        <v>6</v>
      </c>
      <c r="O261" s="83">
        <v>6</v>
      </c>
      <c r="P261" s="83">
        <v>6</v>
      </c>
      <c r="Q261" s="83">
        <v>4</v>
      </c>
      <c r="R261" s="83">
        <v>10</v>
      </c>
      <c r="S261" s="83">
        <v>9</v>
      </c>
      <c r="T261" s="83">
        <v>8</v>
      </c>
      <c r="U261" s="83">
        <v>8</v>
      </c>
      <c r="V261" s="42"/>
      <c r="W261" s="42"/>
      <c r="X261" s="42"/>
      <c r="Y261" s="26">
        <v>50</v>
      </c>
      <c r="Z261" s="26">
        <f t="shared" si="136"/>
        <v>0</v>
      </c>
      <c r="AA261" s="82" t="s">
        <v>228</v>
      </c>
      <c r="AB261" s="111">
        <f t="shared" si="144"/>
        <v>4</v>
      </c>
      <c r="AC261" s="85" t="s">
        <v>13</v>
      </c>
      <c r="AD261" s="84">
        <f t="shared" si="140"/>
        <v>10818.181818181818</v>
      </c>
      <c r="AE261" s="140"/>
      <c r="AF261" s="113">
        <f t="shared" si="137"/>
        <v>0</v>
      </c>
      <c r="AG261" s="85">
        <v>2026</v>
      </c>
      <c r="AH261" s="26" t="str">
        <f t="shared" si="133"/>
        <v/>
      </c>
      <c r="AI261" s="26" t="str">
        <f t="shared" si="139"/>
        <v/>
      </c>
      <c r="AJ261" s="26" t="str">
        <f t="shared" si="139"/>
        <v/>
      </c>
      <c r="AK261" s="26" t="str">
        <f t="shared" si="138"/>
        <v/>
      </c>
      <c r="AL261" s="26" t="str">
        <f t="shared" si="155"/>
        <v>Chip Seal and Fog</v>
      </c>
      <c r="AM261" s="26" t="str">
        <f t="shared" si="154"/>
        <v/>
      </c>
      <c r="AN261" s="26" t="str">
        <f t="shared" si="145"/>
        <v>Chip Seal and Fog</v>
      </c>
      <c r="AO261" s="26" t="str">
        <f t="shared" si="156"/>
        <v/>
      </c>
      <c r="AP261" s="26" t="str">
        <f t="shared" si="146"/>
        <v/>
      </c>
      <c r="AQ261" s="68">
        <f t="shared" si="141"/>
        <v>8</v>
      </c>
      <c r="AR261" s="68">
        <f t="shared" si="142"/>
        <v>6</v>
      </c>
      <c r="AS261" s="68">
        <f t="shared" si="147"/>
        <v>1.5</v>
      </c>
      <c r="AT261" s="68">
        <f t="shared" si="148"/>
        <v>1.05</v>
      </c>
      <c r="AU261" s="68">
        <f t="shared" si="149"/>
        <v>1.1000000000000001</v>
      </c>
      <c r="AV261" s="68">
        <f t="shared" si="150"/>
        <v>1.1000000000000001</v>
      </c>
      <c r="AW261" s="68">
        <f t="shared" si="151"/>
        <v>1.1000000000000001</v>
      </c>
      <c r="AX261" s="68">
        <f t="shared" ca="1" si="143"/>
        <v>2.2000000000000002</v>
      </c>
      <c r="AY261" s="106">
        <v>2020</v>
      </c>
      <c r="AZ261" s="106" t="s">
        <v>751</v>
      </c>
      <c r="BA261" s="106" t="str">
        <f t="shared" si="152"/>
        <v/>
      </c>
      <c r="BB261" s="177"/>
      <c r="BC261" s="177">
        <v>5</v>
      </c>
      <c r="BD261" s="177"/>
      <c r="BE261" s="177"/>
      <c r="BF261" s="177"/>
      <c r="BG261" s="177"/>
      <c r="BH261" s="177"/>
      <c r="BI261" s="33"/>
      <c r="BK261" s="48">
        <f>$G261/5280*VLOOKUP($AC261,'Cost and Score'!$B$27:$O$40,6,0)</f>
        <v>0.10303030303030303</v>
      </c>
      <c r="BL261" s="48">
        <f>$G261/5280*VLOOKUP($AC261,'Cost and Score'!$B$27:$O$40,7,0)</f>
        <v>11.333333333333332</v>
      </c>
      <c r="BM261" s="48">
        <f>$G261/5280*VLOOKUP($AC261,'Cost and Score'!$B$27:$O$40,8,0)</f>
        <v>0</v>
      </c>
      <c r="BN261" s="48">
        <f>$G261/5280*VLOOKUP($AC261,'Cost and Score'!$B$27:$O$40,9,0)</f>
        <v>2318.181818181818</v>
      </c>
      <c r="BO261" s="48">
        <f>$G261/5280*VLOOKUP($AC261,'Cost and Score'!$B$27:$O$40,10,0)</f>
        <v>515.15151515151513</v>
      </c>
      <c r="BP261" s="48">
        <f>$G261/5280*VLOOKUP($AC261,'Cost and Score'!$B$27:$O$40,11,0)</f>
        <v>0</v>
      </c>
      <c r="BQ261" s="48">
        <f>$G261/5280*VLOOKUP($AC261,'Cost and Score'!$B$27:$O$40,12,0)</f>
        <v>51.515151515151516</v>
      </c>
      <c r="BR261" s="48">
        <f>$G261/5280*VLOOKUP($AC261,'Cost and Score'!$B$27:$O$40,13,0)</f>
        <v>61.818181818181813</v>
      </c>
      <c r="BS261" s="48">
        <f>$G261/5280*VLOOKUP($AC261,'Cost and Score'!$B$27:$O$40,14,0)</f>
        <v>0</v>
      </c>
      <c r="BT261" s="220">
        <f t="shared" si="153"/>
        <v>0.51515151515151514</v>
      </c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</row>
    <row r="262" spans="1:103" s="2" customFormat="1" ht="14.45" hidden="1" customHeight="1" x14ac:dyDescent="0.25">
      <c r="A262" s="15" t="s">
        <v>616</v>
      </c>
      <c r="B262" s="34" t="s">
        <v>615</v>
      </c>
      <c r="C262" s="26" t="s">
        <v>615</v>
      </c>
      <c r="D262" s="82"/>
      <c r="E262" s="82" t="s">
        <v>153</v>
      </c>
      <c r="F262" s="82" t="s">
        <v>18</v>
      </c>
      <c r="G262" s="29">
        <v>2904</v>
      </c>
      <c r="H262" s="29">
        <f t="shared" si="135"/>
        <v>20</v>
      </c>
      <c r="I262" s="26" t="s">
        <v>8</v>
      </c>
      <c r="J262" s="26" t="s">
        <v>26</v>
      </c>
      <c r="K262" s="26">
        <f t="shared" si="134"/>
        <v>0</v>
      </c>
      <c r="L262" s="42">
        <v>5</v>
      </c>
      <c r="M262" s="42">
        <v>5</v>
      </c>
      <c r="N262" s="42">
        <v>5</v>
      </c>
      <c r="O262" s="83">
        <v>5</v>
      </c>
      <c r="P262" s="83">
        <v>5</v>
      </c>
      <c r="Q262" s="83">
        <v>9</v>
      </c>
      <c r="R262" s="83">
        <v>8</v>
      </c>
      <c r="S262" s="83">
        <v>8</v>
      </c>
      <c r="T262" s="83">
        <v>7</v>
      </c>
      <c r="U262" s="83">
        <v>7</v>
      </c>
      <c r="V262" s="42"/>
      <c r="W262" s="42"/>
      <c r="X262" s="42"/>
      <c r="Y262" s="26">
        <v>124</v>
      </c>
      <c r="Z262" s="26">
        <f t="shared" si="136"/>
        <v>0</v>
      </c>
      <c r="AA262" s="82" t="s">
        <v>24</v>
      </c>
      <c r="AB262" s="111">
        <f t="shared" si="144"/>
        <v>5</v>
      </c>
      <c r="AC262" s="85" t="s">
        <v>13</v>
      </c>
      <c r="AD262" s="84">
        <f t="shared" si="140"/>
        <v>11550</v>
      </c>
      <c r="AE262" s="140">
        <v>1</v>
      </c>
      <c r="AF262" s="113">
        <f t="shared" si="137"/>
        <v>11550</v>
      </c>
      <c r="AG262" s="26">
        <v>2024</v>
      </c>
      <c r="AH262" s="26" t="str">
        <f t="shared" si="133"/>
        <v/>
      </c>
      <c r="AI262" s="26" t="str">
        <f t="shared" si="139"/>
        <v/>
      </c>
      <c r="AJ262" s="26" t="str">
        <f t="shared" si="139"/>
        <v>Chip Seal and Fog</v>
      </c>
      <c r="AK262" s="26" t="str">
        <f t="shared" si="138"/>
        <v/>
      </c>
      <c r="AL262" s="26" t="str">
        <f t="shared" si="155"/>
        <v/>
      </c>
      <c r="AM262" s="26" t="str">
        <f t="shared" si="154"/>
        <v/>
      </c>
      <c r="AN262" s="26" t="str">
        <f t="shared" si="145"/>
        <v>Chip Seal and Fog</v>
      </c>
      <c r="AO262" s="26" t="str">
        <f t="shared" si="156"/>
        <v/>
      </c>
      <c r="AP262" s="26" t="str">
        <f t="shared" si="146"/>
        <v/>
      </c>
      <c r="AQ262" s="68">
        <f t="shared" si="141"/>
        <v>6</v>
      </c>
      <c r="AR262" s="68">
        <f t="shared" si="142"/>
        <v>6</v>
      </c>
      <c r="AS262" s="68">
        <f t="shared" si="147"/>
        <v>1.25</v>
      </c>
      <c r="AT262" s="68">
        <f t="shared" si="148"/>
        <v>1.25</v>
      </c>
      <c r="AU262" s="68">
        <f t="shared" si="149"/>
        <v>1.25</v>
      </c>
      <c r="AV262" s="68">
        <f t="shared" si="150"/>
        <v>1.25</v>
      </c>
      <c r="AW262" s="68">
        <f t="shared" si="151"/>
        <v>1.25</v>
      </c>
      <c r="AX262" s="68">
        <f t="shared" ca="1" si="143"/>
        <v>0</v>
      </c>
      <c r="AY262" s="106">
        <v>2018</v>
      </c>
      <c r="AZ262" s="106" t="s">
        <v>2072</v>
      </c>
      <c r="BA262" s="106" t="str">
        <f t="shared" si="152"/>
        <v>SP/CS</v>
      </c>
      <c r="BB262" s="177"/>
      <c r="BC262" s="177">
        <v>5</v>
      </c>
      <c r="BD262" s="177"/>
      <c r="BE262" s="177"/>
      <c r="BF262" s="177"/>
      <c r="BG262" s="177"/>
      <c r="BH262" s="177"/>
      <c r="BI262" s="33"/>
      <c r="BK262" s="48">
        <f>$G262/5280*VLOOKUP($AC262,'Cost and Score'!$B$27:$O$40,6,0)</f>
        <v>0.11000000000000001</v>
      </c>
      <c r="BL262" s="48">
        <f>$G262/5280*VLOOKUP($AC262,'Cost and Score'!$B$27:$O$40,7,0)</f>
        <v>12.100000000000001</v>
      </c>
      <c r="BM262" s="48">
        <f>$G262/5280*VLOOKUP($AC262,'Cost and Score'!$B$27:$O$40,8,0)</f>
        <v>0</v>
      </c>
      <c r="BN262" s="48">
        <f>$G262/5280*VLOOKUP($AC262,'Cost and Score'!$B$27:$O$40,9,0)</f>
        <v>2475</v>
      </c>
      <c r="BO262" s="48">
        <f>$G262/5280*VLOOKUP($AC262,'Cost and Score'!$B$27:$O$40,10,0)</f>
        <v>550</v>
      </c>
      <c r="BP262" s="48">
        <f>$G262/5280*VLOOKUP($AC262,'Cost and Score'!$B$27:$O$40,11,0)</f>
        <v>0</v>
      </c>
      <c r="BQ262" s="48">
        <f>$G262/5280*VLOOKUP($AC262,'Cost and Score'!$B$27:$O$40,12,0)</f>
        <v>55.000000000000007</v>
      </c>
      <c r="BR262" s="48">
        <f>$G262/5280*VLOOKUP($AC262,'Cost and Score'!$B$27:$O$40,13,0)</f>
        <v>66</v>
      </c>
      <c r="BS262" s="48">
        <f>$G262/5280*VLOOKUP($AC262,'Cost and Score'!$B$27:$O$40,14,0)</f>
        <v>0</v>
      </c>
      <c r="BT262" s="220">
        <f t="shared" si="153"/>
        <v>0.55000000000000004</v>
      </c>
    </row>
    <row r="263" spans="1:103" s="2" customFormat="1" ht="14.45" hidden="1" customHeight="1" x14ac:dyDescent="0.25">
      <c r="A263" s="15" t="s">
        <v>618</v>
      </c>
      <c r="B263" s="34" t="s">
        <v>617</v>
      </c>
      <c r="C263" s="26" t="s">
        <v>617</v>
      </c>
      <c r="D263" s="82"/>
      <c r="E263" s="82" t="s">
        <v>288</v>
      </c>
      <c r="F263" s="82" t="s">
        <v>18</v>
      </c>
      <c r="G263" s="29">
        <v>2690</v>
      </c>
      <c r="H263" s="29">
        <f t="shared" si="135"/>
        <v>20</v>
      </c>
      <c r="I263" s="26" t="s">
        <v>13</v>
      </c>
      <c r="J263" s="26" t="s">
        <v>26</v>
      </c>
      <c r="K263" s="26">
        <f t="shared" si="134"/>
        <v>0</v>
      </c>
      <c r="L263" s="42">
        <v>6</v>
      </c>
      <c r="M263" s="42">
        <v>6</v>
      </c>
      <c r="N263" s="42">
        <v>6</v>
      </c>
      <c r="O263" s="83">
        <v>6</v>
      </c>
      <c r="P263" s="83">
        <v>6</v>
      </c>
      <c r="Q263" s="83">
        <v>9</v>
      </c>
      <c r="R263" s="83">
        <v>8</v>
      </c>
      <c r="S263" s="83">
        <v>8</v>
      </c>
      <c r="T263" s="83">
        <v>7</v>
      </c>
      <c r="U263" s="83">
        <v>7</v>
      </c>
      <c r="V263" s="42"/>
      <c r="W263" s="42"/>
      <c r="X263" s="42"/>
      <c r="Y263" s="26">
        <v>124</v>
      </c>
      <c r="Z263" s="26">
        <f t="shared" si="136"/>
        <v>0</v>
      </c>
      <c r="AA263" s="82" t="s">
        <v>24</v>
      </c>
      <c r="AB263" s="111">
        <f t="shared" si="144"/>
        <v>4</v>
      </c>
      <c r="AC263" s="85" t="s">
        <v>13</v>
      </c>
      <c r="AD263" s="84">
        <f t="shared" si="140"/>
        <v>10698.863636363636</v>
      </c>
      <c r="AE263" s="140">
        <v>1</v>
      </c>
      <c r="AF263" s="113">
        <f t="shared" si="137"/>
        <v>10698.863636363636</v>
      </c>
      <c r="AG263" s="26">
        <v>2024</v>
      </c>
      <c r="AH263" s="26" t="str">
        <f t="shared" si="133"/>
        <v/>
      </c>
      <c r="AI263" s="26" t="str">
        <f t="shared" si="139"/>
        <v/>
      </c>
      <c r="AJ263" s="26" t="str">
        <f t="shared" si="139"/>
        <v>Chip Seal and Fog</v>
      </c>
      <c r="AK263" s="26" t="str">
        <f t="shared" si="138"/>
        <v/>
      </c>
      <c r="AL263" s="26" t="str">
        <f t="shared" si="155"/>
        <v/>
      </c>
      <c r="AM263" s="26" t="str">
        <f t="shared" si="154"/>
        <v/>
      </c>
      <c r="AN263" s="26" t="str">
        <f t="shared" si="145"/>
        <v>Chip Seal and Fog</v>
      </c>
      <c r="AO263" s="26" t="str">
        <f t="shared" si="156"/>
        <v/>
      </c>
      <c r="AP263" s="26" t="str">
        <f t="shared" si="146"/>
        <v/>
      </c>
      <c r="AQ263" s="68">
        <f t="shared" si="141"/>
        <v>8</v>
      </c>
      <c r="AR263" s="68">
        <f t="shared" si="142"/>
        <v>6</v>
      </c>
      <c r="AS263" s="68">
        <f t="shared" si="147"/>
        <v>1.1000000000000001</v>
      </c>
      <c r="AT263" s="68">
        <f t="shared" si="148"/>
        <v>1.1000000000000001</v>
      </c>
      <c r="AU263" s="68">
        <f t="shared" si="149"/>
        <v>1.1000000000000001</v>
      </c>
      <c r="AV263" s="68">
        <f t="shared" si="150"/>
        <v>1.1000000000000001</v>
      </c>
      <c r="AW263" s="68">
        <f t="shared" si="151"/>
        <v>1.1000000000000001</v>
      </c>
      <c r="AX263" s="68">
        <f t="shared" ca="1" si="143"/>
        <v>0</v>
      </c>
      <c r="AY263" s="106">
        <v>2018</v>
      </c>
      <c r="AZ263" s="106" t="s">
        <v>751</v>
      </c>
      <c r="BA263" s="106" t="str">
        <f t="shared" si="152"/>
        <v>P</v>
      </c>
      <c r="BB263" s="177"/>
      <c r="BC263" s="177">
        <v>5</v>
      </c>
      <c r="BD263" s="177"/>
      <c r="BE263" s="177"/>
      <c r="BF263" s="177"/>
      <c r="BG263" s="177"/>
      <c r="BH263" s="177"/>
      <c r="BI263" s="33"/>
      <c r="BK263" s="48">
        <f>$G263/5280*VLOOKUP($AC263,'Cost and Score'!$B$27:$O$40,6,0)</f>
        <v>0.10189393939393941</v>
      </c>
      <c r="BL263" s="48">
        <f>$G263/5280*VLOOKUP($AC263,'Cost and Score'!$B$27:$O$40,7,0)</f>
        <v>11.208333333333334</v>
      </c>
      <c r="BM263" s="48">
        <f>$G263/5280*VLOOKUP($AC263,'Cost and Score'!$B$27:$O$40,8,0)</f>
        <v>0</v>
      </c>
      <c r="BN263" s="48">
        <f>$G263/5280*VLOOKUP($AC263,'Cost and Score'!$B$27:$O$40,9,0)</f>
        <v>2292.6136363636365</v>
      </c>
      <c r="BO263" s="48">
        <f>$G263/5280*VLOOKUP($AC263,'Cost and Score'!$B$27:$O$40,10,0)</f>
        <v>509.469696969697</v>
      </c>
      <c r="BP263" s="48">
        <f>$G263/5280*VLOOKUP($AC263,'Cost and Score'!$B$27:$O$40,11,0)</f>
        <v>0</v>
      </c>
      <c r="BQ263" s="48">
        <f>$G263/5280*VLOOKUP($AC263,'Cost and Score'!$B$27:$O$40,12,0)</f>
        <v>50.946969696969703</v>
      </c>
      <c r="BR263" s="48">
        <f>$G263/5280*VLOOKUP($AC263,'Cost and Score'!$B$27:$O$40,13,0)</f>
        <v>61.13636363636364</v>
      </c>
      <c r="BS263" s="48">
        <f>$G263/5280*VLOOKUP($AC263,'Cost and Score'!$B$27:$O$40,14,0)</f>
        <v>0</v>
      </c>
      <c r="BT263" s="220">
        <f t="shared" si="153"/>
        <v>0.50946969696969702</v>
      </c>
    </row>
    <row r="264" spans="1:103" s="2" customFormat="1" ht="14.45" hidden="1" customHeight="1" x14ac:dyDescent="0.25">
      <c r="A264" s="15" t="s">
        <v>620</v>
      </c>
      <c r="B264" s="34" t="s">
        <v>619</v>
      </c>
      <c r="C264" s="26" t="s">
        <v>619</v>
      </c>
      <c r="D264" s="82"/>
      <c r="E264" s="82" t="s">
        <v>138</v>
      </c>
      <c r="F264" s="82" t="s">
        <v>135</v>
      </c>
      <c r="G264" s="29">
        <v>5410</v>
      </c>
      <c r="H264" s="29">
        <f t="shared" si="135"/>
        <v>20</v>
      </c>
      <c r="I264" s="26" t="s">
        <v>8</v>
      </c>
      <c r="J264" s="26" t="s">
        <v>125</v>
      </c>
      <c r="K264" s="26">
        <f t="shared" si="134"/>
        <v>0</v>
      </c>
      <c r="L264" s="42">
        <v>7</v>
      </c>
      <c r="M264" s="42">
        <v>7</v>
      </c>
      <c r="N264" s="42">
        <v>7</v>
      </c>
      <c r="O264" s="83">
        <v>7</v>
      </c>
      <c r="P264" s="83">
        <v>6</v>
      </c>
      <c r="Q264" s="83">
        <v>6</v>
      </c>
      <c r="R264" s="83">
        <v>7</v>
      </c>
      <c r="S264" s="83">
        <v>7</v>
      </c>
      <c r="T264" s="83">
        <v>6</v>
      </c>
      <c r="U264" s="83">
        <v>7</v>
      </c>
      <c r="V264" s="42">
        <v>2024</v>
      </c>
      <c r="W264" s="42">
        <v>2019</v>
      </c>
      <c r="X264" s="42" t="s">
        <v>2612</v>
      </c>
      <c r="Y264" s="26">
        <v>785</v>
      </c>
      <c r="Z264" s="26">
        <f t="shared" si="136"/>
        <v>0.5</v>
      </c>
      <c r="AA264" s="82" t="s">
        <v>24</v>
      </c>
      <c r="AB264" s="111">
        <f t="shared" si="144"/>
        <v>4.5</v>
      </c>
      <c r="AC264" s="82" t="s">
        <v>13</v>
      </c>
      <c r="AD264" s="84">
        <f t="shared" si="140"/>
        <v>21517.045454545456</v>
      </c>
      <c r="AE264" s="140"/>
      <c r="AF264" s="113">
        <f t="shared" si="137"/>
        <v>0</v>
      </c>
      <c r="AG264" s="82">
        <v>2024</v>
      </c>
      <c r="AH264" s="26" t="str">
        <f t="shared" si="133"/>
        <v/>
      </c>
      <c r="AI264" s="26" t="str">
        <f t="shared" si="139"/>
        <v/>
      </c>
      <c r="AJ264" s="26" t="str">
        <f t="shared" si="139"/>
        <v>Chip Seal and Fog</v>
      </c>
      <c r="AK264" s="26" t="str">
        <f t="shared" si="138"/>
        <v/>
      </c>
      <c r="AL264" s="26" t="str">
        <f t="shared" si="155"/>
        <v/>
      </c>
      <c r="AM264" s="26" t="str">
        <f t="shared" si="154"/>
        <v/>
      </c>
      <c r="AN264" s="26" t="str">
        <f t="shared" si="145"/>
        <v>Chip Seal and Fog</v>
      </c>
      <c r="AO264" s="26" t="str">
        <f t="shared" si="156"/>
        <v/>
      </c>
      <c r="AP264" s="26" t="str">
        <f t="shared" si="146"/>
        <v/>
      </c>
      <c r="AQ264" s="68">
        <f t="shared" si="141"/>
        <v>10</v>
      </c>
      <c r="AR264" s="68">
        <f t="shared" si="142"/>
        <v>6</v>
      </c>
      <c r="AS264" s="68">
        <f t="shared" si="147"/>
        <v>1.05</v>
      </c>
      <c r="AT264" s="68">
        <f t="shared" si="148"/>
        <v>1.05</v>
      </c>
      <c r="AU264" s="68">
        <f t="shared" si="149"/>
        <v>1.05</v>
      </c>
      <c r="AV264" s="68">
        <f t="shared" si="150"/>
        <v>1.05</v>
      </c>
      <c r="AW264" s="68">
        <f t="shared" si="151"/>
        <v>1.1000000000000001</v>
      </c>
      <c r="AX264" s="68">
        <f t="shared" ca="1" si="143"/>
        <v>0</v>
      </c>
      <c r="AY264" s="106">
        <v>2018</v>
      </c>
      <c r="AZ264" s="106" t="s">
        <v>13</v>
      </c>
      <c r="BA264" s="106" t="str">
        <f t="shared" si="152"/>
        <v>CS</v>
      </c>
      <c r="BB264" s="177"/>
      <c r="BC264" s="177">
        <v>2</v>
      </c>
      <c r="BD264" s="177"/>
      <c r="BE264" s="177"/>
      <c r="BF264" s="177"/>
      <c r="BG264" s="177"/>
      <c r="BH264" s="177"/>
      <c r="BI264" s="33"/>
      <c r="BK264" s="48">
        <f>$G264/5280*VLOOKUP($AC264,'Cost and Score'!$B$27:$O$40,6,0)</f>
        <v>0.20492424242424245</v>
      </c>
      <c r="BL264" s="48">
        <f>$G264/5280*VLOOKUP($AC264,'Cost and Score'!$B$27:$O$40,7,0)</f>
        <v>22.541666666666668</v>
      </c>
      <c r="BM264" s="48">
        <f>$G264/5280*VLOOKUP($AC264,'Cost and Score'!$B$27:$O$40,8,0)</f>
        <v>0</v>
      </c>
      <c r="BN264" s="48">
        <f>$G264/5280*VLOOKUP($AC264,'Cost and Score'!$B$27:$O$40,9,0)</f>
        <v>4610.795454545455</v>
      </c>
      <c r="BO264" s="48">
        <f>$G264/5280*VLOOKUP($AC264,'Cost and Score'!$B$27:$O$40,10,0)</f>
        <v>1024.6212121212122</v>
      </c>
      <c r="BP264" s="48">
        <f>$G264/5280*VLOOKUP($AC264,'Cost and Score'!$B$27:$O$40,11,0)</f>
        <v>0</v>
      </c>
      <c r="BQ264" s="48">
        <f>$G264/5280*VLOOKUP($AC264,'Cost and Score'!$B$27:$O$40,12,0)</f>
        <v>102.46212121212122</v>
      </c>
      <c r="BR264" s="48">
        <f>$G264/5280*VLOOKUP($AC264,'Cost and Score'!$B$27:$O$40,13,0)</f>
        <v>122.95454545454545</v>
      </c>
      <c r="BS264" s="48">
        <f>$G264/5280*VLOOKUP($AC264,'Cost and Score'!$B$27:$O$40,14,0)</f>
        <v>0</v>
      </c>
      <c r="BT264" s="220">
        <f t="shared" si="153"/>
        <v>1.0246212121212122</v>
      </c>
    </row>
    <row r="265" spans="1:103" s="2" customFormat="1" ht="14.45" customHeight="1" x14ac:dyDescent="0.25">
      <c r="A265" s="15" t="s">
        <v>963</v>
      </c>
      <c r="B265" s="34" t="s">
        <v>962</v>
      </c>
      <c r="C265" s="26" t="s">
        <v>962</v>
      </c>
      <c r="D265" s="82"/>
      <c r="E265" s="82" t="s">
        <v>38</v>
      </c>
      <c r="F265" s="82" t="s">
        <v>281</v>
      </c>
      <c r="G265" s="29">
        <v>2648</v>
      </c>
      <c r="H265" s="29">
        <f t="shared" si="135"/>
        <v>20</v>
      </c>
      <c r="I265" s="26" t="s">
        <v>13</v>
      </c>
      <c r="J265" s="26" t="s">
        <v>11</v>
      </c>
      <c r="K265" s="26">
        <f t="shared" si="134"/>
        <v>0</v>
      </c>
      <c r="L265" s="42">
        <v>7</v>
      </c>
      <c r="M265" s="42">
        <v>7</v>
      </c>
      <c r="N265" s="42">
        <v>6</v>
      </c>
      <c r="O265" s="83">
        <v>6</v>
      </c>
      <c r="P265" s="83">
        <v>5</v>
      </c>
      <c r="Q265" s="83">
        <v>5</v>
      </c>
      <c r="R265" s="83">
        <v>7</v>
      </c>
      <c r="S265" s="83">
        <v>8</v>
      </c>
      <c r="T265" s="83">
        <v>7</v>
      </c>
      <c r="U265" s="83">
        <v>7</v>
      </c>
      <c r="V265" s="42"/>
      <c r="W265" s="42"/>
      <c r="X265" s="42"/>
      <c r="Y265" s="26">
        <v>292</v>
      </c>
      <c r="Z265" s="26">
        <f t="shared" si="136"/>
        <v>0</v>
      </c>
      <c r="AA265" s="82" t="s">
        <v>67</v>
      </c>
      <c r="AB265" s="111">
        <f t="shared" si="144"/>
        <v>5</v>
      </c>
      <c r="AC265" s="85" t="s">
        <v>13</v>
      </c>
      <c r="AD265" s="84">
        <f t="shared" si="140"/>
        <v>10531.818181818182</v>
      </c>
      <c r="AE265" s="140"/>
      <c r="AF265" s="113">
        <f t="shared" si="137"/>
        <v>0</v>
      </c>
      <c r="AG265" s="106">
        <v>2025</v>
      </c>
      <c r="AH265" s="26" t="str">
        <f t="shared" si="133"/>
        <v/>
      </c>
      <c r="AI265" s="26" t="str">
        <f t="shared" si="139"/>
        <v/>
      </c>
      <c r="AJ265" s="26" t="str">
        <f t="shared" si="139"/>
        <v/>
      </c>
      <c r="AK265" s="26" t="str">
        <f t="shared" si="138"/>
        <v>Chip Seal and Fog</v>
      </c>
      <c r="AL265" s="26" t="str">
        <f t="shared" si="155"/>
        <v/>
      </c>
      <c r="AM265" s="26" t="str">
        <f t="shared" si="154"/>
        <v/>
      </c>
      <c r="AN265" s="26" t="str">
        <f t="shared" si="145"/>
        <v>Chip Seal and Fog</v>
      </c>
      <c r="AO265" s="26" t="str">
        <f t="shared" si="156"/>
        <v/>
      </c>
      <c r="AP265" s="26" t="str">
        <f t="shared" si="146"/>
        <v/>
      </c>
      <c r="AQ265" s="68">
        <f t="shared" si="141"/>
        <v>8</v>
      </c>
      <c r="AR265" s="68">
        <f t="shared" si="142"/>
        <v>6</v>
      </c>
      <c r="AS265" s="68">
        <f t="shared" si="147"/>
        <v>1.05</v>
      </c>
      <c r="AT265" s="68">
        <f t="shared" si="148"/>
        <v>1.05</v>
      </c>
      <c r="AU265" s="68">
        <f t="shared" si="149"/>
        <v>1.1000000000000001</v>
      </c>
      <c r="AV265" s="68">
        <f t="shared" si="150"/>
        <v>1.1000000000000001</v>
      </c>
      <c r="AW265" s="68">
        <f t="shared" si="151"/>
        <v>1.25</v>
      </c>
      <c r="AX265" s="68">
        <f t="shared" ca="1" si="143"/>
        <v>1.1000000000000001</v>
      </c>
      <c r="AY265" s="68">
        <v>2019</v>
      </c>
      <c r="AZ265" s="68" t="s">
        <v>2073</v>
      </c>
      <c r="BA265" s="106" t="str">
        <f t="shared" si="152"/>
        <v/>
      </c>
      <c r="BB265" s="178"/>
      <c r="BC265" s="178">
        <v>4</v>
      </c>
      <c r="BD265" s="178"/>
      <c r="BE265" s="178"/>
      <c r="BF265" s="178"/>
      <c r="BG265" s="178"/>
      <c r="BH265" s="178"/>
      <c r="BI265" s="33"/>
      <c r="BK265" s="48">
        <f>$G265/5280*VLOOKUP($AC265,'Cost and Score'!$B$27:$O$40,6,0)</f>
        <v>0.1003030303030303</v>
      </c>
      <c r="BL265" s="48">
        <f>$G265/5280*VLOOKUP($AC265,'Cost and Score'!$B$27:$O$40,7,0)</f>
        <v>11.033333333333331</v>
      </c>
      <c r="BM265" s="48">
        <f>$G265/5280*VLOOKUP($AC265,'Cost and Score'!$B$27:$O$40,8,0)</f>
        <v>0</v>
      </c>
      <c r="BN265" s="48">
        <f>$G265/5280*VLOOKUP($AC265,'Cost and Score'!$B$27:$O$40,9,0)</f>
        <v>2256.8181818181815</v>
      </c>
      <c r="BO265" s="48">
        <f>$G265/5280*VLOOKUP($AC265,'Cost and Score'!$B$27:$O$40,10,0)</f>
        <v>501.51515151515144</v>
      </c>
      <c r="BP265" s="48">
        <f>$G265/5280*VLOOKUP($AC265,'Cost and Score'!$B$27:$O$40,11,0)</f>
        <v>0</v>
      </c>
      <c r="BQ265" s="48">
        <f>$G265/5280*VLOOKUP($AC265,'Cost and Score'!$B$27:$O$40,12,0)</f>
        <v>50.151515151515149</v>
      </c>
      <c r="BR265" s="48">
        <f>$G265/5280*VLOOKUP($AC265,'Cost and Score'!$B$27:$O$40,13,0)</f>
        <v>60.181818181818173</v>
      </c>
      <c r="BS265" s="48">
        <f>$G265/5280*VLOOKUP($AC265,'Cost and Score'!$B$27:$O$40,14,0)</f>
        <v>0</v>
      </c>
      <c r="BT265" s="220">
        <f t="shared" si="153"/>
        <v>0.50151515151515147</v>
      </c>
      <c r="CW265" s="112"/>
      <c r="CX265" s="112"/>
      <c r="CY265" s="112"/>
    </row>
    <row r="266" spans="1:103" s="2" customFormat="1" ht="14.45" hidden="1" customHeight="1" x14ac:dyDescent="0.25">
      <c r="A266" s="15" t="s">
        <v>624</v>
      </c>
      <c r="B266" s="34" t="s">
        <v>623</v>
      </c>
      <c r="C266" s="26" t="s">
        <v>623</v>
      </c>
      <c r="D266" s="82"/>
      <c r="E266" s="82" t="s">
        <v>149</v>
      </c>
      <c r="F266" s="82" t="s">
        <v>153</v>
      </c>
      <c r="G266" s="29">
        <v>5491</v>
      </c>
      <c r="H266" s="29">
        <f t="shared" si="135"/>
        <v>20</v>
      </c>
      <c r="I266" s="26" t="s">
        <v>13</v>
      </c>
      <c r="J266" s="26" t="s">
        <v>26</v>
      </c>
      <c r="K266" s="26">
        <f t="shared" si="134"/>
        <v>0</v>
      </c>
      <c r="L266" s="42">
        <v>5</v>
      </c>
      <c r="M266" s="42">
        <v>5</v>
      </c>
      <c r="N266" s="42">
        <v>5</v>
      </c>
      <c r="O266" s="83">
        <v>5</v>
      </c>
      <c r="P266" s="83">
        <v>5</v>
      </c>
      <c r="Q266" s="83">
        <v>9</v>
      </c>
      <c r="R266" s="83">
        <v>8</v>
      </c>
      <c r="S266" s="83">
        <v>7</v>
      </c>
      <c r="T266" s="83">
        <v>7</v>
      </c>
      <c r="U266" s="83">
        <v>7</v>
      </c>
      <c r="V266" s="42"/>
      <c r="W266" s="42"/>
      <c r="X266" s="42"/>
      <c r="Y266" s="26">
        <v>124</v>
      </c>
      <c r="Z266" s="26">
        <f t="shared" si="136"/>
        <v>0</v>
      </c>
      <c r="AA266" s="82" t="s">
        <v>24</v>
      </c>
      <c r="AB266" s="111">
        <f t="shared" si="144"/>
        <v>5</v>
      </c>
      <c r="AC266" s="85" t="s">
        <v>13</v>
      </c>
      <c r="AD266" s="84">
        <f t="shared" si="140"/>
        <v>21839.204545454544</v>
      </c>
      <c r="AE266" s="140">
        <v>1</v>
      </c>
      <c r="AF266" s="113">
        <f t="shared" si="137"/>
        <v>21839.204545454544</v>
      </c>
      <c r="AG266" s="26">
        <v>2024</v>
      </c>
      <c r="AH266" s="26" t="str">
        <f t="shared" si="133"/>
        <v/>
      </c>
      <c r="AI266" s="26" t="str">
        <f t="shared" si="139"/>
        <v/>
      </c>
      <c r="AJ266" s="26" t="str">
        <f t="shared" si="139"/>
        <v>Chip Seal and Fog</v>
      </c>
      <c r="AK266" s="26" t="str">
        <f t="shared" si="138"/>
        <v/>
      </c>
      <c r="AL266" s="26" t="str">
        <f t="shared" si="155"/>
        <v/>
      </c>
      <c r="AM266" s="26" t="str">
        <f t="shared" si="154"/>
        <v/>
      </c>
      <c r="AN266" s="26" t="str">
        <f t="shared" si="145"/>
        <v>Chip Seal and Fog</v>
      </c>
      <c r="AO266" s="26" t="str">
        <f t="shared" si="156"/>
        <v/>
      </c>
      <c r="AP266" s="26" t="str">
        <f t="shared" si="146"/>
        <v/>
      </c>
      <c r="AQ266" s="68">
        <f t="shared" si="141"/>
        <v>6</v>
      </c>
      <c r="AR266" s="68">
        <f t="shared" si="142"/>
        <v>6</v>
      </c>
      <c r="AS266" s="68">
        <f t="shared" si="147"/>
        <v>1.25</v>
      </c>
      <c r="AT266" s="68">
        <f t="shared" si="148"/>
        <v>1.25</v>
      </c>
      <c r="AU266" s="68">
        <f t="shared" si="149"/>
        <v>1.25</v>
      </c>
      <c r="AV266" s="68">
        <f t="shared" si="150"/>
        <v>1.25</v>
      </c>
      <c r="AW266" s="68">
        <f t="shared" si="151"/>
        <v>1.25</v>
      </c>
      <c r="AX266" s="68">
        <f t="shared" ca="1" si="143"/>
        <v>0</v>
      </c>
      <c r="AY266" s="106">
        <v>2018</v>
      </c>
      <c r="AZ266" s="106" t="s">
        <v>2072</v>
      </c>
      <c r="BA266" s="106" t="str">
        <f t="shared" si="152"/>
        <v>SP/CS</v>
      </c>
      <c r="BB266" s="177"/>
      <c r="BC266" s="177">
        <v>5</v>
      </c>
      <c r="BD266" s="177"/>
      <c r="BE266" s="177"/>
      <c r="BF266" s="177"/>
      <c r="BG266" s="177"/>
      <c r="BH266" s="177"/>
      <c r="BI266" s="33"/>
      <c r="BK266" s="48">
        <f>$G266/5280*VLOOKUP($AC266,'Cost and Score'!$B$27:$O$40,6,0)</f>
        <v>0.20799242424242426</v>
      </c>
      <c r="BL266" s="48">
        <f>$G266/5280*VLOOKUP($AC266,'Cost and Score'!$B$27:$O$40,7,0)</f>
        <v>22.87916666666667</v>
      </c>
      <c r="BM266" s="48">
        <f>$G266/5280*VLOOKUP($AC266,'Cost and Score'!$B$27:$O$40,8,0)</f>
        <v>0</v>
      </c>
      <c r="BN266" s="48">
        <f>$G266/5280*VLOOKUP($AC266,'Cost and Score'!$B$27:$O$40,9,0)</f>
        <v>4679.829545454546</v>
      </c>
      <c r="BO266" s="48">
        <f>$G266/5280*VLOOKUP($AC266,'Cost and Score'!$B$27:$O$40,10,0)</f>
        <v>1039.9621212121212</v>
      </c>
      <c r="BP266" s="48">
        <f>$G266/5280*VLOOKUP($AC266,'Cost and Score'!$B$27:$O$40,11,0)</f>
        <v>0</v>
      </c>
      <c r="BQ266" s="48">
        <f>$G266/5280*VLOOKUP($AC266,'Cost and Score'!$B$27:$O$40,12,0)</f>
        <v>103.99621212121212</v>
      </c>
      <c r="BR266" s="48">
        <f>$G266/5280*VLOOKUP($AC266,'Cost and Score'!$B$27:$O$40,13,0)</f>
        <v>124.79545454545456</v>
      </c>
      <c r="BS266" s="48">
        <f>$G266/5280*VLOOKUP($AC266,'Cost and Score'!$B$27:$O$40,14,0)</f>
        <v>0</v>
      </c>
      <c r="BT266" s="220">
        <f t="shared" si="153"/>
        <v>1.0399621212121213</v>
      </c>
      <c r="CW266" s="112"/>
      <c r="CX266" s="112"/>
      <c r="CY266" s="112"/>
    </row>
    <row r="267" spans="1:103" s="2" customFormat="1" ht="14.45" hidden="1" customHeight="1" x14ac:dyDescent="0.25">
      <c r="A267" s="15" t="s">
        <v>626</v>
      </c>
      <c r="B267" s="34" t="s">
        <v>625</v>
      </c>
      <c r="C267" s="26" t="s">
        <v>625</v>
      </c>
      <c r="D267" s="26"/>
      <c r="E267" s="26" t="s">
        <v>455</v>
      </c>
      <c r="F267" s="26" t="s">
        <v>461</v>
      </c>
      <c r="G267" s="29">
        <v>1380</v>
      </c>
      <c r="H267" s="29">
        <f t="shared" si="135"/>
        <v>20</v>
      </c>
      <c r="I267" s="106" t="s">
        <v>751</v>
      </c>
      <c r="J267" s="26" t="s">
        <v>6</v>
      </c>
      <c r="K267" s="26">
        <f t="shared" si="134"/>
        <v>0</v>
      </c>
      <c r="L267" s="42">
        <v>5</v>
      </c>
      <c r="M267" s="42">
        <v>5</v>
      </c>
      <c r="N267" s="42">
        <v>10</v>
      </c>
      <c r="O267" s="42">
        <v>9</v>
      </c>
      <c r="P267" s="42">
        <v>8</v>
      </c>
      <c r="Q267" s="42">
        <v>8</v>
      </c>
      <c r="R267" s="42">
        <v>7</v>
      </c>
      <c r="S267" s="42">
        <v>7</v>
      </c>
      <c r="T267" s="42">
        <v>7</v>
      </c>
      <c r="U267" s="42">
        <v>7</v>
      </c>
      <c r="V267" s="42"/>
      <c r="W267" s="42"/>
      <c r="X267" s="42"/>
      <c r="Y267" s="26">
        <v>50</v>
      </c>
      <c r="Z267" s="26">
        <f t="shared" si="136"/>
        <v>0</v>
      </c>
      <c r="AA267" s="26" t="s">
        <v>453</v>
      </c>
      <c r="AB267" s="111">
        <f t="shared" si="144"/>
        <v>2</v>
      </c>
      <c r="AC267" s="85" t="s">
        <v>2073</v>
      </c>
      <c r="AD267" s="47">
        <f t="shared" si="140"/>
        <v>8363.636363636364</v>
      </c>
      <c r="AE267" s="140"/>
      <c r="AF267" s="113">
        <f t="shared" si="137"/>
        <v>0</v>
      </c>
      <c r="AG267" s="26">
        <v>2027</v>
      </c>
      <c r="AH267" s="26" t="str">
        <f t="shared" si="133"/>
        <v/>
      </c>
      <c r="AI267" s="26" t="str">
        <f t="shared" si="139"/>
        <v/>
      </c>
      <c r="AJ267" s="26" t="str">
        <f t="shared" si="139"/>
        <v/>
      </c>
      <c r="AK267" s="26" t="str">
        <f t="shared" si="138"/>
        <v/>
      </c>
      <c r="AL267" s="26" t="str">
        <f t="shared" si="155"/>
        <v/>
      </c>
      <c r="AM267" s="26" t="str">
        <f t="shared" si="154"/>
        <v>Chip Seal - Double and Fog</v>
      </c>
      <c r="AN267" s="26" t="str">
        <f t="shared" si="145"/>
        <v>Chip Seal - Double and Fog</v>
      </c>
      <c r="AO267" s="26" t="str">
        <f t="shared" si="156"/>
        <v/>
      </c>
      <c r="AP267" s="26" t="str">
        <f t="shared" si="146"/>
        <v/>
      </c>
      <c r="AQ267" s="68">
        <f t="shared" si="141"/>
        <v>14</v>
      </c>
      <c r="AR267" s="68">
        <f t="shared" si="142"/>
        <v>6</v>
      </c>
      <c r="AS267" s="68">
        <f t="shared" si="147"/>
        <v>1.25</v>
      </c>
      <c r="AT267" s="68">
        <f t="shared" si="148"/>
        <v>1.25</v>
      </c>
      <c r="AU267" s="68">
        <f t="shared" si="149"/>
        <v>1</v>
      </c>
      <c r="AV267" s="68">
        <f t="shared" si="150"/>
        <v>1</v>
      </c>
      <c r="AW267" s="68">
        <f t="shared" si="151"/>
        <v>1</v>
      </c>
      <c r="AX267" s="68">
        <f t="shared" ca="1" si="143"/>
        <v>3</v>
      </c>
      <c r="AY267" s="106">
        <v>2016</v>
      </c>
      <c r="AZ267" s="106" t="s">
        <v>751</v>
      </c>
      <c r="BA267" s="106" t="str">
        <f t="shared" si="152"/>
        <v/>
      </c>
      <c r="BB267" s="177"/>
      <c r="BC267" s="177">
        <v>9</v>
      </c>
      <c r="BD267" s="177"/>
      <c r="BE267" s="177"/>
      <c r="BF267" s="177"/>
      <c r="BG267" s="177"/>
      <c r="BH267" s="177"/>
      <c r="BI267" s="33"/>
      <c r="BK267" s="48">
        <f>$G267/5280*VLOOKUP($AC267,'Cost and Score'!$B$27:$O$40,6,0)</f>
        <v>0.13068181818181818</v>
      </c>
      <c r="BL267" s="48">
        <f>$G267/5280*VLOOKUP($AC267,'Cost and Score'!$B$27:$O$40,7,0)</f>
        <v>13.068181818181818</v>
      </c>
      <c r="BM267" s="48">
        <f>$G267/5280*VLOOKUP($AC267,'Cost and Score'!$B$27:$O$40,8,0)</f>
        <v>0</v>
      </c>
      <c r="BN267" s="48">
        <f>$G267/5280*VLOOKUP($AC267,'Cost and Score'!$B$27:$O$40,9,0)</f>
        <v>2482.9545454545455</v>
      </c>
      <c r="BO267" s="48">
        <f>$G267/5280*VLOOKUP($AC267,'Cost and Score'!$B$27:$O$40,10,0)</f>
        <v>261.36363636363637</v>
      </c>
      <c r="BP267" s="48">
        <f>$G267/5280*VLOOKUP($AC267,'Cost and Score'!$B$27:$O$40,11,0)</f>
        <v>0</v>
      </c>
      <c r="BQ267" s="48">
        <f>$G267/5280*VLOOKUP($AC267,'Cost and Score'!$B$27:$O$40,12,0)</f>
        <v>52.272727272727273</v>
      </c>
      <c r="BR267" s="48">
        <f>$G267/5280*VLOOKUP($AC267,'Cost and Score'!$B$27:$O$40,13,0)</f>
        <v>47.045454545454547</v>
      </c>
      <c r="BS267" s="48">
        <f>$G267/5280*VLOOKUP($AC267,'Cost and Score'!$B$27:$O$40,14,0)</f>
        <v>62.727272727272727</v>
      </c>
      <c r="BT267" s="220">
        <f t="shared" si="153"/>
        <v>0.26136363636363635</v>
      </c>
    </row>
    <row r="268" spans="1:103" s="2" customFormat="1" ht="14.45" hidden="1" customHeight="1" x14ac:dyDescent="0.25">
      <c r="A268" s="15" t="s">
        <v>629</v>
      </c>
      <c r="B268" s="34" t="s">
        <v>627</v>
      </c>
      <c r="C268" s="26" t="s">
        <v>627</v>
      </c>
      <c r="D268" s="82"/>
      <c r="E268" s="82" t="s">
        <v>119</v>
      </c>
      <c r="F268" s="82" t="s">
        <v>628</v>
      </c>
      <c r="G268" s="29">
        <v>7010</v>
      </c>
      <c r="H268" s="29">
        <f t="shared" si="135"/>
        <v>20</v>
      </c>
      <c r="I268" s="26" t="s">
        <v>8</v>
      </c>
      <c r="J268" s="26" t="s">
        <v>125</v>
      </c>
      <c r="K268" s="26">
        <f t="shared" si="134"/>
        <v>0</v>
      </c>
      <c r="L268" s="42">
        <v>7</v>
      </c>
      <c r="M268" s="42">
        <v>7</v>
      </c>
      <c r="N268" s="42">
        <v>7</v>
      </c>
      <c r="O268" s="83">
        <v>5</v>
      </c>
      <c r="P268" s="83">
        <v>4</v>
      </c>
      <c r="Q268" s="83">
        <v>9</v>
      </c>
      <c r="R268" s="83">
        <v>8</v>
      </c>
      <c r="S268" s="83">
        <v>8</v>
      </c>
      <c r="T268" s="83">
        <v>8</v>
      </c>
      <c r="U268" s="83">
        <v>8</v>
      </c>
      <c r="V268" s="42"/>
      <c r="W268" s="42"/>
      <c r="X268" s="42"/>
      <c r="Y268" s="26">
        <v>559</v>
      </c>
      <c r="Z268" s="26">
        <f t="shared" si="136"/>
        <v>0.5</v>
      </c>
      <c r="AA268" s="82" t="s">
        <v>127</v>
      </c>
      <c r="AB268" s="111">
        <f t="shared" si="144"/>
        <v>6.5</v>
      </c>
      <c r="AC268" s="82" t="s">
        <v>13</v>
      </c>
      <c r="AD268" s="84">
        <f t="shared" si="140"/>
        <v>27880.68181818182</v>
      </c>
      <c r="AE268" s="140"/>
      <c r="AF268" s="113">
        <f t="shared" si="137"/>
        <v>0</v>
      </c>
      <c r="AG268" s="82">
        <v>2024</v>
      </c>
      <c r="AH268" s="26" t="str">
        <f t="shared" si="133"/>
        <v/>
      </c>
      <c r="AI268" s="26" t="str">
        <f t="shared" si="139"/>
        <v/>
      </c>
      <c r="AJ268" s="26" t="str">
        <f t="shared" si="139"/>
        <v>Chip Seal and Fog</v>
      </c>
      <c r="AK268" s="26" t="str">
        <f t="shared" si="138"/>
        <v/>
      </c>
      <c r="AL268" s="26" t="str">
        <f t="shared" si="155"/>
        <v/>
      </c>
      <c r="AM268" s="26" t="str">
        <f t="shared" si="154"/>
        <v/>
      </c>
      <c r="AN268" s="26" t="str">
        <f t="shared" si="145"/>
        <v>Chip Seal and Fog</v>
      </c>
      <c r="AO268" s="26" t="str">
        <f t="shared" si="156"/>
        <v/>
      </c>
      <c r="AP268" s="26" t="str">
        <f t="shared" si="146"/>
        <v/>
      </c>
      <c r="AQ268" s="68">
        <f t="shared" si="141"/>
        <v>6</v>
      </c>
      <c r="AR268" s="68">
        <f t="shared" si="142"/>
        <v>6</v>
      </c>
      <c r="AS268" s="68">
        <f t="shared" si="147"/>
        <v>1.05</v>
      </c>
      <c r="AT268" s="68">
        <f t="shared" si="148"/>
        <v>1.05</v>
      </c>
      <c r="AU268" s="68">
        <f t="shared" si="149"/>
        <v>1.05</v>
      </c>
      <c r="AV268" s="68">
        <f t="shared" si="150"/>
        <v>1.25</v>
      </c>
      <c r="AW268" s="68">
        <f t="shared" si="151"/>
        <v>1.5</v>
      </c>
      <c r="AX268" s="68">
        <f t="shared" ca="1" si="143"/>
        <v>0</v>
      </c>
      <c r="AY268" s="106">
        <v>2018</v>
      </c>
      <c r="AZ268" s="106" t="s">
        <v>13</v>
      </c>
      <c r="BA268" s="106" t="str">
        <f t="shared" si="152"/>
        <v>CS</v>
      </c>
      <c r="BB268" s="177"/>
      <c r="BC268" s="177">
        <v>6</v>
      </c>
      <c r="BD268" s="177"/>
      <c r="BE268" s="177"/>
      <c r="BF268" s="177"/>
      <c r="BG268" s="177"/>
      <c r="BH268" s="177"/>
      <c r="BI268" s="33"/>
      <c r="BK268" s="48">
        <f>$G268/5280*VLOOKUP($AC268,'Cost and Score'!$B$27:$O$40,6,0)</f>
        <v>0.26553030303030306</v>
      </c>
      <c r="BL268" s="48">
        <f>$G268/5280*VLOOKUP($AC268,'Cost and Score'!$B$27:$O$40,7,0)</f>
        <v>29.208333333333332</v>
      </c>
      <c r="BM268" s="48">
        <f>$G268/5280*VLOOKUP($AC268,'Cost and Score'!$B$27:$O$40,8,0)</f>
        <v>0</v>
      </c>
      <c r="BN268" s="48">
        <f>$G268/5280*VLOOKUP($AC268,'Cost and Score'!$B$27:$O$40,9,0)</f>
        <v>5974.431818181818</v>
      </c>
      <c r="BO268" s="48">
        <f>$G268/5280*VLOOKUP($AC268,'Cost and Score'!$B$27:$O$40,10,0)</f>
        <v>1327.6515151515152</v>
      </c>
      <c r="BP268" s="48">
        <f>$G268/5280*VLOOKUP($AC268,'Cost and Score'!$B$27:$O$40,11,0)</f>
        <v>0</v>
      </c>
      <c r="BQ268" s="48">
        <f>$G268/5280*VLOOKUP($AC268,'Cost and Score'!$B$27:$O$40,12,0)</f>
        <v>132.7651515151515</v>
      </c>
      <c r="BR268" s="48">
        <f>$G268/5280*VLOOKUP($AC268,'Cost and Score'!$B$27:$O$40,13,0)</f>
        <v>159.31818181818181</v>
      </c>
      <c r="BS268" s="48">
        <f>$G268/5280*VLOOKUP($AC268,'Cost and Score'!$B$27:$O$40,14,0)</f>
        <v>0</v>
      </c>
      <c r="BT268" s="220">
        <f t="shared" si="153"/>
        <v>1.3276515151515151</v>
      </c>
    </row>
    <row r="269" spans="1:103" s="2" customFormat="1" ht="14.45" customHeight="1" x14ac:dyDescent="0.25">
      <c r="A269" s="15" t="s">
        <v>593</v>
      </c>
      <c r="B269" s="34" t="s">
        <v>592</v>
      </c>
      <c r="C269" s="26" t="s">
        <v>592</v>
      </c>
      <c r="D269" s="82"/>
      <c r="E269" s="82" t="s">
        <v>9</v>
      </c>
      <c r="F269" s="82" t="s">
        <v>28</v>
      </c>
      <c r="G269" s="29">
        <v>5070</v>
      </c>
      <c r="H269" s="29">
        <f t="shared" si="135"/>
        <v>20</v>
      </c>
      <c r="I269" s="26" t="s">
        <v>8</v>
      </c>
      <c r="J269" s="26" t="s">
        <v>125</v>
      </c>
      <c r="K269" s="26">
        <f t="shared" si="134"/>
        <v>0</v>
      </c>
      <c r="L269" s="42">
        <v>6</v>
      </c>
      <c r="M269" s="42">
        <v>6</v>
      </c>
      <c r="N269" s="42">
        <v>6</v>
      </c>
      <c r="O269" s="83">
        <v>6</v>
      </c>
      <c r="P269" s="83">
        <v>5</v>
      </c>
      <c r="Q269" s="83">
        <v>5</v>
      </c>
      <c r="R269" s="83">
        <v>8</v>
      </c>
      <c r="S269" s="83">
        <v>7</v>
      </c>
      <c r="T269" s="83">
        <v>7</v>
      </c>
      <c r="U269" s="83">
        <v>8</v>
      </c>
      <c r="V269" s="42"/>
      <c r="W269" s="42"/>
      <c r="X269" s="42"/>
      <c r="Y269" s="26">
        <v>289</v>
      </c>
      <c r="Z269" s="26">
        <f t="shared" si="136"/>
        <v>0</v>
      </c>
      <c r="AA269" s="82" t="s">
        <v>124</v>
      </c>
      <c r="AB269" s="111">
        <f t="shared" si="144"/>
        <v>5</v>
      </c>
      <c r="AC269" s="82" t="s">
        <v>13</v>
      </c>
      <c r="AD269" s="84">
        <f t="shared" si="140"/>
        <v>20164.772727272728</v>
      </c>
      <c r="AE269" s="140"/>
      <c r="AF269" s="113">
        <f t="shared" si="137"/>
        <v>0</v>
      </c>
      <c r="AG269" s="106">
        <v>2025</v>
      </c>
      <c r="AH269" s="26" t="str">
        <f t="shared" si="133"/>
        <v/>
      </c>
      <c r="AI269" s="26" t="str">
        <f t="shared" si="139"/>
        <v/>
      </c>
      <c r="AJ269" s="26" t="str">
        <f t="shared" si="139"/>
        <v/>
      </c>
      <c r="AK269" s="26" t="str">
        <f t="shared" si="138"/>
        <v>Chip Seal and Fog</v>
      </c>
      <c r="AL269" s="26" t="str">
        <f t="shared" si="155"/>
        <v/>
      </c>
      <c r="AM269" s="26" t="str">
        <f t="shared" si="154"/>
        <v/>
      </c>
      <c r="AN269" s="26" t="str">
        <f t="shared" si="145"/>
        <v>Chip Seal and Fog</v>
      </c>
      <c r="AO269" s="26" t="str">
        <f t="shared" si="156"/>
        <v/>
      </c>
      <c r="AP269" s="26" t="str">
        <f t="shared" si="146"/>
        <v/>
      </c>
      <c r="AQ269" s="68">
        <f t="shared" si="141"/>
        <v>8</v>
      </c>
      <c r="AR269" s="68">
        <f t="shared" si="142"/>
        <v>6</v>
      </c>
      <c r="AS269" s="68">
        <f t="shared" si="147"/>
        <v>1.1000000000000001</v>
      </c>
      <c r="AT269" s="68">
        <f t="shared" si="148"/>
        <v>1.1000000000000001</v>
      </c>
      <c r="AU269" s="68">
        <f t="shared" si="149"/>
        <v>1.1000000000000001</v>
      </c>
      <c r="AV269" s="68">
        <f t="shared" si="150"/>
        <v>1.1000000000000001</v>
      </c>
      <c r="AW269" s="68">
        <f t="shared" si="151"/>
        <v>1.25</v>
      </c>
      <c r="AX269" s="68">
        <f t="shared" ca="1" si="143"/>
        <v>1.1000000000000001</v>
      </c>
      <c r="AY269" s="106">
        <v>2019</v>
      </c>
      <c r="AZ269" s="106" t="s">
        <v>2073</v>
      </c>
      <c r="BA269" s="106" t="str">
        <f t="shared" si="152"/>
        <v/>
      </c>
      <c r="BB269" s="177"/>
      <c r="BC269" s="177">
        <v>2</v>
      </c>
      <c r="BD269" s="177"/>
      <c r="BE269" s="177"/>
      <c r="BF269" s="177"/>
      <c r="BG269" s="177"/>
      <c r="BH269" s="177"/>
      <c r="BI269" s="33"/>
      <c r="BK269" s="48">
        <f>$G269/5280*VLOOKUP($AC269,'Cost and Score'!$B$27:$O$40,6,0)</f>
        <v>0.19204545454545455</v>
      </c>
      <c r="BL269" s="48">
        <f>$G269/5280*VLOOKUP($AC269,'Cost and Score'!$B$27:$O$40,7,0)</f>
        <v>21.125</v>
      </c>
      <c r="BM269" s="48">
        <f>$G269/5280*VLOOKUP($AC269,'Cost and Score'!$B$27:$O$40,8,0)</f>
        <v>0</v>
      </c>
      <c r="BN269" s="48">
        <f>$G269/5280*VLOOKUP($AC269,'Cost and Score'!$B$27:$O$40,9,0)</f>
        <v>4321.022727272727</v>
      </c>
      <c r="BO269" s="48">
        <f>$G269/5280*VLOOKUP($AC269,'Cost and Score'!$B$27:$O$40,10,0)</f>
        <v>960.22727272727275</v>
      </c>
      <c r="BP269" s="48">
        <f>$G269/5280*VLOOKUP($AC269,'Cost and Score'!$B$27:$O$40,11,0)</f>
        <v>0</v>
      </c>
      <c r="BQ269" s="48">
        <f>$G269/5280*VLOOKUP($AC269,'Cost and Score'!$B$27:$O$40,12,0)</f>
        <v>96.022727272727266</v>
      </c>
      <c r="BR269" s="48">
        <f>$G269/5280*VLOOKUP($AC269,'Cost and Score'!$B$27:$O$40,13,0)</f>
        <v>115.22727272727272</v>
      </c>
      <c r="BS269" s="48">
        <f>$G269/5280*VLOOKUP($AC269,'Cost and Score'!$B$27:$O$40,14,0)</f>
        <v>0</v>
      </c>
      <c r="BT269" s="220">
        <f t="shared" si="153"/>
        <v>0.96022727272727271</v>
      </c>
    </row>
    <row r="270" spans="1:103" s="2" customFormat="1" ht="14.45" hidden="1" customHeight="1" x14ac:dyDescent="0.25">
      <c r="A270" s="15" t="s">
        <v>633</v>
      </c>
      <c r="B270" s="34" t="s">
        <v>632</v>
      </c>
      <c r="C270" s="26" t="s">
        <v>632</v>
      </c>
      <c r="D270" s="82"/>
      <c r="E270" s="82" t="s">
        <v>9</v>
      </c>
      <c r="F270" s="82" t="s">
        <v>213</v>
      </c>
      <c r="G270" s="29">
        <v>5315</v>
      </c>
      <c r="H270" s="29">
        <f t="shared" si="135"/>
        <v>20</v>
      </c>
      <c r="I270" s="26" t="s">
        <v>2073</v>
      </c>
      <c r="J270" s="26" t="s">
        <v>11</v>
      </c>
      <c r="K270" s="26">
        <f t="shared" si="134"/>
        <v>0</v>
      </c>
      <c r="L270" s="42">
        <v>8</v>
      </c>
      <c r="M270" s="42">
        <v>7</v>
      </c>
      <c r="N270" s="42">
        <v>7</v>
      </c>
      <c r="O270" s="83">
        <v>6</v>
      </c>
      <c r="P270" s="83">
        <v>6</v>
      </c>
      <c r="Q270" s="83">
        <v>5</v>
      </c>
      <c r="R270" s="83">
        <v>5</v>
      </c>
      <c r="S270" s="83">
        <v>5</v>
      </c>
      <c r="T270" s="83">
        <v>5</v>
      </c>
      <c r="U270" s="83">
        <v>8</v>
      </c>
      <c r="V270" s="42"/>
      <c r="W270" s="42"/>
      <c r="X270" s="42"/>
      <c r="Y270" s="26">
        <v>17</v>
      </c>
      <c r="Z270" s="26">
        <f t="shared" si="136"/>
        <v>0</v>
      </c>
      <c r="AA270" s="82" t="s">
        <v>127</v>
      </c>
      <c r="AB270" s="111">
        <f t="shared" si="144"/>
        <v>4</v>
      </c>
      <c r="AC270" s="85" t="s">
        <v>2073</v>
      </c>
      <c r="AD270" s="84">
        <f t="shared" si="140"/>
        <v>32212.121212121212</v>
      </c>
      <c r="AE270" s="140"/>
      <c r="AF270" s="113">
        <f t="shared" si="137"/>
        <v>0</v>
      </c>
      <c r="AG270" s="26">
        <v>2022</v>
      </c>
      <c r="AH270" s="26" t="str">
        <f t="shared" si="133"/>
        <v>Chip Seal - Double and Fog</v>
      </c>
      <c r="AI270" s="26" t="str">
        <f t="shared" si="139"/>
        <v/>
      </c>
      <c r="AJ270" s="26" t="str">
        <f t="shared" si="139"/>
        <v/>
      </c>
      <c r="AK270" s="26" t="str">
        <f t="shared" si="138"/>
        <v/>
      </c>
      <c r="AL270" s="26" t="str">
        <f t="shared" si="155"/>
        <v/>
      </c>
      <c r="AM270" s="26" t="str">
        <f t="shared" si="154"/>
        <v/>
      </c>
      <c r="AN270" s="26" t="str">
        <f t="shared" si="145"/>
        <v>Chip Seal - Double and Fog</v>
      </c>
      <c r="AO270" s="26" t="str">
        <f t="shared" si="156"/>
        <v/>
      </c>
      <c r="AP270" s="26" t="str">
        <f t="shared" si="146"/>
        <v>Chip Seal - Double and Fog</v>
      </c>
      <c r="AQ270" s="68">
        <f t="shared" si="141"/>
        <v>8</v>
      </c>
      <c r="AR270" s="68">
        <f t="shared" si="142"/>
        <v>6</v>
      </c>
      <c r="AS270" s="68">
        <f t="shared" si="147"/>
        <v>1</v>
      </c>
      <c r="AT270" s="68">
        <f t="shared" si="148"/>
        <v>1.05</v>
      </c>
      <c r="AU270" s="68">
        <f t="shared" si="149"/>
        <v>1.05</v>
      </c>
      <c r="AV270" s="68">
        <f t="shared" si="150"/>
        <v>1.1000000000000001</v>
      </c>
      <c r="AW270" s="68">
        <f t="shared" si="151"/>
        <v>1.1000000000000001</v>
      </c>
      <c r="AX270" s="68">
        <f t="shared" ca="1" si="143"/>
        <v>-2.1</v>
      </c>
      <c r="AY270" s="106">
        <v>2022</v>
      </c>
      <c r="AZ270" s="106" t="s">
        <v>2073</v>
      </c>
      <c r="BA270" s="106" t="str">
        <f t="shared" si="152"/>
        <v/>
      </c>
      <c r="BB270" s="177">
        <v>22</v>
      </c>
      <c r="BC270" s="177">
        <v>2</v>
      </c>
      <c r="BD270" s="177"/>
      <c r="BE270" s="177"/>
      <c r="BF270" s="177"/>
      <c r="BG270" s="177"/>
      <c r="BH270" s="177"/>
      <c r="BI270" s="33"/>
      <c r="BK270" s="48">
        <f>$G270/5280*VLOOKUP($AC270,'Cost and Score'!$B$27:$O$40,6,0)</f>
        <v>0.50331439393939392</v>
      </c>
      <c r="BL270" s="48">
        <f>$G270/5280*VLOOKUP($AC270,'Cost and Score'!$B$27:$O$40,7,0)</f>
        <v>50.331439393939391</v>
      </c>
      <c r="BM270" s="48">
        <f>$G270/5280*VLOOKUP($AC270,'Cost and Score'!$B$27:$O$40,8,0)</f>
        <v>0</v>
      </c>
      <c r="BN270" s="48">
        <f>$G270/5280*VLOOKUP($AC270,'Cost and Score'!$B$27:$O$40,9,0)</f>
        <v>9562.9734848484841</v>
      </c>
      <c r="BO270" s="48">
        <f>$G270/5280*VLOOKUP($AC270,'Cost and Score'!$B$27:$O$40,10,0)</f>
        <v>1006.6287878787879</v>
      </c>
      <c r="BP270" s="48">
        <f>$G270/5280*VLOOKUP($AC270,'Cost and Score'!$B$27:$O$40,11,0)</f>
        <v>0</v>
      </c>
      <c r="BQ270" s="48">
        <f>$G270/5280*VLOOKUP($AC270,'Cost and Score'!$B$27:$O$40,12,0)</f>
        <v>201.32575757575756</v>
      </c>
      <c r="BR270" s="48">
        <f>$G270/5280*VLOOKUP($AC270,'Cost and Score'!$B$27:$O$40,13,0)</f>
        <v>181.19318181818181</v>
      </c>
      <c r="BS270" s="48">
        <f>$G270/5280*VLOOKUP($AC270,'Cost and Score'!$B$27:$O$40,14,0)</f>
        <v>241.59090909090909</v>
      </c>
      <c r="BT270" s="220">
        <f t="shared" si="153"/>
        <v>1.0066287878787878</v>
      </c>
      <c r="CR270" s="112"/>
    </row>
    <row r="271" spans="1:103" s="112" customFormat="1" ht="14.45" customHeight="1" x14ac:dyDescent="0.25">
      <c r="A271" s="15" t="s">
        <v>799</v>
      </c>
      <c r="B271" s="34" t="s">
        <v>798</v>
      </c>
      <c r="C271" s="26" t="s">
        <v>798</v>
      </c>
      <c r="D271" s="82"/>
      <c r="E271" s="82" t="s">
        <v>307</v>
      </c>
      <c r="F271" s="82" t="s">
        <v>119</v>
      </c>
      <c r="G271" s="29">
        <v>4400</v>
      </c>
      <c r="H271" s="29">
        <f t="shared" si="135"/>
        <v>20</v>
      </c>
      <c r="I271" s="26" t="s">
        <v>8</v>
      </c>
      <c r="J271" s="26" t="s">
        <v>101</v>
      </c>
      <c r="K271" s="26">
        <v>0</v>
      </c>
      <c r="L271" s="42">
        <v>7</v>
      </c>
      <c r="M271" s="42">
        <v>6</v>
      </c>
      <c r="N271" s="42">
        <v>6</v>
      </c>
      <c r="O271" s="83">
        <v>5</v>
      </c>
      <c r="P271" s="83">
        <v>7</v>
      </c>
      <c r="Q271" s="83">
        <v>6</v>
      </c>
      <c r="R271" s="83">
        <v>8</v>
      </c>
      <c r="S271" s="83">
        <v>7</v>
      </c>
      <c r="T271" s="83">
        <v>7</v>
      </c>
      <c r="U271" s="83">
        <v>7</v>
      </c>
      <c r="V271" s="42"/>
      <c r="W271" s="42"/>
      <c r="X271" s="42"/>
      <c r="Y271" s="26">
        <v>275</v>
      </c>
      <c r="Z271" s="26">
        <f t="shared" si="136"/>
        <v>0</v>
      </c>
      <c r="AA271" s="82" t="s">
        <v>64</v>
      </c>
      <c r="AB271" s="111">
        <f t="shared" si="144"/>
        <v>3</v>
      </c>
      <c r="AC271" s="82" t="s">
        <v>13</v>
      </c>
      <c r="AD271" s="84">
        <f t="shared" si="140"/>
        <v>17500</v>
      </c>
      <c r="AE271" s="140"/>
      <c r="AF271" s="113">
        <f t="shared" si="137"/>
        <v>0</v>
      </c>
      <c r="AG271" s="106">
        <v>2025</v>
      </c>
      <c r="AH271" s="26" t="str">
        <f t="shared" si="133"/>
        <v/>
      </c>
      <c r="AI271" s="26" t="str">
        <f t="shared" si="139"/>
        <v/>
      </c>
      <c r="AJ271" s="26" t="str">
        <f t="shared" si="139"/>
        <v/>
      </c>
      <c r="AK271" s="26" t="str">
        <f t="shared" si="138"/>
        <v>Chip Seal and Fog</v>
      </c>
      <c r="AL271" s="26" t="str">
        <f t="shared" si="155"/>
        <v/>
      </c>
      <c r="AM271" s="26" t="str">
        <f t="shared" si="154"/>
        <v/>
      </c>
      <c r="AN271" s="26" t="str">
        <f t="shared" si="145"/>
        <v>Chip Seal and Fog</v>
      </c>
      <c r="AO271" s="26" t="str">
        <f t="shared" si="156"/>
        <v/>
      </c>
      <c r="AP271" s="26" t="str">
        <f t="shared" si="146"/>
        <v/>
      </c>
      <c r="AQ271" s="68">
        <f t="shared" si="141"/>
        <v>6</v>
      </c>
      <c r="AR271" s="68">
        <f t="shared" si="142"/>
        <v>6</v>
      </c>
      <c r="AS271" s="68">
        <f t="shared" si="147"/>
        <v>1.05</v>
      </c>
      <c r="AT271" s="68">
        <f t="shared" si="148"/>
        <v>1.1000000000000001</v>
      </c>
      <c r="AU271" s="68">
        <f t="shared" si="149"/>
        <v>1.1000000000000001</v>
      </c>
      <c r="AV271" s="68">
        <f t="shared" si="150"/>
        <v>1.25</v>
      </c>
      <c r="AW271" s="68">
        <f t="shared" si="151"/>
        <v>1.05</v>
      </c>
      <c r="AX271" s="68">
        <f t="shared" ca="1" si="143"/>
        <v>1.1000000000000001</v>
      </c>
      <c r="AY271" s="68">
        <v>2019</v>
      </c>
      <c r="AZ271" s="68" t="s">
        <v>13</v>
      </c>
      <c r="BA271" s="106" t="str">
        <f t="shared" si="152"/>
        <v/>
      </c>
      <c r="BB271" s="178"/>
      <c r="BC271" s="178">
        <v>3</v>
      </c>
      <c r="BD271" s="178"/>
      <c r="BE271" s="178"/>
      <c r="BF271" s="178"/>
      <c r="BG271" s="178"/>
      <c r="BH271" s="178"/>
      <c r="BI271" s="33"/>
      <c r="BJ271" s="2"/>
      <c r="BK271" s="48">
        <f>$G271/5280*VLOOKUP($AC271,'Cost and Score'!$B$27:$O$40,6,0)</f>
        <v>0.16666666666666669</v>
      </c>
      <c r="BL271" s="48">
        <f>$G271/5280*VLOOKUP($AC271,'Cost and Score'!$B$27:$O$40,7,0)</f>
        <v>18.333333333333336</v>
      </c>
      <c r="BM271" s="48">
        <f>$G271/5280*VLOOKUP($AC271,'Cost and Score'!$B$27:$O$40,8,0)</f>
        <v>0</v>
      </c>
      <c r="BN271" s="48">
        <f>$G271/5280*VLOOKUP($AC271,'Cost and Score'!$B$27:$O$40,9,0)</f>
        <v>3750</v>
      </c>
      <c r="BO271" s="48">
        <f>$G271/5280*VLOOKUP($AC271,'Cost and Score'!$B$27:$O$40,10,0)</f>
        <v>833.33333333333337</v>
      </c>
      <c r="BP271" s="48">
        <f>$G271/5280*VLOOKUP($AC271,'Cost and Score'!$B$27:$O$40,11,0)</f>
        <v>0</v>
      </c>
      <c r="BQ271" s="48">
        <f>$G271/5280*VLOOKUP($AC271,'Cost and Score'!$B$27:$O$40,12,0)</f>
        <v>83.333333333333343</v>
      </c>
      <c r="BR271" s="48">
        <f>$G271/5280*VLOOKUP($AC271,'Cost and Score'!$B$27:$O$40,13,0)</f>
        <v>100</v>
      </c>
      <c r="BS271" s="48">
        <f>$G271/5280*VLOOKUP($AC271,'Cost and Score'!$B$27:$O$40,14,0)</f>
        <v>0</v>
      </c>
      <c r="BT271" s="220">
        <f t="shared" si="153"/>
        <v>0.83333333333333337</v>
      </c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</row>
    <row r="272" spans="1:103" s="2" customFormat="1" ht="14.45" hidden="1" customHeight="1" x14ac:dyDescent="0.25">
      <c r="A272" s="15" t="s">
        <v>636</v>
      </c>
      <c r="B272" s="34" t="s">
        <v>635</v>
      </c>
      <c r="C272" s="26" t="s">
        <v>635</v>
      </c>
      <c r="D272" s="82"/>
      <c r="E272" s="82" t="s">
        <v>197</v>
      </c>
      <c r="F272" s="82" t="s">
        <v>25</v>
      </c>
      <c r="G272" s="29">
        <v>5300</v>
      </c>
      <c r="H272" s="29">
        <f t="shared" si="135"/>
        <v>20</v>
      </c>
      <c r="I272" s="26" t="s">
        <v>13</v>
      </c>
      <c r="J272" s="26" t="s">
        <v>101</v>
      </c>
      <c r="K272" s="26">
        <v>0</v>
      </c>
      <c r="L272" s="42">
        <v>6</v>
      </c>
      <c r="M272" s="42">
        <v>6</v>
      </c>
      <c r="N272" s="42">
        <v>6</v>
      </c>
      <c r="O272" s="83">
        <v>6</v>
      </c>
      <c r="P272" s="83">
        <v>6</v>
      </c>
      <c r="Q272" s="83">
        <v>5</v>
      </c>
      <c r="R272" s="83">
        <v>5</v>
      </c>
      <c r="S272" s="83">
        <v>7</v>
      </c>
      <c r="T272" s="83">
        <v>7</v>
      </c>
      <c r="U272" s="83">
        <v>7</v>
      </c>
      <c r="V272" s="42"/>
      <c r="W272" s="42"/>
      <c r="X272" s="42"/>
      <c r="Y272" s="26">
        <v>50</v>
      </c>
      <c r="Z272" s="26">
        <f t="shared" si="136"/>
        <v>0</v>
      </c>
      <c r="AA272" s="82" t="s">
        <v>492</v>
      </c>
      <c r="AB272" s="111">
        <f t="shared" si="144"/>
        <v>4</v>
      </c>
      <c r="AC272" s="82" t="s">
        <v>2073</v>
      </c>
      <c r="AD272" s="84">
        <f t="shared" si="140"/>
        <v>32121.21212121212</v>
      </c>
      <c r="AE272" s="140"/>
      <c r="AF272" s="113">
        <f t="shared" si="137"/>
        <v>0</v>
      </c>
      <c r="AG272" s="85">
        <v>2026</v>
      </c>
      <c r="AH272" s="26" t="str">
        <f t="shared" si="133"/>
        <v/>
      </c>
      <c r="AI272" s="26" t="str">
        <f t="shared" ref="AI272:AJ291" si="157">IF($AG272=AI$1,VLOOKUP($AC272,RSL,3,FALSE),"")</f>
        <v/>
      </c>
      <c r="AJ272" s="26" t="str">
        <f t="shared" si="157"/>
        <v/>
      </c>
      <c r="AK272" s="26" t="str">
        <f t="shared" si="138"/>
        <v/>
      </c>
      <c r="AL272" s="26" t="str">
        <f t="shared" si="155"/>
        <v>Chip Seal - Double and Fog</v>
      </c>
      <c r="AM272" s="26" t="str">
        <f t="shared" si="154"/>
        <v/>
      </c>
      <c r="AN272" s="26" t="str">
        <f t="shared" si="145"/>
        <v>Chip Seal - Double and Fog</v>
      </c>
      <c r="AO272" s="26" t="str">
        <f t="shared" si="156"/>
        <v/>
      </c>
      <c r="AP272" s="26" t="str">
        <f t="shared" si="146"/>
        <v/>
      </c>
      <c r="AQ272" s="68">
        <f t="shared" si="141"/>
        <v>8</v>
      </c>
      <c r="AR272" s="68">
        <f t="shared" si="142"/>
        <v>6</v>
      </c>
      <c r="AS272" s="68">
        <f t="shared" si="147"/>
        <v>1.1000000000000001</v>
      </c>
      <c r="AT272" s="68">
        <f t="shared" si="148"/>
        <v>1.1000000000000001</v>
      </c>
      <c r="AU272" s="68">
        <f t="shared" si="149"/>
        <v>1.1000000000000001</v>
      </c>
      <c r="AV272" s="68">
        <f t="shared" si="150"/>
        <v>1.1000000000000001</v>
      </c>
      <c r="AW272" s="68">
        <f t="shared" si="151"/>
        <v>1.1000000000000001</v>
      </c>
      <c r="AX272" s="68">
        <f t="shared" ca="1" si="143"/>
        <v>2.2000000000000002</v>
      </c>
      <c r="AY272" s="106">
        <v>2020</v>
      </c>
      <c r="AZ272" s="106" t="s">
        <v>2073</v>
      </c>
      <c r="BA272" s="106" t="str">
        <f t="shared" si="152"/>
        <v/>
      </c>
      <c r="BB272" s="177"/>
      <c r="BC272" s="177">
        <v>3</v>
      </c>
      <c r="BD272" s="177"/>
      <c r="BE272" s="177"/>
      <c r="BF272" s="177"/>
      <c r="BG272" s="177"/>
      <c r="BH272" s="177"/>
      <c r="BI272" s="33" t="s">
        <v>2478</v>
      </c>
      <c r="BK272" s="48">
        <f>$G272/5280*VLOOKUP($AC272,'Cost and Score'!$B$27:$O$40,6,0)</f>
        <v>0.50189393939393945</v>
      </c>
      <c r="BL272" s="48">
        <f>$G272/5280*VLOOKUP($AC272,'Cost and Score'!$B$27:$O$40,7,0)</f>
        <v>50.189393939393945</v>
      </c>
      <c r="BM272" s="48">
        <f>$G272/5280*VLOOKUP($AC272,'Cost and Score'!$B$27:$O$40,8,0)</f>
        <v>0</v>
      </c>
      <c r="BN272" s="48">
        <f>$G272/5280*VLOOKUP($AC272,'Cost and Score'!$B$27:$O$40,9,0)</f>
        <v>9535.9848484848499</v>
      </c>
      <c r="BO272" s="48">
        <f>$G272/5280*VLOOKUP($AC272,'Cost and Score'!$B$27:$O$40,10,0)</f>
        <v>1003.7878787878789</v>
      </c>
      <c r="BP272" s="48">
        <f>$G272/5280*VLOOKUP($AC272,'Cost and Score'!$B$27:$O$40,11,0)</f>
        <v>0</v>
      </c>
      <c r="BQ272" s="48">
        <f>$G272/5280*VLOOKUP($AC272,'Cost and Score'!$B$27:$O$40,12,0)</f>
        <v>200.75757575757578</v>
      </c>
      <c r="BR272" s="48">
        <f>$G272/5280*VLOOKUP($AC272,'Cost and Score'!$B$27:$O$40,13,0)</f>
        <v>180.68181818181819</v>
      </c>
      <c r="BS272" s="48">
        <f>$G272/5280*VLOOKUP($AC272,'Cost and Score'!$B$27:$O$40,14,0)</f>
        <v>240.90909090909093</v>
      </c>
      <c r="BT272" s="220">
        <f t="shared" si="153"/>
        <v>1.0037878787878789</v>
      </c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</row>
    <row r="273" spans="1:103" s="112" customFormat="1" hidden="1" x14ac:dyDescent="0.25">
      <c r="A273" s="15" t="s">
        <v>639</v>
      </c>
      <c r="B273" s="108" t="s">
        <v>637</v>
      </c>
      <c r="C273" s="106" t="s">
        <v>637</v>
      </c>
      <c r="D273" s="106"/>
      <c r="E273" s="106" t="s">
        <v>638</v>
      </c>
      <c r="F273" s="106" t="s">
        <v>116</v>
      </c>
      <c r="G273" s="109">
        <v>5190</v>
      </c>
      <c r="H273" s="109">
        <f t="shared" si="135"/>
        <v>20</v>
      </c>
      <c r="I273" s="106" t="s">
        <v>8</v>
      </c>
      <c r="J273" s="106" t="s">
        <v>101</v>
      </c>
      <c r="K273" s="106">
        <v>0</v>
      </c>
      <c r="L273" s="110">
        <v>7</v>
      </c>
      <c r="M273" s="110">
        <v>8</v>
      </c>
      <c r="N273" s="110">
        <v>7</v>
      </c>
      <c r="O273" s="110">
        <v>7</v>
      </c>
      <c r="P273" s="110">
        <v>7</v>
      </c>
      <c r="Q273" s="110">
        <v>7</v>
      </c>
      <c r="R273" s="110">
        <v>7</v>
      </c>
      <c r="S273" s="110">
        <v>7</v>
      </c>
      <c r="T273" s="110">
        <v>7</v>
      </c>
      <c r="U273" s="110">
        <v>7</v>
      </c>
      <c r="V273" s="110"/>
      <c r="W273" s="110"/>
      <c r="X273" s="110"/>
      <c r="Y273" s="106">
        <v>397</v>
      </c>
      <c r="Z273" s="106">
        <f t="shared" si="136"/>
        <v>0</v>
      </c>
      <c r="AA273" s="106" t="s">
        <v>640</v>
      </c>
      <c r="AB273" s="111">
        <f t="shared" si="144"/>
        <v>3</v>
      </c>
      <c r="AC273" s="106" t="s">
        <v>13</v>
      </c>
      <c r="AD273" s="107">
        <f t="shared" si="140"/>
        <v>20642.045454545456</v>
      </c>
      <c r="AE273" s="198">
        <v>1</v>
      </c>
      <c r="AF273" s="113">
        <f t="shared" si="137"/>
        <v>20642.045454545456</v>
      </c>
      <c r="AG273" s="106">
        <v>2023</v>
      </c>
      <c r="AH273" s="26" t="str">
        <f t="shared" si="133"/>
        <v/>
      </c>
      <c r="AI273" s="26" t="str">
        <f t="shared" si="157"/>
        <v>Chip Seal and Fog</v>
      </c>
      <c r="AJ273" s="26" t="str">
        <f t="shared" si="157"/>
        <v/>
      </c>
      <c r="AK273" s="26" t="str">
        <f t="shared" si="138"/>
        <v/>
      </c>
      <c r="AL273" s="26" t="str">
        <f t="shared" si="155"/>
        <v/>
      </c>
      <c r="AM273" s="26" t="str">
        <f t="shared" si="154"/>
        <v/>
      </c>
      <c r="AN273" s="26" t="str">
        <f t="shared" si="145"/>
        <v>Chip Seal and Fog</v>
      </c>
      <c r="AO273" s="26" t="str">
        <f t="shared" si="156"/>
        <v/>
      </c>
      <c r="AP273" s="26" t="str">
        <f t="shared" si="146"/>
        <v/>
      </c>
      <c r="AQ273" s="68">
        <f t="shared" si="141"/>
        <v>10</v>
      </c>
      <c r="AR273" s="68">
        <f t="shared" si="142"/>
        <v>6</v>
      </c>
      <c r="AS273" s="68">
        <f t="shared" si="147"/>
        <v>1.05</v>
      </c>
      <c r="AT273" s="68">
        <f t="shared" si="148"/>
        <v>1</v>
      </c>
      <c r="AU273" s="68">
        <f t="shared" si="149"/>
        <v>1.05</v>
      </c>
      <c r="AV273" s="68">
        <f t="shared" si="150"/>
        <v>1.05</v>
      </c>
      <c r="AW273" s="68">
        <f t="shared" si="151"/>
        <v>1.05</v>
      </c>
      <c r="AX273" s="68">
        <f t="shared" ca="1" si="143"/>
        <v>-1.05</v>
      </c>
      <c r="AY273" s="106">
        <v>2017</v>
      </c>
      <c r="AZ273" s="106" t="s">
        <v>2075</v>
      </c>
      <c r="BA273" s="106" t="str">
        <f t="shared" si="152"/>
        <v/>
      </c>
      <c r="BB273" s="177"/>
      <c r="BC273" s="177">
        <v>4</v>
      </c>
      <c r="BD273" s="177"/>
      <c r="BE273" s="177"/>
      <c r="BF273" s="177"/>
      <c r="BG273" s="177"/>
      <c r="BH273" s="177"/>
      <c r="BI273" s="33"/>
      <c r="BJ273" s="2"/>
      <c r="BK273" s="48">
        <f>$G273/5280*VLOOKUP($AC273,'Cost and Score'!$B$27:$O$40,6,0)</f>
        <v>0.19659090909090909</v>
      </c>
      <c r="BL273" s="48">
        <f>$G273/5280*VLOOKUP($AC273,'Cost and Score'!$B$27:$O$40,7,0)</f>
        <v>21.625</v>
      </c>
      <c r="BM273" s="48">
        <f>$G273/5280*VLOOKUP($AC273,'Cost and Score'!$B$27:$O$40,8,0)</f>
        <v>0</v>
      </c>
      <c r="BN273" s="48">
        <f>$G273/5280*VLOOKUP($AC273,'Cost and Score'!$B$27:$O$40,9,0)</f>
        <v>4423.295454545454</v>
      </c>
      <c r="BO273" s="48">
        <f>$G273/5280*VLOOKUP($AC273,'Cost and Score'!$B$27:$O$40,10,0)</f>
        <v>982.95454545454538</v>
      </c>
      <c r="BP273" s="48">
        <f>$G273/5280*VLOOKUP($AC273,'Cost and Score'!$B$27:$O$40,11,0)</f>
        <v>0</v>
      </c>
      <c r="BQ273" s="48">
        <f>$G273/5280*VLOOKUP($AC273,'Cost and Score'!$B$27:$O$40,12,0)</f>
        <v>98.295454545454547</v>
      </c>
      <c r="BR273" s="48">
        <f>$G273/5280*VLOOKUP($AC273,'Cost and Score'!$B$27:$O$40,13,0)</f>
        <v>117.95454545454545</v>
      </c>
      <c r="BS273" s="48">
        <f>$G273/5280*VLOOKUP($AC273,'Cost and Score'!$B$27:$O$40,14,0)</f>
        <v>0</v>
      </c>
      <c r="BT273" s="220">
        <f t="shared" si="153"/>
        <v>0.98295454545454541</v>
      </c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</row>
    <row r="274" spans="1:103" s="2" customFormat="1" ht="14.45" hidden="1" customHeight="1" x14ac:dyDescent="0.25">
      <c r="A274" s="15"/>
      <c r="B274" s="34" t="s">
        <v>641</v>
      </c>
      <c r="C274" s="26" t="s">
        <v>641</v>
      </c>
      <c r="D274" s="82"/>
      <c r="E274" s="82" t="s">
        <v>38</v>
      </c>
      <c r="F274" s="82" t="s">
        <v>20</v>
      </c>
      <c r="G274" s="29">
        <v>5340</v>
      </c>
      <c r="H274" s="29">
        <f t="shared" si="135"/>
        <v>20</v>
      </c>
      <c r="I274" s="26" t="s">
        <v>8</v>
      </c>
      <c r="J274" s="26" t="s">
        <v>62</v>
      </c>
      <c r="K274" s="26">
        <f>VLOOKUP(J274,TOWNSHIPS,2,FALSE)</f>
        <v>0</v>
      </c>
      <c r="L274" s="42">
        <v>6</v>
      </c>
      <c r="M274" s="42">
        <v>6</v>
      </c>
      <c r="N274" s="42">
        <v>6</v>
      </c>
      <c r="O274" s="83">
        <v>6</v>
      </c>
      <c r="P274" s="83">
        <v>6</v>
      </c>
      <c r="Q274" s="83">
        <v>9</v>
      </c>
      <c r="R274" s="83">
        <v>8</v>
      </c>
      <c r="S274" s="83">
        <v>7</v>
      </c>
      <c r="T274" s="83">
        <v>7</v>
      </c>
      <c r="U274" s="83">
        <v>7</v>
      </c>
      <c r="V274" s="42"/>
      <c r="W274" s="42"/>
      <c r="X274" s="42"/>
      <c r="Y274" s="26">
        <v>297</v>
      </c>
      <c r="Z274" s="26">
        <f t="shared" si="136"/>
        <v>0</v>
      </c>
      <c r="AA274" s="82" t="s">
        <v>59</v>
      </c>
      <c r="AB274" s="111">
        <f t="shared" si="144"/>
        <v>4</v>
      </c>
      <c r="AC274" s="82" t="s">
        <v>2073</v>
      </c>
      <c r="AD274" s="84">
        <f t="shared" si="140"/>
        <v>32363.636363636364</v>
      </c>
      <c r="AE274" s="140">
        <v>1</v>
      </c>
      <c r="AF274" s="113">
        <f t="shared" si="137"/>
        <v>32363.636363636364</v>
      </c>
      <c r="AG274" s="82">
        <v>2024</v>
      </c>
      <c r="AH274" s="26" t="str">
        <f t="shared" si="133"/>
        <v/>
      </c>
      <c r="AI274" s="26" t="str">
        <f t="shared" si="157"/>
        <v/>
      </c>
      <c r="AJ274" s="26" t="str">
        <f t="shared" si="157"/>
        <v>Chip Seal - Double and Fog</v>
      </c>
      <c r="AK274" s="26" t="str">
        <f t="shared" si="138"/>
        <v/>
      </c>
      <c r="AL274" s="26" t="str">
        <f t="shared" si="155"/>
        <v/>
      </c>
      <c r="AM274" s="26" t="str">
        <f t="shared" si="154"/>
        <v/>
      </c>
      <c r="AN274" s="26" t="str">
        <f t="shared" si="145"/>
        <v>Chip Seal - Double and Fog</v>
      </c>
      <c r="AO274" s="26" t="str">
        <f t="shared" si="156"/>
        <v/>
      </c>
      <c r="AP274" s="26" t="str">
        <f t="shared" si="146"/>
        <v/>
      </c>
      <c r="AQ274" s="68">
        <f t="shared" si="141"/>
        <v>8</v>
      </c>
      <c r="AR274" s="68">
        <f t="shared" si="142"/>
        <v>6</v>
      </c>
      <c r="AS274" s="68">
        <f t="shared" si="147"/>
        <v>1.1000000000000001</v>
      </c>
      <c r="AT274" s="68">
        <f t="shared" si="148"/>
        <v>1.1000000000000001</v>
      </c>
      <c r="AU274" s="68">
        <f t="shared" si="149"/>
        <v>1.1000000000000001</v>
      </c>
      <c r="AV274" s="68">
        <f t="shared" si="150"/>
        <v>1.1000000000000001</v>
      </c>
      <c r="AW274" s="68">
        <f t="shared" si="151"/>
        <v>1.1000000000000001</v>
      </c>
      <c r="AX274" s="68">
        <f t="shared" ca="1" si="143"/>
        <v>0</v>
      </c>
      <c r="AY274" s="106">
        <v>2018</v>
      </c>
      <c r="AZ274" s="106" t="s">
        <v>2073</v>
      </c>
      <c r="BA274" s="106" t="str">
        <f t="shared" si="152"/>
        <v>DS</v>
      </c>
      <c r="BB274" s="177"/>
      <c r="BC274" s="177">
        <v>1</v>
      </c>
      <c r="BD274" s="177"/>
      <c r="BE274" s="177"/>
      <c r="BF274" s="177"/>
      <c r="BG274" s="177"/>
      <c r="BH274" s="177"/>
      <c r="BI274" s="33"/>
      <c r="BK274" s="48">
        <f>$G274/5280*VLOOKUP($AC274,'Cost and Score'!$B$27:$O$40,6,0)</f>
        <v>0.50568181818181823</v>
      </c>
      <c r="BL274" s="48">
        <f>$G274/5280*VLOOKUP($AC274,'Cost and Score'!$B$27:$O$40,7,0)</f>
        <v>50.56818181818182</v>
      </c>
      <c r="BM274" s="48">
        <f>$G274/5280*VLOOKUP($AC274,'Cost and Score'!$B$27:$O$40,8,0)</f>
        <v>0</v>
      </c>
      <c r="BN274" s="48">
        <f>$G274/5280*VLOOKUP($AC274,'Cost and Score'!$B$27:$O$40,9,0)</f>
        <v>9607.954545454546</v>
      </c>
      <c r="BO274" s="48">
        <f>$G274/5280*VLOOKUP($AC274,'Cost and Score'!$B$27:$O$40,10,0)</f>
        <v>1011.3636363636365</v>
      </c>
      <c r="BP274" s="48">
        <f>$G274/5280*VLOOKUP($AC274,'Cost and Score'!$B$27:$O$40,11,0)</f>
        <v>0</v>
      </c>
      <c r="BQ274" s="48">
        <f>$G274/5280*VLOOKUP($AC274,'Cost and Score'!$B$27:$O$40,12,0)</f>
        <v>202.27272727272728</v>
      </c>
      <c r="BR274" s="48">
        <f>$G274/5280*VLOOKUP($AC274,'Cost and Score'!$B$27:$O$40,13,0)</f>
        <v>182.04545454545456</v>
      </c>
      <c r="BS274" s="48">
        <f>$G274/5280*VLOOKUP($AC274,'Cost and Score'!$B$27:$O$40,14,0)</f>
        <v>242.72727272727275</v>
      </c>
      <c r="BT274" s="220">
        <f t="shared" si="153"/>
        <v>1.0113636363636365</v>
      </c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</row>
    <row r="275" spans="1:103" s="2" customFormat="1" ht="14.45" hidden="1" customHeight="1" x14ac:dyDescent="0.25">
      <c r="A275" s="15" t="s">
        <v>643</v>
      </c>
      <c r="B275" s="34" t="s">
        <v>642</v>
      </c>
      <c r="C275" s="26" t="s">
        <v>642</v>
      </c>
      <c r="D275" s="82"/>
      <c r="E275" s="82" t="s">
        <v>100</v>
      </c>
      <c r="F275" s="82" t="s">
        <v>99</v>
      </c>
      <c r="G275" s="29">
        <v>5320</v>
      </c>
      <c r="H275" s="29">
        <f t="shared" si="135"/>
        <v>20</v>
      </c>
      <c r="I275" s="26" t="s">
        <v>13</v>
      </c>
      <c r="J275" s="26" t="s">
        <v>101</v>
      </c>
      <c r="K275" s="26">
        <v>0</v>
      </c>
      <c r="L275" s="42">
        <v>7</v>
      </c>
      <c r="M275" s="42">
        <v>7</v>
      </c>
      <c r="N275" s="42">
        <v>6</v>
      </c>
      <c r="O275" s="83">
        <v>6</v>
      </c>
      <c r="P275" s="83">
        <v>6</v>
      </c>
      <c r="Q275" s="83">
        <v>6</v>
      </c>
      <c r="R275" s="83">
        <v>6</v>
      </c>
      <c r="S275" s="83">
        <v>6</v>
      </c>
      <c r="T275" s="83">
        <v>7</v>
      </c>
      <c r="U275" s="83">
        <v>7</v>
      </c>
      <c r="V275" s="42"/>
      <c r="W275" s="42"/>
      <c r="X275" s="42"/>
      <c r="Y275" s="26">
        <v>116</v>
      </c>
      <c r="Z275" s="26">
        <f t="shared" si="136"/>
        <v>0</v>
      </c>
      <c r="AA275" s="82" t="s">
        <v>59</v>
      </c>
      <c r="AB275" s="111">
        <f t="shared" si="144"/>
        <v>4</v>
      </c>
      <c r="AC275" s="85" t="s">
        <v>13</v>
      </c>
      <c r="AD275" s="84">
        <f t="shared" si="140"/>
        <v>21159.090909090908</v>
      </c>
      <c r="AE275" s="140"/>
      <c r="AF275" s="113">
        <f t="shared" si="137"/>
        <v>0</v>
      </c>
      <c r="AG275" s="85">
        <v>2026</v>
      </c>
      <c r="AH275" s="26" t="str">
        <f t="shared" si="133"/>
        <v/>
      </c>
      <c r="AI275" s="26" t="str">
        <f t="shared" si="157"/>
        <v/>
      </c>
      <c r="AJ275" s="26" t="str">
        <f t="shared" si="157"/>
        <v/>
      </c>
      <c r="AK275" s="26" t="str">
        <f t="shared" si="138"/>
        <v/>
      </c>
      <c r="AL275" s="26" t="str">
        <f t="shared" si="155"/>
        <v>Chip Seal and Fog</v>
      </c>
      <c r="AM275" s="26" t="str">
        <f t="shared" si="154"/>
        <v/>
      </c>
      <c r="AN275" s="26" t="str">
        <f t="shared" si="145"/>
        <v>Chip Seal and Fog</v>
      </c>
      <c r="AO275" s="26" t="str">
        <f t="shared" si="156"/>
        <v/>
      </c>
      <c r="AP275" s="26" t="str">
        <f t="shared" si="146"/>
        <v/>
      </c>
      <c r="AQ275" s="68">
        <f t="shared" si="141"/>
        <v>8</v>
      </c>
      <c r="AR275" s="68">
        <f t="shared" si="142"/>
        <v>6</v>
      </c>
      <c r="AS275" s="68">
        <f t="shared" si="147"/>
        <v>1.05</v>
      </c>
      <c r="AT275" s="68">
        <f t="shared" si="148"/>
        <v>1.05</v>
      </c>
      <c r="AU275" s="68">
        <f t="shared" si="149"/>
        <v>1.1000000000000001</v>
      </c>
      <c r="AV275" s="68">
        <f t="shared" si="150"/>
        <v>1.1000000000000001</v>
      </c>
      <c r="AW275" s="68">
        <f t="shared" si="151"/>
        <v>1.1000000000000001</v>
      </c>
      <c r="AX275" s="68">
        <f t="shared" ca="1" si="143"/>
        <v>2.2000000000000002</v>
      </c>
      <c r="AY275" s="106">
        <v>2020</v>
      </c>
      <c r="AZ275" s="106" t="s">
        <v>13</v>
      </c>
      <c r="BA275" s="106" t="str">
        <f t="shared" si="152"/>
        <v/>
      </c>
      <c r="BB275" s="177"/>
      <c r="BC275" s="177">
        <v>9</v>
      </c>
      <c r="BD275" s="177"/>
      <c r="BE275" s="177"/>
      <c r="BF275" s="177"/>
      <c r="BG275" s="177"/>
      <c r="BH275" s="177"/>
      <c r="BI275" s="33"/>
      <c r="BK275" s="48">
        <f>$G275/5280*VLOOKUP($AC275,'Cost and Score'!$B$27:$O$40,6,0)</f>
        <v>0.20151515151515154</v>
      </c>
      <c r="BL275" s="48">
        <f>$G275/5280*VLOOKUP($AC275,'Cost and Score'!$B$27:$O$40,7,0)</f>
        <v>22.166666666666668</v>
      </c>
      <c r="BM275" s="48">
        <f>$G275/5280*VLOOKUP($AC275,'Cost and Score'!$B$27:$O$40,8,0)</f>
        <v>0</v>
      </c>
      <c r="BN275" s="48">
        <f>$G275/5280*VLOOKUP($AC275,'Cost and Score'!$B$27:$O$40,9,0)</f>
        <v>4534.090909090909</v>
      </c>
      <c r="BO275" s="48">
        <f>$G275/5280*VLOOKUP($AC275,'Cost and Score'!$B$27:$O$40,10,0)</f>
        <v>1007.5757575757576</v>
      </c>
      <c r="BP275" s="48">
        <f>$G275/5280*VLOOKUP($AC275,'Cost and Score'!$B$27:$O$40,11,0)</f>
        <v>0</v>
      </c>
      <c r="BQ275" s="48">
        <f>$G275/5280*VLOOKUP($AC275,'Cost and Score'!$B$27:$O$40,12,0)</f>
        <v>100.75757575757575</v>
      </c>
      <c r="BR275" s="48">
        <f>$G275/5280*VLOOKUP($AC275,'Cost and Score'!$B$27:$O$40,13,0)</f>
        <v>120.90909090909091</v>
      </c>
      <c r="BS275" s="48">
        <f>$G275/5280*VLOOKUP($AC275,'Cost and Score'!$B$27:$O$40,14,0)</f>
        <v>0</v>
      </c>
      <c r="BT275" s="220">
        <f t="shared" si="153"/>
        <v>1.0075757575757576</v>
      </c>
    </row>
    <row r="276" spans="1:103" s="2" customFormat="1" ht="14.45" hidden="1" customHeight="1" x14ac:dyDescent="0.25">
      <c r="A276" s="15" t="s">
        <v>645</v>
      </c>
      <c r="B276" s="34" t="s">
        <v>644</v>
      </c>
      <c r="C276" s="26" t="s">
        <v>644</v>
      </c>
      <c r="D276" s="82"/>
      <c r="E276" s="82" t="s">
        <v>20</v>
      </c>
      <c r="F276" s="82" t="s">
        <v>21</v>
      </c>
      <c r="G276" s="29">
        <v>5333</v>
      </c>
      <c r="H276" s="29">
        <f t="shared" si="135"/>
        <v>20</v>
      </c>
      <c r="I276" s="26" t="s">
        <v>8</v>
      </c>
      <c r="J276" s="26" t="s">
        <v>62</v>
      </c>
      <c r="K276" s="26">
        <f>VLOOKUP(J276,TOWNSHIPS,2,FALSE)</f>
        <v>0</v>
      </c>
      <c r="L276" s="42">
        <v>6</v>
      </c>
      <c r="M276" s="42">
        <v>5</v>
      </c>
      <c r="N276" s="42">
        <v>5</v>
      </c>
      <c r="O276" s="83">
        <v>5</v>
      </c>
      <c r="P276" s="83">
        <v>5</v>
      </c>
      <c r="Q276" s="83">
        <v>9</v>
      </c>
      <c r="R276" s="83">
        <v>8</v>
      </c>
      <c r="S276" s="83">
        <v>7</v>
      </c>
      <c r="T276" s="83">
        <v>7</v>
      </c>
      <c r="U276" s="83">
        <v>7</v>
      </c>
      <c r="V276" s="42"/>
      <c r="W276" s="42"/>
      <c r="X276" s="42"/>
      <c r="Y276" s="26">
        <v>317</v>
      </c>
      <c r="Z276" s="26">
        <f t="shared" si="136"/>
        <v>0</v>
      </c>
      <c r="AA276" s="82" t="s">
        <v>59</v>
      </c>
      <c r="AB276" s="111">
        <f t="shared" si="144"/>
        <v>5</v>
      </c>
      <c r="AC276" s="82" t="s">
        <v>2073</v>
      </c>
      <c r="AD276" s="84">
        <f t="shared" si="140"/>
        <v>32321.21212121212</v>
      </c>
      <c r="AE276" s="140">
        <v>1</v>
      </c>
      <c r="AF276" s="113">
        <f t="shared" si="137"/>
        <v>32321.21212121212</v>
      </c>
      <c r="AG276" s="82">
        <v>2024</v>
      </c>
      <c r="AH276" s="26" t="str">
        <f t="shared" si="133"/>
        <v/>
      </c>
      <c r="AI276" s="26" t="str">
        <f t="shared" si="157"/>
        <v/>
      </c>
      <c r="AJ276" s="26" t="str">
        <f t="shared" si="157"/>
        <v>Chip Seal - Double and Fog</v>
      </c>
      <c r="AK276" s="26" t="str">
        <f t="shared" si="138"/>
        <v/>
      </c>
      <c r="AL276" s="26" t="str">
        <f t="shared" si="155"/>
        <v/>
      </c>
      <c r="AM276" s="26" t="str">
        <f t="shared" si="154"/>
        <v/>
      </c>
      <c r="AN276" s="26" t="str">
        <f t="shared" si="145"/>
        <v>Chip Seal - Double and Fog</v>
      </c>
      <c r="AO276" s="26" t="str">
        <f t="shared" si="156"/>
        <v/>
      </c>
      <c r="AP276" s="26" t="str">
        <f t="shared" si="146"/>
        <v/>
      </c>
      <c r="AQ276" s="68">
        <f t="shared" si="141"/>
        <v>6</v>
      </c>
      <c r="AR276" s="68">
        <f t="shared" si="142"/>
        <v>6</v>
      </c>
      <c r="AS276" s="68">
        <f t="shared" si="147"/>
        <v>1.1000000000000001</v>
      </c>
      <c r="AT276" s="68">
        <f t="shared" si="148"/>
        <v>1.25</v>
      </c>
      <c r="AU276" s="68">
        <f t="shared" si="149"/>
        <v>1.25</v>
      </c>
      <c r="AV276" s="68">
        <f t="shared" si="150"/>
        <v>1.25</v>
      </c>
      <c r="AW276" s="68">
        <f t="shared" si="151"/>
        <v>1.25</v>
      </c>
      <c r="AX276" s="68">
        <f t="shared" ca="1" si="143"/>
        <v>0</v>
      </c>
      <c r="AY276" s="106">
        <v>2018</v>
      </c>
      <c r="AZ276" s="106" t="s">
        <v>2073</v>
      </c>
      <c r="BA276" s="106" t="str">
        <f t="shared" si="152"/>
        <v>DS</v>
      </c>
      <c r="BB276" s="177"/>
      <c r="BC276" s="177">
        <v>1</v>
      </c>
      <c r="BD276" s="177"/>
      <c r="BE276" s="177"/>
      <c r="BF276" s="177"/>
      <c r="BG276" s="177"/>
      <c r="BH276" s="177"/>
      <c r="BI276" s="33"/>
      <c r="BK276" s="48">
        <f>$G276/5280*VLOOKUP($AC276,'Cost and Score'!$B$27:$O$40,6,0)</f>
        <v>0.50501893939393938</v>
      </c>
      <c r="BL276" s="48">
        <f>$G276/5280*VLOOKUP($AC276,'Cost and Score'!$B$27:$O$40,7,0)</f>
        <v>50.501893939393938</v>
      </c>
      <c r="BM276" s="48">
        <f>$G276/5280*VLOOKUP($AC276,'Cost and Score'!$B$27:$O$40,8,0)</f>
        <v>0</v>
      </c>
      <c r="BN276" s="48">
        <f>$G276/5280*VLOOKUP($AC276,'Cost and Score'!$B$27:$O$40,9,0)</f>
        <v>9595.359848484848</v>
      </c>
      <c r="BO276" s="48">
        <f>$G276/5280*VLOOKUP($AC276,'Cost and Score'!$B$27:$O$40,10,0)</f>
        <v>1010.0378787878788</v>
      </c>
      <c r="BP276" s="48">
        <f>$G276/5280*VLOOKUP($AC276,'Cost and Score'!$B$27:$O$40,11,0)</f>
        <v>0</v>
      </c>
      <c r="BQ276" s="48">
        <f>$G276/5280*VLOOKUP($AC276,'Cost and Score'!$B$27:$O$40,12,0)</f>
        <v>202.00757575757575</v>
      </c>
      <c r="BR276" s="48">
        <f>$G276/5280*VLOOKUP($AC276,'Cost and Score'!$B$27:$O$40,13,0)</f>
        <v>181.80681818181819</v>
      </c>
      <c r="BS276" s="48">
        <f>$G276/5280*VLOOKUP($AC276,'Cost and Score'!$B$27:$O$40,14,0)</f>
        <v>242.40909090909091</v>
      </c>
      <c r="BT276" s="220">
        <f t="shared" si="153"/>
        <v>1.0100378787878788</v>
      </c>
    </row>
    <row r="277" spans="1:103" s="2" customFormat="1" ht="14.45" customHeight="1" x14ac:dyDescent="0.25">
      <c r="A277" s="15" t="s">
        <v>805</v>
      </c>
      <c r="B277" s="108" t="s">
        <v>804</v>
      </c>
      <c r="C277" s="106" t="s">
        <v>804</v>
      </c>
      <c r="D277" s="106"/>
      <c r="E277" s="106" t="s">
        <v>119</v>
      </c>
      <c r="F277" s="106" t="s">
        <v>193</v>
      </c>
      <c r="G277" s="109">
        <v>5304</v>
      </c>
      <c r="H277" s="109">
        <f t="shared" si="135"/>
        <v>20</v>
      </c>
      <c r="I277" s="106" t="s">
        <v>13</v>
      </c>
      <c r="J277" s="106" t="s">
        <v>101</v>
      </c>
      <c r="K277" s="106">
        <v>0</v>
      </c>
      <c r="L277" s="110">
        <v>6</v>
      </c>
      <c r="M277" s="110">
        <v>6</v>
      </c>
      <c r="N277" s="110">
        <v>6</v>
      </c>
      <c r="O277" s="110">
        <v>6</v>
      </c>
      <c r="P277" s="110">
        <v>8</v>
      </c>
      <c r="Q277" s="110">
        <v>8</v>
      </c>
      <c r="R277" s="110">
        <v>7</v>
      </c>
      <c r="S277" s="110">
        <v>7</v>
      </c>
      <c r="T277" s="110">
        <v>7</v>
      </c>
      <c r="U277" s="110">
        <v>7</v>
      </c>
      <c r="V277" s="110"/>
      <c r="W277" s="110"/>
      <c r="X277" s="110"/>
      <c r="Y277" s="106">
        <v>273</v>
      </c>
      <c r="Z277" s="106">
        <f t="shared" si="136"/>
        <v>0</v>
      </c>
      <c r="AA277" s="106" t="s">
        <v>64</v>
      </c>
      <c r="AB277" s="111">
        <f t="shared" si="144"/>
        <v>2</v>
      </c>
      <c r="AC277" s="26" t="s">
        <v>13</v>
      </c>
      <c r="AD277" s="107">
        <f t="shared" si="140"/>
        <v>21095.454545454544</v>
      </c>
      <c r="AE277" s="198"/>
      <c r="AF277" s="113">
        <f t="shared" si="137"/>
        <v>0</v>
      </c>
      <c r="AG277" s="26">
        <v>2025</v>
      </c>
      <c r="AH277" s="26" t="str">
        <f t="shared" si="133"/>
        <v/>
      </c>
      <c r="AI277" s="26" t="str">
        <f t="shared" si="157"/>
        <v/>
      </c>
      <c r="AJ277" s="26" t="str">
        <f t="shared" si="157"/>
        <v/>
      </c>
      <c r="AK277" s="26" t="str">
        <f t="shared" si="138"/>
        <v>Chip Seal and Fog</v>
      </c>
      <c r="AL277" s="26" t="str">
        <f t="shared" si="155"/>
        <v/>
      </c>
      <c r="AM277" s="26" t="str">
        <f t="shared" si="154"/>
        <v/>
      </c>
      <c r="AN277" s="26" t="str">
        <f t="shared" si="145"/>
        <v>Chip Seal and Fog</v>
      </c>
      <c r="AO277" s="26" t="str">
        <f t="shared" si="156"/>
        <v/>
      </c>
      <c r="AP277" s="26" t="str">
        <f t="shared" si="146"/>
        <v/>
      </c>
      <c r="AQ277" s="68">
        <f t="shared" si="141"/>
        <v>8</v>
      </c>
      <c r="AR277" s="68">
        <f t="shared" si="142"/>
        <v>6</v>
      </c>
      <c r="AS277" s="68">
        <f t="shared" si="147"/>
        <v>1.1000000000000001</v>
      </c>
      <c r="AT277" s="68">
        <f t="shared" si="148"/>
        <v>1.1000000000000001</v>
      </c>
      <c r="AU277" s="68">
        <f t="shared" si="149"/>
        <v>1.1000000000000001</v>
      </c>
      <c r="AV277" s="68">
        <f t="shared" si="150"/>
        <v>1.1000000000000001</v>
      </c>
      <c r="AW277" s="68">
        <f t="shared" si="151"/>
        <v>1</v>
      </c>
      <c r="AX277" s="68">
        <f t="shared" ca="1" si="143"/>
        <v>1.1000000000000001</v>
      </c>
      <c r="AY277" s="106">
        <v>2017</v>
      </c>
      <c r="AZ277" s="111" t="s">
        <v>2073</v>
      </c>
      <c r="BA277" s="106" t="str">
        <f t="shared" si="152"/>
        <v/>
      </c>
      <c r="BB277" s="110"/>
      <c r="BC277" s="110">
        <v>3</v>
      </c>
      <c r="BD277" s="110"/>
      <c r="BE277" s="110"/>
      <c r="BF277" s="110"/>
      <c r="BG277" s="110"/>
      <c r="BH277" s="110"/>
      <c r="BI277" s="33"/>
      <c r="BK277" s="48">
        <f>$G277/5280*VLOOKUP($AC277,'Cost and Score'!$B$27:$O$40,6,0)</f>
        <v>0.20090909090909093</v>
      </c>
      <c r="BL277" s="48">
        <f>$G277/5280*VLOOKUP($AC277,'Cost and Score'!$B$27:$O$40,7,0)</f>
        <v>22.1</v>
      </c>
      <c r="BM277" s="48">
        <f>$G277/5280*VLOOKUP($AC277,'Cost and Score'!$B$27:$O$40,8,0)</f>
        <v>0</v>
      </c>
      <c r="BN277" s="48">
        <f>$G277/5280*VLOOKUP($AC277,'Cost and Score'!$B$27:$O$40,9,0)</f>
        <v>4520.454545454546</v>
      </c>
      <c r="BO277" s="48">
        <f>$G277/5280*VLOOKUP($AC277,'Cost and Score'!$B$27:$O$40,10,0)</f>
        <v>1004.5454545454546</v>
      </c>
      <c r="BP277" s="48">
        <f>$G277/5280*VLOOKUP($AC277,'Cost and Score'!$B$27:$O$40,11,0)</f>
        <v>0</v>
      </c>
      <c r="BQ277" s="48">
        <f>$G277/5280*VLOOKUP($AC277,'Cost and Score'!$B$27:$O$40,12,0)</f>
        <v>100.45454545454547</v>
      </c>
      <c r="BR277" s="48">
        <f>$G277/5280*VLOOKUP($AC277,'Cost and Score'!$B$27:$O$40,13,0)</f>
        <v>120.54545454545456</v>
      </c>
      <c r="BS277" s="48">
        <f>$G277/5280*VLOOKUP($AC277,'Cost and Score'!$B$27:$O$40,14,0)</f>
        <v>0</v>
      </c>
      <c r="BT277" s="220">
        <f t="shared" si="153"/>
        <v>1.0045454545454546</v>
      </c>
    </row>
    <row r="278" spans="1:103" s="2" customFormat="1" ht="14.45" hidden="1" customHeight="1" x14ac:dyDescent="0.25">
      <c r="A278" s="15" t="s">
        <v>649</v>
      </c>
      <c r="B278" s="34" t="s">
        <v>648</v>
      </c>
      <c r="C278" s="26" t="s">
        <v>648</v>
      </c>
      <c r="D278" s="82"/>
      <c r="E278" s="82" t="s">
        <v>99</v>
      </c>
      <c r="F278" s="82" t="s">
        <v>104</v>
      </c>
      <c r="G278" s="29">
        <v>5319</v>
      </c>
      <c r="H278" s="29">
        <f t="shared" si="135"/>
        <v>20</v>
      </c>
      <c r="I278" s="26" t="s">
        <v>62</v>
      </c>
      <c r="J278" s="26" t="s">
        <v>6</v>
      </c>
      <c r="K278" s="26">
        <f>VLOOKUP(J278,TOWNSHIPS,2,FALSE)</f>
        <v>0</v>
      </c>
      <c r="L278" s="42">
        <v>6</v>
      </c>
      <c r="M278" s="42">
        <v>6</v>
      </c>
      <c r="N278" s="42">
        <v>6</v>
      </c>
      <c r="O278" s="83">
        <v>6</v>
      </c>
      <c r="P278" s="83">
        <v>6</v>
      </c>
      <c r="Q278" s="83">
        <v>7</v>
      </c>
      <c r="R278" s="83">
        <v>7</v>
      </c>
      <c r="S278" s="83">
        <v>6</v>
      </c>
      <c r="T278" s="83">
        <v>6</v>
      </c>
      <c r="U278" s="83">
        <v>7</v>
      </c>
      <c r="V278" s="42"/>
      <c r="W278" s="42"/>
      <c r="X278" s="42"/>
      <c r="Y278" s="26">
        <v>100</v>
      </c>
      <c r="Z278" s="26">
        <f t="shared" si="136"/>
        <v>0</v>
      </c>
      <c r="AA278" s="82" t="s">
        <v>59</v>
      </c>
      <c r="AB278" s="111">
        <f t="shared" si="144"/>
        <v>4</v>
      </c>
      <c r="AC278" s="85" t="s">
        <v>2073</v>
      </c>
      <c r="AD278" s="84">
        <f t="shared" si="140"/>
        <v>32236.363636363636</v>
      </c>
      <c r="AE278" s="140"/>
      <c r="AF278" s="113">
        <f t="shared" si="137"/>
        <v>0</v>
      </c>
      <c r="AG278" s="85">
        <v>2026</v>
      </c>
      <c r="AH278" s="26" t="str">
        <f t="shared" si="133"/>
        <v/>
      </c>
      <c r="AI278" s="26" t="str">
        <f t="shared" si="157"/>
        <v/>
      </c>
      <c r="AJ278" s="26" t="str">
        <f t="shared" si="157"/>
        <v/>
      </c>
      <c r="AK278" s="26" t="str">
        <f t="shared" si="138"/>
        <v/>
      </c>
      <c r="AL278" s="26" t="str">
        <f t="shared" si="155"/>
        <v>Chip Seal - Double and Fog</v>
      </c>
      <c r="AM278" s="26" t="str">
        <f t="shared" si="154"/>
        <v/>
      </c>
      <c r="AN278" s="26" t="str">
        <f t="shared" si="145"/>
        <v>Chip Seal - Double and Fog</v>
      </c>
      <c r="AO278" s="26" t="str">
        <f t="shared" si="156"/>
        <v/>
      </c>
      <c r="AP278" s="26" t="str">
        <f t="shared" si="146"/>
        <v/>
      </c>
      <c r="AQ278" s="68">
        <f t="shared" si="141"/>
        <v>8</v>
      </c>
      <c r="AR278" s="68">
        <f t="shared" si="142"/>
        <v>6</v>
      </c>
      <c r="AS278" s="68">
        <f t="shared" si="147"/>
        <v>1.1000000000000001</v>
      </c>
      <c r="AT278" s="68">
        <f t="shared" si="148"/>
        <v>1.1000000000000001</v>
      </c>
      <c r="AU278" s="68">
        <f t="shared" si="149"/>
        <v>1.1000000000000001</v>
      </c>
      <c r="AV278" s="68">
        <f t="shared" si="150"/>
        <v>1.1000000000000001</v>
      </c>
      <c r="AW278" s="68">
        <f t="shared" si="151"/>
        <v>1.1000000000000001</v>
      </c>
      <c r="AX278" s="68">
        <f t="shared" ca="1" si="143"/>
        <v>2.2000000000000002</v>
      </c>
      <c r="AY278" s="106">
        <v>2020</v>
      </c>
      <c r="AZ278" s="106" t="s">
        <v>2073</v>
      </c>
      <c r="BA278" s="106" t="str">
        <f t="shared" si="152"/>
        <v/>
      </c>
      <c r="BB278" s="177"/>
      <c r="BC278" s="177">
        <v>9</v>
      </c>
      <c r="BD278" s="177"/>
      <c r="BE278" s="177"/>
      <c r="BF278" s="177"/>
      <c r="BG278" s="177"/>
      <c r="BH278" s="177"/>
      <c r="BI278" s="33"/>
      <c r="BK278" s="48">
        <f>$G278/5280*VLOOKUP($AC278,'Cost and Score'!$B$27:$O$40,6,0)</f>
        <v>0.50369318181818179</v>
      </c>
      <c r="BL278" s="48">
        <f>$G278/5280*VLOOKUP($AC278,'Cost and Score'!$B$27:$O$40,7,0)</f>
        <v>50.36931818181818</v>
      </c>
      <c r="BM278" s="48">
        <f>$G278/5280*VLOOKUP($AC278,'Cost and Score'!$B$27:$O$40,8,0)</f>
        <v>0</v>
      </c>
      <c r="BN278" s="48">
        <f>$G278/5280*VLOOKUP($AC278,'Cost and Score'!$B$27:$O$40,9,0)</f>
        <v>9570.170454545454</v>
      </c>
      <c r="BO278" s="48">
        <f>$G278/5280*VLOOKUP($AC278,'Cost and Score'!$B$27:$O$40,10,0)</f>
        <v>1007.3863636363636</v>
      </c>
      <c r="BP278" s="48">
        <f>$G278/5280*VLOOKUP($AC278,'Cost and Score'!$B$27:$O$40,11,0)</f>
        <v>0</v>
      </c>
      <c r="BQ278" s="48">
        <f>$G278/5280*VLOOKUP($AC278,'Cost and Score'!$B$27:$O$40,12,0)</f>
        <v>201.47727272727272</v>
      </c>
      <c r="BR278" s="48">
        <f>$G278/5280*VLOOKUP($AC278,'Cost and Score'!$B$27:$O$40,13,0)</f>
        <v>181.32954545454544</v>
      </c>
      <c r="BS278" s="48">
        <f>$G278/5280*VLOOKUP($AC278,'Cost and Score'!$B$27:$O$40,14,0)</f>
        <v>241.77272727272725</v>
      </c>
      <c r="BT278" s="220">
        <f t="shared" si="153"/>
        <v>1.0073863636363636</v>
      </c>
    </row>
    <row r="279" spans="1:103" s="2" customFormat="1" ht="14.45" hidden="1" customHeight="1" x14ac:dyDescent="0.25">
      <c r="A279" s="15" t="s">
        <v>651</v>
      </c>
      <c r="B279" s="34" t="s">
        <v>650</v>
      </c>
      <c r="C279" s="26" t="s">
        <v>650</v>
      </c>
      <c r="D279" s="82"/>
      <c r="E279" s="82" t="s">
        <v>193</v>
      </c>
      <c r="F279" s="82" t="s">
        <v>197</v>
      </c>
      <c r="G279" s="29">
        <v>5290</v>
      </c>
      <c r="H279" s="29">
        <f t="shared" si="135"/>
        <v>20</v>
      </c>
      <c r="I279" s="26" t="s">
        <v>8</v>
      </c>
      <c r="J279" s="26" t="s">
        <v>101</v>
      </c>
      <c r="K279" s="26">
        <v>0</v>
      </c>
      <c r="L279" s="42">
        <v>7</v>
      </c>
      <c r="M279" s="42">
        <v>7</v>
      </c>
      <c r="N279" s="42">
        <v>7</v>
      </c>
      <c r="O279" s="83">
        <v>7</v>
      </c>
      <c r="P279" s="83">
        <v>7</v>
      </c>
      <c r="Q279" s="83">
        <v>7</v>
      </c>
      <c r="R279" s="83">
        <v>8</v>
      </c>
      <c r="S279" s="83">
        <v>7</v>
      </c>
      <c r="T279" s="83">
        <v>7</v>
      </c>
      <c r="U279" s="83">
        <v>7</v>
      </c>
      <c r="V279" s="42"/>
      <c r="W279" s="42"/>
      <c r="X279" s="42"/>
      <c r="Y279" s="26">
        <v>1039</v>
      </c>
      <c r="Z279" s="26">
        <f t="shared" si="136"/>
        <v>0.5</v>
      </c>
      <c r="AA279" s="82" t="s">
        <v>59</v>
      </c>
      <c r="AB279" s="111">
        <f t="shared" si="144"/>
        <v>3.5</v>
      </c>
      <c r="AC279" s="85" t="s">
        <v>13</v>
      </c>
      <c r="AD279" s="84">
        <f t="shared" si="140"/>
        <v>21039.772727272728</v>
      </c>
      <c r="AE279" s="140">
        <v>1</v>
      </c>
      <c r="AF279" s="113">
        <f t="shared" si="137"/>
        <v>21039.772727272728</v>
      </c>
      <c r="AG279" s="82">
        <v>2023</v>
      </c>
      <c r="AH279" s="26" t="str">
        <f t="shared" si="133"/>
        <v/>
      </c>
      <c r="AI279" s="26" t="str">
        <f t="shared" si="157"/>
        <v>Chip Seal and Fog</v>
      </c>
      <c r="AJ279" s="26" t="str">
        <f t="shared" si="157"/>
        <v/>
      </c>
      <c r="AK279" s="26" t="str">
        <f t="shared" si="138"/>
        <v/>
      </c>
      <c r="AL279" s="26" t="str">
        <f t="shared" si="155"/>
        <v/>
      </c>
      <c r="AM279" s="26" t="str">
        <f t="shared" si="154"/>
        <v/>
      </c>
      <c r="AN279" s="26" t="str">
        <f t="shared" si="145"/>
        <v>Chip Seal and Fog</v>
      </c>
      <c r="AO279" s="26" t="str">
        <f t="shared" si="156"/>
        <v/>
      </c>
      <c r="AP279" s="26" t="str">
        <f t="shared" si="146"/>
        <v/>
      </c>
      <c r="AQ279" s="68">
        <f t="shared" si="141"/>
        <v>10</v>
      </c>
      <c r="AR279" s="68">
        <f t="shared" si="142"/>
        <v>6</v>
      </c>
      <c r="AS279" s="68">
        <f t="shared" si="147"/>
        <v>1.05</v>
      </c>
      <c r="AT279" s="68">
        <f t="shared" si="148"/>
        <v>1.05</v>
      </c>
      <c r="AU279" s="68">
        <f t="shared" si="149"/>
        <v>1.05</v>
      </c>
      <c r="AV279" s="68">
        <f t="shared" si="150"/>
        <v>1.05</v>
      </c>
      <c r="AW279" s="68">
        <f t="shared" si="151"/>
        <v>1.05</v>
      </c>
      <c r="AX279" s="68">
        <f t="shared" ca="1" si="143"/>
        <v>-1.05</v>
      </c>
      <c r="AY279" s="106">
        <v>2023</v>
      </c>
      <c r="AZ279" s="106" t="s">
        <v>13</v>
      </c>
      <c r="BA279" s="106" t="str">
        <f t="shared" si="152"/>
        <v/>
      </c>
      <c r="BB279" s="177"/>
      <c r="BC279" s="177">
        <v>3</v>
      </c>
      <c r="BD279" s="177"/>
      <c r="BE279" s="177"/>
      <c r="BF279" s="177"/>
      <c r="BG279" s="177"/>
      <c r="BH279" s="177"/>
      <c r="BI279" s="33"/>
      <c r="BK279" s="48">
        <f>$G279/5280*VLOOKUP($AC279,'Cost and Score'!$B$27:$O$40,6,0)</f>
        <v>0.20037878787878791</v>
      </c>
      <c r="BL279" s="48">
        <f>$G279/5280*VLOOKUP($AC279,'Cost and Score'!$B$27:$O$40,7,0)</f>
        <v>22.041666666666668</v>
      </c>
      <c r="BM279" s="48">
        <f>$G279/5280*VLOOKUP($AC279,'Cost and Score'!$B$27:$O$40,8,0)</f>
        <v>0</v>
      </c>
      <c r="BN279" s="48">
        <f>$G279/5280*VLOOKUP($AC279,'Cost and Score'!$B$27:$O$40,9,0)</f>
        <v>4508.5227272727279</v>
      </c>
      <c r="BO279" s="48">
        <f>$G279/5280*VLOOKUP($AC279,'Cost and Score'!$B$27:$O$40,10,0)</f>
        <v>1001.8939393939395</v>
      </c>
      <c r="BP279" s="48">
        <f>$G279/5280*VLOOKUP($AC279,'Cost and Score'!$B$27:$O$40,11,0)</f>
        <v>0</v>
      </c>
      <c r="BQ279" s="48">
        <f>$G279/5280*VLOOKUP($AC279,'Cost and Score'!$B$27:$O$40,12,0)</f>
        <v>100.18939393939394</v>
      </c>
      <c r="BR279" s="48">
        <f>$G279/5280*VLOOKUP($AC279,'Cost and Score'!$B$27:$O$40,13,0)</f>
        <v>120.22727272727273</v>
      </c>
      <c r="BS279" s="48">
        <f>$G279/5280*VLOOKUP($AC279,'Cost and Score'!$B$27:$O$40,14,0)</f>
        <v>0</v>
      </c>
      <c r="BT279" s="220">
        <f t="shared" si="153"/>
        <v>1.0018939393939394</v>
      </c>
    </row>
    <row r="280" spans="1:103" s="2" customFormat="1" ht="14.45" hidden="1" customHeight="1" x14ac:dyDescent="0.25">
      <c r="A280" s="15" t="s">
        <v>653</v>
      </c>
      <c r="B280" s="34" t="s">
        <v>652</v>
      </c>
      <c r="C280" s="26" t="s">
        <v>652</v>
      </c>
      <c r="D280" s="26"/>
      <c r="E280" s="26" t="s">
        <v>197</v>
      </c>
      <c r="F280" s="26" t="s">
        <v>25</v>
      </c>
      <c r="G280" s="29">
        <v>5300</v>
      </c>
      <c r="H280" s="29">
        <f t="shared" si="135"/>
        <v>20</v>
      </c>
      <c r="I280" s="26" t="s">
        <v>8</v>
      </c>
      <c r="J280" s="26" t="s">
        <v>101</v>
      </c>
      <c r="K280" s="26">
        <v>0</v>
      </c>
      <c r="L280" s="42">
        <v>7</v>
      </c>
      <c r="M280" s="42">
        <v>5</v>
      </c>
      <c r="N280" s="42">
        <v>4</v>
      </c>
      <c r="O280" s="42">
        <v>9</v>
      </c>
      <c r="P280" s="42">
        <v>9</v>
      </c>
      <c r="Q280" s="42">
        <v>9</v>
      </c>
      <c r="R280" s="42">
        <v>8</v>
      </c>
      <c r="S280" s="42">
        <v>7</v>
      </c>
      <c r="T280" s="42">
        <v>7</v>
      </c>
      <c r="U280" s="42">
        <v>7</v>
      </c>
      <c r="V280" s="42"/>
      <c r="W280" s="42"/>
      <c r="X280" s="42"/>
      <c r="Y280" s="26">
        <v>997</v>
      </c>
      <c r="Z280" s="26">
        <f t="shared" si="136"/>
        <v>0.5</v>
      </c>
      <c r="AA280" s="26" t="s">
        <v>59</v>
      </c>
      <c r="AB280" s="111">
        <f t="shared" si="144"/>
        <v>1.5</v>
      </c>
      <c r="AC280" s="85" t="s">
        <v>2073</v>
      </c>
      <c r="AD280" s="47">
        <f t="shared" si="140"/>
        <v>32121.21212121212</v>
      </c>
      <c r="AE280" s="140"/>
      <c r="AF280" s="113">
        <f t="shared" si="137"/>
        <v>0</v>
      </c>
      <c r="AG280" s="26">
        <v>2027</v>
      </c>
      <c r="AH280" s="26" t="str">
        <f t="shared" si="133"/>
        <v/>
      </c>
      <c r="AI280" s="26" t="str">
        <f t="shared" si="157"/>
        <v/>
      </c>
      <c r="AJ280" s="26" t="str">
        <f t="shared" si="157"/>
        <v/>
      </c>
      <c r="AK280" s="26" t="str">
        <f t="shared" si="138"/>
        <v/>
      </c>
      <c r="AL280" s="26" t="str">
        <f t="shared" si="155"/>
        <v/>
      </c>
      <c r="AM280" s="26" t="str">
        <f t="shared" si="154"/>
        <v>Chip Seal - Double and Fog</v>
      </c>
      <c r="AN280" s="26" t="str">
        <f t="shared" si="145"/>
        <v>Chip Seal - Double and Fog</v>
      </c>
      <c r="AO280" s="26" t="str">
        <f t="shared" si="156"/>
        <v>Crack Seal</v>
      </c>
      <c r="AP280" s="26" t="str">
        <f t="shared" si="146"/>
        <v/>
      </c>
      <c r="AQ280" s="68">
        <f t="shared" si="141"/>
        <v>14</v>
      </c>
      <c r="AR280" s="68">
        <f t="shared" si="142"/>
        <v>6</v>
      </c>
      <c r="AS280" s="68">
        <f t="shared" si="147"/>
        <v>1.05</v>
      </c>
      <c r="AT280" s="68">
        <f t="shared" si="148"/>
        <v>1.25</v>
      </c>
      <c r="AU280" s="68">
        <f t="shared" si="149"/>
        <v>1.5</v>
      </c>
      <c r="AV280" s="68">
        <f t="shared" si="150"/>
        <v>1</v>
      </c>
      <c r="AW280" s="68">
        <f t="shared" si="151"/>
        <v>1</v>
      </c>
      <c r="AX280" s="68">
        <f t="shared" ca="1" si="143"/>
        <v>4.5</v>
      </c>
      <c r="AY280" s="106">
        <v>2021</v>
      </c>
      <c r="AZ280" s="106" t="s">
        <v>2075</v>
      </c>
      <c r="BA280" s="106" t="str">
        <f t="shared" si="152"/>
        <v/>
      </c>
      <c r="BB280" s="177"/>
      <c r="BC280" s="177">
        <v>3</v>
      </c>
      <c r="BD280" s="177"/>
      <c r="BE280" s="177"/>
      <c r="BF280" s="177"/>
      <c r="BG280" s="177"/>
      <c r="BH280" s="177"/>
      <c r="BI280" s="33"/>
      <c r="BK280" s="48">
        <f>$G280/5280*VLOOKUP($AC280,'Cost and Score'!$B$27:$O$40,6,0)</f>
        <v>0.50189393939393945</v>
      </c>
      <c r="BL280" s="48">
        <f>$G280/5280*VLOOKUP($AC280,'Cost and Score'!$B$27:$O$40,7,0)</f>
        <v>50.189393939393945</v>
      </c>
      <c r="BM280" s="48">
        <f>$G280/5280*VLOOKUP($AC280,'Cost and Score'!$B$27:$O$40,8,0)</f>
        <v>0</v>
      </c>
      <c r="BN280" s="48">
        <f>$G280/5280*VLOOKUP($AC280,'Cost and Score'!$B$27:$O$40,9,0)</f>
        <v>9535.9848484848499</v>
      </c>
      <c r="BO280" s="48">
        <f>$G280/5280*VLOOKUP($AC280,'Cost and Score'!$B$27:$O$40,10,0)</f>
        <v>1003.7878787878789</v>
      </c>
      <c r="BP280" s="48">
        <f>$G280/5280*VLOOKUP($AC280,'Cost and Score'!$B$27:$O$40,11,0)</f>
        <v>0</v>
      </c>
      <c r="BQ280" s="48">
        <f>$G280/5280*VLOOKUP($AC280,'Cost and Score'!$B$27:$O$40,12,0)</f>
        <v>200.75757575757578</v>
      </c>
      <c r="BR280" s="48">
        <f>$G280/5280*VLOOKUP($AC280,'Cost and Score'!$B$27:$O$40,13,0)</f>
        <v>180.68181818181819</v>
      </c>
      <c r="BS280" s="48">
        <f>$G280/5280*VLOOKUP($AC280,'Cost and Score'!$B$27:$O$40,14,0)</f>
        <v>240.90909090909093</v>
      </c>
      <c r="BT280" s="220">
        <f t="shared" si="153"/>
        <v>1.0037878787878789</v>
      </c>
    </row>
    <row r="281" spans="1:103" s="2" customFormat="1" ht="14.45" hidden="1" customHeight="1" x14ac:dyDescent="0.25">
      <c r="A281" s="15" t="s">
        <v>655</v>
      </c>
      <c r="B281" s="34" t="s">
        <v>654</v>
      </c>
      <c r="C281" s="26" t="s">
        <v>654</v>
      </c>
      <c r="D281" s="82"/>
      <c r="E281" s="82" t="s">
        <v>25</v>
      </c>
      <c r="F281" s="82" t="s">
        <v>28</v>
      </c>
      <c r="G281" s="29">
        <v>5300</v>
      </c>
      <c r="H281" s="29">
        <f t="shared" si="135"/>
        <v>20</v>
      </c>
      <c r="I281" s="26" t="s">
        <v>8</v>
      </c>
      <c r="J281" s="26" t="s">
        <v>101</v>
      </c>
      <c r="K281" s="26">
        <v>0</v>
      </c>
      <c r="L281" s="42">
        <v>5</v>
      </c>
      <c r="M281" s="42">
        <v>5</v>
      </c>
      <c r="N281" s="42">
        <v>5</v>
      </c>
      <c r="O281" s="83">
        <v>5</v>
      </c>
      <c r="P281" s="83">
        <v>5</v>
      </c>
      <c r="Q281" s="83">
        <v>9</v>
      </c>
      <c r="R281" s="83">
        <v>8</v>
      </c>
      <c r="S281" s="83">
        <v>7</v>
      </c>
      <c r="T281" s="83">
        <v>7</v>
      </c>
      <c r="U281" s="83">
        <v>7</v>
      </c>
      <c r="V281" s="42"/>
      <c r="W281" s="42"/>
      <c r="X281" s="42"/>
      <c r="Y281" s="26">
        <v>786</v>
      </c>
      <c r="Z281" s="26">
        <f t="shared" si="136"/>
        <v>0.5</v>
      </c>
      <c r="AA281" s="82" t="s">
        <v>59</v>
      </c>
      <c r="AB281" s="111">
        <f t="shared" si="144"/>
        <v>5.5</v>
      </c>
      <c r="AC281" s="85" t="s">
        <v>13</v>
      </c>
      <c r="AD281" s="84">
        <f t="shared" si="140"/>
        <v>21079.545454545456</v>
      </c>
      <c r="AE281" s="140"/>
      <c r="AF281" s="113">
        <f t="shared" si="137"/>
        <v>0</v>
      </c>
      <c r="AG281" s="26">
        <v>2024</v>
      </c>
      <c r="AH281" s="26" t="str">
        <f t="shared" si="133"/>
        <v/>
      </c>
      <c r="AI281" s="26" t="str">
        <f t="shared" si="157"/>
        <v/>
      </c>
      <c r="AJ281" s="26" t="str">
        <f t="shared" si="157"/>
        <v>Chip Seal and Fog</v>
      </c>
      <c r="AK281" s="26" t="str">
        <f t="shared" si="138"/>
        <v/>
      </c>
      <c r="AL281" s="26" t="str">
        <f t="shared" si="155"/>
        <v/>
      </c>
      <c r="AM281" s="26" t="str">
        <f t="shared" si="154"/>
        <v/>
      </c>
      <c r="AN281" s="26" t="str">
        <f t="shared" si="145"/>
        <v>Chip Seal and Fog</v>
      </c>
      <c r="AO281" s="26" t="str">
        <f t="shared" si="156"/>
        <v/>
      </c>
      <c r="AP281" s="26" t="str">
        <f t="shared" si="146"/>
        <v/>
      </c>
      <c r="AQ281" s="68">
        <f t="shared" si="141"/>
        <v>6</v>
      </c>
      <c r="AR281" s="68">
        <f t="shared" si="142"/>
        <v>6</v>
      </c>
      <c r="AS281" s="68">
        <f t="shared" si="147"/>
        <v>1.25</v>
      </c>
      <c r="AT281" s="68">
        <f t="shared" si="148"/>
        <v>1.25</v>
      </c>
      <c r="AU281" s="68">
        <f t="shared" si="149"/>
        <v>1.25</v>
      </c>
      <c r="AV281" s="68">
        <f t="shared" si="150"/>
        <v>1.25</v>
      </c>
      <c r="AW281" s="68">
        <f t="shared" si="151"/>
        <v>1.25</v>
      </c>
      <c r="AX281" s="68">
        <f t="shared" ca="1" si="143"/>
        <v>0</v>
      </c>
      <c r="AY281" s="106">
        <v>2018</v>
      </c>
      <c r="AZ281" s="106" t="s">
        <v>751</v>
      </c>
      <c r="BA281" s="106" t="str">
        <f t="shared" si="152"/>
        <v>P</v>
      </c>
      <c r="BB281" s="177"/>
      <c r="BC281" s="177">
        <v>3</v>
      </c>
      <c r="BD281" s="177"/>
      <c r="BE281" s="177"/>
      <c r="BF281" s="177"/>
      <c r="BG281" s="177"/>
      <c r="BH281" s="177"/>
      <c r="BI281" s="33"/>
      <c r="BK281" s="48">
        <f>$G281/5280*VLOOKUP($AC281,'Cost and Score'!$B$27:$O$40,6,0)</f>
        <v>0.2007575757575758</v>
      </c>
      <c r="BL281" s="48">
        <f>$G281/5280*VLOOKUP($AC281,'Cost and Score'!$B$27:$O$40,7,0)</f>
        <v>22.083333333333336</v>
      </c>
      <c r="BM281" s="48">
        <f>$G281/5280*VLOOKUP($AC281,'Cost and Score'!$B$27:$O$40,8,0)</f>
        <v>0</v>
      </c>
      <c r="BN281" s="48">
        <f>$G281/5280*VLOOKUP($AC281,'Cost and Score'!$B$27:$O$40,9,0)</f>
        <v>4517.045454545455</v>
      </c>
      <c r="BO281" s="48">
        <f>$G281/5280*VLOOKUP($AC281,'Cost and Score'!$B$27:$O$40,10,0)</f>
        <v>1003.7878787878789</v>
      </c>
      <c r="BP281" s="48">
        <f>$G281/5280*VLOOKUP($AC281,'Cost and Score'!$B$27:$O$40,11,0)</f>
        <v>0</v>
      </c>
      <c r="BQ281" s="48">
        <f>$G281/5280*VLOOKUP($AC281,'Cost and Score'!$B$27:$O$40,12,0)</f>
        <v>100.37878787878789</v>
      </c>
      <c r="BR281" s="48">
        <f>$G281/5280*VLOOKUP($AC281,'Cost and Score'!$B$27:$O$40,13,0)</f>
        <v>120.45454545454547</v>
      </c>
      <c r="BS281" s="48">
        <f>$G281/5280*VLOOKUP($AC281,'Cost and Score'!$B$27:$O$40,14,0)</f>
        <v>0</v>
      </c>
      <c r="BT281" s="220">
        <f t="shared" si="153"/>
        <v>1.0037878787878789</v>
      </c>
    </row>
    <row r="282" spans="1:103" s="2" customFormat="1" ht="14.45" hidden="1" customHeight="1" x14ac:dyDescent="0.25">
      <c r="A282" s="15" t="s">
        <v>657</v>
      </c>
      <c r="B282" s="34" t="s">
        <v>656</v>
      </c>
      <c r="C282" s="26" t="s">
        <v>656</v>
      </c>
      <c r="D282" s="82"/>
      <c r="E282" s="82" t="s">
        <v>210</v>
      </c>
      <c r="F282" s="82" t="s">
        <v>110</v>
      </c>
      <c r="G282" s="29">
        <v>5315</v>
      </c>
      <c r="H282" s="29">
        <f t="shared" ref="H282:H313" si="158">IF(I282="NC",26,20)</f>
        <v>20</v>
      </c>
      <c r="I282" s="26" t="s">
        <v>8</v>
      </c>
      <c r="J282" s="26" t="s">
        <v>6</v>
      </c>
      <c r="K282" s="26">
        <f>VLOOKUP(J282,TOWNSHIPS,2,FALSE)</f>
        <v>0</v>
      </c>
      <c r="L282" s="42">
        <v>4</v>
      </c>
      <c r="M282" s="42">
        <v>4</v>
      </c>
      <c r="N282" s="42">
        <v>4</v>
      </c>
      <c r="O282" s="83">
        <v>4</v>
      </c>
      <c r="P282" s="83">
        <v>3</v>
      </c>
      <c r="Q282" s="83">
        <v>8</v>
      </c>
      <c r="R282" s="83">
        <v>7</v>
      </c>
      <c r="S282" s="83">
        <v>7</v>
      </c>
      <c r="T282" s="83">
        <v>7</v>
      </c>
      <c r="U282" s="83">
        <v>7</v>
      </c>
      <c r="V282" s="42"/>
      <c r="W282" s="42"/>
      <c r="X282" s="42"/>
      <c r="Y282" s="26">
        <v>50</v>
      </c>
      <c r="Z282" s="26">
        <f t="shared" ref="Z282:Z313" si="159">VLOOKUP(Y282,AADT,2)</f>
        <v>0</v>
      </c>
      <c r="AA282" s="82" t="s">
        <v>59</v>
      </c>
      <c r="AB282" s="111">
        <f t="shared" si="144"/>
        <v>7</v>
      </c>
      <c r="AC282" s="85" t="s">
        <v>13</v>
      </c>
      <c r="AD282" s="84">
        <f t="shared" si="140"/>
        <v>21139.204545454544</v>
      </c>
      <c r="AE282" s="140"/>
      <c r="AF282" s="113">
        <f t="shared" ref="AF282:AF313" si="160">AD282*AE282</f>
        <v>0</v>
      </c>
      <c r="AG282" s="26">
        <v>2024</v>
      </c>
      <c r="AH282" s="26" t="str">
        <f t="shared" si="133"/>
        <v/>
      </c>
      <c r="AI282" s="26" t="str">
        <f t="shared" si="157"/>
        <v/>
      </c>
      <c r="AJ282" s="26" t="str">
        <f t="shared" si="157"/>
        <v>Chip Seal and Fog</v>
      </c>
      <c r="AK282" s="26" t="str">
        <f t="shared" si="138"/>
        <v/>
      </c>
      <c r="AL282" s="26" t="str">
        <f t="shared" si="155"/>
        <v/>
      </c>
      <c r="AM282" s="26" t="str">
        <f t="shared" si="154"/>
        <v/>
      </c>
      <c r="AN282" s="26" t="str">
        <f t="shared" si="145"/>
        <v>Chip Seal and Fog</v>
      </c>
      <c r="AO282" s="26" t="str">
        <f t="shared" si="156"/>
        <v/>
      </c>
      <c r="AP282" s="26" t="str">
        <f t="shared" si="146"/>
        <v/>
      </c>
      <c r="AQ282" s="68">
        <f t="shared" si="141"/>
        <v>3</v>
      </c>
      <c r="AR282" s="68">
        <f t="shared" si="142"/>
        <v>6</v>
      </c>
      <c r="AS282" s="68">
        <f t="shared" si="147"/>
        <v>1.5</v>
      </c>
      <c r="AT282" s="68">
        <f t="shared" si="148"/>
        <v>1.5</v>
      </c>
      <c r="AU282" s="68">
        <f t="shared" si="149"/>
        <v>1.5</v>
      </c>
      <c r="AV282" s="68">
        <f t="shared" si="150"/>
        <v>1.5</v>
      </c>
      <c r="AW282" s="68">
        <f t="shared" si="151"/>
        <v>1.75</v>
      </c>
      <c r="AX282" s="68">
        <f t="shared" ca="1" si="143"/>
        <v>0</v>
      </c>
      <c r="AY282" s="106">
        <v>2018</v>
      </c>
      <c r="AZ282" s="106" t="s">
        <v>2072</v>
      </c>
      <c r="BA282" s="106" t="str">
        <f t="shared" si="152"/>
        <v>SP/CS</v>
      </c>
      <c r="BB282" s="177"/>
      <c r="BC282" s="177">
        <v>9</v>
      </c>
      <c r="BD282" s="177"/>
      <c r="BE282" s="177"/>
      <c r="BF282" s="177"/>
      <c r="BG282" s="177"/>
      <c r="BH282" s="177"/>
      <c r="BI282" s="33"/>
      <c r="BK282" s="48">
        <f>$G282/5280*VLOOKUP($AC282,'Cost and Score'!$B$27:$O$40,6,0)</f>
        <v>0.20132575757575757</v>
      </c>
      <c r="BL282" s="48">
        <f>$G282/5280*VLOOKUP($AC282,'Cost and Score'!$B$27:$O$40,7,0)</f>
        <v>22.145833333333332</v>
      </c>
      <c r="BM282" s="48">
        <f>$G282/5280*VLOOKUP($AC282,'Cost and Score'!$B$27:$O$40,8,0)</f>
        <v>0</v>
      </c>
      <c r="BN282" s="48">
        <f>$G282/5280*VLOOKUP($AC282,'Cost and Score'!$B$27:$O$40,9,0)</f>
        <v>4529.829545454545</v>
      </c>
      <c r="BO282" s="48">
        <f>$G282/5280*VLOOKUP($AC282,'Cost and Score'!$B$27:$O$40,10,0)</f>
        <v>1006.6287878787879</v>
      </c>
      <c r="BP282" s="48">
        <f>$G282/5280*VLOOKUP($AC282,'Cost and Score'!$B$27:$O$40,11,0)</f>
        <v>0</v>
      </c>
      <c r="BQ282" s="48">
        <f>$G282/5280*VLOOKUP($AC282,'Cost and Score'!$B$27:$O$40,12,0)</f>
        <v>100.66287878787878</v>
      </c>
      <c r="BR282" s="48">
        <f>$G282/5280*VLOOKUP($AC282,'Cost and Score'!$B$27:$O$40,13,0)</f>
        <v>120.79545454545455</v>
      </c>
      <c r="BS282" s="48">
        <f>$G282/5280*VLOOKUP($AC282,'Cost and Score'!$B$27:$O$40,14,0)</f>
        <v>0</v>
      </c>
      <c r="BT282" s="220">
        <f t="shared" si="153"/>
        <v>1.0066287878787878</v>
      </c>
    </row>
    <row r="283" spans="1:103" s="2" customFormat="1" ht="14.45" hidden="1" customHeight="1" x14ac:dyDescent="0.25">
      <c r="A283" s="15" t="s">
        <v>659</v>
      </c>
      <c r="B283" s="34" t="s">
        <v>658</v>
      </c>
      <c r="C283" s="26" t="s">
        <v>658</v>
      </c>
      <c r="D283" s="82"/>
      <c r="E283" s="82" t="s">
        <v>28</v>
      </c>
      <c r="F283" s="82" t="s">
        <v>9</v>
      </c>
      <c r="G283" s="29">
        <v>5050</v>
      </c>
      <c r="H283" s="29">
        <f t="shared" si="158"/>
        <v>20</v>
      </c>
      <c r="I283" s="26" t="s">
        <v>8</v>
      </c>
      <c r="J283" s="26" t="s">
        <v>101</v>
      </c>
      <c r="K283" s="26">
        <v>0</v>
      </c>
      <c r="L283" s="42">
        <v>7</v>
      </c>
      <c r="M283" s="42">
        <v>7</v>
      </c>
      <c r="N283" s="42">
        <v>7</v>
      </c>
      <c r="O283" s="83">
        <v>7</v>
      </c>
      <c r="P283" s="83">
        <v>7</v>
      </c>
      <c r="Q283" s="83">
        <v>7</v>
      </c>
      <c r="R283" s="83">
        <v>7</v>
      </c>
      <c r="S283" s="83">
        <v>7</v>
      </c>
      <c r="T283" s="83">
        <v>7</v>
      </c>
      <c r="U283" s="83">
        <v>7</v>
      </c>
      <c r="V283" s="42"/>
      <c r="W283" s="42"/>
      <c r="X283" s="42"/>
      <c r="Y283" s="26">
        <v>706</v>
      </c>
      <c r="Z283" s="26">
        <f t="shared" si="159"/>
        <v>0.5</v>
      </c>
      <c r="AA283" s="82" t="s">
        <v>59</v>
      </c>
      <c r="AB283" s="111">
        <f t="shared" si="144"/>
        <v>3.5</v>
      </c>
      <c r="AC283" s="82" t="s">
        <v>13</v>
      </c>
      <c r="AD283" s="84">
        <f t="shared" si="140"/>
        <v>20085.227272727272</v>
      </c>
      <c r="AE283" s="140"/>
      <c r="AF283" s="113">
        <f t="shared" si="160"/>
        <v>0</v>
      </c>
      <c r="AG283" s="85">
        <v>2026</v>
      </c>
      <c r="AH283" s="26" t="str">
        <f t="shared" si="133"/>
        <v/>
      </c>
      <c r="AI283" s="26" t="str">
        <f t="shared" si="157"/>
        <v/>
      </c>
      <c r="AJ283" s="26" t="str">
        <f t="shared" si="157"/>
        <v/>
      </c>
      <c r="AK283" s="26" t="str">
        <f t="shared" si="138"/>
        <v/>
      </c>
      <c r="AL283" s="26" t="str">
        <f t="shared" si="155"/>
        <v>Chip Seal and Fog</v>
      </c>
      <c r="AM283" s="26" t="str">
        <f t="shared" si="154"/>
        <v/>
      </c>
      <c r="AN283" s="26" t="str">
        <f t="shared" si="145"/>
        <v>Chip Seal and Fog</v>
      </c>
      <c r="AO283" s="26" t="str">
        <f t="shared" si="156"/>
        <v/>
      </c>
      <c r="AP283" s="26" t="str">
        <f t="shared" si="146"/>
        <v/>
      </c>
      <c r="AQ283" s="68">
        <f t="shared" si="141"/>
        <v>10</v>
      </c>
      <c r="AR283" s="68">
        <f t="shared" si="142"/>
        <v>6</v>
      </c>
      <c r="AS283" s="68">
        <f t="shared" si="147"/>
        <v>1.05</v>
      </c>
      <c r="AT283" s="68">
        <f t="shared" si="148"/>
        <v>1.05</v>
      </c>
      <c r="AU283" s="68">
        <f t="shared" si="149"/>
        <v>1.05</v>
      </c>
      <c r="AV283" s="68">
        <f t="shared" si="150"/>
        <v>1.05</v>
      </c>
      <c r="AW283" s="68">
        <f t="shared" si="151"/>
        <v>1.05</v>
      </c>
      <c r="AX283" s="68">
        <f t="shared" ca="1" si="143"/>
        <v>2.1</v>
      </c>
      <c r="AY283" s="106">
        <v>2020</v>
      </c>
      <c r="AZ283" s="106" t="s">
        <v>13</v>
      </c>
      <c r="BA283" s="106" t="str">
        <f t="shared" si="152"/>
        <v/>
      </c>
      <c r="BB283" s="177"/>
      <c r="BC283" s="177">
        <v>3</v>
      </c>
      <c r="BD283" s="177"/>
      <c r="BE283" s="177"/>
      <c r="BF283" s="177"/>
      <c r="BG283" s="177"/>
      <c r="BH283" s="177"/>
      <c r="BI283" s="33"/>
      <c r="BK283" s="48">
        <f>$G283/5280*VLOOKUP($AC283,'Cost and Score'!$B$27:$O$40,6,0)</f>
        <v>0.19128787878787878</v>
      </c>
      <c r="BL283" s="48">
        <f>$G283/5280*VLOOKUP($AC283,'Cost and Score'!$B$27:$O$40,7,0)</f>
        <v>21.041666666666668</v>
      </c>
      <c r="BM283" s="48">
        <f>$G283/5280*VLOOKUP($AC283,'Cost and Score'!$B$27:$O$40,8,0)</f>
        <v>0</v>
      </c>
      <c r="BN283" s="48">
        <f>$G283/5280*VLOOKUP($AC283,'Cost and Score'!$B$27:$O$40,9,0)</f>
        <v>4303.977272727273</v>
      </c>
      <c r="BO283" s="48">
        <f>$G283/5280*VLOOKUP($AC283,'Cost and Score'!$B$27:$O$40,10,0)</f>
        <v>956.43939393939388</v>
      </c>
      <c r="BP283" s="48">
        <f>$G283/5280*VLOOKUP($AC283,'Cost and Score'!$B$27:$O$40,11,0)</f>
        <v>0</v>
      </c>
      <c r="BQ283" s="48">
        <f>$G283/5280*VLOOKUP($AC283,'Cost and Score'!$B$27:$O$40,12,0)</f>
        <v>95.643939393939391</v>
      </c>
      <c r="BR283" s="48">
        <f>$G283/5280*VLOOKUP($AC283,'Cost and Score'!$B$27:$O$40,13,0)</f>
        <v>114.77272727272727</v>
      </c>
      <c r="BS283" s="48">
        <f>$G283/5280*VLOOKUP($AC283,'Cost and Score'!$B$27:$O$40,14,0)</f>
        <v>0</v>
      </c>
      <c r="BT283" s="220">
        <f t="shared" si="153"/>
        <v>0.95643939393939392</v>
      </c>
    </row>
    <row r="284" spans="1:103" s="2" customFormat="1" ht="14.45" hidden="1" customHeight="1" x14ac:dyDescent="0.25">
      <c r="A284" s="15" t="s">
        <v>2535</v>
      </c>
      <c r="B284" s="34" t="s">
        <v>660</v>
      </c>
      <c r="C284" s="26" t="s">
        <v>660</v>
      </c>
      <c r="D284" s="82"/>
      <c r="E284" s="82" t="s">
        <v>35</v>
      </c>
      <c r="F284" s="82" t="s">
        <v>9</v>
      </c>
      <c r="G284" s="29">
        <v>2645</v>
      </c>
      <c r="H284" s="29">
        <f t="shared" si="158"/>
        <v>20</v>
      </c>
      <c r="I284" s="26" t="s">
        <v>8</v>
      </c>
      <c r="J284" s="26" t="s">
        <v>62</v>
      </c>
      <c r="K284" s="26">
        <f t="shared" ref="K284:K289" si="161">VLOOKUP(J284,TOWNSHIPS,2,FALSE)</f>
        <v>0</v>
      </c>
      <c r="L284" s="42">
        <v>6</v>
      </c>
      <c r="M284" s="42">
        <v>6</v>
      </c>
      <c r="N284" s="42">
        <v>6</v>
      </c>
      <c r="O284" s="83">
        <v>6</v>
      </c>
      <c r="P284" s="83">
        <v>6</v>
      </c>
      <c r="Q284" s="83">
        <v>8</v>
      </c>
      <c r="R284" s="83">
        <v>8</v>
      </c>
      <c r="S284" s="83">
        <v>7</v>
      </c>
      <c r="T284" s="83">
        <v>7</v>
      </c>
      <c r="U284" s="83">
        <v>7</v>
      </c>
      <c r="V284" s="42"/>
      <c r="W284" s="42"/>
      <c r="X284" s="42"/>
      <c r="Y284" s="26">
        <v>201</v>
      </c>
      <c r="Z284" s="26">
        <f t="shared" si="159"/>
        <v>0</v>
      </c>
      <c r="AA284" s="82" t="s">
        <v>59</v>
      </c>
      <c r="AB284" s="111">
        <f t="shared" si="144"/>
        <v>4</v>
      </c>
      <c r="AC284" s="82" t="s">
        <v>2073</v>
      </c>
      <c r="AD284" s="84">
        <f t="shared" si="140"/>
        <v>16030.30303030303</v>
      </c>
      <c r="AE284" s="140"/>
      <c r="AF284" s="113">
        <f t="shared" si="160"/>
        <v>0</v>
      </c>
      <c r="AG284" s="82">
        <v>2024</v>
      </c>
      <c r="AH284" s="26" t="str">
        <f t="shared" si="133"/>
        <v/>
      </c>
      <c r="AI284" s="26" t="str">
        <f t="shared" si="157"/>
        <v/>
      </c>
      <c r="AJ284" s="26" t="str">
        <f t="shared" si="157"/>
        <v>Chip Seal - Double and Fog</v>
      </c>
      <c r="AK284" s="26" t="str">
        <f t="shared" si="138"/>
        <v/>
      </c>
      <c r="AL284" s="26" t="str">
        <f t="shared" si="155"/>
        <v/>
      </c>
      <c r="AM284" s="26" t="str">
        <f t="shared" si="154"/>
        <v/>
      </c>
      <c r="AN284" s="26" t="str">
        <f t="shared" si="145"/>
        <v>Chip Seal - Double and Fog</v>
      </c>
      <c r="AO284" s="26" t="str">
        <f t="shared" si="156"/>
        <v/>
      </c>
      <c r="AP284" s="26" t="str">
        <f t="shared" si="146"/>
        <v/>
      </c>
      <c r="AQ284" s="68">
        <f t="shared" si="141"/>
        <v>8</v>
      </c>
      <c r="AR284" s="68">
        <f t="shared" si="142"/>
        <v>6</v>
      </c>
      <c r="AS284" s="68">
        <f t="shared" si="147"/>
        <v>1.1000000000000001</v>
      </c>
      <c r="AT284" s="68">
        <f t="shared" si="148"/>
        <v>1.1000000000000001</v>
      </c>
      <c r="AU284" s="68">
        <f t="shared" si="149"/>
        <v>1.1000000000000001</v>
      </c>
      <c r="AV284" s="68">
        <f t="shared" si="150"/>
        <v>1.1000000000000001</v>
      </c>
      <c r="AW284" s="68">
        <f t="shared" si="151"/>
        <v>1.1000000000000001</v>
      </c>
      <c r="AX284" s="68">
        <f t="shared" ca="1" si="143"/>
        <v>0</v>
      </c>
      <c r="AY284" s="68">
        <v>2018</v>
      </c>
      <c r="AZ284" s="68" t="s">
        <v>2073</v>
      </c>
      <c r="BA284" s="106" t="str">
        <f t="shared" si="152"/>
        <v>DS</v>
      </c>
      <c r="BB284" s="178"/>
      <c r="BC284" s="178">
        <v>3</v>
      </c>
      <c r="BD284" s="178"/>
      <c r="BE284" s="178"/>
      <c r="BF284" s="178"/>
      <c r="BG284" s="178"/>
      <c r="BH284" s="178"/>
      <c r="BI284" s="33"/>
      <c r="BK284" s="48">
        <f>$G284/5280*VLOOKUP($AC284,'Cost and Score'!$B$27:$O$40,6,0)</f>
        <v>0.25047348484848486</v>
      </c>
      <c r="BL284" s="48">
        <f>$G284/5280*VLOOKUP($AC284,'Cost and Score'!$B$27:$O$40,7,0)</f>
        <v>25.047348484848484</v>
      </c>
      <c r="BM284" s="48">
        <f>$G284/5280*VLOOKUP($AC284,'Cost and Score'!$B$27:$O$40,8,0)</f>
        <v>0</v>
      </c>
      <c r="BN284" s="48">
        <f>$G284/5280*VLOOKUP($AC284,'Cost and Score'!$B$27:$O$40,9,0)</f>
        <v>4758.996212121212</v>
      </c>
      <c r="BO284" s="48">
        <f>$G284/5280*VLOOKUP($AC284,'Cost and Score'!$B$27:$O$40,10,0)</f>
        <v>500.94696969696975</v>
      </c>
      <c r="BP284" s="48">
        <f>$G284/5280*VLOOKUP($AC284,'Cost and Score'!$B$27:$O$40,11,0)</f>
        <v>0</v>
      </c>
      <c r="BQ284" s="48">
        <f>$G284/5280*VLOOKUP($AC284,'Cost and Score'!$B$27:$O$40,12,0)</f>
        <v>100.18939393939394</v>
      </c>
      <c r="BR284" s="48">
        <f>$G284/5280*VLOOKUP($AC284,'Cost and Score'!$B$27:$O$40,13,0)</f>
        <v>90.170454545454547</v>
      </c>
      <c r="BS284" s="48">
        <f>$G284/5280*VLOOKUP($AC284,'Cost and Score'!$B$27:$O$40,14,0)</f>
        <v>120.22727272727273</v>
      </c>
      <c r="BT284" s="220">
        <f t="shared" si="153"/>
        <v>0.50094696969696972</v>
      </c>
    </row>
    <row r="285" spans="1:103" s="2" customFormat="1" ht="14.45" customHeight="1" x14ac:dyDescent="0.25">
      <c r="A285" s="36" t="s">
        <v>1301</v>
      </c>
      <c r="B285" s="34" t="s">
        <v>1300</v>
      </c>
      <c r="C285" s="85" t="s">
        <v>1300</v>
      </c>
      <c r="D285" s="85"/>
      <c r="E285" s="85" t="s">
        <v>222</v>
      </c>
      <c r="F285" s="85" t="s">
        <v>197</v>
      </c>
      <c r="G285" s="29">
        <v>2388</v>
      </c>
      <c r="H285" s="29">
        <f t="shared" si="158"/>
        <v>20</v>
      </c>
      <c r="I285" s="85" t="s">
        <v>8</v>
      </c>
      <c r="J285" s="85" t="s">
        <v>26</v>
      </c>
      <c r="K285" s="85">
        <f t="shared" si="161"/>
        <v>0</v>
      </c>
      <c r="L285" s="74">
        <v>8</v>
      </c>
      <c r="M285" s="74">
        <v>8</v>
      </c>
      <c r="N285" s="74">
        <v>7</v>
      </c>
      <c r="O285" s="74">
        <v>7</v>
      </c>
      <c r="P285" s="74">
        <v>7</v>
      </c>
      <c r="Q285" s="74">
        <v>7</v>
      </c>
      <c r="R285" s="74">
        <v>7</v>
      </c>
      <c r="S285" s="74">
        <v>7</v>
      </c>
      <c r="T285" s="74">
        <v>7</v>
      </c>
      <c r="U285" s="74">
        <v>7</v>
      </c>
      <c r="V285" s="74"/>
      <c r="W285" s="74"/>
      <c r="X285" s="74"/>
      <c r="Y285" s="85">
        <v>271</v>
      </c>
      <c r="Z285" s="85">
        <f t="shared" si="159"/>
        <v>0</v>
      </c>
      <c r="AA285" s="85" t="s">
        <v>149</v>
      </c>
      <c r="AB285" s="111">
        <f t="shared" si="144"/>
        <v>3</v>
      </c>
      <c r="AC285" s="82" t="s">
        <v>13</v>
      </c>
      <c r="AD285" s="47">
        <f t="shared" si="140"/>
        <v>9497.7272727272721</v>
      </c>
      <c r="AE285" s="140"/>
      <c r="AF285" s="113">
        <f t="shared" si="160"/>
        <v>0</v>
      </c>
      <c r="AG285" s="106">
        <v>2025</v>
      </c>
      <c r="AH285" s="26" t="str">
        <f t="shared" si="133"/>
        <v/>
      </c>
      <c r="AI285" s="26" t="str">
        <f t="shared" si="157"/>
        <v/>
      </c>
      <c r="AJ285" s="26" t="str">
        <f t="shared" si="157"/>
        <v/>
      </c>
      <c r="AK285" s="26" t="str">
        <f t="shared" si="138"/>
        <v>Chip Seal and Fog</v>
      </c>
      <c r="AL285" s="26" t="str">
        <f t="shared" si="155"/>
        <v/>
      </c>
      <c r="AM285" s="26" t="str">
        <f t="shared" si="154"/>
        <v/>
      </c>
      <c r="AN285" s="26" t="str">
        <f t="shared" si="145"/>
        <v>Chip Seal and Fog</v>
      </c>
      <c r="AO285" s="26" t="str">
        <f t="shared" si="156"/>
        <v/>
      </c>
      <c r="AP285" s="26" t="str">
        <f t="shared" si="146"/>
        <v/>
      </c>
      <c r="AQ285" s="68">
        <f t="shared" si="141"/>
        <v>10</v>
      </c>
      <c r="AR285" s="68">
        <f t="shared" si="142"/>
        <v>6</v>
      </c>
      <c r="AS285" s="68">
        <f t="shared" si="147"/>
        <v>1</v>
      </c>
      <c r="AT285" s="68">
        <f t="shared" si="148"/>
        <v>1</v>
      </c>
      <c r="AU285" s="68">
        <f t="shared" si="149"/>
        <v>1.05</v>
      </c>
      <c r="AV285" s="68">
        <f t="shared" si="150"/>
        <v>1.05</v>
      </c>
      <c r="AW285" s="68">
        <f t="shared" si="151"/>
        <v>1.05</v>
      </c>
      <c r="AX285" s="68">
        <f t="shared" ca="1" si="143"/>
        <v>1.05</v>
      </c>
      <c r="AY285" s="68">
        <v>2015</v>
      </c>
      <c r="AZ285" s="68" t="s">
        <v>2075</v>
      </c>
      <c r="BA285" s="106" t="str">
        <f t="shared" si="152"/>
        <v/>
      </c>
      <c r="BB285" s="178"/>
      <c r="BC285" s="178">
        <v>5</v>
      </c>
      <c r="BD285" s="178"/>
      <c r="BE285" s="178"/>
      <c r="BF285" s="178"/>
      <c r="BG285" s="178"/>
      <c r="BH285" s="178"/>
      <c r="BI285" s="33"/>
      <c r="BK285" s="48">
        <f>$G285/5280*VLOOKUP($AC285,'Cost and Score'!$B$27:$O$40,6,0)</f>
        <v>9.0454545454545454E-2</v>
      </c>
      <c r="BL285" s="48">
        <f>$G285/5280*VLOOKUP($AC285,'Cost and Score'!$B$27:$O$40,7,0)</f>
        <v>9.9499999999999993</v>
      </c>
      <c r="BM285" s="48">
        <f>$G285/5280*VLOOKUP($AC285,'Cost and Score'!$B$27:$O$40,8,0)</f>
        <v>0</v>
      </c>
      <c r="BN285" s="48">
        <f>$G285/5280*VLOOKUP($AC285,'Cost and Score'!$B$27:$O$40,9,0)</f>
        <v>2035.2272727272727</v>
      </c>
      <c r="BO285" s="48">
        <f>$G285/5280*VLOOKUP($AC285,'Cost and Score'!$B$27:$O$40,10,0)</f>
        <v>452.27272727272725</v>
      </c>
      <c r="BP285" s="48">
        <f>$G285/5280*VLOOKUP($AC285,'Cost and Score'!$B$27:$O$40,11,0)</f>
        <v>0</v>
      </c>
      <c r="BQ285" s="48">
        <f>$G285/5280*VLOOKUP($AC285,'Cost and Score'!$B$27:$O$40,12,0)</f>
        <v>45.227272727272727</v>
      </c>
      <c r="BR285" s="48">
        <f>$G285/5280*VLOOKUP($AC285,'Cost and Score'!$B$27:$O$40,13,0)</f>
        <v>54.272727272727273</v>
      </c>
      <c r="BS285" s="48">
        <f>$G285/5280*VLOOKUP($AC285,'Cost and Score'!$B$27:$O$40,14,0)</f>
        <v>0</v>
      </c>
      <c r="BT285" s="220">
        <f t="shared" si="153"/>
        <v>0.45227272727272727</v>
      </c>
      <c r="CN285" s="112"/>
      <c r="CO285" s="112"/>
      <c r="CP285" s="112"/>
      <c r="CQ285" s="112"/>
      <c r="CV285" s="112"/>
    </row>
    <row r="286" spans="1:103" s="2" customFormat="1" ht="14.45" hidden="1" customHeight="1" x14ac:dyDescent="0.25">
      <c r="A286" s="15" t="s">
        <v>664</v>
      </c>
      <c r="B286" s="34" t="s">
        <v>663</v>
      </c>
      <c r="C286" s="26" t="s">
        <v>663</v>
      </c>
      <c r="D286" s="82"/>
      <c r="E286" s="82" t="s">
        <v>39</v>
      </c>
      <c r="F286" s="82" t="s">
        <v>38</v>
      </c>
      <c r="G286" s="29">
        <v>5460</v>
      </c>
      <c r="H286" s="29">
        <f t="shared" si="158"/>
        <v>20</v>
      </c>
      <c r="I286" s="26" t="s">
        <v>13</v>
      </c>
      <c r="J286" s="26" t="s">
        <v>62</v>
      </c>
      <c r="K286" s="26">
        <f t="shared" si="161"/>
        <v>0</v>
      </c>
      <c r="L286" s="42">
        <v>6</v>
      </c>
      <c r="M286" s="42">
        <v>6</v>
      </c>
      <c r="N286" s="42">
        <v>6</v>
      </c>
      <c r="O286" s="83">
        <v>7</v>
      </c>
      <c r="P286" s="83">
        <v>6</v>
      </c>
      <c r="Q286" s="83">
        <v>9</v>
      </c>
      <c r="R286" s="83">
        <v>8</v>
      </c>
      <c r="S286" s="83">
        <v>7</v>
      </c>
      <c r="T286" s="83">
        <v>7</v>
      </c>
      <c r="U286" s="83">
        <v>7</v>
      </c>
      <c r="V286" s="42"/>
      <c r="W286" s="42"/>
      <c r="X286" s="42"/>
      <c r="Y286" s="26">
        <v>286</v>
      </c>
      <c r="Z286" s="26">
        <f t="shared" si="159"/>
        <v>0</v>
      </c>
      <c r="AA286" s="82" t="s">
        <v>59</v>
      </c>
      <c r="AB286" s="111">
        <f t="shared" si="144"/>
        <v>4</v>
      </c>
      <c r="AC286" s="82" t="s">
        <v>2073</v>
      </c>
      <c r="AD286" s="84">
        <f t="shared" si="140"/>
        <v>33090.909090909088</v>
      </c>
      <c r="AE286" s="140">
        <v>1</v>
      </c>
      <c r="AF286" s="113">
        <f t="shared" si="160"/>
        <v>33090.909090909088</v>
      </c>
      <c r="AG286" s="82">
        <v>2024</v>
      </c>
      <c r="AH286" s="26" t="str">
        <f t="shared" si="133"/>
        <v/>
      </c>
      <c r="AI286" s="26" t="str">
        <f t="shared" si="157"/>
        <v/>
      </c>
      <c r="AJ286" s="26" t="str">
        <f t="shared" si="157"/>
        <v>Chip Seal - Double and Fog</v>
      </c>
      <c r="AK286" s="26" t="str">
        <f t="shared" si="138"/>
        <v/>
      </c>
      <c r="AL286" s="26" t="str">
        <f t="shared" si="155"/>
        <v/>
      </c>
      <c r="AM286" s="26" t="str">
        <f t="shared" si="154"/>
        <v/>
      </c>
      <c r="AN286" s="26" t="str">
        <f t="shared" si="145"/>
        <v>Chip Seal - Double and Fog</v>
      </c>
      <c r="AO286" s="26" t="str">
        <f t="shared" si="156"/>
        <v/>
      </c>
      <c r="AP286" s="26" t="str">
        <f t="shared" si="146"/>
        <v/>
      </c>
      <c r="AQ286" s="68">
        <f t="shared" si="141"/>
        <v>10</v>
      </c>
      <c r="AR286" s="68">
        <f t="shared" si="142"/>
        <v>6</v>
      </c>
      <c r="AS286" s="68">
        <f t="shared" si="147"/>
        <v>1.1000000000000001</v>
      </c>
      <c r="AT286" s="68">
        <f t="shared" si="148"/>
        <v>1.1000000000000001</v>
      </c>
      <c r="AU286" s="68">
        <f t="shared" si="149"/>
        <v>1.1000000000000001</v>
      </c>
      <c r="AV286" s="68">
        <f t="shared" si="150"/>
        <v>1.05</v>
      </c>
      <c r="AW286" s="68">
        <f t="shared" si="151"/>
        <v>1.1000000000000001</v>
      </c>
      <c r="AX286" s="68">
        <f t="shared" ca="1" si="143"/>
        <v>0</v>
      </c>
      <c r="AY286" s="68">
        <v>2018</v>
      </c>
      <c r="AZ286" s="68" t="s">
        <v>2073</v>
      </c>
      <c r="BA286" s="106" t="str">
        <f t="shared" si="152"/>
        <v>DS</v>
      </c>
      <c r="BB286" s="178"/>
      <c r="BC286" s="178">
        <v>1</v>
      </c>
      <c r="BD286" s="178"/>
      <c r="BE286" s="178"/>
      <c r="BF286" s="178"/>
      <c r="BG286" s="178"/>
      <c r="BH286" s="178"/>
      <c r="BI286" s="33"/>
      <c r="BK286" s="48">
        <f>$G286/5280*VLOOKUP($AC286,'Cost and Score'!$B$27:$O$40,6,0)</f>
        <v>0.51704545454545459</v>
      </c>
      <c r="BL286" s="48">
        <f>$G286/5280*VLOOKUP($AC286,'Cost and Score'!$B$27:$O$40,7,0)</f>
        <v>51.70454545454546</v>
      </c>
      <c r="BM286" s="48">
        <f>$G286/5280*VLOOKUP($AC286,'Cost and Score'!$B$27:$O$40,8,0)</f>
        <v>0</v>
      </c>
      <c r="BN286" s="48">
        <f>$G286/5280*VLOOKUP($AC286,'Cost and Score'!$B$27:$O$40,9,0)</f>
        <v>9823.8636363636379</v>
      </c>
      <c r="BO286" s="48">
        <f>$G286/5280*VLOOKUP($AC286,'Cost and Score'!$B$27:$O$40,10,0)</f>
        <v>1034.0909090909092</v>
      </c>
      <c r="BP286" s="48">
        <f>$G286/5280*VLOOKUP($AC286,'Cost and Score'!$B$27:$O$40,11,0)</f>
        <v>0</v>
      </c>
      <c r="BQ286" s="48">
        <f>$G286/5280*VLOOKUP($AC286,'Cost and Score'!$B$27:$O$40,12,0)</f>
        <v>206.81818181818184</v>
      </c>
      <c r="BR286" s="48">
        <f>$G286/5280*VLOOKUP($AC286,'Cost and Score'!$B$27:$O$40,13,0)</f>
        <v>186.13636363636365</v>
      </c>
      <c r="BS286" s="48">
        <f>$G286/5280*VLOOKUP($AC286,'Cost and Score'!$B$27:$O$40,14,0)</f>
        <v>248.18181818181819</v>
      </c>
      <c r="BT286" s="220">
        <f t="shared" si="153"/>
        <v>1.0340909090909092</v>
      </c>
      <c r="CW286" s="112"/>
      <c r="CX286" s="112"/>
      <c r="CY286" s="112"/>
    </row>
    <row r="287" spans="1:103" s="2" customFormat="1" ht="14.45" customHeight="1" x14ac:dyDescent="0.25">
      <c r="A287" s="15" t="s">
        <v>631</v>
      </c>
      <c r="B287" s="34" t="s">
        <v>630</v>
      </c>
      <c r="C287" s="26" t="s">
        <v>630</v>
      </c>
      <c r="D287" s="82"/>
      <c r="E287" s="82" t="s">
        <v>193</v>
      </c>
      <c r="F287" s="82" t="s">
        <v>119</v>
      </c>
      <c r="G287" s="29">
        <v>5330</v>
      </c>
      <c r="H287" s="29">
        <f t="shared" si="158"/>
        <v>20</v>
      </c>
      <c r="I287" s="26" t="s">
        <v>8</v>
      </c>
      <c r="J287" s="26" t="s">
        <v>125</v>
      </c>
      <c r="K287" s="26">
        <f t="shared" si="161"/>
        <v>0</v>
      </c>
      <c r="L287" s="42">
        <v>7</v>
      </c>
      <c r="M287" s="42">
        <v>7</v>
      </c>
      <c r="N287" s="42">
        <v>7</v>
      </c>
      <c r="O287" s="83">
        <v>5</v>
      </c>
      <c r="P287" s="83">
        <v>4</v>
      </c>
      <c r="Q287" s="83">
        <v>5</v>
      </c>
      <c r="R287" s="83">
        <v>7</v>
      </c>
      <c r="S287" s="83">
        <v>7</v>
      </c>
      <c r="T287" s="83">
        <v>7</v>
      </c>
      <c r="U287" s="83">
        <v>7</v>
      </c>
      <c r="V287" s="42"/>
      <c r="W287" s="42"/>
      <c r="X287" s="42"/>
      <c r="Y287" s="26">
        <v>269</v>
      </c>
      <c r="Z287" s="26">
        <f t="shared" si="159"/>
        <v>0</v>
      </c>
      <c r="AA287" s="82" t="s">
        <v>127</v>
      </c>
      <c r="AB287" s="111">
        <f t="shared" si="144"/>
        <v>6</v>
      </c>
      <c r="AC287" s="82" t="s">
        <v>13</v>
      </c>
      <c r="AD287" s="84">
        <f t="shared" si="140"/>
        <v>21198.863636363636</v>
      </c>
      <c r="AE287" s="140"/>
      <c r="AF287" s="113">
        <f t="shared" si="160"/>
        <v>0</v>
      </c>
      <c r="AG287" s="106">
        <v>2025</v>
      </c>
      <c r="AH287" s="26" t="str">
        <f t="shared" si="133"/>
        <v/>
      </c>
      <c r="AI287" s="26" t="str">
        <f t="shared" si="157"/>
        <v/>
      </c>
      <c r="AJ287" s="26" t="str">
        <f t="shared" si="157"/>
        <v/>
      </c>
      <c r="AK287" s="26" t="str">
        <f t="shared" si="138"/>
        <v>Chip Seal and Fog</v>
      </c>
      <c r="AL287" s="26" t="str">
        <f t="shared" si="155"/>
        <v/>
      </c>
      <c r="AM287" s="26" t="str">
        <f t="shared" si="154"/>
        <v/>
      </c>
      <c r="AN287" s="26" t="str">
        <f t="shared" si="145"/>
        <v>Chip Seal and Fog</v>
      </c>
      <c r="AO287" s="26" t="str">
        <f t="shared" si="156"/>
        <v/>
      </c>
      <c r="AP287" s="26" t="str">
        <f t="shared" si="146"/>
        <v/>
      </c>
      <c r="AQ287" s="68">
        <f t="shared" si="141"/>
        <v>6</v>
      </c>
      <c r="AR287" s="68">
        <f t="shared" si="142"/>
        <v>6</v>
      </c>
      <c r="AS287" s="68">
        <f t="shared" si="147"/>
        <v>1.05</v>
      </c>
      <c r="AT287" s="68">
        <f t="shared" si="148"/>
        <v>1.05</v>
      </c>
      <c r="AU287" s="68">
        <f t="shared" si="149"/>
        <v>1.05</v>
      </c>
      <c r="AV287" s="68">
        <f t="shared" si="150"/>
        <v>1.25</v>
      </c>
      <c r="AW287" s="68">
        <f t="shared" si="151"/>
        <v>1.5</v>
      </c>
      <c r="AX287" s="68">
        <f t="shared" ca="1" si="143"/>
        <v>1.05</v>
      </c>
      <c r="AY287" s="106">
        <v>2019</v>
      </c>
      <c r="AZ287" s="106" t="s">
        <v>2072</v>
      </c>
      <c r="BA287" s="106" t="str">
        <f t="shared" si="152"/>
        <v/>
      </c>
      <c r="BB287" s="177"/>
      <c r="BC287" s="177">
        <v>6</v>
      </c>
      <c r="BD287" s="177"/>
      <c r="BE287" s="177"/>
      <c r="BF287" s="177"/>
      <c r="BG287" s="177"/>
      <c r="BH287" s="177"/>
      <c r="BI287" s="33"/>
      <c r="BK287" s="48">
        <f>$G287/5280*VLOOKUP($AC287,'Cost and Score'!$B$27:$O$40,6,0)</f>
        <v>0.2018939393939394</v>
      </c>
      <c r="BL287" s="48">
        <f>$G287/5280*VLOOKUP($AC287,'Cost and Score'!$B$27:$O$40,7,0)</f>
        <v>22.208333333333336</v>
      </c>
      <c r="BM287" s="48">
        <f>$G287/5280*VLOOKUP($AC287,'Cost and Score'!$B$27:$O$40,8,0)</f>
        <v>0</v>
      </c>
      <c r="BN287" s="48">
        <f>$G287/5280*VLOOKUP($AC287,'Cost and Score'!$B$27:$O$40,9,0)</f>
        <v>4542.6136363636369</v>
      </c>
      <c r="BO287" s="48">
        <f>$G287/5280*VLOOKUP($AC287,'Cost and Score'!$B$27:$O$40,10,0)</f>
        <v>1009.469696969697</v>
      </c>
      <c r="BP287" s="48">
        <f>$G287/5280*VLOOKUP($AC287,'Cost and Score'!$B$27:$O$40,11,0)</f>
        <v>0</v>
      </c>
      <c r="BQ287" s="48">
        <f>$G287/5280*VLOOKUP($AC287,'Cost and Score'!$B$27:$O$40,12,0)</f>
        <v>100.9469696969697</v>
      </c>
      <c r="BR287" s="48">
        <f>$G287/5280*VLOOKUP($AC287,'Cost and Score'!$B$27:$O$40,13,0)</f>
        <v>121.13636363636364</v>
      </c>
      <c r="BS287" s="48">
        <f>$G287/5280*VLOOKUP($AC287,'Cost and Score'!$B$27:$O$40,14,0)</f>
        <v>0</v>
      </c>
      <c r="BT287" s="220">
        <f t="shared" si="153"/>
        <v>1.009469696969697</v>
      </c>
    </row>
    <row r="288" spans="1:103" s="2" customFormat="1" ht="14.45" customHeight="1" x14ac:dyDescent="0.25">
      <c r="A288" s="15" t="s">
        <v>662</v>
      </c>
      <c r="B288" s="34" t="s">
        <v>661</v>
      </c>
      <c r="C288" s="26" t="s">
        <v>661</v>
      </c>
      <c r="D288" s="82"/>
      <c r="E288" s="82" t="s">
        <v>35</v>
      </c>
      <c r="F288" s="82" t="s">
        <v>213</v>
      </c>
      <c r="G288" s="29">
        <v>2659</v>
      </c>
      <c r="H288" s="29">
        <f t="shared" si="158"/>
        <v>20</v>
      </c>
      <c r="I288" s="26" t="s">
        <v>8</v>
      </c>
      <c r="J288" s="26" t="s">
        <v>62</v>
      </c>
      <c r="K288" s="26">
        <f t="shared" si="161"/>
        <v>0</v>
      </c>
      <c r="L288" s="42">
        <v>6</v>
      </c>
      <c r="M288" s="42">
        <v>6</v>
      </c>
      <c r="N288" s="42">
        <v>6</v>
      </c>
      <c r="O288" s="83">
        <v>6</v>
      </c>
      <c r="P288" s="83">
        <v>6</v>
      </c>
      <c r="Q288" s="83">
        <v>6</v>
      </c>
      <c r="R288" s="83">
        <v>8</v>
      </c>
      <c r="S288" s="83">
        <v>7</v>
      </c>
      <c r="T288" s="83">
        <v>7</v>
      </c>
      <c r="U288" s="83">
        <v>7</v>
      </c>
      <c r="V288" s="42"/>
      <c r="W288" s="42"/>
      <c r="X288" s="42"/>
      <c r="Y288" s="26">
        <v>231</v>
      </c>
      <c r="Z288" s="26">
        <f t="shared" si="159"/>
        <v>0</v>
      </c>
      <c r="AA288" s="82" t="s">
        <v>59</v>
      </c>
      <c r="AB288" s="111">
        <f t="shared" si="144"/>
        <v>4</v>
      </c>
      <c r="AC288" s="82" t="s">
        <v>13</v>
      </c>
      <c r="AD288" s="84">
        <f t="shared" si="140"/>
        <v>10575.568181818182</v>
      </c>
      <c r="AE288" s="140"/>
      <c r="AF288" s="113">
        <f t="shared" si="160"/>
        <v>0</v>
      </c>
      <c r="AG288" s="106">
        <v>2025</v>
      </c>
      <c r="AH288" s="26" t="str">
        <f t="shared" si="133"/>
        <v/>
      </c>
      <c r="AI288" s="26" t="str">
        <f t="shared" si="157"/>
        <v/>
      </c>
      <c r="AJ288" s="26" t="str">
        <f t="shared" si="157"/>
        <v/>
      </c>
      <c r="AK288" s="26" t="str">
        <f t="shared" si="138"/>
        <v>Chip Seal and Fog</v>
      </c>
      <c r="AL288" s="26" t="str">
        <f t="shared" si="155"/>
        <v/>
      </c>
      <c r="AM288" s="26" t="str">
        <f t="shared" si="154"/>
        <v/>
      </c>
      <c r="AN288" s="26" t="str">
        <f t="shared" si="145"/>
        <v>Chip Seal and Fog</v>
      </c>
      <c r="AO288" s="26" t="str">
        <f t="shared" si="156"/>
        <v/>
      </c>
      <c r="AP288" s="26" t="str">
        <f t="shared" si="146"/>
        <v/>
      </c>
      <c r="AQ288" s="68">
        <f t="shared" si="141"/>
        <v>8</v>
      </c>
      <c r="AR288" s="68">
        <f t="shared" si="142"/>
        <v>6</v>
      </c>
      <c r="AS288" s="68">
        <f t="shared" si="147"/>
        <v>1.1000000000000001</v>
      </c>
      <c r="AT288" s="68">
        <f t="shared" si="148"/>
        <v>1.1000000000000001</v>
      </c>
      <c r="AU288" s="68">
        <f t="shared" si="149"/>
        <v>1.1000000000000001</v>
      </c>
      <c r="AV288" s="68">
        <f t="shared" si="150"/>
        <v>1.1000000000000001</v>
      </c>
      <c r="AW288" s="68">
        <f t="shared" si="151"/>
        <v>1.1000000000000001</v>
      </c>
      <c r="AX288" s="68">
        <f t="shared" ca="1" si="143"/>
        <v>1.1000000000000001</v>
      </c>
      <c r="AY288" s="68">
        <v>2019</v>
      </c>
      <c r="AZ288" s="68" t="s">
        <v>2073</v>
      </c>
      <c r="BA288" s="106" t="str">
        <f t="shared" si="152"/>
        <v/>
      </c>
      <c r="BB288" s="178"/>
      <c r="BC288" s="178">
        <v>3</v>
      </c>
      <c r="BD288" s="178"/>
      <c r="BE288" s="178"/>
      <c r="BF288" s="178"/>
      <c r="BG288" s="178"/>
      <c r="BH288" s="178"/>
      <c r="BI288" s="33"/>
      <c r="BK288" s="48">
        <f>$G288/5280*VLOOKUP($AC288,'Cost and Score'!$B$27:$O$40,6,0)</f>
        <v>0.10071969696969696</v>
      </c>
      <c r="BL288" s="48">
        <f>$G288/5280*VLOOKUP($AC288,'Cost and Score'!$B$27:$O$40,7,0)</f>
        <v>11.079166666666666</v>
      </c>
      <c r="BM288" s="48">
        <f>$G288/5280*VLOOKUP($AC288,'Cost and Score'!$B$27:$O$40,8,0)</f>
        <v>0</v>
      </c>
      <c r="BN288" s="48">
        <f>$G288/5280*VLOOKUP($AC288,'Cost and Score'!$B$27:$O$40,9,0)</f>
        <v>2266.1931818181815</v>
      </c>
      <c r="BO288" s="48">
        <f>$G288/5280*VLOOKUP($AC288,'Cost and Score'!$B$27:$O$40,10,0)</f>
        <v>503.59848484848482</v>
      </c>
      <c r="BP288" s="48">
        <f>$G288/5280*VLOOKUP($AC288,'Cost and Score'!$B$27:$O$40,11,0)</f>
        <v>0</v>
      </c>
      <c r="BQ288" s="48">
        <f>$G288/5280*VLOOKUP($AC288,'Cost and Score'!$B$27:$O$40,12,0)</f>
        <v>50.359848484848477</v>
      </c>
      <c r="BR288" s="48">
        <f>$G288/5280*VLOOKUP($AC288,'Cost and Score'!$B$27:$O$40,13,0)</f>
        <v>60.431818181818173</v>
      </c>
      <c r="BS288" s="48">
        <f>$G288/5280*VLOOKUP($AC288,'Cost and Score'!$B$27:$O$40,14,0)</f>
        <v>0</v>
      </c>
      <c r="BT288" s="220">
        <f t="shared" si="153"/>
        <v>0.5035984848484848</v>
      </c>
    </row>
    <row r="289" spans="1:103" s="2" customFormat="1" ht="14.45" hidden="1" customHeight="1" x14ac:dyDescent="0.25">
      <c r="A289" s="15" t="s">
        <v>670</v>
      </c>
      <c r="B289" s="34" t="s">
        <v>669</v>
      </c>
      <c r="C289" s="26" t="s">
        <v>669</v>
      </c>
      <c r="D289" s="26"/>
      <c r="E289" s="26" t="s">
        <v>18</v>
      </c>
      <c r="F289" s="26" t="s">
        <v>297</v>
      </c>
      <c r="G289" s="29">
        <v>5411</v>
      </c>
      <c r="H289" s="29">
        <f t="shared" si="158"/>
        <v>20</v>
      </c>
      <c r="I289" s="26" t="s">
        <v>13</v>
      </c>
      <c r="J289" s="26" t="s">
        <v>26</v>
      </c>
      <c r="K289" s="26">
        <f t="shared" si="161"/>
        <v>0</v>
      </c>
      <c r="L289" s="42">
        <v>7</v>
      </c>
      <c r="M289" s="42">
        <v>7</v>
      </c>
      <c r="N289" s="42">
        <v>7</v>
      </c>
      <c r="O289" s="42">
        <v>7</v>
      </c>
      <c r="P289" s="42">
        <v>7</v>
      </c>
      <c r="Q289" s="42">
        <v>7</v>
      </c>
      <c r="R289" s="42">
        <v>7</v>
      </c>
      <c r="S289" s="42">
        <v>6</v>
      </c>
      <c r="T289" s="42">
        <v>6</v>
      </c>
      <c r="U289" s="42">
        <v>7</v>
      </c>
      <c r="V289" s="42"/>
      <c r="W289" s="42"/>
      <c r="X289" s="42"/>
      <c r="Y289" s="26">
        <v>50</v>
      </c>
      <c r="Z289" s="26">
        <f t="shared" si="159"/>
        <v>0</v>
      </c>
      <c r="AA289" s="26" t="s">
        <v>25</v>
      </c>
      <c r="AB289" s="111">
        <f t="shared" si="144"/>
        <v>3</v>
      </c>
      <c r="AC289" s="82" t="s">
        <v>2072</v>
      </c>
      <c r="AD289" s="47">
        <f t="shared" si="140"/>
        <v>47141.28787878788</v>
      </c>
      <c r="AE289" s="140"/>
      <c r="AF289" s="113">
        <f t="shared" si="160"/>
        <v>0</v>
      </c>
      <c r="AG289" s="26">
        <v>2027</v>
      </c>
      <c r="AH289" s="26" t="str">
        <f t="shared" si="133"/>
        <v/>
      </c>
      <c r="AI289" s="26" t="str">
        <f t="shared" si="157"/>
        <v/>
      </c>
      <c r="AJ289" s="26" t="str">
        <f t="shared" si="157"/>
        <v/>
      </c>
      <c r="AK289" s="26" t="str">
        <f t="shared" si="138"/>
        <v/>
      </c>
      <c r="AL289" s="26" t="str">
        <f t="shared" si="155"/>
        <v/>
      </c>
      <c r="AM289" s="26" t="str">
        <f t="shared" si="154"/>
        <v>Chip Seal - Triple</v>
      </c>
      <c r="AN289" s="26" t="str">
        <f t="shared" si="145"/>
        <v>Chip Seal - Triple</v>
      </c>
      <c r="AO289" s="26" t="str">
        <f t="shared" si="156"/>
        <v>Chip Seal and Fog</v>
      </c>
      <c r="AP289" s="26" t="str">
        <f t="shared" si="146"/>
        <v/>
      </c>
      <c r="AQ289" s="68">
        <f t="shared" si="141"/>
        <v>10</v>
      </c>
      <c r="AR289" s="68">
        <f t="shared" si="142"/>
        <v>8</v>
      </c>
      <c r="AS289" s="68">
        <f t="shared" si="147"/>
        <v>1.05</v>
      </c>
      <c r="AT289" s="68">
        <f t="shared" si="148"/>
        <v>1.05</v>
      </c>
      <c r="AU289" s="68">
        <f t="shared" si="149"/>
        <v>1.05</v>
      </c>
      <c r="AV289" s="68">
        <f t="shared" si="150"/>
        <v>1.05</v>
      </c>
      <c r="AW289" s="68">
        <f t="shared" si="151"/>
        <v>1.05</v>
      </c>
      <c r="AX289" s="68">
        <f t="shared" ca="1" si="143"/>
        <v>3.1500000000000004</v>
      </c>
      <c r="AY289" s="68">
        <v>2021</v>
      </c>
      <c r="AZ289" s="68" t="s">
        <v>13</v>
      </c>
      <c r="BA289" s="106" t="str">
        <f t="shared" si="152"/>
        <v/>
      </c>
      <c r="BB289" s="178">
        <v>25</v>
      </c>
      <c r="BC289" s="178">
        <v>5</v>
      </c>
      <c r="BD289" s="178"/>
      <c r="BE289" s="178"/>
      <c r="BF289" s="178"/>
      <c r="BG289" s="178"/>
      <c r="BH289" s="178"/>
      <c r="BI289" s="33"/>
      <c r="BK289" s="48">
        <f>$G289/5280*VLOOKUP($AC289,'Cost and Score'!$B$27:$O$40,6,0)</f>
        <v>0.61488636363636362</v>
      </c>
      <c r="BL289" s="48">
        <f>$G289/5280*VLOOKUP($AC289,'Cost and Score'!$B$27:$O$40,7,0)</f>
        <v>128.10132575757578</v>
      </c>
      <c r="BM289" s="48">
        <f>$G289/5280*VLOOKUP($AC289,'Cost and Score'!$B$27:$O$40,8,0)</f>
        <v>204.96212121212122</v>
      </c>
      <c r="BN289" s="48">
        <f>$G289/5280*VLOOKUP($AC289,'Cost and Score'!$B$27:$O$40,9,0)</f>
        <v>2049.6212121212125</v>
      </c>
      <c r="BO289" s="48">
        <f>$G289/5280*VLOOKUP($AC289,'Cost and Score'!$B$27:$O$40,10,0)</f>
        <v>512.40530303030312</v>
      </c>
      <c r="BP289" s="48">
        <f>$G289/5280*VLOOKUP($AC289,'Cost and Score'!$B$27:$O$40,11,0)</f>
        <v>102.48106060606061</v>
      </c>
      <c r="BQ289" s="48">
        <f>$G289/5280*VLOOKUP($AC289,'Cost and Score'!$B$27:$O$40,12,0)</f>
        <v>819.84848484848487</v>
      </c>
      <c r="BR289" s="48">
        <f>$G289/5280*VLOOKUP($AC289,'Cost and Score'!$B$27:$O$40,13,0)</f>
        <v>81.984848484848499</v>
      </c>
      <c r="BS289" s="48">
        <f>$G289/5280*VLOOKUP($AC289,'Cost and Score'!$B$27:$O$40,14,0)</f>
        <v>0</v>
      </c>
      <c r="BT289" s="220">
        <f t="shared" si="153"/>
        <v>1.0248106060606061</v>
      </c>
    </row>
    <row r="290" spans="1:103" s="2" customFormat="1" ht="14.45" hidden="1" customHeight="1" x14ac:dyDescent="0.25">
      <c r="A290" s="15" t="s">
        <v>672</v>
      </c>
      <c r="B290" s="34" t="s">
        <v>671</v>
      </c>
      <c r="C290" s="26" t="s">
        <v>671</v>
      </c>
      <c r="D290" s="26"/>
      <c r="E290" s="26" t="s">
        <v>116</v>
      </c>
      <c r="F290" s="26" t="s">
        <v>121</v>
      </c>
      <c r="G290" s="29">
        <v>5302</v>
      </c>
      <c r="H290" s="29">
        <f t="shared" si="158"/>
        <v>20</v>
      </c>
      <c r="I290" s="26" t="s">
        <v>13</v>
      </c>
      <c r="J290" s="26" t="s">
        <v>101</v>
      </c>
      <c r="K290" s="26">
        <v>0</v>
      </c>
      <c r="L290" s="42">
        <v>5</v>
      </c>
      <c r="M290" s="42">
        <v>5</v>
      </c>
      <c r="N290" s="42">
        <v>8</v>
      </c>
      <c r="O290" s="42">
        <v>8</v>
      </c>
      <c r="P290" s="42">
        <v>8</v>
      </c>
      <c r="Q290" s="42">
        <v>7</v>
      </c>
      <c r="R290" s="42">
        <v>7</v>
      </c>
      <c r="S290" s="42">
        <v>7</v>
      </c>
      <c r="T290" s="42">
        <v>7</v>
      </c>
      <c r="U290" s="42">
        <v>7</v>
      </c>
      <c r="V290" s="42"/>
      <c r="W290" s="42"/>
      <c r="X290" s="42"/>
      <c r="Y290" s="26">
        <v>342</v>
      </c>
      <c r="Z290" s="26">
        <f t="shared" si="159"/>
        <v>0</v>
      </c>
      <c r="AA290" s="26" t="s">
        <v>25</v>
      </c>
      <c r="AB290" s="111">
        <f t="shared" si="144"/>
        <v>2</v>
      </c>
      <c r="AC290" s="26" t="s">
        <v>13</v>
      </c>
      <c r="AD290" s="47">
        <f t="shared" si="140"/>
        <v>21087.5</v>
      </c>
      <c r="AE290" s="140"/>
      <c r="AF290" s="113">
        <f t="shared" si="160"/>
        <v>0</v>
      </c>
      <c r="AG290" s="26">
        <v>2022</v>
      </c>
      <c r="AH290" s="26" t="str">
        <f t="shared" si="133"/>
        <v>Chip Seal and Fog</v>
      </c>
      <c r="AI290" s="26" t="str">
        <f t="shared" si="157"/>
        <v/>
      </c>
      <c r="AJ290" s="26" t="str">
        <f t="shared" si="157"/>
        <v/>
      </c>
      <c r="AK290" s="26" t="str">
        <f t="shared" si="138"/>
        <v/>
      </c>
      <c r="AL290" s="26" t="str">
        <f t="shared" si="155"/>
        <v/>
      </c>
      <c r="AM290" s="26" t="str">
        <f t="shared" si="154"/>
        <v/>
      </c>
      <c r="AN290" s="26" t="str">
        <f t="shared" si="145"/>
        <v>Chip Seal and Fog</v>
      </c>
      <c r="AO290" s="26" t="str">
        <f t="shared" si="156"/>
        <v/>
      </c>
      <c r="AP290" s="26" t="str">
        <f t="shared" si="146"/>
        <v>Chip Seal and Fog</v>
      </c>
      <c r="AQ290" s="68">
        <f t="shared" si="141"/>
        <v>12</v>
      </c>
      <c r="AR290" s="68">
        <f t="shared" si="142"/>
        <v>6</v>
      </c>
      <c r="AS290" s="68">
        <f t="shared" si="147"/>
        <v>1.25</v>
      </c>
      <c r="AT290" s="68">
        <f t="shared" si="148"/>
        <v>1.25</v>
      </c>
      <c r="AU290" s="68">
        <f t="shared" si="149"/>
        <v>1</v>
      </c>
      <c r="AV290" s="68">
        <f t="shared" si="150"/>
        <v>1</v>
      </c>
      <c r="AW290" s="68">
        <f t="shared" si="151"/>
        <v>1</v>
      </c>
      <c r="AX290" s="68">
        <f t="shared" ca="1" si="143"/>
        <v>-2</v>
      </c>
      <c r="AY290" s="68">
        <v>2022</v>
      </c>
      <c r="AZ290" s="68" t="s">
        <v>13</v>
      </c>
      <c r="BA290" s="106" t="str">
        <f t="shared" si="152"/>
        <v/>
      </c>
      <c r="BB290" s="178"/>
      <c r="BC290" s="178">
        <v>4</v>
      </c>
      <c r="BD290" s="178"/>
      <c r="BE290" s="178"/>
      <c r="BF290" s="178"/>
      <c r="BG290" s="178"/>
      <c r="BH290" s="178"/>
      <c r="BI290" s="33"/>
      <c r="BK290" s="48">
        <f>$G290/5280*VLOOKUP($AC290,'Cost and Score'!$B$27:$O$40,6,0)</f>
        <v>0.20083333333333334</v>
      </c>
      <c r="BL290" s="48">
        <f>$G290/5280*VLOOKUP($AC290,'Cost and Score'!$B$27:$O$40,7,0)</f>
        <v>22.091666666666665</v>
      </c>
      <c r="BM290" s="48">
        <f>$G290/5280*VLOOKUP($AC290,'Cost and Score'!$B$27:$O$40,8,0)</f>
        <v>0</v>
      </c>
      <c r="BN290" s="48">
        <f>$G290/5280*VLOOKUP($AC290,'Cost and Score'!$B$27:$O$40,9,0)</f>
        <v>4518.75</v>
      </c>
      <c r="BO290" s="48">
        <f>$G290/5280*VLOOKUP($AC290,'Cost and Score'!$B$27:$O$40,10,0)</f>
        <v>1004.1666666666666</v>
      </c>
      <c r="BP290" s="48">
        <f>$G290/5280*VLOOKUP($AC290,'Cost and Score'!$B$27:$O$40,11,0)</f>
        <v>0</v>
      </c>
      <c r="BQ290" s="48">
        <f>$G290/5280*VLOOKUP($AC290,'Cost and Score'!$B$27:$O$40,12,0)</f>
        <v>100.41666666666667</v>
      </c>
      <c r="BR290" s="48">
        <f>$G290/5280*VLOOKUP($AC290,'Cost and Score'!$B$27:$O$40,13,0)</f>
        <v>120.5</v>
      </c>
      <c r="BS290" s="48">
        <f>$G290/5280*VLOOKUP($AC290,'Cost and Score'!$B$27:$O$40,14,0)</f>
        <v>0</v>
      </c>
      <c r="BT290" s="220">
        <f t="shared" si="153"/>
        <v>1.0041666666666667</v>
      </c>
      <c r="CS290" s="112"/>
      <c r="CT290" s="112"/>
      <c r="CU290" s="112"/>
    </row>
    <row r="291" spans="1:103" s="2" customFormat="1" ht="14.45" hidden="1" customHeight="1" x14ac:dyDescent="0.25">
      <c r="A291" s="15" t="s">
        <v>674</v>
      </c>
      <c r="B291" s="34" t="s">
        <v>673</v>
      </c>
      <c r="C291" s="26" t="s">
        <v>673</v>
      </c>
      <c r="D291" s="82"/>
      <c r="E291" s="82" t="s">
        <v>121</v>
      </c>
      <c r="F291" s="82" t="s">
        <v>124</v>
      </c>
      <c r="G291" s="29">
        <v>5320</v>
      </c>
      <c r="H291" s="29">
        <f t="shared" si="158"/>
        <v>20</v>
      </c>
      <c r="I291" s="26" t="s">
        <v>8</v>
      </c>
      <c r="J291" s="26" t="s">
        <v>125</v>
      </c>
      <c r="K291" s="26">
        <f>VLOOKUP(J291,TOWNSHIPS,2,FALSE)</f>
        <v>0</v>
      </c>
      <c r="L291" s="42">
        <v>5</v>
      </c>
      <c r="M291" s="42">
        <v>5</v>
      </c>
      <c r="N291" s="42">
        <v>5</v>
      </c>
      <c r="O291" s="83">
        <v>5</v>
      </c>
      <c r="P291" s="83">
        <v>4</v>
      </c>
      <c r="Q291" s="83">
        <v>8</v>
      </c>
      <c r="R291" s="83">
        <v>8</v>
      </c>
      <c r="S291" s="83">
        <v>7</v>
      </c>
      <c r="T291" s="83">
        <v>7</v>
      </c>
      <c r="U291" s="83">
        <v>7</v>
      </c>
      <c r="V291" s="42"/>
      <c r="W291" s="42"/>
      <c r="X291" s="42"/>
      <c r="Y291" s="26">
        <v>163</v>
      </c>
      <c r="Z291" s="26">
        <f t="shared" si="159"/>
        <v>0</v>
      </c>
      <c r="AA291" s="82" t="s">
        <v>25</v>
      </c>
      <c r="AB291" s="111">
        <f t="shared" si="144"/>
        <v>6</v>
      </c>
      <c r="AC291" s="85" t="s">
        <v>751</v>
      </c>
      <c r="AD291" s="84">
        <f t="shared" si="140"/>
        <v>110833.33333333333</v>
      </c>
      <c r="AE291" s="140">
        <v>1</v>
      </c>
      <c r="AF291" s="113">
        <f t="shared" si="160"/>
        <v>110833.33333333333</v>
      </c>
      <c r="AG291" s="82">
        <v>2024</v>
      </c>
      <c r="AH291" s="26" t="str">
        <f t="shared" si="133"/>
        <v/>
      </c>
      <c r="AI291" s="26" t="str">
        <f t="shared" si="157"/>
        <v/>
      </c>
      <c r="AJ291" s="26" t="str">
        <f t="shared" si="157"/>
        <v>Overlay - 2"</v>
      </c>
      <c r="AK291" s="26" t="str">
        <f t="shared" si="138"/>
        <v/>
      </c>
      <c r="AL291" s="26" t="str">
        <f t="shared" si="155"/>
        <v/>
      </c>
      <c r="AM291" s="26" t="str">
        <f t="shared" si="154"/>
        <v/>
      </c>
      <c r="AN291" s="26" t="str">
        <f t="shared" si="145"/>
        <v>Overlay - 2"</v>
      </c>
      <c r="AO291" s="26" t="str">
        <f t="shared" si="156"/>
        <v/>
      </c>
      <c r="AP291" s="26" t="str">
        <f t="shared" si="146"/>
        <v/>
      </c>
      <c r="AQ291" s="68">
        <f t="shared" si="141"/>
        <v>6</v>
      </c>
      <c r="AR291" s="68">
        <f t="shared" si="142"/>
        <v>12</v>
      </c>
      <c r="AS291" s="68">
        <f t="shared" si="147"/>
        <v>1.25</v>
      </c>
      <c r="AT291" s="68">
        <f t="shared" si="148"/>
        <v>1.25</v>
      </c>
      <c r="AU291" s="68">
        <f t="shared" si="149"/>
        <v>1.25</v>
      </c>
      <c r="AV291" s="68">
        <f t="shared" si="150"/>
        <v>1.25</v>
      </c>
      <c r="AW291" s="68">
        <f t="shared" si="151"/>
        <v>1.5</v>
      </c>
      <c r="AX291" s="68">
        <f t="shared" ca="1" si="143"/>
        <v>0</v>
      </c>
      <c r="AY291" s="68">
        <v>2018</v>
      </c>
      <c r="AZ291" s="68" t="s">
        <v>2072</v>
      </c>
      <c r="BA291" s="106" t="str">
        <f t="shared" si="152"/>
        <v>SP/CS</v>
      </c>
      <c r="BB291" s="178"/>
      <c r="BC291" s="178">
        <v>4</v>
      </c>
      <c r="BD291" s="178"/>
      <c r="BE291" s="178"/>
      <c r="BF291" s="178"/>
      <c r="BG291" s="178"/>
      <c r="BH291" s="178"/>
      <c r="BI291" s="33"/>
      <c r="BK291" s="48">
        <f>$G291/5280*VLOOKUP($AC291,'Cost and Score'!$B$27:$O$40,6,0)</f>
        <v>2.2670454545454546</v>
      </c>
      <c r="BL291" s="48">
        <f>$G291/5280*VLOOKUP($AC291,'Cost and Score'!$B$27:$O$40,7,0)</f>
        <v>211.59090909090909</v>
      </c>
      <c r="BM291" s="48">
        <f>$G291/5280*VLOOKUP($AC291,'Cost and Score'!$B$27:$O$40,8,0)</f>
        <v>352.65151515151513</v>
      </c>
      <c r="BN291" s="48">
        <f>$G291/5280*VLOOKUP($AC291,'Cost and Score'!$B$27:$O$40,9,0)</f>
        <v>0</v>
      </c>
      <c r="BO291" s="48">
        <f>$G291/5280*VLOOKUP($AC291,'Cost and Score'!$B$27:$O$40,10,0)</f>
        <v>0</v>
      </c>
      <c r="BP291" s="48">
        <f>$G291/5280*VLOOKUP($AC291,'Cost and Score'!$B$27:$O$40,11,0)</f>
        <v>201.5151515151515</v>
      </c>
      <c r="BQ291" s="48">
        <f>$G291/5280*VLOOKUP($AC291,'Cost and Score'!$B$27:$O$40,12,0)</f>
        <v>1712.8787878787878</v>
      </c>
      <c r="BR291" s="48">
        <f>$G291/5280*VLOOKUP($AC291,'Cost and Score'!$B$27:$O$40,13,0)</f>
        <v>0</v>
      </c>
      <c r="BS291" s="48">
        <f>$G291/5280*VLOOKUP($AC291,'Cost and Score'!$B$27:$O$40,14,0)</f>
        <v>0</v>
      </c>
      <c r="BT291" s="220">
        <f t="shared" si="153"/>
        <v>1.0075757575757576</v>
      </c>
    </row>
    <row r="292" spans="1:103" s="2" customFormat="1" hidden="1" x14ac:dyDescent="0.25">
      <c r="A292" s="36" t="s">
        <v>676</v>
      </c>
      <c r="B292" s="34" t="s">
        <v>675</v>
      </c>
      <c r="C292" s="85" t="s">
        <v>675</v>
      </c>
      <c r="D292" s="85"/>
      <c r="E292" s="85" t="s">
        <v>461</v>
      </c>
      <c r="F292" s="85" t="s">
        <v>86</v>
      </c>
      <c r="G292" s="29">
        <v>6370</v>
      </c>
      <c r="H292" s="29">
        <f t="shared" si="158"/>
        <v>20</v>
      </c>
      <c r="I292" s="85" t="s">
        <v>8</v>
      </c>
      <c r="J292" s="85" t="s">
        <v>101</v>
      </c>
      <c r="K292" s="85">
        <v>0</v>
      </c>
      <c r="L292" s="74">
        <v>8</v>
      </c>
      <c r="M292" s="74">
        <v>7</v>
      </c>
      <c r="N292" s="74">
        <v>7</v>
      </c>
      <c r="O292" s="74">
        <v>7</v>
      </c>
      <c r="P292" s="74">
        <v>7</v>
      </c>
      <c r="Q292" s="74">
        <v>6</v>
      </c>
      <c r="R292" s="74">
        <v>6</v>
      </c>
      <c r="S292" s="74">
        <v>6</v>
      </c>
      <c r="T292" s="74"/>
      <c r="U292" s="74">
        <v>7</v>
      </c>
      <c r="V292" s="74">
        <v>2024</v>
      </c>
      <c r="W292" s="74">
        <v>2021</v>
      </c>
      <c r="X292" s="74" t="s">
        <v>2612</v>
      </c>
      <c r="Y292" s="85">
        <v>469</v>
      </c>
      <c r="Z292" s="85">
        <f t="shared" si="159"/>
        <v>0</v>
      </c>
      <c r="AA292" s="85" t="s">
        <v>25</v>
      </c>
      <c r="AB292" s="111">
        <f t="shared" si="144"/>
        <v>3</v>
      </c>
      <c r="AC292" s="85" t="s">
        <v>2072</v>
      </c>
      <c r="AD292" s="47">
        <f t="shared" si="140"/>
        <v>55496.21212121212</v>
      </c>
      <c r="AE292" s="140">
        <v>1</v>
      </c>
      <c r="AF292" s="113">
        <f t="shared" si="160"/>
        <v>55496.21212121212</v>
      </c>
      <c r="AG292" s="106">
        <v>2023</v>
      </c>
      <c r="AH292" s="26" t="str">
        <f t="shared" si="133"/>
        <v/>
      </c>
      <c r="AI292" s="26" t="str">
        <f t="shared" ref="AI292:AJ311" si="162">IF($AG292=AI$1,VLOOKUP($AC292,RSL,3,FALSE),"")</f>
        <v>Chip Seal - Triple</v>
      </c>
      <c r="AJ292" s="26" t="str">
        <f t="shared" si="162"/>
        <v/>
      </c>
      <c r="AK292" s="26" t="str">
        <f t="shared" si="138"/>
        <v/>
      </c>
      <c r="AL292" s="26" t="str">
        <f t="shared" si="155"/>
        <v/>
      </c>
      <c r="AM292" s="26" t="str">
        <f t="shared" si="154"/>
        <v/>
      </c>
      <c r="AN292" s="26" t="str">
        <f t="shared" si="145"/>
        <v>Chip Seal - Triple</v>
      </c>
      <c r="AO292" s="26" t="str">
        <f t="shared" si="156"/>
        <v/>
      </c>
      <c r="AP292" s="26" t="str">
        <f t="shared" si="146"/>
        <v/>
      </c>
      <c r="AQ292" s="68">
        <f t="shared" si="141"/>
        <v>10</v>
      </c>
      <c r="AR292" s="68">
        <f t="shared" si="142"/>
        <v>8</v>
      </c>
      <c r="AS292" s="68">
        <f t="shared" si="147"/>
        <v>1</v>
      </c>
      <c r="AT292" s="68">
        <f t="shared" si="148"/>
        <v>1.05</v>
      </c>
      <c r="AU292" s="68">
        <f t="shared" si="149"/>
        <v>1.05</v>
      </c>
      <c r="AV292" s="68">
        <f t="shared" si="150"/>
        <v>1.05</v>
      </c>
      <c r="AW292" s="68">
        <f t="shared" si="151"/>
        <v>1.05</v>
      </c>
      <c r="AX292" s="68">
        <f t="shared" ca="1" si="143"/>
        <v>-1.05</v>
      </c>
      <c r="AY292" s="68">
        <v>2023</v>
      </c>
      <c r="AZ292" s="68" t="s">
        <v>2072</v>
      </c>
      <c r="BA292" s="106" t="str">
        <f t="shared" si="152"/>
        <v/>
      </c>
      <c r="BB292" s="178"/>
      <c r="BC292" s="178">
        <v>3</v>
      </c>
      <c r="BD292" s="178"/>
      <c r="BE292" s="178"/>
      <c r="BF292" s="178"/>
      <c r="BG292" s="178"/>
      <c r="BH292" s="178"/>
      <c r="BI292" s="33"/>
      <c r="BK292" s="48">
        <f>$G292/5280*VLOOKUP($AC292,'Cost and Score'!$B$27:$O$40,6,0)</f>
        <v>0.72386363636363638</v>
      </c>
      <c r="BL292" s="48">
        <f>$G292/5280*VLOOKUP($AC292,'Cost and Score'!$B$27:$O$40,7,0)</f>
        <v>150.80492424242425</v>
      </c>
      <c r="BM292" s="48">
        <f>$G292/5280*VLOOKUP($AC292,'Cost and Score'!$B$27:$O$40,8,0)</f>
        <v>241.28787878787881</v>
      </c>
      <c r="BN292" s="48">
        <f>$G292/5280*VLOOKUP($AC292,'Cost and Score'!$B$27:$O$40,9,0)</f>
        <v>2412.878787878788</v>
      </c>
      <c r="BO292" s="48">
        <f>$G292/5280*VLOOKUP($AC292,'Cost and Score'!$B$27:$O$40,10,0)</f>
        <v>603.219696969697</v>
      </c>
      <c r="BP292" s="48">
        <f>$G292/5280*VLOOKUP($AC292,'Cost and Score'!$B$27:$O$40,11,0)</f>
        <v>120.64393939393941</v>
      </c>
      <c r="BQ292" s="48">
        <f>$G292/5280*VLOOKUP($AC292,'Cost and Score'!$B$27:$O$40,12,0)</f>
        <v>965.15151515151524</v>
      </c>
      <c r="BR292" s="48">
        <f>$G292/5280*VLOOKUP($AC292,'Cost and Score'!$B$27:$O$40,13,0)</f>
        <v>96.51515151515153</v>
      </c>
      <c r="BS292" s="48">
        <f>$G292/5280*VLOOKUP($AC292,'Cost and Score'!$B$27:$O$40,14,0)</f>
        <v>0</v>
      </c>
      <c r="BT292" s="220">
        <f t="shared" si="153"/>
        <v>1.206439393939394</v>
      </c>
    </row>
    <row r="293" spans="1:103" s="2" customFormat="1" ht="14.45" hidden="1" customHeight="1" x14ac:dyDescent="0.25">
      <c r="A293" s="15" t="s">
        <v>678</v>
      </c>
      <c r="B293" s="34" t="s">
        <v>677</v>
      </c>
      <c r="C293" s="26" t="s">
        <v>677</v>
      </c>
      <c r="D293" s="26"/>
      <c r="E293" s="26" t="s">
        <v>129</v>
      </c>
      <c r="F293" s="26" t="s">
        <v>124</v>
      </c>
      <c r="G293" s="29">
        <v>5292</v>
      </c>
      <c r="H293" s="29">
        <f t="shared" si="158"/>
        <v>20</v>
      </c>
      <c r="I293" s="26" t="s">
        <v>13</v>
      </c>
      <c r="J293" s="26" t="s">
        <v>125</v>
      </c>
      <c r="K293" s="26">
        <f>VLOOKUP(J293,TOWNSHIPS,2,FALSE)</f>
        <v>0</v>
      </c>
      <c r="L293" s="42">
        <v>4</v>
      </c>
      <c r="M293" s="42">
        <v>9</v>
      </c>
      <c r="N293" s="42">
        <v>8</v>
      </c>
      <c r="O293" s="42">
        <v>8</v>
      </c>
      <c r="P293" s="42">
        <v>8</v>
      </c>
      <c r="Q293" s="42">
        <v>8</v>
      </c>
      <c r="R293" s="42">
        <v>8</v>
      </c>
      <c r="S293" s="42">
        <v>8</v>
      </c>
      <c r="T293" s="42">
        <v>8</v>
      </c>
      <c r="U293" s="42">
        <v>8</v>
      </c>
      <c r="V293" s="42"/>
      <c r="W293" s="42"/>
      <c r="X293" s="42"/>
      <c r="Y293" s="26">
        <v>152</v>
      </c>
      <c r="Z293" s="26">
        <f t="shared" si="159"/>
        <v>0</v>
      </c>
      <c r="AA293" s="26" t="s">
        <v>25</v>
      </c>
      <c r="AB293" s="111">
        <f t="shared" si="144"/>
        <v>2</v>
      </c>
      <c r="AC293" s="106" t="s">
        <v>13</v>
      </c>
      <c r="AD293" s="47">
        <f t="shared" si="140"/>
        <v>21047.727272727272</v>
      </c>
      <c r="AE293" s="140"/>
      <c r="AF293" s="113">
        <f t="shared" si="160"/>
        <v>0</v>
      </c>
      <c r="AG293" s="85">
        <v>2026</v>
      </c>
      <c r="AH293" s="26" t="str">
        <f t="shared" si="133"/>
        <v/>
      </c>
      <c r="AI293" s="26" t="str">
        <f t="shared" si="162"/>
        <v/>
      </c>
      <c r="AJ293" s="26" t="str">
        <f t="shared" si="162"/>
        <v/>
      </c>
      <c r="AK293" s="26" t="str">
        <f t="shared" si="138"/>
        <v/>
      </c>
      <c r="AL293" s="26" t="str">
        <f t="shared" si="155"/>
        <v>Chip Seal and Fog</v>
      </c>
      <c r="AM293" s="26" t="str">
        <f t="shared" si="154"/>
        <v/>
      </c>
      <c r="AN293" s="26" t="str">
        <f t="shared" si="145"/>
        <v>Chip Seal and Fog</v>
      </c>
      <c r="AO293" s="26" t="str">
        <f t="shared" si="156"/>
        <v/>
      </c>
      <c r="AP293" s="26" t="str">
        <f t="shared" si="146"/>
        <v/>
      </c>
      <c r="AQ293" s="68">
        <f t="shared" si="141"/>
        <v>12</v>
      </c>
      <c r="AR293" s="68">
        <f t="shared" si="142"/>
        <v>6</v>
      </c>
      <c r="AS293" s="68">
        <f t="shared" si="147"/>
        <v>1.5</v>
      </c>
      <c r="AT293" s="68">
        <f t="shared" si="148"/>
        <v>1</v>
      </c>
      <c r="AU293" s="68">
        <f t="shared" si="149"/>
        <v>1</v>
      </c>
      <c r="AV293" s="68">
        <f t="shared" si="150"/>
        <v>1</v>
      </c>
      <c r="AW293" s="68">
        <f t="shared" si="151"/>
        <v>1</v>
      </c>
      <c r="AX293" s="68">
        <f t="shared" ca="1" si="143"/>
        <v>2</v>
      </c>
      <c r="AY293" s="68">
        <v>2020</v>
      </c>
      <c r="AZ293" s="68" t="s">
        <v>13</v>
      </c>
      <c r="BA293" s="106" t="str">
        <f t="shared" si="152"/>
        <v/>
      </c>
      <c r="BB293" s="178"/>
      <c r="BC293" s="178">
        <v>2</v>
      </c>
      <c r="BD293" s="178"/>
      <c r="BE293" s="178"/>
      <c r="BF293" s="178"/>
      <c r="BG293" s="178"/>
      <c r="BH293" s="178"/>
      <c r="BI293" s="33"/>
      <c r="BK293" s="48">
        <f>$G293/5280*VLOOKUP($AC293,'Cost and Score'!$B$27:$O$40,6,0)</f>
        <v>0.20045454545454544</v>
      </c>
      <c r="BL293" s="48">
        <f>$G293/5280*VLOOKUP($AC293,'Cost and Score'!$B$27:$O$40,7,0)</f>
        <v>22.049999999999997</v>
      </c>
      <c r="BM293" s="48">
        <f>$G293/5280*VLOOKUP($AC293,'Cost and Score'!$B$27:$O$40,8,0)</f>
        <v>0</v>
      </c>
      <c r="BN293" s="48">
        <f>$G293/5280*VLOOKUP($AC293,'Cost and Score'!$B$27:$O$40,9,0)</f>
        <v>4510.2272727272721</v>
      </c>
      <c r="BO293" s="48">
        <f>$G293/5280*VLOOKUP($AC293,'Cost and Score'!$B$27:$O$40,10,0)</f>
        <v>1002.2727272727273</v>
      </c>
      <c r="BP293" s="48">
        <f>$G293/5280*VLOOKUP($AC293,'Cost and Score'!$B$27:$O$40,11,0)</f>
        <v>0</v>
      </c>
      <c r="BQ293" s="48">
        <f>$G293/5280*VLOOKUP($AC293,'Cost and Score'!$B$27:$O$40,12,0)</f>
        <v>100.22727272727272</v>
      </c>
      <c r="BR293" s="48">
        <f>$G293/5280*VLOOKUP($AC293,'Cost and Score'!$B$27:$O$40,13,0)</f>
        <v>120.27272727272727</v>
      </c>
      <c r="BS293" s="48">
        <f>$G293/5280*VLOOKUP($AC293,'Cost and Score'!$B$27:$O$40,14,0)</f>
        <v>0</v>
      </c>
      <c r="BT293" s="220">
        <f t="shared" si="153"/>
        <v>1.0022727272727272</v>
      </c>
      <c r="BU293" s="26"/>
    </row>
    <row r="294" spans="1:103" s="2" customFormat="1" ht="14.45" hidden="1" customHeight="1" x14ac:dyDescent="0.25">
      <c r="A294" s="15" t="s">
        <v>680</v>
      </c>
      <c r="B294" s="34" t="s">
        <v>679</v>
      </c>
      <c r="C294" s="26" t="s">
        <v>679</v>
      </c>
      <c r="D294" s="26"/>
      <c r="E294" s="26" t="s">
        <v>461</v>
      </c>
      <c r="F294" s="26" t="s">
        <v>492</v>
      </c>
      <c r="G294" s="29">
        <v>4540</v>
      </c>
      <c r="H294" s="29">
        <f t="shared" si="158"/>
        <v>20</v>
      </c>
      <c r="I294" s="26" t="s">
        <v>8</v>
      </c>
      <c r="J294" s="26" t="s">
        <v>101</v>
      </c>
      <c r="K294" s="26">
        <v>0</v>
      </c>
      <c r="L294" s="42">
        <v>8</v>
      </c>
      <c r="M294" s="42">
        <v>7</v>
      </c>
      <c r="N294" s="42">
        <v>7</v>
      </c>
      <c r="O294" s="42">
        <v>7</v>
      </c>
      <c r="P294" s="42">
        <v>7</v>
      </c>
      <c r="Q294" s="42">
        <v>7</v>
      </c>
      <c r="R294" s="42">
        <v>7</v>
      </c>
      <c r="S294" s="42">
        <v>7</v>
      </c>
      <c r="T294" s="42">
        <v>7</v>
      </c>
      <c r="U294" s="42">
        <v>7</v>
      </c>
      <c r="V294" s="42">
        <v>2024</v>
      </c>
      <c r="W294" s="42">
        <v>2021</v>
      </c>
      <c r="X294" s="42" t="s">
        <v>2612</v>
      </c>
      <c r="Y294" s="26">
        <v>228</v>
      </c>
      <c r="Z294" s="26">
        <f t="shared" si="159"/>
        <v>0</v>
      </c>
      <c r="AA294" s="26" t="s">
        <v>25</v>
      </c>
      <c r="AB294" s="111">
        <f t="shared" si="144"/>
        <v>3</v>
      </c>
      <c r="AC294" s="106" t="s">
        <v>13</v>
      </c>
      <c r="AD294" s="47">
        <f t="shared" si="140"/>
        <v>18056.81818181818</v>
      </c>
      <c r="AE294" s="140"/>
      <c r="AF294" s="113">
        <f t="shared" si="160"/>
        <v>0</v>
      </c>
      <c r="AG294" s="85">
        <v>2026</v>
      </c>
      <c r="AH294" s="26" t="str">
        <f t="shared" si="133"/>
        <v/>
      </c>
      <c r="AI294" s="26" t="str">
        <f t="shared" si="162"/>
        <v/>
      </c>
      <c r="AJ294" s="26" t="str">
        <f t="shared" si="162"/>
        <v/>
      </c>
      <c r="AK294" s="26" t="str">
        <f t="shared" si="138"/>
        <v/>
      </c>
      <c r="AL294" s="26" t="str">
        <f t="shared" si="155"/>
        <v>Chip Seal and Fog</v>
      </c>
      <c r="AM294" s="26" t="str">
        <f t="shared" si="154"/>
        <v/>
      </c>
      <c r="AN294" s="26" t="str">
        <f t="shared" si="145"/>
        <v>Chip Seal and Fog</v>
      </c>
      <c r="AO294" s="26" t="str">
        <f t="shared" si="156"/>
        <v/>
      </c>
      <c r="AP294" s="26" t="str">
        <f t="shared" si="146"/>
        <v/>
      </c>
      <c r="AQ294" s="68">
        <f t="shared" si="141"/>
        <v>10</v>
      </c>
      <c r="AR294" s="68">
        <f t="shared" si="142"/>
        <v>6</v>
      </c>
      <c r="AS294" s="68">
        <f t="shared" si="147"/>
        <v>1</v>
      </c>
      <c r="AT294" s="68">
        <f t="shared" si="148"/>
        <v>1.05</v>
      </c>
      <c r="AU294" s="68">
        <f t="shared" si="149"/>
        <v>1.05</v>
      </c>
      <c r="AV294" s="68">
        <f t="shared" si="150"/>
        <v>1.05</v>
      </c>
      <c r="AW294" s="68">
        <f t="shared" si="151"/>
        <v>1.05</v>
      </c>
      <c r="AX294" s="68">
        <f t="shared" ca="1" si="143"/>
        <v>2.1</v>
      </c>
      <c r="AY294" s="68">
        <v>2020</v>
      </c>
      <c r="AZ294" s="68" t="s">
        <v>13</v>
      </c>
      <c r="BA294" s="106" t="str">
        <f t="shared" si="152"/>
        <v/>
      </c>
      <c r="BB294" s="178"/>
      <c r="BC294" s="178">
        <v>3</v>
      </c>
      <c r="BD294" s="178"/>
      <c r="BE294" s="178"/>
      <c r="BF294" s="178"/>
      <c r="BG294" s="178"/>
      <c r="BH294" s="178"/>
      <c r="BI294" s="33"/>
      <c r="BK294" s="48">
        <f>$G294/5280*VLOOKUP($AC294,'Cost and Score'!$B$27:$O$40,6,0)</f>
        <v>0.17196969696969699</v>
      </c>
      <c r="BL294" s="48">
        <f>$G294/5280*VLOOKUP($AC294,'Cost and Score'!$B$27:$O$40,7,0)</f>
        <v>18.916666666666668</v>
      </c>
      <c r="BM294" s="48">
        <f>$G294/5280*VLOOKUP($AC294,'Cost and Score'!$B$27:$O$40,8,0)</f>
        <v>0</v>
      </c>
      <c r="BN294" s="48">
        <f>$G294/5280*VLOOKUP($AC294,'Cost and Score'!$B$27:$O$40,9,0)</f>
        <v>3869.318181818182</v>
      </c>
      <c r="BO294" s="48">
        <f>$G294/5280*VLOOKUP($AC294,'Cost and Score'!$B$27:$O$40,10,0)</f>
        <v>859.84848484848487</v>
      </c>
      <c r="BP294" s="48">
        <f>$G294/5280*VLOOKUP($AC294,'Cost and Score'!$B$27:$O$40,11,0)</f>
        <v>0</v>
      </c>
      <c r="BQ294" s="48">
        <f>$G294/5280*VLOOKUP($AC294,'Cost and Score'!$B$27:$O$40,12,0)</f>
        <v>85.984848484848484</v>
      </c>
      <c r="BR294" s="48">
        <f>$G294/5280*VLOOKUP($AC294,'Cost and Score'!$B$27:$O$40,13,0)</f>
        <v>103.18181818181819</v>
      </c>
      <c r="BS294" s="48">
        <f>$G294/5280*VLOOKUP($AC294,'Cost and Score'!$B$27:$O$40,14,0)</f>
        <v>0</v>
      </c>
      <c r="BT294" s="220">
        <f t="shared" si="153"/>
        <v>0.85984848484848486</v>
      </c>
      <c r="BV294" s="26"/>
      <c r="BW294" s="26"/>
      <c r="BX294" s="26"/>
      <c r="BY294" s="26"/>
      <c r="BZ294" s="26"/>
      <c r="CA294" s="26"/>
      <c r="CB294" s="26"/>
      <c r="CW294" s="112"/>
      <c r="CX294" s="112"/>
      <c r="CY294" s="112"/>
    </row>
    <row r="295" spans="1:103" s="2" customFormat="1" ht="14.45" hidden="1" customHeight="1" x14ac:dyDescent="0.25">
      <c r="A295" s="15" t="s">
        <v>682</v>
      </c>
      <c r="B295" s="34" t="s">
        <v>681</v>
      </c>
      <c r="C295" s="26" t="s">
        <v>681</v>
      </c>
      <c r="D295" s="26"/>
      <c r="E295" s="26" t="s">
        <v>492</v>
      </c>
      <c r="F295" s="26" t="s">
        <v>59</v>
      </c>
      <c r="G295" s="29">
        <v>1373</v>
      </c>
      <c r="H295" s="29">
        <f t="shared" si="158"/>
        <v>20</v>
      </c>
      <c r="I295" s="26" t="s">
        <v>8</v>
      </c>
      <c r="J295" s="26" t="s">
        <v>101</v>
      </c>
      <c r="K295" s="26">
        <v>0</v>
      </c>
      <c r="L295" s="42">
        <v>8</v>
      </c>
      <c r="M295" s="42">
        <v>7</v>
      </c>
      <c r="N295" s="42">
        <v>7</v>
      </c>
      <c r="O295" s="42">
        <v>7</v>
      </c>
      <c r="P295" s="42">
        <v>7</v>
      </c>
      <c r="Q295" s="42">
        <v>7</v>
      </c>
      <c r="R295" s="42">
        <v>7</v>
      </c>
      <c r="S295" s="42">
        <v>7</v>
      </c>
      <c r="T295" s="42">
        <v>7</v>
      </c>
      <c r="U295" s="42">
        <v>7</v>
      </c>
      <c r="V295" s="42">
        <v>2024</v>
      </c>
      <c r="W295" s="42">
        <v>2021</v>
      </c>
      <c r="X295" s="42" t="s">
        <v>2612</v>
      </c>
      <c r="Y295" s="26">
        <v>228</v>
      </c>
      <c r="Z295" s="26">
        <f t="shared" si="159"/>
        <v>0</v>
      </c>
      <c r="AA295" s="26" t="s">
        <v>25</v>
      </c>
      <c r="AB295" s="111">
        <f t="shared" si="144"/>
        <v>3</v>
      </c>
      <c r="AC295" s="106" t="s">
        <v>13</v>
      </c>
      <c r="AD295" s="47">
        <f t="shared" si="140"/>
        <v>5460.795454545455</v>
      </c>
      <c r="AE295" s="140"/>
      <c r="AF295" s="113">
        <f t="shared" si="160"/>
        <v>0</v>
      </c>
      <c r="AG295" s="85">
        <v>2026</v>
      </c>
      <c r="AH295" s="26" t="str">
        <f t="shared" si="133"/>
        <v/>
      </c>
      <c r="AI295" s="26" t="str">
        <f t="shared" si="162"/>
        <v/>
      </c>
      <c r="AJ295" s="26" t="str">
        <f t="shared" si="162"/>
        <v/>
      </c>
      <c r="AK295" s="26" t="str">
        <f t="shared" si="138"/>
        <v/>
      </c>
      <c r="AL295" s="26" t="str">
        <f t="shared" si="155"/>
        <v>Chip Seal and Fog</v>
      </c>
      <c r="AM295" s="26" t="str">
        <f t="shared" si="154"/>
        <v/>
      </c>
      <c r="AN295" s="26" t="str">
        <f t="shared" si="145"/>
        <v>Chip Seal and Fog</v>
      </c>
      <c r="AO295" s="26" t="str">
        <f t="shared" si="156"/>
        <v/>
      </c>
      <c r="AP295" s="26" t="str">
        <f t="shared" si="146"/>
        <v/>
      </c>
      <c r="AQ295" s="68">
        <f t="shared" si="141"/>
        <v>10</v>
      </c>
      <c r="AR295" s="68">
        <f t="shared" si="142"/>
        <v>6</v>
      </c>
      <c r="AS295" s="68">
        <f t="shared" si="147"/>
        <v>1</v>
      </c>
      <c r="AT295" s="68">
        <f t="shared" si="148"/>
        <v>1.05</v>
      </c>
      <c r="AU295" s="68">
        <f t="shared" si="149"/>
        <v>1.05</v>
      </c>
      <c r="AV295" s="68">
        <f t="shared" si="150"/>
        <v>1.05</v>
      </c>
      <c r="AW295" s="68">
        <f t="shared" si="151"/>
        <v>1.05</v>
      </c>
      <c r="AX295" s="68">
        <f t="shared" ca="1" si="143"/>
        <v>2.1</v>
      </c>
      <c r="AY295" s="68">
        <v>2020</v>
      </c>
      <c r="AZ295" s="68" t="s">
        <v>13</v>
      </c>
      <c r="BA295" s="106" t="str">
        <f t="shared" si="152"/>
        <v/>
      </c>
      <c r="BB295" s="178"/>
      <c r="BC295" s="178">
        <v>3</v>
      </c>
      <c r="BD295" s="178"/>
      <c r="BE295" s="178"/>
      <c r="BF295" s="178"/>
      <c r="BG295" s="178"/>
      <c r="BH295" s="178"/>
      <c r="BI295" s="33"/>
      <c r="BK295" s="48">
        <f>$G295/5280*VLOOKUP($AC295,'Cost and Score'!$B$27:$O$40,6,0)</f>
        <v>5.2007575757575752E-2</v>
      </c>
      <c r="BL295" s="48">
        <f>$G295/5280*VLOOKUP($AC295,'Cost and Score'!$B$27:$O$40,7,0)</f>
        <v>5.7208333333333332</v>
      </c>
      <c r="BM295" s="48">
        <f>$G295/5280*VLOOKUP($AC295,'Cost and Score'!$B$27:$O$40,8,0)</f>
        <v>0</v>
      </c>
      <c r="BN295" s="48">
        <f>$G295/5280*VLOOKUP($AC295,'Cost and Score'!$B$27:$O$40,9,0)</f>
        <v>1170.1704545454545</v>
      </c>
      <c r="BO295" s="48">
        <f>$G295/5280*VLOOKUP($AC295,'Cost and Score'!$B$27:$O$40,10,0)</f>
        <v>260.03787878787875</v>
      </c>
      <c r="BP295" s="48">
        <f>$G295/5280*VLOOKUP($AC295,'Cost and Score'!$B$27:$O$40,11,0)</f>
        <v>0</v>
      </c>
      <c r="BQ295" s="48">
        <f>$G295/5280*VLOOKUP($AC295,'Cost and Score'!$B$27:$O$40,12,0)</f>
        <v>26.003787878787875</v>
      </c>
      <c r="BR295" s="48">
        <f>$G295/5280*VLOOKUP($AC295,'Cost and Score'!$B$27:$O$40,13,0)</f>
        <v>31.204545454545453</v>
      </c>
      <c r="BS295" s="48">
        <f>$G295/5280*VLOOKUP($AC295,'Cost and Score'!$B$27:$O$40,14,0)</f>
        <v>0</v>
      </c>
      <c r="BT295" s="220">
        <f t="shared" si="153"/>
        <v>0.26003787878787876</v>
      </c>
    </row>
    <row r="296" spans="1:103" s="112" customFormat="1" ht="14.45" hidden="1" customHeight="1" x14ac:dyDescent="0.25">
      <c r="A296" s="15" t="s">
        <v>2353</v>
      </c>
      <c r="B296" s="108" t="s">
        <v>683</v>
      </c>
      <c r="C296" s="106" t="s">
        <v>683</v>
      </c>
      <c r="D296" s="106"/>
      <c r="E296" s="106" t="s">
        <v>129</v>
      </c>
      <c r="F296" s="106" t="s">
        <v>10</v>
      </c>
      <c r="G296" s="109">
        <v>2198</v>
      </c>
      <c r="H296" s="109">
        <f t="shared" si="158"/>
        <v>20</v>
      </c>
      <c r="I296" s="106" t="s">
        <v>62</v>
      </c>
      <c r="J296" s="106" t="s">
        <v>125</v>
      </c>
      <c r="K296" s="106">
        <f>VLOOKUP(J296,TOWNSHIPS,2,FALSE)</f>
        <v>0</v>
      </c>
      <c r="L296" s="110">
        <v>6</v>
      </c>
      <c r="M296" s="110">
        <v>8</v>
      </c>
      <c r="N296" s="110">
        <v>8</v>
      </c>
      <c r="O296" s="110">
        <v>8</v>
      </c>
      <c r="P296" s="110">
        <v>7</v>
      </c>
      <c r="Q296" s="110">
        <v>7</v>
      </c>
      <c r="R296" s="110">
        <v>7</v>
      </c>
      <c r="S296" s="110">
        <v>7</v>
      </c>
      <c r="T296" s="110">
        <v>6</v>
      </c>
      <c r="U296" s="110">
        <v>6</v>
      </c>
      <c r="V296" s="110"/>
      <c r="W296" s="110"/>
      <c r="X296" s="110"/>
      <c r="Y296" s="106">
        <v>50</v>
      </c>
      <c r="Z296" s="106">
        <f t="shared" si="159"/>
        <v>0</v>
      </c>
      <c r="AA296" s="106" t="s">
        <v>25</v>
      </c>
      <c r="AB296" s="111">
        <f t="shared" si="144"/>
        <v>3</v>
      </c>
      <c r="AC296" s="106" t="s">
        <v>2076</v>
      </c>
      <c r="AD296" s="107">
        <f t="shared" si="140"/>
        <v>5828.030303030303</v>
      </c>
      <c r="AE296" s="198"/>
      <c r="AF296" s="113">
        <f t="shared" si="160"/>
        <v>0</v>
      </c>
      <c r="AG296" s="106">
        <v>2023</v>
      </c>
      <c r="AH296" s="26" t="str">
        <f t="shared" si="133"/>
        <v/>
      </c>
      <c r="AI296" s="26" t="str">
        <f t="shared" si="162"/>
        <v>Dust Control</v>
      </c>
      <c r="AJ296" s="26" t="str">
        <f t="shared" si="162"/>
        <v/>
      </c>
      <c r="AK296" s="26" t="str">
        <f t="shared" si="138"/>
        <v/>
      </c>
      <c r="AL296" s="26" t="str">
        <f t="shared" si="155"/>
        <v/>
      </c>
      <c r="AM296" s="26" t="str">
        <f t="shared" si="154"/>
        <v/>
      </c>
      <c r="AN296" s="26" t="str">
        <f t="shared" si="145"/>
        <v>Dust Control</v>
      </c>
      <c r="AO296" s="26" t="str">
        <f t="shared" si="156"/>
        <v/>
      </c>
      <c r="AP296" s="26" t="str">
        <f t="shared" si="146"/>
        <v/>
      </c>
      <c r="AQ296" s="68">
        <f t="shared" si="141"/>
        <v>12</v>
      </c>
      <c r="AR296" s="68">
        <f t="shared" si="142"/>
        <v>1</v>
      </c>
      <c r="AS296" s="68">
        <f t="shared" si="147"/>
        <v>1.1000000000000001</v>
      </c>
      <c r="AT296" s="68">
        <f t="shared" si="148"/>
        <v>1</v>
      </c>
      <c r="AU296" s="68">
        <f t="shared" si="149"/>
        <v>1</v>
      </c>
      <c r="AV296" s="68">
        <f t="shared" si="150"/>
        <v>1</v>
      </c>
      <c r="AW296" s="68">
        <f t="shared" si="151"/>
        <v>1.05</v>
      </c>
      <c r="AX296" s="68">
        <f t="shared" ca="1" si="143"/>
        <v>-1</v>
      </c>
      <c r="AY296" s="106">
        <v>2017</v>
      </c>
      <c r="AZ296" s="68" t="s">
        <v>13</v>
      </c>
      <c r="BA296" s="106" t="str">
        <f t="shared" si="152"/>
        <v/>
      </c>
      <c r="BB296" s="178"/>
      <c r="BC296" s="178">
        <v>2</v>
      </c>
      <c r="BD296" s="178"/>
      <c r="BE296" s="178"/>
      <c r="BF296" s="178"/>
      <c r="BG296" s="178"/>
      <c r="BH296" s="178"/>
      <c r="BI296" s="33"/>
      <c r="BJ296" s="2"/>
      <c r="BK296" s="48">
        <f>$G296/5280*VLOOKUP($AC296,'Cost and Score'!$B$27:$O$40,6,0)</f>
        <v>0.41628787878787876</v>
      </c>
      <c r="BL296" s="48">
        <f>$G296/5280*VLOOKUP($AC296,'Cost and Score'!$B$27:$O$40,7,0)</f>
        <v>37.465909090909086</v>
      </c>
      <c r="BM296" s="48">
        <f>$G296/5280*VLOOKUP($AC296,'Cost and Score'!$B$27:$O$40,8,0)</f>
        <v>0</v>
      </c>
      <c r="BN296" s="48">
        <f>$G296/5280*VLOOKUP($AC296,'Cost and Score'!$B$27:$O$40,9,0)</f>
        <v>0</v>
      </c>
      <c r="BO296" s="48">
        <f>$G296/5280*VLOOKUP($AC296,'Cost and Score'!$B$27:$O$40,10,0)</f>
        <v>0</v>
      </c>
      <c r="BP296" s="48">
        <f>$G296/5280*VLOOKUP($AC296,'Cost and Score'!$B$27:$O$40,11,0)</f>
        <v>208.14393939393938</v>
      </c>
      <c r="BQ296" s="48">
        <f>$G296/5280*VLOOKUP($AC296,'Cost and Score'!$B$27:$O$40,12,0)</f>
        <v>0</v>
      </c>
      <c r="BR296" s="48">
        <f>$G296/5280*VLOOKUP($AC296,'Cost and Score'!$B$27:$O$40,13,0)</f>
        <v>0</v>
      </c>
      <c r="BS296" s="48">
        <f>$G296/5280*VLOOKUP($AC296,'Cost and Score'!$B$27:$O$40,14,0)</f>
        <v>0</v>
      </c>
      <c r="BT296" s="220">
        <f t="shared" si="153"/>
        <v>0.41628787878787876</v>
      </c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</row>
    <row r="297" spans="1:103" s="112" customFormat="1" ht="14.45" hidden="1" customHeight="1" x14ac:dyDescent="0.25">
      <c r="A297" s="15" t="s">
        <v>685</v>
      </c>
      <c r="B297" s="108" t="s">
        <v>684</v>
      </c>
      <c r="C297" s="106" t="s">
        <v>684</v>
      </c>
      <c r="D297" s="106"/>
      <c r="E297" s="106" t="s">
        <v>59</v>
      </c>
      <c r="F297" s="106" t="s">
        <v>499</v>
      </c>
      <c r="G297" s="109">
        <v>2746</v>
      </c>
      <c r="H297" s="109">
        <f t="shared" si="158"/>
        <v>20</v>
      </c>
      <c r="I297" s="106" t="s">
        <v>13</v>
      </c>
      <c r="J297" s="106" t="s">
        <v>101</v>
      </c>
      <c r="K297" s="106">
        <v>0</v>
      </c>
      <c r="L297" s="110">
        <v>8</v>
      </c>
      <c r="M297" s="110">
        <v>7</v>
      </c>
      <c r="N297" s="110">
        <v>7</v>
      </c>
      <c r="O297" s="110">
        <v>7</v>
      </c>
      <c r="P297" s="110">
        <v>7</v>
      </c>
      <c r="Q297" s="110">
        <v>7</v>
      </c>
      <c r="R297" s="110">
        <v>7</v>
      </c>
      <c r="S297" s="110">
        <v>7</v>
      </c>
      <c r="T297" s="110">
        <v>7</v>
      </c>
      <c r="U297" s="110">
        <v>7</v>
      </c>
      <c r="V297" s="110"/>
      <c r="W297" s="110"/>
      <c r="X297" s="110"/>
      <c r="Y297" s="106">
        <v>195</v>
      </c>
      <c r="Z297" s="106">
        <f t="shared" si="159"/>
        <v>0</v>
      </c>
      <c r="AA297" s="106" t="s">
        <v>25</v>
      </c>
      <c r="AB297" s="111">
        <f t="shared" si="144"/>
        <v>3</v>
      </c>
      <c r="AC297" s="106" t="s">
        <v>13</v>
      </c>
      <c r="AD297" s="107">
        <f t="shared" si="140"/>
        <v>10921.59090909091</v>
      </c>
      <c r="AE297" s="198"/>
      <c r="AF297" s="113">
        <f t="shared" si="160"/>
        <v>0</v>
      </c>
      <c r="AG297" s="106">
        <v>2024</v>
      </c>
      <c r="AH297" s="26" t="str">
        <f t="shared" si="133"/>
        <v/>
      </c>
      <c r="AI297" s="26" t="str">
        <f t="shared" si="162"/>
        <v/>
      </c>
      <c r="AJ297" s="26" t="str">
        <f t="shared" si="162"/>
        <v>Chip Seal and Fog</v>
      </c>
      <c r="AK297" s="26" t="str">
        <f t="shared" si="138"/>
        <v/>
      </c>
      <c r="AL297" s="26" t="str">
        <f t="shared" si="155"/>
        <v/>
      </c>
      <c r="AM297" s="26" t="str">
        <f t="shared" si="154"/>
        <v/>
      </c>
      <c r="AN297" s="26" t="str">
        <f t="shared" si="145"/>
        <v>Chip Seal and Fog</v>
      </c>
      <c r="AO297" s="26" t="str">
        <f t="shared" si="156"/>
        <v/>
      </c>
      <c r="AP297" s="26" t="str">
        <f t="shared" si="146"/>
        <v/>
      </c>
      <c r="AQ297" s="68">
        <f t="shared" si="141"/>
        <v>10</v>
      </c>
      <c r="AR297" s="68">
        <f t="shared" si="142"/>
        <v>6</v>
      </c>
      <c r="AS297" s="68">
        <f t="shared" si="147"/>
        <v>1</v>
      </c>
      <c r="AT297" s="68">
        <f t="shared" si="148"/>
        <v>1.05</v>
      </c>
      <c r="AU297" s="68">
        <f t="shared" si="149"/>
        <v>1.05</v>
      </c>
      <c r="AV297" s="68">
        <f t="shared" si="150"/>
        <v>1.05</v>
      </c>
      <c r="AW297" s="68">
        <f t="shared" si="151"/>
        <v>1.05</v>
      </c>
      <c r="AX297" s="68">
        <f t="shared" ca="1" si="143"/>
        <v>0</v>
      </c>
      <c r="AY297" s="106">
        <v>2017</v>
      </c>
      <c r="AZ297" s="106" t="s">
        <v>13</v>
      </c>
      <c r="BA297" s="106" t="str">
        <f t="shared" si="152"/>
        <v/>
      </c>
      <c r="BB297" s="177"/>
      <c r="BC297" s="177">
        <v>3</v>
      </c>
      <c r="BD297" s="177"/>
      <c r="BE297" s="177"/>
      <c r="BF297" s="177"/>
      <c r="BG297" s="177"/>
      <c r="BH297" s="177"/>
      <c r="BI297" s="33" t="s">
        <v>2418</v>
      </c>
      <c r="BJ297" s="2" t="s">
        <v>2419</v>
      </c>
      <c r="BK297" s="48">
        <f>$G297/5280*VLOOKUP($AC297,'Cost and Score'!$B$27:$O$40,6,0)</f>
        <v>0.1040151515151515</v>
      </c>
      <c r="BL297" s="48">
        <f>$G297/5280*VLOOKUP($AC297,'Cost and Score'!$B$27:$O$40,7,0)</f>
        <v>11.441666666666666</v>
      </c>
      <c r="BM297" s="48">
        <f>$G297/5280*VLOOKUP($AC297,'Cost and Score'!$B$27:$O$40,8,0)</f>
        <v>0</v>
      </c>
      <c r="BN297" s="48">
        <f>$G297/5280*VLOOKUP($AC297,'Cost and Score'!$B$27:$O$40,9,0)</f>
        <v>2340.340909090909</v>
      </c>
      <c r="BO297" s="48">
        <f>$G297/5280*VLOOKUP($AC297,'Cost and Score'!$B$27:$O$40,10,0)</f>
        <v>520.07575757575751</v>
      </c>
      <c r="BP297" s="48">
        <f>$G297/5280*VLOOKUP($AC297,'Cost and Score'!$B$27:$O$40,11,0)</f>
        <v>0</v>
      </c>
      <c r="BQ297" s="48">
        <f>$G297/5280*VLOOKUP($AC297,'Cost and Score'!$B$27:$O$40,12,0)</f>
        <v>52.007575757575751</v>
      </c>
      <c r="BR297" s="48">
        <f>$G297/5280*VLOOKUP($AC297,'Cost and Score'!$B$27:$O$40,13,0)</f>
        <v>62.409090909090907</v>
      </c>
      <c r="BS297" s="48">
        <f>$G297/5280*VLOOKUP($AC297,'Cost and Score'!$B$27:$O$40,14,0)</f>
        <v>0</v>
      </c>
      <c r="BT297" s="220">
        <f t="shared" si="153"/>
        <v>0.52007575757575752</v>
      </c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W297" s="2"/>
      <c r="CX297" s="2"/>
      <c r="CY297" s="2"/>
    </row>
    <row r="298" spans="1:103" s="112" customFormat="1" ht="14.45" hidden="1" customHeight="1" x14ac:dyDescent="0.25">
      <c r="A298" s="15" t="s">
        <v>687</v>
      </c>
      <c r="B298" s="108" t="s">
        <v>686</v>
      </c>
      <c r="C298" s="106" t="s">
        <v>686</v>
      </c>
      <c r="D298" s="106"/>
      <c r="E298" s="106" t="s">
        <v>504</v>
      </c>
      <c r="F298" s="106" t="s">
        <v>406</v>
      </c>
      <c r="G298" s="109">
        <v>4360</v>
      </c>
      <c r="H298" s="109">
        <f t="shared" si="158"/>
        <v>20</v>
      </c>
      <c r="I298" s="106" t="s">
        <v>8</v>
      </c>
      <c r="J298" s="106" t="s">
        <v>101</v>
      </c>
      <c r="K298" s="106">
        <v>0</v>
      </c>
      <c r="L298" s="110">
        <v>8</v>
      </c>
      <c r="M298" s="110">
        <v>6</v>
      </c>
      <c r="N298" s="110">
        <v>6</v>
      </c>
      <c r="O298" s="110">
        <v>5</v>
      </c>
      <c r="P298" s="110">
        <v>8</v>
      </c>
      <c r="Q298" s="110">
        <v>8</v>
      </c>
      <c r="R298" s="110">
        <v>8</v>
      </c>
      <c r="S298" s="110">
        <v>7</v>
      </c>
      <c r="T298" s="110">
        <v>7</v>
      </c>
      <c r="U298" s="110">
        <v>7</v>
      </c>
      <c r="V298" s="110"/>
      <c r="W298" s="110"/>
      <c r="X298" s="110"/>
      <c r="Y298" s="106">
        <v>200</v>
      </c>
      <c r="Z298" s="106">
        <f t="shared" si="159"/>
        <v>0</v>
      </c>
      <c r="AA298" s="106" t="s">
        <v>25</v>
      </c>
      <c r="AB298" s="111">
        <f t="shared" si="144"/>
        <v>2</v>
      </c>
      <c r="AC298" s="85" t="s">
        <v>2075</v>
      </c>
      <c r="AD298" s="107">
        <f t="shared" si="140"/>
        <v>4459.090909090909</v>
      </c>
      <c r="AE298" s="198"/>
      <c r="AF298" s="113">
        <f t="shared" si="160"/>
        <v>0</v>
      </c>
      <c r="AG298" s="106">
        <v>2022</v>
      </c>
      <c r="AH298" s="26" t="str">
        <f t="shared" si="133"/>
        <v>Crack Seal</v>
      </c>
      <c r="AI298" s="26" t="str">
        <f t="shared" si="162"/>
        <v/>
      </c>
      <c r="AJ298" s="26" t="str">
        <f t="shared" si="162"/>
        <v/>
      </c>
      <c r="AK298" s="26" t="str">
        <f t="shared" si="138"/>
        <v/>
      </c>
      <c r="AL298" s="26" t="str">
        <f t="shared" si="155"/>
        <v/>
      </c>
      <c r="AM298" s="26" t="str">
        <f t="shared" si="154"/>
        <v/>
      </c>
      <c r="AN298" s="26" t="str">
        <f t="shared" si="145"/>
        <v>Crack Seal</v>
      </c>
      <c r="AO298" s="26" t="str">
        <f t="shared" si="156"/>
        <v/>
      </c>
      <c r="AP298" s="26" t="str">
        <f t="shared" si="146"/>
        <v/>
      </c>
      <c r="AQ298" s="68">
        <f t="shared" si="141"/>
        <v>6</v>
      </c>
      <c r="AR298" s="68">
        <f t="shared" si="142"/>
        <v>3</v>
      </c>
      <c r="AS298" s="68">
        <f t="shared" si="147"/>
        <v>1</v>
      </c>
      <c r="AT298" s="68">
        <f t="shared" si="148"/>
        <v>1.1000000000000001</v>
      </c>
      <c r="AU298" s="68">
        <f t="shared" si="149"/>
        <v>1.1000000000000001</v>
      </c>
      <c r="AV298" s="68">
        <f t="shared" si="150"/>
        <v>1.25</v>
      </c>
      <c r="AW298" s="68">
        <f t="shared" si="151"/>
        <v>1</v>
      </c>
      <c r="AX298" s="68">
        <f t="shared" ca="1" si="143"/>
        <v>-2.2000000000000002</v>
      </c>
      <c r="AY298" s="106">
        <v>2017</v>
      </c>
      <c r="AZ298" s="106" t="s">
        <v>751</v>
      </c>
      <c r="BA298" s="106" t="str">
        <f t="shared" si="152"/>
        <v/>
      </c>
      <c r="BB298" s="177"/>
      <c r="BC298" s="177">
        <v>4</v>
      </c>
      <c r="BD298" s="177"/>
      <c r="BE298" s="177"/>
      <c r="BF298" s="177"/>
      <c r="BG298" s="177"/>
      <c r="BH298" s="177"/>
      <c r="BI298" s="33"/>
      <c r="BJ298" s="2"/>
      <c r="BK298" s="48">
        <f>$G298/5280*VLOOKUP($AC298,'Cost and Score'!$B$27:$O$40,6,0)</f>
        <v>0.8257575757575758</v>
      </c>
      <c r="BL298" s="48">
        <f>$G298/5280*VLOOKUP($AC298,'Cost and Score'!$B$27:$O$40,7,0)</f>
        <v>0</v>
      </c>
      <c r="BM298" s="48">
        <f>$G298/5280*VLOOKUP($AC298,'Cost and Score'!$B$27:$O$40,8,0)</f>
        <v>0</v>
      </c>
      <c r="BN298" s="48">
        <f>$G298/5280*VLOOKUP($AC298,'Cost and Score'!$B$27:$O$40,9,0)</f>
        <v>0</v>
      </c>
      <c r="BO298" s="48">
        <f>$G298/5280*VLOOKUP($AC298,'Cost and Score'!$B$27:$O$40,10,0)</f>
        <v>0</v>
      </c>
      <c r="BP298" s="48">
        <f>$G298/5280*VLOOKUP($AC298,'Cost and Score'!$B$27:$O$40,11,0)</f>
        <v>0</v>
      </c>
      <c r="BQ298" s="48">
        <f>$G298/5280*VLOOKUP($AC298,'Cost and Score'!$B$27:$O$40,12,0)</f>
        <v>0</v>
      </c>
      <c r="BR298" s="48">
        <f>$G298/5280*VLOOKUP($AC298,'Cost and Score'!$B$27:$O$40,13,0)</f>
        <v>0</v>
      </c>
      <c r="BS298" s="48">
        <f>$G298/5280*VLOOKUP($AC298,'Cost and Score'!$B$27:$O$40,14,0)</f>
        <v>0</v>
      </c>
      <c r="BT298" s="220">
        <f t="shared" si="153"/>
        <v>0.8257575757575758</v>
      </c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W298" s="2"/>
      <c r="CX298" s="2"/>
      <c r="CY298" s="2"/>
    </row>
    <row r="299" spans="1:103" s="112" customFormat="1" ht="14.45" hidden="1" customHeight="1" x14ac:dyDescent="0.25">
      <c r="A299" s="15" t="s">
        <v>689</v>
      </c>
      <c r="B299" s="108" t="s">
        <v>688</v>
      </c>
      <c r="C299" s="106" t="s">
        <v>688</v>
      </c>
      <c r="D299" s="106"/>
      <c r="E299" s="106" t="s">
        <v>499</v>
      </c>
      <c r="F299" s="106" t="s">
        <v>507</v>
      </c>
      <c r="G299" s="109">
        <v>4066</v>
      </c>
      <c r="H299" s="109">
        <f t="shared" si="158"/>
        <v>20</v>
      </c>
      <c r="I299" s="106" t="s">
        <v>8</v>
      </c>
      <c r="J299" s="106" t="s">
        <v>101</v>
      </c>
      <c r="K299" s="106">
        <v>0</v>
      </c>
      <c r="L299" s="110">
        <v>5</v>
      </c>
      <c r="M299" s="110">
        <v>5</v>
      </c>
      <c r="N299" s="110">
        <v>5</v>
      </c>
      <c r="O299" s="110">
        <v>5</v>
      </c>
      <c r="P299" s="110">
        <v>8</v>
      </c>
      <c r="Q299" s="110">
        <v>8</v>
      </c>
      <c r="R299" s="110">
        <v>8</v>
      </c>
      <c r="S299" s="110">
        <v>7</v>
      </c>
      <c r="T299" s="110">
        <v>7</v>
      </c>
      <c r="U299" s="110">
        <v>7</v>
      </c>
      <c r="V299" s="110"/>
      <c r="W299" s="110"/>
      <c r="X299" s="110"/>
      <c r="Y299" s="106">
        <v>195</v>
      </c>
      <c r="Z299" s="106">
        <f t="shared" si="159"/>
        <v>0</v>
      </c>
      <c r="AA299" s="106" t="s">
        <v>25</v>
      </c>
      <c r="AB299" s="111">
        <f t="shared" si="144"/>
        <v>2</v>
      </c>
      <c r="AC299" s="85" t="s">
        <v>2075</v>
      </c>
      <c r="AD299" s="107">
        <f t="shared" si="140"/>
        <v>4158.409090909091</v>
      </c>
      <c r="AE299" s="198"/>
      <c r="AF299" s="113">
        <f t="shared" si="160"/>
        <v>0</v>
      </c>
      <c r="AG299" s="106">
        <v>2022</v>
      </c>
      <c r="AH299" s="26" t="str">
        <f t="shared" si="133"/>
        <v>Crack Seal</v>
      </c>
      <c r="AI299" s="26" t="str">
        <f t="shared" si="162"/>
        <v/>
      </c>
      <c r="AJ299" s="26" t="str">
        <f t="shared" si="162"/>
        <v/>
      </c>
      <c r="AK299" s="26" t="str">
        <f t="shared" si="138"/>
        <v/>
      </c>
      <c r="AL299" s="26" t="str">
        <f t="shared" si="155"/>
        <v/>
      </c>
      <c r="AM299" s="26" t="str">
        <f t="shared" si="154"/>
        <v/>
      </c>
      <c r="AN299" s="26" t="str">
        <f t="shared" si="145"/>
        <v>Crack Seal</v>
      </c>
      <c r="AO299" s="26" t="str">
        <f t="shared" si="156"/>
        <v/>
      </c>
      <c r="AP299" s="26" t="str">
        <f t="shared" si="146"/>
        <v/>
      </c>
      <c r="AQ299" s="68">
        <f t="shared" si="141"/>
        <v>6</v>
      </c>
      <c r="AR299" s="68">
        <f t="shared" si="142"/>
        <v>3</v>
      </c>
      <c r="AS299" s="68">
        <f t="shared" si="147"/>
        <v>1.25</v>
      </c>
      <c r="AT299" s="68">
        <f t="shared" si="148"/>
        <v>1.25</v>
      </c>
      <c r="AU299" s="68">
        <f t="shared" si="149"/>
        <v>1.25</v>
      </c>
      <c r="AV299" s="68">
        <f t="shared" si="150"/>
        <v>1.25</v>
      </c>
      <c r="AW299" s="68">
        <f t="shared" si="151"/>
        <v>1</v>
      </c>
      <c r="AX299" s="68">
        <f t="shared" ca="1" si="143"/>
        <v>-2.5</v>
      </c>
      <c r="AY299" s="106">
        <v>2017</v>
      </c>
      <c r="AZ299" s="106" t="s">
        <v>751</v>
      </c>
      <c r="BA299" s="106" t="str">
        <f t="shared" si="152"/>
        <v/>
      </c>
      <c r="BB299" s="177"/>
      <c r="BC299" s="177">
        <v>3</v>
      </c>
      <c r="BD299" s="177"/>
      <c r="BE299" s="177"/>
      <c r="BF299" s="177"/>
      <c r="BG299" s="177"/>
      <c r="BH299" s="177"/>
      <c r="BI299" s="33"/>
      <c r="BJ299" s="2"/>
      <c r="BK299" s="48">
        <f>$G299/5280*VLOOKUP($AC299,'Cost and Score'!$B$27:$O$40,6,0)</f>
        <v>0.77007575757575752</v>
      </c>
      <c r="BL299" s="48">
        <f>$G299/5280*VLOOKUP($AC299,'Cost and Score'!$B$27:$O$40,7,0)</f>
        <v>0</v>
      </c>
      <c r="BM299" s="48">
        <f>$G299/5280*VLOOKUP($AC299,'Cost and Score'!$B$27:$O$40,8,0)</f>
        <v>0</v>
      </c>
      <c r="BN299" s="48">
        <f>$G299/5280*VLOOKUP($AC299,'Cost and Score'!$B$27:$O$40,9,0)</f>
        <v>0</v>
      </c>
      <c r="BO299" s="48">
        <f>$G299/5280*VLOOKUP($AC299,'Cost and Score'!$B$27:$O$40,10,0)</f>
        <v>0</v>
      </c>
      <c r="BP299" s="48">
        <f>$G299/5280*VLOOKUP($AC299,'Cost and Score'!$B$27:$O$40,11,0)</f>
        <v>0</v>
      </c>
      <c r="BQ299" s="48">
        <f>$G299/5280*VLOOKUP($AC299,'Cost and Score'!$B$27:$O$40,12,0)</f>
        <v>0</v>
      </c>
      <c r="BR299" s="48">
        <f>$G299/5280*VLOOKUP($AC299,'Cost and Score'!$B$27:$O$40,13,0)</f>
        <v>0</v>
      </c>
      <c r="BS299" s="48">
        <f>$G299/5280*VLOOKUP($AC299,'Cost and Score'!$B$27:$O$40,14,0)</f>
        <v>0</v>
      </c>
      <c r="BT299" s="220">
        <f t="shared" si="153"/>
        <v>0.77007575757575752</v>
      </c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W299" s="2"/>
      <c r="CX299" s="2"/>
      <c r="CY299" s="2"/>
    </row>
    <row r="300" spans="1:103" s="112" customFormat="1" ht="14.45" hidden="1" customHeight="1" x14ac:dyDescent="0.25">
      <c r="A300" s="15" t="s">
        <v>691</v>
      </c>
      <c r="B300" s="108" t="s">
        <v>690</v>
      </c>
      <c r="C300" s="106" t="s">
        <v>690</v>
      </c>
      <c r="D300" s="106"/>
      <c r="E300" s="106" t="s">
        <v>507</v>
      </c>
      <c r="F300" s="106" t="s">
        <v>73</v>
      </c>
      <c r="G300" s="109">
        <v>4066</v>
      </c>
      <c r="H300" s="109">
        <f t="shared" si="158"/>
        <v>20</v>
      </c>
      <c r="I300" s="106" t="s">
        <v>13</v>
      </c>
      <c r="J300" s="106" t="s">
        <v>26</v>
      </c>
      <c r="K300" s="106">
        <f t="shared" ref="K300:K341" si="163">VLOOKUP(J300,TOWNSHIPS,2,FALSE)</f>
        <v>0</v>
      </c>
      <c r="L300" s="110">
        <v>6</v>
      </c>
      <c r="M300" s="110">
        <v>6</v>
      </c>
      <c r="N300" s="110">
        <v>5</v>
      </c>
      <c r="O300" s="110">
        <v>5</v>
      </c>
      <c r="P300" s="110">
        <v>8</v>
      </c>
      <c r="Q300" s="110">
        <v>8</v>
      </c>
      <c r="R300" s="110">
        <v>8</v>
      </c>
      <c r="S300" s="110">
        <v>7</v>
      </c>
      <c r="T300" s="110">
        <v>7</v>
      </c>
      <c r="U300" s="110">
        <v>7</v>
      </c>
      <c r="V300" s="110"/>
      <c r="W300" s="110"/>
      <c r="X300" s="110"/>
      <c r="Y300" s="106">
        <v>205</v>
      </c>
      <c r="Z300" s="106">
        <f t="shared" si="159"/>
        <v>0</v>
      </c>
      <c r="AA300" s="106" t="s">
        <v>25</v>
      </c>
      <c r="AB300" s="111">
        <f t="shared" si="144"/>
        <v>2</v>
      </c>
      <c r="AC300" s="26" t="s">
        <v>13</v>
      </c>
      <c r="AD300" s="107">
        <f t="shared" si="140"/>
        <v>16171.59090909091</v>
      </c>
      <c r="AE300" s="198">
        <v>1</v>
      </c>
      <c r="AF300" s="113">
        <f t="shared" si="160"/>
        <v>16171.59090909091</v>
      </c>
      <c r="AG300" s="106">
        <v>2023</v>
      </c>
      <c r="AH300" s="26" t="str">
        <f t="shared" si="133"/>
        <v/>
      </c>
      <c r="AI300" s="26" t="str">
        <f t="shared" si="162"/>
        <v>Chip Seal and Fog</v>
      </c>
      <c r="AJ300" s="26" t="str">
        <f t="shared" si="162"/>
        <v/>
      </c>
      <c r="AK300" s="26" t="str">
        <f t="shared" si="138"/>
        <v/>
      </c>
      <c r="AL300" s="26" t="str">
        <f t="shared" si="155"/>
        <v/>
      </c>
      <c r="AM300" s="26" t="str">
        <f t="shared" si="154"/>
        <v/>
      </c>
      <c r="AN300" s="26" t="str">
        <f t="shared" si="145"/>
        <v>Chip Seal and Fog</v>
      </c>
      <c r="AO300" s="26" t="str">
        <f t="shared" si="156"/>
        <v/>
      </c>
      <c r="AP300" s="26" t="str">
        <f t="shared" si="146"/>
        <v/>
      </c>
      <c r="AQ300" s="68">
        <f t="shared" si="141"/>
        <v>6</v>
      </c>
      <c r="AR300" s="68">
        <f t="shared" si="142"/>
        <v>6</v>
      </c>
      <c r="AS300" s="68">
        <f t="shared" si="147"/>
        <v>1.1000000000000001</v>
      </c>
      <c r="AT300" s="68">
        <f t="shared" si="148"/>
        <v>1.1000000000000001</v>
      </c>
      <c r="AU300" s="68">
        <f t="shared" si="149"/>
        <v>1.25</v>
      </c>
      <c r="AV300" s="68">
        <f t="shared" si="150"/>
        <v>1.25</v>
      </c>
      <c r="AW300" s="68">
        <f t="shared" si="151"/>
        <v>1</v>
      </c>
      <c r="AX300" s="68">
        <f t="shared" ca="1" si="143"/>
        <v>-1.25</v>
      </c>
      <c r="AY300" s="106">
        <v>2023</v>
      </c>
      <c r="AZ300" s="106" t="s">
        <v>13</v>
      </c>
      <c r="BA300" s="106" t="str">
        <f t="shared" si="152"/>
        <v/>
      </c>
      <c r="BB300" s="177"/>
      <c r="BC300" s="177">
        <v>3</v>
      </c>
      <c r="BD300" s="177"/>
      <c r="BE300" s="177"/>
      <c r="BF300" s="177"/>
      <c r="BG300" s="177"/>
      <c r="BH300" s="177"/>
      <c r="BI300" s="33"/>
      <c r="BJ300" s="2"/>
      <c r="BK300" s="48">
        <f>$G300/5280*VLOOKUP($AC300,'Cost and Score'!$B$27:$O$40,6,0)</f>
        <v>0.15401515151515152</v>
      </c>
      <c r="BL300" s="48">
        <f>$G300/5280*VLOOKUP($AC300,'Cost and Score'!$B$27:$O$40,7,0)</f>
        <v>16.941666666666666</v>
      </c>
      <c r="BM300" s="48">
        <f>$G300/5280*VLOOKUP($AC300,'Cost and Score'!$B$27:$O$40,8,0)</f>
        <v>0</v>
      </c>
      <c r="BN300" s="48">
        <f>$G300/5280*VLOOKUP($AC300,'Cost and Score'!$B$27:$O$40,9,0)</f>
        <v>3465.340909090909</v>
      </c>
      <c r="BO300" s="48">
        <f>$G300/5280*VLOOKUP($AC300,'Cost and Score'!$B$27:$O$40,10,0)</f>
        <v>770.07575757575751</v>
      </c>
      <c r="BP300" s="48">
        <f>$G300/5280*VLOOKUP($AC300,'Cost and Score'!$B$27:$O$40,11,0)</f>
        <v>0</v>
      </c>
      <c r="BQ300" s="48">
        <f>$G300/5280*VLOOKUP($AC300,'Cost and Score'!$B$27:$O$40,12,0)</f>
        <v>77.007575757575751</v>
      </c>
      <c r="BR300" s="48">
        <f>$G300/5280*VLOOKUP($AC300,'Cost and Score'!$B$27:$O$40,13,0)</f>
        <v>92.409090909090907</v>
      </c>
      <c r="BS300" s="48">
        <f>$G300/5280*VLOOKUP($AC300,'Cost and Score'!$B$27:$O$40,14,0)</f>
        <v>0</v>
      </c>
      <c r="BT300" s="220">
        <f t="shared" si="153"/>
        <v>0.77007575757575752</v>
      </c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W300" s="2"/>
      <c r="CX300" s="2"/>
      <c r="CY300" s="2"/>
    </row>
    <row r="301" spans="1:103" s="2" customFormat="1" ht="14.45" customHeight="1" x14ac:dyDescent="0.25">
      <c r="A301" s="38" t="s">
        <v>1538</v>
      </c>
      <c r="B301" s="34" t="s">
        <v>1537</v>
      </c>
      <c r="C301" s="26" t="s">
        <v>1537</v>
      </c>
      <c r="D301" s="82"/>
      <c r="E301" s="82" t="s">
        <v>119</v>
      </c>
      <c r="F301" s="82" t="s">
        <v>206</v>
      </c>
      <c r="G301" s="29">
        <v>4380</v>
      </c>
      <c r="H301" s="29">
        <f t="shared" si="158"/>
        <v>20</v>
      </c>
      <c r="I301" s="26" t="s">
        <v>8</v>
      </c>
      <c r="J301" s="26" t="s">
        <v>125</v>
      </c>
      <c r="K301" s="26">
        <f t="shared" si="163"/>
        <v>0</v>
      </c>
      <c r="L301" s="42">
        <v>7</v>
      </c>
      <c r="M301" s="42">
        <v>6</v>
      </c>
      <c r="N301" s="42">
        <v>6</v>
      </c>
      <c r="O301" s="83">
        <v>5</v>
      </c>
      <c r="P301" s="83">
        <v>4</v>
      </c>
      <c r="Q301" s="83">
        <v>4</v>
      </c>
      <c r="R301" s="83">
        <v>8</v>
      </c>
      <c r="S301" s="83">
        <v>8</v>
      </c>
      <c r="T301" s="83">
        <v>8</v>
      </c>
      <c r="U301" s="83">
        <v>8</v>
      </c>
      <c r="V301" s="42"/>
      <c r="W301" s="42"/>
      <c r="X301" s="42" t="s">
        <v>2612</v>
      </c>
      <c r="Y301" s="26">
        <v>226</v>
      </c>
      <c r="Z301" s="26">
        <f t="shared" si="159"/>
        <v>0</v>
      </c>
      <c r="AA301" s="82" t="s">
        <v>1537</v>
      </c>
      <c r="AB301" s="111">
        <f t="shared" si="144"/>
        <v>6</v>
      </c>
      <c r="AC301" s="85" t="s">
        <v>13</v>
      </c>
      <c r="AD301" s="84">
        <f t="shared" si="140"/>
        <v>17420.454545454544</v>
      </c>
      <c r="AE301" s="140"/>
      <c r="AF301" s="113">
        <f t="shared" si="160"/>
        <v>0</v>
      </c>
      <c r="AG301" s="106">
        <v>2025</v>
      </c>
      <c r="AH301" s="26" t="str">
        <f t="shared" si="133"/>
        <v/>
      </c>
      <c r="AI301" s="26" t="str">
        <f t="shared" si="162"/>
        <v/>
      </c>
      <c r="AJ301" s="26" t="str">
        <f t="shared" si="162"/>
        <v/>
      </c>
      <c r="AK301" s="26" t="str">
        <f t="shared" si="138"/>
        <v>Chip Seal and Fog</v>
      </c>
      <c r="AL301" s="26" t="str">
        <f t="shared" si="155"/>
        <v/>
      </c>
      <c r="AM301" s="26" t="str">
        <f t="shared" si="154"/>
        <v/>
      </c>
      <c r="AN301" s="26" t="str">
        <f t="shared" si="145"/>
        <v>Chip Seal and Fog</v>
      </c>
      <c r="AO301" s="26" t="str">
        <f t="shared" si="156"/>
        <v/>
      </c>
      <c r="AP301" s="26" t="str">
        <f t="shared" si="146"/>
        <v/>
      </c>
      <c r="AQ301" s="68">
        <f t="shared" si="141"/>
        <v>6</v>
      </c>
      <c r="AR301" s="68">
        <f t="shared" si="142"/>
        <v>6</v>
      </c>
      <c r="AS301" s="68">
        <f t="shared" si="147"/>
        <v>1.05</v>
      </c>
      <c r="AT301" s="68">
        <f t="shared" si="148"/>
        <v>1.1000000000000001</v>
      </c>
      <c r="AU301" s="68">
        <f t="shared" si="149"/>
        <v>1.1000000000000001</v>
      </c>
      <c r="AV301" s="68">
        <f t="shared" si="150"/>
        <v>1.25</v>
      </c>
      <c r="AW301" s="68">
        <f t="shared" si="151"/>
        <v>1.5</v>
      </c>
      <c r="AX301" s="68">
        <f t="shared" ca="1" si="143"/>
        <v>1.1000000000000001</v>
      </c>
      <c r="AY301" s="68">
        <v>2019</v>
      </c>
      <c r="AZ301" s="68" t="s">
        <v>2072</v>
      </c>
      <c r="BA301" s="106" t="str">
        <f t="shared" si="152"/>
        <v/>
      </c>
      <c r="BB301" s="178"/>
      <c r="BC301" s="178">
        <v>6</v>
      </c>
      <c r="BD301" s="178"/>
      <c r="BE301" s="178"/>
      <c r="BF301" s="178"/>
      <c r="BG301" s="178"/>
      <c r="BH301" s="178"/>
      <c r="BI301" s="33"/>
      <c r="BK301" s="48">
        <f>$G301/5280*VLOOKUP($AC301,'Cost and Score'!$B$27:$O$40,6,0)</f>
        <v>0.16590909090909092</v>
      </c>
      <c r="BL301" s="48">
        <f>$G301/5280*VLOOKUP($AC301,'Cost and Score'!$B$27:$O$40,7,0)</f>
        <v>18.25</v>
      </c>
      <c r="BM301" s="48">
        <f>$G301/5280*VLOOKUP($AC301,'Cost and Score'!$B$27:$O$40,8,0)</f>
        <v>0</v>
      </c>
      <c r="BN301" s="48">
        <f>$G301/5280*VLOOKUP($AC301,'Cost and Score'!$B$27:$O$40,9,0)</f>
        <v>3732.9545454545455</v>
      </c>
      <c r="BO301" s="48">
        <f>$G301/5280*VLOOKUP($AC301,'Cost and Score'!$B$27:$O$40,10,0)</f>
        <v>829.54545454545462</v>
      </c>
      <c r="BP301" s="48">
        <f>$G301/5280*VLOOKUP($AC301,'Cost and Score'!$B$27:$O$40,11,0)</f>
        <v>0</v>
      </c>
      <c r="BQ301" s="48">
        <f>$G301/5280*VLOOKUP($AC301,'Cost and Score'!$B$27:$O$40,12,0)</f>
        <v>82.954545454545453</v>
      </c>
      <c r="BR301" s="48">
        <f>$G301/5280*VLOOKUP($AC301,'Cost and Score'!$B$27:$O$40,13,0)</f>
        <v>99.545454545454547</v>
      </c>
      <c r="BS301" s="48">
        <f>$G301/5280*VLOOKUP($AC301,'Cost and Score'!$B$27:$O$40,14,0)</f>
        <v>0</v>
      </c>
      <c r="BT301" s="220">
        <f t="shared" si="153"/>
        <v>0.82954545454545459</v>
      </c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S301" s="112"/>
      <c r="CT301" s="112"/>
      <c r="CU301" s="112"/>
      <c r="CV301" s="112"/>
    </row>
    <row r="302" spans="1:103" s="112" customFormat="1" ht="14.45" hidden="1" customHeight="1" x14ac:dyDescent="0.25">
      <c r="A302" s="15" t="s">
        <v>695</v>
      </c>
      <c r="B302" s="108" t="s">
        <v>694</v>
      </c>
      <c r="C302" s="106" t="s">
        <v>694</v>
      </c>
      <c r="D302" s="106"/>
      <c r="E302" s="106" t="s">
        <v>73</v>
      </c>
      <c r="F302" s="106" t="s">
        <v>140</v>
      </c>
      <c r="G302" s="109">
        <v>4488</v>
      </c>
      <c r="H302" s="109">
        <f t="shared" si="158"/>
        <v>20</v>
      </c>
      <c r="I302" s="106" t="s">
        <v>13</v>
      </c>
      <c r="J302" s="106" t="s">
        <v>26</v>
      </c>
      <c r="K302" s="106">
        <f t="shared" si="163"/>
        <v>0</v>
      </c>
      <c r="L302" s="110">
        <v>8</v>
      </c>
      <c r="M302" s="110">
        <v>5</v>
      </c>
      <c r="N302" s="110">
        <v>5</v>
      </c>
      <c r="O302" s="110">
        <v>5</v>
      </c>
      <c r="P302" s="110">
        <v>9</v>
      </c>
      <c r="Q302" s="110">
        <v>8</v>
      </c>
      <c r="R302" s="110">
        <v>8</v>
      </c>
      <c r="S302" s="110">
        <v>7</v>
      </c>
      <c r="T302" s="110">
        <v>7</v>
      </c>
      <c r="U302" s="110">
        <v>7</v>
      </c>
      <c r="V302" s="110"/>
      <c r="W302" s="110"/>
      <c r="X302" s="110"/>
      <c r="Y302" s="106">
        <v>50</v>
      </c>
      <c r="Z302" s="106">
        <f t="shared" si="159"/>
        <v>0</v>
      </c>
      <c r="AA302" s="106" t="s">
        <v>25</v>
      </c>
      <c r="AB302" s="111">
        <f t="shared" si="144"/>
        <v>1</v>
      </c>
      <c r="AC302" s="106" t="s">
        <v>2073</v>
      </c>
      <c r="AD302" s="107">
        <f t="shared" si="140"/>
        <v>27200</v>
      </c>
      <c r="AE302" s="198">
        <v>1</v>
      </c>
      <c r="AF302" s="113">
        <f t="shared" si="160"/>
        <v>27200</v>
      </c>
      <c r="AG302" s="26">
        <v>2023</v>
      </c>
      <c r="AH302" s="26" t="str">
        <f t="shared" si="133"/>
        <v/>
      </c>
      <c r="AI302" s="26" t="str">
        <f t="shared" si="162"/>
        <v>Chip Seal - Double and Fog</v>
      </c>
      <c r="AJ302" s="26" t="str">
        <f t="shared" si="162"/>
        <v/>
      </c>
      <c r="AK302" s="26" t="str">
        <f t="shared" si="138"/>
        <v/>
      </c>
      <c r="AL302" s="26" t="str">
        <f t="shared" si="155"/>
        <v/>
      </c>
      <c r="AM302" s="26" t="str">
        <f t="shared" si="154"/>
        <v/>
      </c>
      <c r="AN302" s="26" t="str">
        <f t="shared" si="145"/>
        <v>Chip Seal - Double and Fog</v>
      </c>
      <c r="AO302" s="26" t="str">
        <f t="shared" si="156"/>
        <v/>
      </c>
      <c r="AP302" s="26" t="str">
        <f t="shared" si="146"/>
        <v/>
      </c>
      <c r="AQ302" s="68">
        <f t="shared" si="141"/>
        <v>6</v>
      </c>
      <c r="AR302" s="68">
        <f t="shared" si="142"/>
        <v>6</v>
      </c>
      <c r="AS302" s="68">
        <f t="shared" si="147"/>
        <v>1</v>
      </c>
      <c r="AT302" s="68">
        <f t="shared" si="148"/>
        <v>1.25</v>
      </c>
      <c r="AU302" s="68">
        <f t="shared" si="149"/>
        <v>1.25</v>
      </c>
      <c r="AV302" s="68">
        <f t="shared" si="150"/>
        <v>1.25</v>
      </c>
      <c r="AW302" s="68">
        <f t="shared" si="151"/>
        <v>1</v>
      </c>
      <c r="AX302" s="68">
        <f t="shared" ca="1" si="143"/>
        <v>-1.25</v>
      </c>
      <c r="AY302" s="106">
        <v>2023</v>
      </c>
      <c r="AZ302" s="111" t="s">
        <v>2073</v>
      </c>
      <c r="BA302" s="106" t="str">
        <f t="shared" si="152"/>
        <v/>
      </c>
      <c r="BB302" s="110"/>
      <c r="BC302" s="110">
        <v>5</v>
      </c>
      <c r="BD302" s="110"/>
      <c r="BE302" s="110"/>
      <c r="BF302" s="110"/>
      <c r="BG302" s="110"/>
      <c r="BH302" s="110"/>
      <c r="BI302" s="33"/>
      <c r="BJ302" s="2"/>
      <c r="BK302" s="48">
        <f>$G302/5280*VLOOKUP($AC302,'Cost and Score'!$B$27:$O$40,6,0)</f>
        <v>0.42499999999999999</v>
      </c>
      <c r="BL302" s="48">
        <f>$G302/5280*VLOOKUP($AC302,'Cost and Score'!$B$27:$O$40,7,0)</f>
        <v>42.5</v>
      </c>
      <c r="BM302" s="48">
        <f>$G302/5280*VLOOKUP($AC302,'Cost and Score'!$B$27:$O$40,8,0)</f>
        <v>0</v>
      </c>
      <c r="BN302" s="48">
        <f>$G302/5280*VLOOKUP($AC302,'Cost and Score'!$B$27:$O$40,9,0)</f>
        <v>8075</v>
      </c>
      <c r="BO302" s="48">
        <f>$G302/5280*VLOOKUP($AC302,'Cost and Score'!$B$27:$O$40,10,0)</f>
        <v>850</v>
      </c>
      <c r="BP302" s="48">
        <f>$G302/5280*VLOOKUP($AC302,'Cost and Score'!$B$27:$O$40,11,0)</f>
        <v>0</v>
      </c>
      <c r="BQ302" s="48">
        <f>$G302/5280*VLOOKUP($AC302,'Cost and Score'!$B$27:$O$40,12,0)</f>
        <v>170</v>
      </c>
      <c r="BR302" s="48">
        <f>$G302/5280*VLOOKUP($AC302,'Cost and Score'!$B$27:$O$40,13,0)</f>
        <v>153</v>
      </c>
      <c r="BS302" s="48">
        <f>$G302/5280*VLOOKUP($AC302,'Cost and Score'!$B$27:$O$40,14,0)</f>
        <v>204</v>
      </c>
      <c r="BT302" s="220">
        <f t="shared" si="153"/>
        <v>0.85</v>
      </c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</row>
    <row r="303" spans="1:103" s="112" customFormat="1" ht="14.45" hidden="1" customHeight="1" x14ac:dyDescent="0.25">
      <c r="A303" s="15" t="s">
        <v>697</v>
      </c>
      <c r="B303" s="108" t="s">
        <v>696</v>
      </c>
      <c r="C303" s="106" t="s">
        <v>696</v>
      </c>
      <c r="D303" s="106"/>
      <c r="E303" s="106" t="s">
        <v>140</v>
      </c>
      <c r="F303" s="106" t="s">
        <v>147</v>
      </c>
      <c r="G303" s="109">
        <v>5491</v>
      </c>
      <c r="H303" s="109">
        <f t="shared" si="158"/>
        <v>20</v>
      </c>
      <c r="I303" s="106" t="s">
        <v>8</v>
      </c>
      <c r="J303" s="106" t="s">
        <v>26</v>
      </c>
      <c r="K303" s="106">
        <f t="shared" si="163"/>
        <v>0</v>
      </c>
      <c r="L303" s="110">
        <v>7</v>
      </c>
      <c r="M303" s="110">
        <v>5</v>
      </c>
      <c r="N303" s="110">
        <v>5</v>
      </c>
      <c r="O303" s="110">
        <v>5</v>
      </c>
      <c r="P303" s="110">
        <v>9</v>
      </c>
      <c r="Q303" s="110">
        <v>8</v>
      </c>
      <c r="R303" s="110">
        <v>8</v>
      </c>
      <c r="S303" s="110">
        <v>7</v>
      </c>
      <c r="T303" s="110">
        <v>7</v>
      </c>
      <c r="U303" s="110">
        <v>7</v>
      </c>
      <c r="V303" s="110"/>
      <c r="W303" s="110"/>
      <c r="X303" s="110"/>
      <c r="Y303" s="106">
        <v>50</v>
      </c>
      <c r="Z303" s="106">
        <f t="shared" si="159"/>
        <v>0</v>
      </c>
      <c r="AA303" s="106" t="s">
        <v>25</v>
      </c>
      <c r="AB303" s="111">
        <f t="shared" si="144"/>
        <v>1</v>
      </c>
      <c r="AC303" s="85" t="s">
        <v>2075</v>
      </c>
      <c r="AD303" s="107">
        <f t="shared" si="140"/>
        <v>5615.795454545455</v>
      </c>
      <c r="AE303" s="198"/>
      <c r="AF303" s="113">
        <f t="shared" si="160"/>
        <v>0</v>
      </c>
      <c r="AG303" s="106">
        <v>2022</v>
      </c>
      <c r="AH303" s="26" t="str">
        <f t="shared" si="133"/>
        <v>Crack Seal</v>
      </c>
      <c r="AI303" s="26" t="str">
        <f t="shared" si="162"/>
        <v/>
      </c>
      <c r="AJ303" s="26" t="str">
        <f t="shared" si="162"/>
        <v/>
      </c>
      <c r="AK303" s="26" t="str">
        <f t="shared" si="138"/>
        <v/>
      </c>
      <c r="AL303" s="26" t="str">
        <f t="shared" si="155"/>
        <v/>
      </c>
      <c r="AM303" s="26" t="str">
        <f t="shared" si="154"/>
        <v/>
      </c>
      <c r="AN303" s="26" t="str">
        <f t="shared" si="145"/>
        <v>Crack Seal</v>
      </c>
      <c r="AO303" s="26" t="str">
        <f t="shared" si="156"/>
        <v/>
      </c>
      <c r="AP303" s="26" t="str">
        <f t="shared" si="146"/>
        <v/>
      </c>
      <c r="AQ303" s="68">
        <f t="shared" si="141"/>
        <v>6</v>
      </c>
      <c r="AR303" s="68">
        <f t="shared" si="142"/>
        <v>3</v>
      </c>
      <c r="AS303" s="68">
        <f t="shared" si="147"/>
        <v>1.05</v>
      </c>
      <c r="AT303" s="68">
        <f t="shared" si="148"/>
        <v>1.25</v>
      </c>
      <c r="AU303" s="68">
        <f t="shared" si="149"/>
        <v>1.25</v>
      </c>
      <c r="AV303" s="68">
        <f t="shared" si="150"/>
        <v>1.25</v>
      </c>
      <c r="AW303" s="68">
        <f t="shared" si="151"/>
        <v>1</v>
      </c>
      <c r="AX303" s="68">
        <f t="shared" ca="1" si="143"/>
        <v>-2.5</v>
      </c>
      <c r="AY303" s="106">
        <v>2017</v>
      </c>
      <c r="AZ303" s="106" t="s">
        <v>751</v>
      </c>
      <c r="BA303" s="106" t="str">
        <f t="shared" si="152"/>
        <v/>
      </c>
      <c r="BB303" s="177"/>
      <c r="BC303" s="177">
        <v>5</v>
      </c>
      <c r="BD303" s="177"/>
      <c r="BE303" s="177"/>
      <c r="BF303" s="177"/>
      <c r="BG303" s="177"/>
      <c r="BH303" s="177"/>
      <c r="BI303" s="33"/>
      <c r="BJ303" s="2"/>
      <c r="BK303" s="48">
        <f>$G303/5280*VLOOKUP($AC303,'Cost and Score'!$B$27:$O$40,6,0)</f>
        <v>1.0399621212121213</v>
      </c>
      <c r="BL303" s="48">
        <f>$G303/5280*VLOOKUP($AC303,'Cost and Score'!$B$27:$O$40,7,0)</f>
        <v>0</v>
      </c>
      <c r="BM303" s="48">
        <f>$G303/5280*VLOOKUP($AC303,'Cost and Score'!$B$27:$O$40,8,0)</f>
        <v>0</v>
      </c>
      <c r="BN303" s="48">
        <f>$G303/5280*VLOOKUP($AC303,'Cost and Score'!$B$27:$O$40,9,0)</f>
        <v>0</v>
      </c>
      <c r="BO303" s="48">
        <f>$G303/5280*VLOOKUP($AC303,'Cost and Score'!$B$27:$O$40,10,0)</f>
        <v>0</v>
      </c>
      <c r="BP303" s="48">
        <f>$G303/5280*VLOOKUP($AC303,'Cost and Score'!$B$27:$O$40,11,0)</f>
        <v>0</v>
      </c>
      <c r="BQ303" s="48">
        <f>$G303/5280*VLOOKUP($AC303,'Cost and Score'!$B$27:$O$40,12,0)</f>
        <v>0</v>
      </c>
      <c r="BR303" s="48">
        <f>$G303/5280*VLOOKUP($AC303,'Cost and Score'!$B$27:$O$40,13,0)</f>
        <v>0</v>
      </c>
      <c r="BS303" s="48">
        <f>$G303/5280*VLOOKUP($AC303,'Cost and Score'!$B$27:$O$40,14,0)</f>
        <v>0</v>
      </c>
      <c r="BT303" s="220">
        <f t="shared" si="153"/>
        <v>1.0399621212121213</v>
      </c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</row>
    <row r="304" spans="1:103" s="2" customFormat="1" ht="14.45" hidden="1" customHeight="1" x14ac:dyDescent="0.25">
      <c r="A304" s="15" t="s">
        <v>699</v>
      </c>
      <c r="B304" s="34" t="s">
        <v>698</v>
      </c>
      <c r="C304" s="26" t="s">
        <v>698</v>
      </c>
      <c r="D304" s="82"/>
      <c r="E304" s="82" t="s">
        <v>147</v>
      </c>
      <c r="F304" s="82" t="s">
        <v>149</v>
      </c>
      <c r="G304" s="29">
        <v>2746</v>
      </c>
      <c r="H304" s="29">
        <f t="shared" si="158"/>
        <v>20</v>
      </c>
      <c r="I304" s="26" t="s">
        <v>8</v>
      </c>
      <c r="J304" s="26" t="s">
        <v>26</v>
      </c>
      <c r="K304" s="26">
        <f t="shared" si="163"/>
        <v>0</v>
      </c>
      <c r="L304" s="42">
        <v>7</v>
      </c>
      <c r="M304" s="42">
        <v>8</v>
      </c>
      <c r="N304" s="42">
        <v>4</v>
      </c>
      <c r="O304" s="83">
        <v>7</v>
      </c>
      <c r="P304" s="83">
        <v>7</v>
      </c>
      <c r="Q304" s="83">
        <v>7</v>
      </c>
      <c r="R304" s="83">
        <v>7</v>
      </c>
      <c r="S304" s="83">
        <v>6</v>
      </c>
      <c r="T304" s="83">
        <v>7</v>
      </c>
      <c r="U304" s="83">
        <v>7</v>
      </c>
      <c r="V304" s="42"/>
      <c r="W304" s="42"/>
      <c r="X304" s="42"/>
      <c r="Y304" s="26">
        <v>50</v>
      </c>
      <c r="Z304" s="26">
        <f t="shared" si="159"/>
        <v>0</v>
      </c>
      <c r="AA304" s="82" t="s">
        <v>25</v>
      </c>
      <c r="AB304" s="111">
        <f t="shared" si="144"/>
        <v>3</v>
      </c>
      <c r="AC304" s="82" t="s">
        <v>2072</v>
      </c>
      <c r="AD304" s="84">
        <f t="shared" si="140"/>
        <v>23923.484848484848</v>
      </c>
      <c r="AE304" s="140"/>
      <c r="AF304" s="113">
        <f t="shared" si="160"/>
        <v>0</v>
      </c>
      <c r="AG304" s="26">
        <v>2027</v>
      </c>
      <c r="AH304" s="26" t="str">
        <f t="shared" si="133"/>
        <v/>
      </c>
      <c r="AI304" s="26" t="str">
        <f t="shared" si="162"/>
        <v/>
      </c>
      <c r="AJ304" s="26" t="str">
        <f t="shared" si="162"/>
        <v/>
      </c>
      <c r="AK304" s="26" t="str">
        <f t="shared" si="138"/>
        <v/>
      </c>
      <c r="AL304" s="26" t="str">
        <f t="shared" si="155"/>
        <v/>
      </c>
      <c r="AM304" s="26" t="str">
        <f t="shared" si="154"/>
        <v>Chip Seal - Triple</v>
      </c>
      <c r="AN304" s="26" t="str">
        <f t="shared" si="145"/>
        <v>Chip Seal - Triple</v>
      </c>
      <c r="AO304" s="26" t="str">
        <f t="shared" si="156"/>
        <v>Chip Seal and Fog</v>
      </c>
      <c r="AP304" s="26" t="str">
        <f t="shared" si="146"/>
        <v/>
      </c>
      <c r="AQ304" s="68">
        <f t="shared" si="141"/>
        <v>10</v>
      </c>
      <c r="AR304" s="68">
        <f t="shared" si="142"/>
        <v>8</v>
      </c>
      <c r="AS304" s="68">
        <f t="shared" si="147"/>
        <v>1.05</v>
      </c>
      <c r="AT304" s="68">
        <f t="shared" si="148"/>
        <v>1</v>
      </c>
      <c r="AU304" s="68">
        <f t="shared" si="149"/>
        <v>1.5</v>
      </c>
      <c r="AV304" s="68">
        <f t="shared" si="150"/>
        <v>1.05</v>
      </c>
      <c r="AW304" s="68">
        <f t="shared" si="151"/>
        <v>1.05</v>
      </c>
      <c r="AX304" s="68">
        <f t="shared" ca="1" si="143"/>
        <v>4.5</v>
      </c>
      <c r="AY304" s="68">
        <v>2021</v>
      </c>
      <c r="AZ304" s="68" t="s">
        <v>13</v>
      </c>
      <c r="BA304" s="106" t="str">
        <f t="shared" si="152"/>
        <v/>
      </c>
      <c r="BB304" s="178">
        <v>24</v>
      </c>
      <c r="BC304" s="178">
        <v>5</v>
      </c>
      <c r="BD304" s="178"/>
      <c r="BE304" s="178"/>
      <c r="BF304" s="178"/>
      <c r="BG304" s="178"/>
      <c r="BH304" s="178"/>
      <c r="BI304" s="33"/>
      <c r="BK304" s="48">
        <f>$G304/5280*VLOOKUP($AC304,'Cost and Score'!$B$27:$O$40,6,0)</f>
        <v>0.31204545454545451</v>
      </c>
      <c r="BL304" s="48">
        <f>$G304/5280*VLOOKUP($AC304,'Cost and Score'!$B$27:$O$40,7,0)</f>
        <v>65.009469696969688</v>
      </c>
      <c r="BM304" s="48">
        <f>$G304/5280*VLOOKUP($AC304,'Cost and Score'!$B$27:$O$40,8,0)</f>
        <v>104.0151515151515</v>
      </c>
      <c r="BN304" s="48">
        <f>$G304/5280*VLOOKUP($AC304,'Cost and Score'!$B$27:$O$40,9,0)</f>
        <v>1040.151515151515</v>
      </c>
      <c r="BO304" s="48">
        <f>$G304/5280*VLOOKUP($AC304,'Cost and Score'!$B$27:$O$40,10,0)</f>
        <v>260.03787878787875</v>
      </c>
      <c r="BP304" s="48">
        <f>$G304/5280*VLOOKUP($AC304,'Cost and Score'!$B$27:$O$40,11,0)</f>
        <v>52.007575757575751</v>
      </c>
      <c r="BQ304" s="48">
        <f>$G304/5280*VLOOKUP($AC304,'Cost and Score'!$B$27:$O$40,12,0)</f>
        <v>416.06060606060601</v>
      </c>
      <c r="BR304" s="48">
        <f>$G304/5280*VLOOKUP($AC304,'Cost and Score'!$B$27:$O$40,13,0)</f>
        <v>41.606060606060602</v>
      </c>
      <c r="BS304" s="48">
        <f>$G304/5280*VLOOKUP($AC304,'Cost and Score'!$B$27:$O$40,14,0)</f>
        <v>0</v>
      </c>
      <c r="BT304" s="220">
        <f t="shared" si="153"/>
        <v>0.52007575757575752</v>
      </c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</row>
    <row r="305" spans="1:103" s="112" customFormat="1" ht="14.45" hidden="1" customHeight="1" x14ac:dyDescent="0.25">
      <c r="A305" s="15" t="s">
        <v>704</v>
      </c>
      <c r="B305" s="108" t="s">
        <v>700</v>
      </c>
      <c r="C305" s="106" t="s">
        <v>700</v>
      </c>
      <c r="D305" s="106"/>
      <c r="E305" s="106" t="s">
        <v>702</v>
      </c>
      <c r="F305" s="106" t="s">
        <v>703</v>
      </c>
      <c r="G305" s="109">
        <v>2779</v>
      </c>
      <c r="H305" s="109">
        <f t="shared" si="158"/>
        <v>20</v>
      </c>
      <c r="I305" s="106" t="s">
        <v>13</v>
      </c>
      <c r="J305" s="106" t="s">
        <v>26</v>
      </c>
      <c r="K305" s="106">
        <f t="shared" si="163"/>
        <v>0</v>
      </c>
      <c r="L305" s="110">
        <v>8</v>
      </c>
      <c r="M305" s="110">
        <v>7</v>
      </c>
      <c r="N305" s="110">
        <v>8</v>
      </c>
      <c r="O305" s="110">
        <v>8</v>
      </c>
      <c r="P305" s="110">
        <v>8</v>
      </c>
      <c r="Q305" s="110">
        <v>8</v>
      </c>
      <c r="R305" s="110">
        <v>8</v>
      </c>
      <c r="S305" s="110">
        <v>7</v>
      </c>
      <c r="T305" s="110">
        <v>7</v>
      </c>
      <c r="U305" s="110">
        <v>7</v>
      </c>
      <c r="V305" s="110"/>
      <c r="W305" s="110"/>
      <c r="X305" s="110"/>
      <c r="Y305" s="106">
        <v>50</v>
      </c>
      <c r="Z305" s="106">
        <f t="shared" si="159"/>
        <v>0</v>
      </c>
      <c r="AA305" s="106" t="s">
        <v>25</v>
      </c>
      <c r="AB305" s="111">
        <f t="shared" si="144"/>
        <v>2</v>
      </c>
      <c r="AC305" s="106" t="s">
        <v>13</v>
      </c>
      <c r="AD305" s="107">
        <f t="shared" si="140"/>
        <v>11052.84090909091</v>
      </c>
      <c r="AE305" s="198">
        <v>1</v>
      </c>
      <c r="AF305" s="113">
        <f t="shared" si="160"/>
        <v>11052.84090909091</v>
      </c>
      <c r="AG305" s="106">
        <v>2024</v>
      </c>
      <c r="AH305" s="26" t="str">
        <f t="shared" si="133"/>
        <v/>
      </c>
      <c r="AI305" s="26" t="str">
        <f t="shared" si="162"/>
        <v/>
      </c>
      <c r="AJ305" s="26" t="str">
        <f t="shared" si="162"/>
        <v>Chip Seal and Fog</v>
      </c>
      <c r="AK305" s="26" t="str">
        <f t="shared" si="138"/>
        <v/>
      </c>
      <c r="AL305" s="26" t="str">
        <f t="shared" si="155"/>
        <v/>
      </c>
      <c r="AM305" s="26" t="str">
        <f t="shared" si="154"/>
        <v/>
      </c>
      <c r="AN305" s="26" t="str">
        <f t="shared" si="145"/>
        <v>Chip Seal and Fog</v>
      </c>
      <c r="AO305" s="26" t="str">
        <f t="shared" si="156"/>
        <v/>
      </c>
      <c r="AP305" s="26" t="str">
        <f t="shared" si="146"/>
        <v/>
      </c>
      <c r="AQ305" s="68">
        <f t="shared" si="141"/>
        <v>12</v>
      </c>
      <c r="AR305" s="68">
        <f t="shared" si="142"/>
        <v>6</v>
      </c>
      <c r="AS305" s="68">
        <f t="shared" si="147"/>
        <v>1</v>
      </c>
      <c r="AT305" s="68">
        <f t="shared" si="148"/>
        <v>1.05</v>
      </c>
      <c r="AU305" s="68">
        <f t="shared" si="149"/>
        <v>1</v>
      </c>
      <c r="AV305" s="68">
        <f t="shared" si="150"/>
        <v>1</v>
      </c>
      <c r="AW305" s="68">
        <f t="shared" si="151"/>
        <v>1</v>
      </c>
      <c r="AX305" s="68">
        <f t="shared" ca="1" si="143"/>
        <v>0</v>
      </c>
      <c r="AY305" s="106">
        <v>2017</v>
      </c>
      <c r="AZ305" s="106" t="s">
        <v>13</v>
      </c>
      <c r="BA305" s="106" t="str">
        <f t="shared" si="152"/>
        <v/>
      </c>
      <c r="BB305" s="177"/>
      <c r="BC305" s="177">
        <v>5</v>
      </c>
      <c r="BD305" s="177"/>
      <c r="BE305" s="177"/>
      <c r="BF305" s="177"/>
      <c r="BG305" s="177"/>
      <c r="BH305" s="177"/>
      <c r="BI305" s="33"/>
      <c r="BJ305" s="2"/>
      <c r="BK305" s="48">
        <f>$G305/5280*VLOOKUP($AC305,'Cost and Score'!$B$27:$O$40,6,0)</f>
        <v>0.10526515151515153</v>
      </c>
      <c r="BL305" s="48">
        <f>$G305/5280*VLOOKUP($AC305,'Cost and Score'!$B$27:$O$40,7,0)</f>
        <v>11.579166666666667</v>
      </c>
      <c r="BM305" s="48">
        <f>$G305/5280*VLOOKUP($AC305,'Cost and Score'!$B$27:$O$40,8,0)</f>
        <v>0</v>
      </c>
      <c r="BN305" s="48">
        <f>$G305/5280*VLOOKUP($AC305,'Cost and Score'!$B$27:$O$40,9,0)</f>
        <v>2368.4659090909095</v>
      </c>
      <c r="BO305" s="48">
        <f>$G305/5280*VLOOKUP($AC305,'Cost and Score'!$B$27:$O$40,10,0)</f>
        <v>526.32575757575762</v>
      </c>
      <c r="BP305" s="48">
        <f>$G305/5280*VLOOKUP($AC305,'Cost and Score'!$B$27:$O$40,11,0)</f>
        <v>0</v>
      </c>
      <c r="BQ305" s="48">
        <f>$G305/5280*VLOOKUP($AC305,'Cost and Score'!$B$27:$O$40,12,0)</f>
        <v>52.632575757575765</v>
      </c>
      <c r="BR305" s="48">
        <f>$G305/5280*VLOOKUP($AC305,'Cost and Score'!$B$27:$O$40,13,0)</f>
        <v>63.159090909090914</v>
      </c>
      <c r="BS305" s="48">
        <f>$G305/5280*VLOOKUP($AC305,'Cost and Score'!$B$27:$O$40,14,0)</f>
        <v>0</v>
      </c>
      <c r="BT305" s="220">
        <f t="shared" si="153"/>
        <v>0.52632575757575761</v>
      </c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</row>
    <row r="306" spans="1:103" s="2" customFormat="1" x14ac:dyDescent="0.25">
      <c r="A306" s="38" t="s">
        <v>1204</v>
      </c>
      <c r="B306" s="108" t="s">
        <v>1203</v>
      </c>
      <c r="C306" s="106" t="s">
        <v>1203</v>
      </c>
      <c r="D306" s="106"/>
      <c r="E306" s="106" t="s">
        <v>406</v>
      </c>
      <c r="F306" s="106" t="s">
        <v>121</v>
      </c>
      <c r="G306" s="109">
        <v>5791</v>
      </c>
      <c r="H306" s="109">
        <f t="shared" si="158"/>
        <v>20</v>
      </c>
      <c r="I306" s="106" t="s">
        <v>13</v>
      </c>
      <c r="J306" s="106" t="s">
        <v>11</v>
      </c>
      <c r="K306" s="106">
        <f t="shared" si="163"/>
        <v>0</v>
      </c>
      <c r="L306" s="110">
        <v>5</v>
      </c>
      <c r="M306" s="110">
        <v>5</v>
      </c>
      <c r="N306" s="110">
        <v>6</v>
      </c>
      <c r="O306" s="110">
        <v>5</v>
      </c>
      <c r="P306" s="110">
        <v>8</v>
      </c>
      <c r="Q306" s="110">
        <v>7</v>
      </c>
      <c r="R306" s="110">
        <v>7</v>
      </c>
      <c r="S306" s="110">
        <v>7</v>
      </c>
      <c r="T306" s="110">
        <v>7</v>
      </c>
      <c r="U306" s="110">
        <v>7</v>
      </c>
      <c r="V306" s="110"/>
      <c r="W306" s="110"/>
      <c r="X306" s="110"/>
      <c r="Y306" s="106">
        <v>215</v>
      </c>
      <c r="Z306" s="106">
        <f t="shared" si="159"/>
        <v>0</v>
      </c>
      <c r="AA306" s="106" t="s">
        <v>213</v>
      </c>
      <c r="AB306" s="111">
        <f t="shared" si="144"/>
        <v>2</v>
      </c>
      <c r="AC306" s="26" t="s">
        <v>13</v>
      </c>
      <c r="AD306" s="107">
        <f t="shared" si="140"/>
        <v>23032.386363636364</v>
      </c>
      <c r="AE306" s="198"/>
      <c r="AF306" s="113">
        <f t="shared" si="160"/>
        <v>0</v>
      </c>
      <c r="AG306" s="106">
        <v>2025</v>
      </c>
      <c r="AH306" s="26" t="str">
        <f t="shared" si="133"/>
        <v/>
      </c>
      <c r="AI306" s="26" t="str">
        <f t="shared" si="162"/>
        <v/>
      </c>
      <c r="AJ306" s="26" t="str">
        <f t="shared" si="162"/>
        <v/>
      </c>
      <c r="AK306" s="26" t="str">
        <f t="shared" si="138"/>
        <v>Chip Seal and Fog</v>
      </c>
      <c r="AL306" s="26" t="str">
        <f t="shared" si="155"/>
        <v/>
      </c>
      <c r="AM306" s="26" t="str">
        <f t="shared" si="154"/>
        <v/>
      </c>
      <c r="AN306" s="26" t="str">
        <f t="shared" si="145"/>
        <v>Chip Seal and Fog</v>
      </c>
      <c r="AO306" s="26" t="str">
        <f t="shared" si="156"/>
        <v/>
      </c>
      <c r="AP306" s="26" t="str">
        <f t="shared" si="146"/>
        <v/>
      </c>
      <c r="AQ306" s="68">
        <f t="shared" si="141"/>
        <v>6</v>
      </c>
      <c r="AR306" s="68">
        <f t="shared" si="142"/>
        <v>6</v>
      </c>
      <c r="AS306" s="68">
        <f t="shared" si="147"/>
        <v>1.25</v>
      </c>
      <c r="AT306" s="68">
        <f t="shared" si="148"/>
        <v>1.25</v>
      </c>
      <c r="AU306" s="68">
        <f t="shared" si="149"/>
        <v>1.1000000000000001</v>
      </c>
      <c r="AV306" s="68">
        <f t="shared" si="150"/>
        <v>1.25</v>
      </c>
      <c r="AW306" s="68">
        <f t="shared" si="151"/>
        <v>1</v>
      </c>
      <c r="AX306" s="68">
        <f t="shared" ca="1" si="143"/>
        <v>1.1000000000000001</v>
      </c>
      <c r="AY306" s="106">
        <v>2017</v>
      </c>
      <c r="AZ306" s="106" t="s">
        <v>2072</v>
      </c>
      <c r="BA306" s="106" t="str">
        <f t="shared" si="152"/>
        <v/>
      </c>
      <c r="BB306" s="177"/>
      <c r="BC306" s="177">
        <v>4</v>
      </c>
      <c r="BD306" s="177"/>
      <c r="BE306" s="177"/>
      <c r="BF306" s="177"/>
      <c r="BG306" s="177"/>
      <c r="BH306" s="177"/>
      <c r="BI306" s="33"/>
      <c r="BK306" s="48">
        <f>$G306/5280*VLOOKUP($AC306,'Cost and Score'!$B$27:$O$40,6,0)</f>
        <v>0.21935606060606061</v>
      </c>
      <c r="BL306" s="48">
        <f>$G306/5280*VLOOKUP($AC306,'Cost and Score'!$B$27:$O$40,7,0)</f>
        <v>24.129166666666663</v>
      </c>
      <c r="BM306" s="48">
        <f>$G306/5280*VLOOKUP($AC306,'Cost and Score'!$B$27:$O$40,8,0)</f>
        <v>0</v>
      </c>
      <c r="BN306" s="48">
        <f>$G306/5280*VLOOKUP($AC306,'Cost and Score'!$B$27:$O$40,9,0)</f>
        <v>4935.5113636363631</v>
      </c>
      <c r="BO306" s="48">
        <f>$G306/5280*VLOOKUP($AC306,'Cost and Score'!$B$27:$O$40,10,0)</f>
        <v>1096.780303030303</v>
      </c>
      <c r="BP306" s="48">
        <f>$G306/5280*VLOOKUP($AC306,'Cost and Score'!$B$27:$O$40,11,0)</f>
        <v>0</v>
      </c>
      <c r="BQ306" s="48">
        <f>$G306/5280*VLOOKUP($AC306,'Cost and Score'!$B$27:$O$40,12,0)</f>
        <v>109.6780303030303</v>
      </c>
      <c r="BR306" s="48">
        <f>$G306/5280*VLOOKUP($AC306,'Cost and Score'!$B$27:$O$40,13,0)</f>
        <v>131.61363636363635</v>
      </c>
      <c r="BS306" s="48">
        <f>$G306/5280*VLOOKUP($AC306,'Cost and Score'!$B$27:$O$40,14,0)</f>
        <v>0</v>
      </c>
      <c r="BT306" s="220">
        <f t="shared" si="153"/>
        <v>1.0967803030303029</v>
      </c>
      <c r="CW306" s="112"/>
      <c r="CX306" s="112"/>
      <c r="CY306" s="112"/>
    </row>
    <row r="307" spans="1:103" s="2" customFormat="1" x14ac:dyDescent="0.25">
      <c r="A307" s="38" t="s">
        <v>1198</v>
      </c>
      <c r="B307" s="108" t="s">
        <v>1197</v>
      </c>
      <c r="C307" s="106" t="s">
        <v>1197</v>
      </c>
      <c r="D307" s="106"/>
      <c r="E307" s="106" t="s">
        <v>67</v>
      </c>
      <c r="F307" s="106" t="s">
        <v>406</v>
      </c>
      <c r="G307" s="109">
        <v>2217</v>
      </c>
      <c r="H307" s="109">
        <f t="shared" si="158"/>
        <v>20</v>
      </c>
      <c r="I307" s="106" t="s">
        <v>13</v>
      </c>
      <c r="J307" s="106" t="s">
        <v>11</v>
      </c>
      <c r="K307" s="106">
        <f t="shared" si="163"/>
        <v>0</v>
      </c>
      <c r="L307" s="110">
        <v>7</v>
      </c>
      <c r="M307" s="110">
        <v>6</v>
      </c>
      <c r="N307" s="110">
        <v>6</v>
      </c>
      <c r="O307" s="110">
        <v>6</v>
      </c>
      <c r="P307" s="110">
        <v>8</v>
      </c>
      <c r="Q307" s="110">
        <v>8</v>
      </c>
      <c r="R307" s="110">
        <v>7</v>
      </c>
      <c r="S307" s="110">
        <v>7</v>
      </c>
      <c r="T307" s="110">
        <v>7</v>
      </c>
      <c r="U307" s="110">
        <v>7</v>
      </c>
      <c r="V307" s="110"/>
      <c r="W307" s="110"/>
      <c r="X307" s="110"/>
      <c r="Y307" s="106">
        <v>209</v>
      </c>
      <c r="Z307" s="106">
        <f t="shared" si="159"/>
        <v>0</v>
      </c>
      <c r="AA307" s="106" t="s">
        <v>213</v>
      </c>
      <c r="AB307" s="111">
        <f t="shared" si="144"/>
        <v>2</v>
      </c>
      <c r="AC307" s="26" t="s">
        <v>13</v>
      </c>
      <c r="AD307" s="107">
        <f t="shared" si="140"/>
        <v>8817.613636363636</v>
      </c>
      <c r="AE307" s="198"/>
      <c r="AF307" s="113">
        <f t="shared" si="160"/>
        <v>0</v>
      </c>
      <c r="AG307" s="26">
        <v>2025</v>
      </c>
      <c r="AH307" s="26" t="str">
        <f t="shared" si="133"/>
        <v/>
      </c>
      <c r="AI307" s="26" t="str">
        <f t="shared" si="162"/>
        <v/>
      </c>
      <c r="AJ307" s="26" t="str">
        <f t="shared" si="162"/>
        <v/>
      </c>
      <c r="AK307" s="26" t="str">
        <f t="shared" si="138"/>
        <v>Chip Seal and Fog</v>
      </c>
      <c r="AL307" s="26" t="str">
        <f t="shared" si="155"/>
        <v/>
      </c>
      <c r="AM307" s="26" t="str">
        <f t="shared" si="154"/>
        <v/>
      </c>
      <c r="AN307" s="26" t="str">
        <f t="shared" si="145"/>
        <v>Chip Seal and Fog</v>
      </c>
      <c r="AO307" s="26" t="str">
        <f t="shared" si="156"/>
        <v/>
      </c>
      <c r="AP307" s="26" t="str">
        <f t="shared" si="146"/>
        <v/>
      </c>
      <c r="AQ307" s="68">
        <f t="shared" si="141"/>
        <v>8</v>
      </c>
      <c r="AR307" s="68">
        <f t="shared" si="142"/>
        <v>6</v>
      </c>
      <c r="AS307" s="68">
        <f t="shared" si="147"/>
        <v>1.05</v>
      </c>
      <c r="AT307" s="68">
        <f t="shared" si="148"/>
        <v>1.1000000000000001</v>
      </c>
      <c r="AU307" s="68">
        <f t="shared" si="149"/>
        <v>1.1000000000000001</v>
      </c>
      <c r="AV307" s="68">
        <f t="shared" si="150"/>
        <v>1.1000000000000001</v>
      </c>
      <c r="AW307" s="68">
        <f t="shared" si="151"/>
        <v>1</v>
      </c>
      <c r="AX307" s="68">
        <f t="shared" ca="1" si="143"/>
        <v>1.1000000000000001</v>
      </c>
      <c r="AY307" s="106">
        <v>2017</v>
      </c>
      <c r="AZ307" s="111" t="s">
        <v>2073</v>
      </c>
      <c r="BA307" s="106" t="str">
        <f t="shared" si="152"/>
        <v/>
      </c>
      <c r="BB307" s="110"/>
      <c r="BC307" s="110">
        <v>4</v>
      </c>
      <c r="BD307" s="110"/>
      <c r="BE307" s="110"/>
      <c r="BF307" s="110"/>
      <c r="BG307" s="110"/>
      <c r="BH307" s="110"/>
      <c r="BI307" s="33"/>
      <c r="BK307" s="48">
        <f>$G307/5280*VLOOKUP($AC307,'Cost and Score'!$B$27:$O$40,6,0)</f>
        <v>8.3977272727272734E-2</v>
      </c>
      <c r="BL307" s="48">
        <f>$G307/5280*VLOOKUP($AC307,'Cost and Score'!$B$27:$O$40,7,0)</f>
        <v>9.2374999999999989</v>
      </c>
      <c r="BM307" s="48">
        <f>$G307/5280*VLOOKUP($AC307,'Cost and Score'!$B$27:$O$40,8,0)</f>
        <v>0</v>
      </c>
      <c r="BN307" s="48">
        <f>$G307/5280*VLOOKUP($AC307,'Cost and Score'!$B$27:$O$40,9,0)</f>
        <v>1889.4886363636363</v>
      </c>
      <c r="BO307" s="48">
        <f>$G307/5280*VLOOKUP($AC307,'Cost and Score'!$B$27:$O$40,10,0)</f>
        <v>419.88636363636363</v>
      </c>
      <c r="BP307" s="48">
        <f>$G307/5280*VLOOKUP($AC307,'Cost and Score'!$B$27:$O$40,11,0)</f>
        <v>0</v>
      </c>
      <c r="BQ307" s="48">
        <f>$G307/5280*VLOOKUP($AC307,'Cost and Score'!$B$27:$O$40,12,0)</f>
        <v>41.98863636363636</v>
      </c>
      <c r="BR307" s="48">
        <f>$G307/5280*VLOOKUP($AC307,'Cost and Score'!$B$27:$O$40,13,0)</f>
        <v>50.386363636363633</v>
      </c>
      <c r="BS307" s="48">
        <f>$G307/5280*VLOOKUP($AC307,'Cost and Score'!$B$27:$O$40,14,0)</f>
        <v>0</v>
      </c>
      <c r="BT307" s="220">
        <f t="shared" si="153"/>
        <v>0.41988636363636361</v>
      </c>
      <c r="CF307" s="112"/>
      <c r="CR307" s="112"/>
    </row>
    <row r="308" spans="1:103" s="2" customFormat="1" ht="14.45" customHeight="1" x14ac:dyDescent="0.25">
      <c r="A308" s="38" t="s">
        <v>1206</v>
      </c>
      <c r="B308" s="34" t="s">
        <v>1205</v>
      </c>
      <c r="C308" s="26" t="s">
        <v>1205</v>
      </c>
      <c r="D308" s="26"/>
      <c r="E308" s="26" t="s">
        <v>83</v>
      </c>
      <c r="F308" s="26" t="s">
        <v>67</v>
      </c>
      <c r="G308" s="29">
        <v>2667</v>
      </c>
      <c r="H308" s="29">
        <f t="shared" si="158"/>
        <v>20</v>
      </c>
      <c r="I308" s="26" t="s">
        <v>13</v>
      </c>
      <c r="J308" s="26" t="s">
        <v>11</v>
      </c>
      <c r="K308" s="26">
        <f t="shared" si="163"/>
        <v>0</v>
      </c>
      <c r="L308" s="42">
        <v>5</v>
      </c>
      <c r="M308" s="42">
        <v>5</v>
      </c>
      <c r="N308" s="42">
        <v>5</v>
      </c>
      <c r="O308" s="42">
        <v>8</v>
      </c>
      <c r="P308" s="42">
        <v>8</v>
      </c>
      <c r="Q308" s="42">
        <v>7</v>
      </c>
      <c r="R308" s="42">
        <v>7</v>
      </c>
      <c r="S308" s="42">
        <v>7</v>
      </c>
      <c r="T308" s="42">
        <v>7</v>
      </c>
      <c r="U308" s="42">
        <v>7</v>
      </c>
      <c r="V308" s="42"/>
      <c r="W308" s="42"/>
      <c r="X308" s="42"/>
      <c r="Y308" s="26">
        <v>205</v>
      </c>
      <c r="Z308" s="26">
        <f t="shared" si="159"/>
        <v>0</v>
      </c>
      <c r="AA308" s="26" t="s">
        <v>213</v>
      </c>
      <c r="AB308" s="111">
        <f t="shared" si="144"/>
        <v>2</v>
      </c>
      <c r="AC308" s="26" t="s">
        <v>13</v>
      </c>
      <c r="AD308" s="47">
        <f t="shared" si="140"/>
        <v>10607.386363636364</v>
      </c>
      <c r="AE308" s="140"/>
      <c r="AF308" s="113">
        <f t="shared" si="160"/>
        <v>0</v>
      </c>
      <c r="AG308" s="26">
        <v>2025</v>
      </c>
      <c r="AH308" s="26" t="str">
        <f t="shared" si="133"/>
        <v/>
      </c>
      <c r="AI308" s="26" t="str">
        <f t="shared" si="162"/>
        <v/>
      </c>
      <c r="AJ308" s="26" t="str">
        <f t="shared" si="162"/>
        <v/>
      </c>
      <c r="AK308" s="26" t="str">
        <f t="shared" si="138"/>
        <v>Chip Seal and Fog</v>
      </c>
      <c r="AL308" s="26" t="str">
        <f t="shared" si="155"/>
        <v/>
      </c>
      <c r="AM308" s="26" t="str">
        <f t="shared" si="154"/>
        <v/>
      </c>
      <c r="AN308" s="26" t="str">
        <f t="shared" si="145"/>
        <v>Chip Seal and Fog</v>
      </c>
      <c r="AO308" s="26" t="str">
        <f t="shared" si="156"/>
        <v/>
      </c>
      <c r="AP308" s="26" t="str">
        <f t="shared" si="146"/>
        <v/>
      </c>
      <c r="AQ308" s="68">
        <f t="shared" si="141"/>
        <v>12</v>
      </c>
      <c r="AR308" s="68">
        <f t="shared" si="142"/>
        <v>6</v>
      </c>
      <c r="AS308" s="68">
        <f t="shared" si="147"/>
        <v>1.25</v>
      </c>
      <c r="AT308" s="68">
        <f t="shared" si="148"/>
        <v>1.25</v>
      </c>
      <c r="AU308" s="68">
        <f t="shared" si="149"/>
        <v>1.25</v>
      </c>
      <c r="AV308" s="68">
        <f t="shared" si="150"/>
        <v>1</v>
      </c>
      <c r="AW308" s="68">
        <f t="shared" si="151"/>
        <v>1</v>
      </c>
      <c r="AX308" s="68">
        <f t="shared" ca="1" si="143"/>
        <v>1.25</v>
      </c>
      <c r="AY308" s="68"/>
      <c r="AZ308" s="68"/>
      <c r="BA308" s="106" t="str">
        <f t="shared" si="152"/>
        <v/>
      </c>
      <c r="BB308" s="178"/>
      <c r="BC308" s="178">
        <v>4</v>
      </c>
      <c r="BD308" s="178"/>
      <c r="BE308" s="178"/>
      <c r="BF308" s="178"/>
      <c r="BG308" s="178"/>
      <c r="BH308" s="178"/>
      <c r="BI308" s="33"/>
      <c r="BK308" s="48">
        <f>$G308/5280*VLOOKUP($AC308,'Cost and Score'!$B$27:$O$40,6,0)</f>
        <v>0.10102272727272728</v>
      </c>
      <c r="BL308" s="48">
        <f>$G308/5280*VLOOKUP($AC308,'Cost and Score'!$B$27:$O$40,7,0)</f>
        <v>11.112500000000001</v>
      </c>
      <c r="BM308" s="48">
        <f>$G308/5280*VLOOKUP($AC308,'Cost and Score'!$B$27:$O$40,8,0)</f>
        <v>0</v>
      </c>
      <c r="BN308" s="48">
        <f>$G308/5280*VLOOKUP($AC308,'Cost and Score'!$B$27:$O$40,9,0)</f>
        <v>2273.0113636363635</v>
      </c>
      <c r="BO308" s="48">
        <f>$G308/5280*VLOOKUP($AC308,'Cost and Score'!$B$27:$O$40,10,0)</f>
        <v>505.11363636363637</v>
      </c>
      <c r="BP308" s="48">
        <f>$G308/5280*VLOOKUP($AC308,'Cost and Score'!$B$27:$O$40,11,0)</f>
        <v>0</v>
      </c>
      <c r="BQ308" s="48">
        <f>$G308/5280*VLOOKUP($AC308,'Cost and Score'!$B$27:$O$40,12,0)</f>
        <v>50.51136363636364</v>
      </c>
      <c r="BR308" s="48">
        <f>$G308/5280*VLOOKUP($AC308,'Cost and Score'!$B$27:$O$40,13,0)</f>
        <v>60.613636363636367</v>
      </c>
      <c r="BS308" s="48">
        <f>$G308/5280*VLOOKUP($AC308,'Cost and Score'!$B$27:$O$40,14,0)</f>
        <v>0</v>
      </c>
      <c r="BT308" s="220">
        <f t="shared" si="153"/>
        <v>0.50511363636363638</v>
      </c>
    </row>
    <row r="309" spans="1:103" s="2" customFormat="1" ht="14.45" hidden="1" customHeight="1" x14ac:dyDescent="0.25">
      <c r="A309" s="15" t="s">
        <v>712</v>
      </c>
      <c r="B309" s="34" t="s">
        <v>711</v>
      </c>
      <c r="C309" s="26" t="s">
        <v>711</v>
      </c>
      <c r="D309" s="82"/>
      <c r="E309" s="82" t="s">
        <v>121</v>
      </c>
      <c r="F309" s="82" t="s">
        <v>124</v>
      </c>
      <c r="G309" s="29">
        <v>5290</v>
      </c>
      <c r="H309" s="29">
        <f t="shared" si="158"/>
        <v>20</v>
      </c>
      <c r="I309" s="26" t="s">
        <v>8</v>
      </c>
      <c r="J309" s="26" t="s">
        <v>160</v>
      </c>
      <c r="K309" s="26">
        <f t="shared" si="163"/>
        <v>0</v>
      </c>
      <c r="L309" s="42">
        <v>7</v>
      </c>
      <c r="M309" s="42">
        <v>6</v>
      </c>
      <c r="N309" s="42">
        <v>6</v>
      </c>
      <c r="O309" s="83">
        <v>6</v>
      </c>
      <c r="P309" s="83">
        <v>6</v>
      </c>
      <c r="Q309" s="83">
        <v>6</v>
      </c>
      <c r="R309" s="83">
        <v>6</v>
      </c>
      <c r="S309" s="83">
        <v>8</v>
      </c>
      <c r="T309" s="83">
        <v>7</v>
      </c>
      <c r="U309" s="83">
        <v>7</v>
      </c>
      <c r="V309" s="42"/>
      <c r="W309" s="42"/>
      <c r="X309" s="42"/>
      <c r="Y309" s="26">
        <v>580</v>
      </c>
      <c r="Z309" s="26">
        <f t="shared" si="159"/>
        <v>0.5</v>
      </c>
      <c r="AA309" s="82" t="s">
        <v>107</v>
      </c>
      <c r="AB309" s="111">
        <f t="shared" si="144"/>
        <v>4.5</v>
      </c>
      <c r="AC309" s="82" t="s">
        <v>13</v>
      </c>
      <c r="AD309" s="84">
        <f t="shared" si="140"/>
        <v>21039.772727272728</v>
      </c>
      <c r="AE309" s="140"/>
      <c r="AF309" s="113">
        <f t="shared" si="160"/>
        <v>0</v>
      </c>
      <c r="AG309" s="85">
        <v>2026</v>
      </c>
      <c r="AH309" s="26" t="str">
        <f t="shared" si="133"/>
        <v/>
      </c>
      <c r="AI309" s="26" t="str">
        <f t="shared" si="162"/>
        <v/>
      </c>
      <c r="AJ309" s="26" t="str">
        <f t="shared" si="162"/>
        <v/>
      </c>
      <c r="AK309" s="26" t="str">
        <f t="shared" si="138"/>
        <v/>
      </c>
      <c r="AL309" s="26" t="str">
        <f t="shared" si="155"/>
        <v>Chip Seal and Fog</v>
      </c>
      <c r="AM309" s="26" t="str">
        <f t="shared" si="154"/>
        <v/>
      </c>
      <c r="AN309" s="26" t="str">
        <f t="shared" si="145"/>
        <v>Chip Seal and Fog</v>
      </c>
      <c r="AO309" s="26" t="str">
        <f t="shared" si="156"/>
        <v/>
      </c>
      <c r="AP309" s="26" t="str">
        <f t="shared" si="146"/>
        <v/>
      </c>
      <c r="AQ309" s="68">
        <f t="shared" si="141"/>
        <v>8</v>
      </c>
      <c r="AR309" s="68">
        <f t="shared" si="142"/>
        <v>6</v>
      </c>
      <c r="AS309" s="68">
        <f t="shared" si="147"/>
        <v>1.05</v>
      </c>
      <c r="AT309" s="68">
        <f t="shared" si="148"/>
        <v>1.1000000000000001</v>
      </c>
      <c r="AU309" s="68">
        <f t="shared" si="149"/>
        <v>1.1000000000000001</v>
      </c>
      <c r="AV309" s="68">
        <f t="shared" si="150"/>
        <v>1.1000000000000001</v>
      </c>
      <c r="AW309" s="68">
        <f t="shared" si="151"/>
        <v>1.1000000000000001</v>
      </c>
      <c r="AX309" s="68">
        <f t="shared" ca="1" si="143"/>
        <v>2.2000000000000002</v>
      </c>
      <c r="AY309" s="68">
        <v>2020</v>
      </c>
      <c r="AZ309" s="68" t="s">
        <v>13</v>
      </c>
      <c r="BA309" s="106" t="str">
        <f t="shared" si="152"/>
        <v/>
      </c>
      <c r="BB309" s="178"/>
      <c r="BC309" s="178">
        <v>8</v>
      </c>
      <c r="BD309" s="178"/>
      <c r="BE309" s="178"/>
      <c r="BF309" s="178"/>
      <c r="BG309" s="178"/>
      <c r="BH309" s="178"/>
      <c r="BI309" s="33"/>
      <c r="BK309" s="48">
        <f>$G309/5280*VLOOKUP($AC309,'Cost and Score'!$B$27:$O$40,6,0)</f>
        <v>0.20037878787878791</v>
      </c>
      <c r="BL309" s="48">
        <f>$G309/5280*VLOOKUP($AC309,'Cost and Score'!$B$27:$O$40,7,0)</f>
        <v>22.041666666666668</v>
      </c>
      <c r="BM309" s="48">
        <f>$G309/5280*VLOOKUP($AC309,'Cost and Score'!$B$27:$O$40,8,0)</f>
        <v>0</v>
      </c>
      <c r="BN309" s="48">
        <f>$G309/5280*VLOOKUP($AC309,'Cost and Score'!$B$27:$O$40,9,0)</f>
        <v>4508.5227272727279</v>
      </c>
      <c r="BO309" s="48">
        <f>$G309/5280*VLOOKUP($AC309,'Cost and Score'!$B$27:$O$40,10,0)</f>
        <v>1001.8939393939395</v>
      </c>
      <c r="BP309" s="48">
        <f>$G309/5280*VLOOKUP($AC309,'Cost and Score'!$B$27:$O$40,11,0)</f>
        <v>0</v>
      </c>
      <c r="BQ309" s="48">
        <f>$G309/5280*VLOOKUP($AC309,'Cost and Score'!$B$27:$O$40,12,0)</f>
        <v>100.18939393939394</v>
      </c>
      <c r="BR309" s="48">
        <f>$G309/5280*VLOOKUP($AC309,'Cost and Score'!$B$27:$O$40,13,0)</f>
        <v>120.22727272727273</v>
      </c>
      <c r="BS309" s="48">
        <f>$G309/5280*VLOOKUP($AC309,'Cost and Score'!$B$27:$O$40,14,0)</f>
        <v>0</v>
      </c>
      <c r="BT309" s="220">
        <f t="shared" si="153"/>
        <v>1.0018939393939394</v>
      </c>
    </row>
    <row r="310" spans="1:103" s="112" customFormat="1" ht="14.45" hidden="1" customHeight="1" x14ac:dyDescent="0.25">
      <c r="A310" s="15" t="s">
        <v>714</v>
      </c>
      <c r="B310" s="108" t="s">
        <v>713</v>
      </c>
      <c r="C310" s="106" t="s">
        <v>713</v>
      </c>
      <c r="D310" s="106"/>
      <c r="E310" s="106" t="s">
        <v>461</v>
      </c>
      <c r="F310" s="106" t="s">
        <v>4</v>
      </c>
      <c r="G310" s="109">
        <v>5935</v>
      </c>
      <c r="H310" s="109">
        <f t="shared" si="158"/>
        <v>20</v>
      </c>
      <c r="I310" s="106" t="s">
        <v>13</v>
      </c>
      <c r="J310" s="106" t="s">
        <v>6</v>
      </c>
      <c r="K310" s="106">
        <f t="shared" si="163"/>
        <v>0</v>
      </c>
      <c r="L310" s="110">
        <v>5</v>
      </c>
      <c r="M310" s="110">
        <v>7</v>
      </c>
      <c r="N310" s="110">
        <v>7</v>
      </c>
      <c r="O310" s="110">
        <v>7</v>
      </c>
      <c r="P310" s="110">
        <v>7</v>
      </c>
      <c r="Q310" s="110">
        <v>8</v>
      </c>
      <c r="R310" s="110">
        <v>7</v>
      </c>
      <c r="S310" s="110">
        <v>7</v>
      </c>
      <c r="T310" s="110">
        <v>7</v>
      </c>
      <c r="U310" s="110">
        <v>7</v>
      </c>
      <c r="V310" s="110"/>
      <c r="W310" s="110"/>
      <c r="X310" s="110"/>
      <c r="Y310" s="106">
        <v>221</v>
      </c>
      <c r="Z310" s="106">
        <f t="shared" si="159"/>
        <v>0</v>
      </c>
      <c r="AA310" s="106" t="s">
        <v>107</v>
      </c>
      <c r="AB310" s="111">
        <f t="shared" si="144"/>
        <v>3</v>
      </c>
      <c r="AC310" s="26" t="s">
        <v>2075</v>
      </c>
      <c r="AD310" s="107">
        <f t="shared" si="140"/>
        <v>6069.886363636364</v>
      </c>
      <c r="AE310" s="198"/>
      <c r="AF310" s="113">
        <f t="shared" si="160"/>
        <v>0</v>
      </c>
      <c r="AG310" s="106">
        <v>2022</v>
      </c>
      <c r="AH310" s="26" t="str">
        <f t="shared" si="133"/>
        <v>Crack Seal</v>
      </c>
      <c r="AI310" s="26" t="str">
        <f t="shared" si="162"/>
        <v/>
      </c>
      <c r="AJ310" s="26" t="str">
        <f t="shared" si="162"/>
        <v/>
      </c>
      <c r="AK310" s="26" t="str">
        <f t="shared" si="138"/>
        <v/>
      </c>
      <c r="AL310" s="26" t="str">
        <f t="shared" si="155"/>
        <v/>
      </c>
      <c r="AM310" s="26" t="str">
        <f t="shared" si="154"/>
        <v/>
      </c>
      <c r="AN310" s="26" t="str">
        <f t="shared" si="145"/>
        <v>Crack Seal</v>
      </c>
      <c r="AO310" s="26" t="str">
        <f t="shared" si="156"/>
        <v/>
      </c>
      <c r="AP310" s="26" t="str">
        <f t="shared" si="146"/>
        <v/>
      </c>
      <c r="AQ310" s="68">
        <f t="shared" si="141"/>
        <v>10</v>
      </c>
      <c r="AR310" s="68">
        <f t="shared" si="142"/>
        <v>3</v>
      </c>
      <c r="AS310" s="68">
        <f t="shared" si="147"/>
        <v>1.25</v>
      </c>
      <c r="AT310" s="68">
        <f t="shared" si="148"/>
        <v>1.05</v>
      </c>
      <c r="AU310" s="68">
        <f t="shared" si="149"/>
        <v>1.05</v>
      </c>
      <c r="AV310" s="68">
        <f t="shared" si="150"/>
        <v>1.05</v>
      </c>
      <c r="AW310" s="68">
        <f t="shared" si="151"/>
        <v>1.05</v>
      </c>
      <c r="AX310" s="68">
        <f t="shared" ca="1" si="143"/>
        <v>-2.1</v>
      </c>
      <c r="AY310" s="106">
        <v>2017</v>
      </c>
      <c r="AZ310" s="106" t="s">
        <v>2072</v>
      </c>
      <c r="BA310" s="106" t="str">
        <f t="shared" si="152"/>
        <v/>
      </c>
      <c r="BB310" s="177"/>
      <c r="BC310" s="177">
        <v>9</v>
      </c>
      <c r="BD310" s="177"/>
      <c r="BE310" s="177"/>
      <c r="BF310" s="177"/>
      <c r="BG310" s="177"/>
      <c r="BH310" s="177"/>
      <c r="BI310" s="33"/>
      <c r="BJ310" s="2"/>
      <c r="BK310" s="48">
        <f>$G310/5280*VLOOKUP($AC310,'Cost and Score'!$B$27:$O$40,6,0)</f>
        <v>1.1240530303030303</v>
      </c>
      <c r="BL310" s="48">
        <f>$G310/5280*VLOOKUP($AC310,'Cost and Score'!$B$27:$O$40,7,0)</f>
        <v>0</v>
      </c>
      <c r="BM310" s="48">
        <f>$G310/5280*VLOOKUP($AC310,'Cost and Score'!$B$27:$O$40,8,0)</f>
        <v>0</v>
      </c>
      <c r="BN310" s="48">
        <f>$G310/5280*VLOOKUP($AC310,'Cost and Score'!$B$27:$O$40,9,0)</f>
        <v>0</v>
      </c>
      <c r="BO310" s="48">
        <f>$G310/5280*VLOOKUP($AC310,'Cost and Score'!$B$27:$O$40,10,0)</f>
        <v>0</v>
      </c>
      <c r="BP310" s="48">
        <f>$G310/5280*VLOOKUP($AC310,'Cost and Score'!$B$27:$O$40,11,0)</f>
        <v>0</v>
      </c>
      <c r="BQ310" s="48">
        <f>$G310/5280*VLOOKUP($AC310,'Cost and Score'!$B$27:$O$40,12,0)</f>
        <v>0</v>
      </c>
      <c r="BR310" s="48">
        <f>$G310/5280*VLOOKUP($AC310,'Cost and Score'!$B$27:$O$40,13,0)</f>
        <v>0</v>
      </c>
      <c r="BS310" s="48">
        <f>$G310/5280*VLOOKUP($AC310,'Cost and Score'!$B$27:$O$40,14,0)</f>
        <v>0</v>
      </c>
      <c r="BT310" s="220">
        <f t="shared" si="153"/>
        <v>1.1240530303030303</v>
      </c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</row>
    <row r="311" spans="1:103" s="2" customFormat="1" ht="14.45" hidden="1" customHeight="1" x14ac:dyDescent="0.25">
      <c r="A311" s="15" t="s">
        <v>716</v>
      </c>
      <c r="B311" s="34" t="s">
        <v>715</v>
      </c>
      <c r="C311" s="26" t="s">
        <v>715</v>
      </c>
      <c r="D311" s="82"/>
      <c r="E311" s="82" t="s">
        <v>124</v>
      </c>
      <c r="F311" s="82" t="s">
        <v>129</v>
      </c>
      <c r="G311" s="29">
        <v>5350</v>
      </c>
      <c r="H311" s="29">
        <f t="shared" si="158"/>
        <v>20</v>
      </c>
      <c r="I311" s="26" t="s">
        <v>8</v>
      </c>
      <c r="J311" s="26" t="s">
        <v>160</v>
      </c>
      <c r="K311" s="26">
        <f t="shared" si="163"/>
        <v>0</v>
      </c>
      <c r="L311" s="42">
        <v>7</v>
      </c>
      <c r="M311" s="42">
        <v>7</v>
      </c>
      <c r="N311" s="42">
        <v>6</v>
      </c>
      <c r="O311" s="83">
        <v>6</v>
      </c>
      <c r="P311" s="83">
        <v>6</v>
      </c>
      <c r="Q311" s="83">
        <v>5</v>
      </c>
      <c r="R311" s="83">
        <v>5</v>
      </c>
      <c r="S311" s="83">
        <v>8</v>
      </c>
      <c r="T311" s="83">
        <v>7</v>
      </c>
      <c r="U311" s="83">
        <v>7</v>
      </c>
      <c r="V311" s="42"/>
      <c r="W311" s="42"/>
      <c r="X311" s="42"/>
      <c r="Y311" s="26">
        <v>532</v>
      </c>
      <c r="Z311" s="26">
        <f t="shared" si="159"/>
        <v>0.5</v>
      </c>
      <c r="AA311" s="82" t="s">
        <v>107</v>
      </c>
      <c r="AB311" s="111">
        <f t="shared" si="144"/>
        <v>4.5</v>
      </c>
      <c r="AC311" s="85" t="s">
        <v>13</v>
      </c>
      <c r="AD311" s="84">
        <f t="shared" si="140"/>
        <v>21278.409090909092</v>
      </c>
      <c r="AE311" s="140"/>
      <c r="AF311" s="113">
        <f t="shared" si="160"/>
        <v>0</v>
      </c>
      <c r="AG311" s="85">
        <v>2026</v>
      </c>
      <c r="AH311" s="26" t="str">
        <f t="shared" ref="AH311:AH374" si="164">IF($AG311=AH$1,VLOOKUP($AC311,RSL,3,FALSE),"")</f>
        <v/>
      </c>
      <c r="AI311" s="26" t="str">
        <f t="shared" si="162"/>
        <v/>
      </c>
      <c r="AJ311" s="26" t="str">
        <f t="shared" si="162"/>
        <v/>
      </c>
      <c r="AK311" s="26" t="str">
        <f t="shared" si="138"/>
        <v/>
      </c>
      <c r="AL311" s="26" t="str">
        <f t="shared" si="155"/>
        <v>Chip Seal and Fog</v>
      </c>
      <c r="AM311" s="26" t="str">
        <f t="shared" si="154"/>
        <v/>
      </c>
      <c r="AN311" s="26" t="str">
        <f t="shared" si="145"/>
        <v>Chip Seal and Fog</v>
      </c>
      <c r="AO311" s="26" t="str">
        <f t="shared" si="156"/>
        <v/>
      </c>
      <c r="AP311" s="26" t="str">
        <f t="shared" si="146"/>
        <v/>
      </c>
      <c r="AQ311" s="68">
        <f t="shared" si="141"/>
        <v>8</v>
      </c>
      <c r="AR311" s="68">
        <f t="shared" si="142"/>
        <v>6</v>
      </c>
      <c r="AS311" s="68">
        <f t="shared" si="147"/>
        <v>1.05</v>
      </c>
      <c r="AT311" s="68">
        <f t="shared" si="148"/>
        <v>1.05</v>
      </c>
      <c r="AU311" s="68">
        <f t="shared" si="149"/>
        <v>1.1000000000000001</v>
      </c>
      <c r="AV311" s="68">
        <f t="shared" si="150"/>
        <v>1.1000000000000001</v>
      </c>
      <c r="AW311" s="68">
        <f t="shared" si="151"/>
        <v>1.1000000000000001</v>
      </c>
      <c r="AX311" s="68">
        <f t="shared" ca="1" si="143"/>
        <v>2.2000000000000002</v>
      </c>
      <c r="AY311" s="68">
        <v>2020</v>
      </c>
      <c r="AZ311" s="68" t="s">
        <v>751</v>
      </c>
      <c r="BA311" s="106" t="str">
        <f t="shared" si="152"/>
        <v/>
      </c>
      <c r="BB311" s="178"/>
      <c r="BC311" s="178">
        <v>8</v>
      </c>
      <c r="BD311" s="178"/>
      <c r="BE311" s="178"/>
      <c r="BF311" s="178"/>
      <c r="BG311" s="178"/>
      <c r="BH311" s="178"/>
      <c r="BI311" s="33"/>
      <c r="BK311" s="48">
        <f>$G311/5280*VLOOKUP($AC311,'Cost and Score'!$B$27:$O$40,6,0)</f>
        <v>0.20265151515151514</v>
      </c>
      <c r="BL311" s="48">
        <f>$G311/5280*VLOOKUP($AC311,'Cost and Score'!$B$27:$O$40,7,0)</f>
        <v>22.291666666666664</v>
      </c>
      <c r="BM311" s="48">
        <f>$G311/5280*VLOOKUP($AC311,'Cost and Score'!$B$27:$O$40,8,0)</f>
        <v>0</v>
      </c>
      <c r="BN311" s="48">
        <f>$G311/5280*VLOOKUP($AC311,'Cost and Score'!$B$27:$O$40,9,0)</f>
        <v>4559.659090909091</v>
      </c>
      <c r="BO311" s="48">
        <f>$G311/5280*VLOOKUP($AC311,'Cost and Score'!$B$27:$O$40,10,0)</f>
        <v>1013.2575757575756</v>
      </c>
      <c r="BP311" s="48">
        <f>$G311/5280*VLOOKUP($AC311,'Cost and Score'!$B$27:$O$40,11,0)</f>
        <v>0</v>
      </c>
      <c r="BQ311" s="48">
        <f>$G311/5280*VLOOKUP($AC311,'Cost and Score'!$B$27:$O$40,12,0)</f>
        <v>101.32575757575756</v>
      </c>
      <c r="BR311" s="48">
        <f>$G311/5280*VLOOKUP($AC311,'Cost and Score'!$B$27:$O$40,13,0)</f>
        <v>121.59090909090908</v>
      </c>
      <c r="BS311" s="48">
        <f>$G311/5280*VLOOKUP($AC311,'Cost and Score'!$B$27:$O$40,14,0)</f>
        <v>0</v>
      </c>
      <c r="BT311" s="220">
        <f t="shared" si="153"/>
        <v>1.0132575757575757</v>
      </c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</row>
    <row r="312" spans="1:103" s="2" customFormat="1" ht="14.45" customHeight="1" x14ac:dyDescent="0.25">
      <c r="A312" s="15" t="s">
        <v>666</v>
      </c>
      <c r="B312" s="34" t="s">
        <v>665</v>
      </c>
      <c r="C312" s="26" t="s">
        <v>665</v>
      </c>
      <c r="D312" s="82"/>
      <c r="E312" s="82" t="s">
        <v>213</v>
      </c>
      <c r="F312" s="82" t="s">
        <v>39</v>
      </c>
      <c r="G312" s="29">
        <v>5544</v>
      </c>
      <c r="H312" s="29">
        <f t="shared" si="158"/>
        <v>20</v>
      </c>
      <c r="I312" s="26" t="s">
        <v>8</v>
      </c>
      <c r="J312" s="26" t="s">
        <v>62</v>
      </c>
      <c r="K312" s="26">
        <f t="shared" si="163"/>
        <v>0</v>
      </c>
      <c r="L312" s="42">
        <v>6</v>
      </c>
      <c r="M312" s="42">
        <v>6</v>
      </c>
      <c r="N312" s="42">
        <v>6</v>
      </c>
      <c r="O312" s="83">
        <v>6</v>
      </c>
      <c r="P312" s="83">
        <v>6</v>
      </c>
      <c r="Q312" s="83">
        <v>6</v>
      </c>
      <c r="R312" s="83">
        <v>8</v>
      </c>
      <c r="S312" s="83">
        <v>7</v>
      </c>
      <c r="T312" s="83">
        <v>7</v>
      </c>
      <c r="U312" s="83">
        <v>7</v>
      </c>
      <c r="V312" s="42"/>
      <c r="W312" s="42"/>
      <c r="X312" s="42"/>
      <c r="Y312" s="26">
        <v>202</v>
      </c>
      <c r="Z312" s="26">
        <f t="shared" si="159"/>
        <v>0</v>
      </c>
      <c r="AA312" s="82" t="s">
        <v>59</v>
      </c>
      <c r="AB312" s="111">
        <f t="shared" si="144"/>
        <v>4</v>
      </c>
      <c r="AC312" s="82" t="s">
        <v>13</v>
      </c>
      <c r="AD312" s="84">
        <f t="shared" si="140"/>
        <v>22050</v>
      </c>
      <c r="AE312" s="140"/>
      <c r="AF312" s="113">
        <f t="shared" si="160"/>
        <v>0</v>
      </c>
      <c r="AG312" s="106">
        <v>2025</v>
      </c>
      <c r="AH312" s="26" t="str">
        <f t="shared" si="164"/>
        <v/>
      </c>
      <c r="AI312" s="26" t="str">
        <f t="shared" ref="AI312:AJ331" si="165">IF($AG312=AI$1,VLOOKUP($AC312,RSL,3,FALSE),"")</f>
        <v/>
      </c>
      <c r="AJ312" s="26" t="str">
        <f t="shared" si="165"/>
        <v/>
      </c>
      <c r="AK312" s="26" t="str">
        <f t="shared" si="138"/>
        <v>Chip Seal and Fog</v>
      </c>
      <c r="AL312" s="26" t="str">
        <f t="shared" si="155"/>
        <v/>
      </c>
      <c r="AM312" s="26" t="str">
        <f t="shared" si="154"/>
        <v/>
      </c>
      <c r="AN312" s="26" t="str">
        <f t="shared" si="145"/>
        <v>Chip Seal and Fog</v>
      </c>
      <c r="AO312" s="26" t="str">
        <f t="shared" si="156"/>
        <v/>
      </c>
      <c r="AP312" s="26" t="str">
        <f t="shared" si="146"/>
        <v/>
      </c>
      <c r="AQ312" s="68">
        <f t="shared" si="141"/>
        <v>8</v>
      </c>
      <c r="AR312" s="68">
        <f t="shared" si="142"/>
        <v>6</v>
      </c>
      <c r="AS312" s="68">
        <f t="shared" si="147"/>
        <v>1.1000000000000001</v>
      </c>
      <c r="AT312" s="68">
        <f t="shared" si="148"/>
        <v>1.1000000000000001</v>
      </c>
      <c r="AU312" s="68">
        <f t="shared" si="149"/>
        <v>1.1000000000000001</v>
      </c>
      <c r="AV312" s="68">
        <f t="shared" si="150"/>
        <v>1.1000000000000001</v>
      </c>
      <c r="AW312" s="68">
        <f t="shared" si="151"/>
        <v>1.1000000000000001</v>
      </c>
      <c r="AX312" s="68">
        <f t="shared" ca="1" si="143"/>
        <v>1.1000000000000001</v>
      </c>
      <c r="AY312" s="68">
        <v>2019</v>
      </c>
      <c r="AZ312" s="68" t="s">
        <v>2073</v>
      </c>
      <c r="BA312" s="106" t="str">
        <f t="shared" si="152"/>
        <v/>
      </c>
      <c r="BB312" s="178"/>
      <c r="BC312" s="178">
        <v>3</v>
      </c>
      <c r="BD312" s="178"/>
      <c r="BE312" s="178"/>
      <c r="BF312" s="178"/>
      <c r="BG312" s="178"/>
      <c r="BH312" s="178"/>
      <c r="BI312" s="33"/>
      <c r="BK312" s="48">
        <f>$G312/5280*VLOOKUP($AC312,'Cost and Score'!$B$27:$O$40,6,0)</f>
        <v>0.21000000000000002</v>
      </c>
      <c r="BL312" s="48">
        <f>$G312/5280*VLOOKUP($AC312,'Cost and Score'!$B$27:$O$40,7,0)</f>
        <v>23.1</v>
      </c>
      <c r="BM312" s="48">
        <f>$G312/5280*VLOOKUP($AC312,'Cost and Score'!$B$27:$O$40,8,0)</f>
        <v>0</v>
      </c>
      <c r="BN312" s="48">
        <f>$G312/5280*VLOOKUP($AC312,'Cost and Score'!$B$27:$O$40,9,0)</f>
        <v>4725</v>
      </c>
      <c r="BO312" s="48">
        <f>$G312/5280*VLOOKUP($AC312,'Cost and Score'!$B$27:$O$40,10,0)</f>
        <v>1050</v>
      </c>
      <c r="BP312" s="48">
        <f>$G312/5280*VLOOKUP($AC312,'Cost and Score'!$B$27:$O$40,11,0)</f>
        <v>0</v>
      </c>
      <c r="BQ312" s="48">
        <f>$G312/5280*VLOOKUP($AC312,'Cost and Score'!$B$27:$O$40,12,0)</f>
        <v>105</v>
      </c>
      <c r="BR312" s="48">
        <f>$G312/5280*VLOOKUP($AC312,'Cost and Score'!$B$27:$O$40,13,0)</f>
        <v>126</v>
      </c>
      <c r="BS312" s="48">
        <f>$G312/5280*VLOOKUP($AC312,'Cost and Score'!$B$27:$O$40,14,0)</f>
        <v>0</v>
      </c>
      <c r="BT312" s="220">
        <f t="shared" si="153"/>
        <v>1.05</v>
      </c>
    </row>
    <row r="313" spans="1:103" s="2" customFormat="1" hidden="1" x14ac:dyDescent="0.25">
      <c r="A313" s="15" t="s">
        <v>720</v>
      </c>
      <c r="B313" s="34" t="s">
        <v>719</v>
      </c>
      <c r="C313" s="26" t="s">
        <v>719</v>
      </c>
      <c r="D313" s="82"/>
      <c r="E313" s="82" t="s">
        <v>64</v>
      </c>
      <c r="F313" s="82" t="s">
        <v>165</v>
      </c>
      <c r="G313" s="29">
        <v>4470</v>
      </c>
      <c r="H313" s="29">
        <f t="shared" si="158"/>
        <v>20</v>
      </c>
      <c r="I313" s="26" t="s">
        <v>13</v>
      </c>
      <c r="J313" s="26" t="s">
        <v>172</v>
      </c>
      <c r="K313" s="26">
        <f t="shared" si="163"/>
        <v>0</v>
      </c>
      <c r="L313" s="42">
        <v>8</v>
      </c>
      <c r="M313" s="42">
        <v>8</v>
      </c>
      <c r="N313" s="42">
        <v>8</v>
      </c>
      <c r="O313" s="83">
        <v>7</v>
      </c>
      <c r="P313" s="83">
        <v>7</v>
      </c>
      <c r="Q313" s="83">
        <v>7</v>
      </c>
      <c r="R313" s="83">
        <v>7</v>
      </c>
      <c r="S313" s="83">
        <v>7</v>
      </c>
      <c r="T313" s="83">
        <v>7</v>
      </c>
      <c r="U313" s="83">
        <v>7</v>
      </c>
      <c r="V313" s="42"/>
      <c r="W313" s="42"/>
      <c r="X313" s="42"/>
      <c r="Y313" s="26">
        <v>106</v>
      </c>
      <c r="Z313" s="26">
        <f t="shared" si="159"/>
        <v>0</v>
      </c>
      <c r="AA313" s="82" t="s">
        <v>107</v>
      </c>
      <c r="AB313" s="111">
        <f t="shared" si="144"/>
        <v>3</v>
      </c>
      <c r="AC313" s="82" t="s">
        <v>13</v>
      </c>
      <c r="AD313" s="84">
        <f t="shared" si="140"/>
        <v>17778.409090909092</v>
      </c>
      <c r="AE313" s="140"/>
      <c r="AF313" s="113">
        <f t="shared" si="160"/>
        <v>0</v>
      </c>
      <c r="AG313" s="82">
        <v>2024</v>
      </c>
      <c r="AH313" s="26" t="str">
        <f t="shared" si="164"/>
        <v/>
      </c>
      <c r="AI313" s="26" t="str">
        <f t="shared" si="165"/>
        <v/>
      </c>
      <c r="AJ313" s="26" t="str">
        <f t="shared" si="165"/>
        <v>Chip Seal and Fog</v>
      </c>
      <c r="AK313" s="26" t="str">
        <f t="shared" si="138"/>
        <v/>
      </c>
      <c r="AL313" s="26" t="str">
        <f t="shared" si="155"/>
        <v/>
      </c>
      <c r="AM313" s="26" t="str">
        <f t="shared" si="154"/>
        <v/>
      </c>
      <c r="AN313" s="26" t="str">
        <f t="shared" si="145"/>
        <v>Chip Seal and Fog</v>
      </c>
      <c r="AO313" s="26" t="str">
        <f t="shared" si="156"/>
        <v/>
      </c>
      <c r="AP313" s="26" t="str">
        <f t="shared" si="146"/>
        <v/>
      </c>
      <c r="AQ313" s="68">
        <f t="shared" si="141"/>
        <v>10</v>
      </c>
      <c r="AR313" s="68">
        <f t="shared" si="142"/>
        <v>6</v>
      </c>
      <c r="AS313" s="68">
        <f t="shared" si="147"/>
        <v>1</v>
      </c>
      <c r="AT313" s="68">
        <f t="shared" si="148"/>
        <v>1</v>
      </c>
      <c r="AU313" s="68">
        <f t="shared" si="149"/>
        <v>1</v>
      </c>
      <c r="AV313" s="68">
        <f t="shared" si="150"/>
        <v>1.05</v>
      </c>
      <c r="AW313" s="68">
        <f t="shared" si="151"/>
        <v>1.05</v>
      </c>
      <c r="AX313" s="68">
        <f t="shared" ca="1" si="143"/>
        <v>0</v>
      </c>
      <c r="AY313" s="68">
        <v>2018</v>
      </c>
      <c r="AZ313" s="68" t="s">
        <v>13</v>
      </c>
      <c r="BA313" s="106" t="str">
        <f t="shared" si="152"/>
        <v>CS</v>
      </c>
      <c r="BB313" s="178"/>
      <c r="BC313" s="178">
        <v>9</v>
      </c>
      <c r="BD313" s="178"/>
      <c r="BE313" s="178"/>
      <c r="BF313" s="178"/>
      <c r="BG313" s="178"/>
      <c r="BH313" s="178"/>
      <c r="BI313" s="33"/>
      <c r="BK313" s="48">
        <f>$G313/5280*VLOOKUP($AC313,'Cost and Score'!$B$27:$O$40,6,0)</f>
        <v>0.16931818181818181</v>
      </c>
      <c r="BL313" s="48">
        <f>$G313/5280*VLOOKUP($AC313,'Cost and Score'!$B$27:$O$40,7,0)</f>
        <v>18.625</v>
      </c>
      <c r="BM313" s="48">
        <f>$G313/5280*VLOOKUP($AC313,'Cost and Score'!$B$27:$O$40,8,0)</f>
        <v>0</v>
      </c>
      <c r="BN313" s="48">
        <f>$G313/5280*VLOOKUP($AC313,'Cost and Score'!$B$27:$O$40,9,0)</f>
        <v>3809.659090909091</v>
      </c>
      <c r="BO313" s="48">
        <f>$G313/5280*VLOOKUP($AC313,'Cost and Score'!$B$27:$O$40,10,0)</f>
        <v>846.59090909090901</v>
      </c>
      <c r="BP313" s="48">
        <f>$G313/5280*VLOOKUP($AC313,'Cost and Score'!$B$27:$O$40,11,0)</f>
        <v>0</v>
      </c>
      <c r="BQ313" s="48">
        <f>$G313/5280*VLOOKUP($AC313,'Cost and Score'!$B$27:$O$40,12,0)</f>
        <v>84.659090909090907</v>
      </c>
      <c r="BR313" s="48">
        <f>$G313/5280*VLOOKUP($AC313,'Cost and Score'!$B$27:$O$40,13,0)</f>
        <v>101.59090909090909</v>
      </c>
      <c r="BS313" s="48">
        <f>$G313/5280*VLOOKUP($AC313,'Cost and Score'!$B$27:$O$40,14,0)</f>
        <v>0</v>
      </c>
      <c r="BT313" s="220">
        <f t="shared" si="153"/>
        <v>0.84659090909090906</v>
      </c>
      <c r="CW313" s="112"/>
      <c r="CX313" s="112"/>
      <c r="CY313" s="112"/>
    </row>
    <row r="314" spans="1:103" s="2" customFormat="1" ht="14.45" customHeight="1" x14ac:dyDescent="0.25">
      <c r="A314" s="31" t="s">
        <v>2102</v>
      </c>
      <c r="B314" s="45" t="s">
        <v>1915</v>
      </c>
      <c r="C314" s="85" t="s">
        <v>1915</v>
      </c>
      <c r="D314" s="86" t="s">
        <v>2277</v>
      </c>
      <c r="E314" s="85" t="s">
        <v>1451</v>
      </c>
      <c r="F314" s="85" t="s">
        <v>1916</v>
      </c>
      <c r="G314" s="29">
        <v>1162</v>
      </c>
      <c r="H314" s="29">
        <f t="shared" ref="H314:H345" si="166">IF(I314="NC",26,20)</f>
        <v>26</v>
      </c>
      <c r="I314" s="124" t="s">
        <v>2098</v>
      </c>
      <c r="J314" s="85" t="s">
        <v>160</v>
      </c>
      <c r="K314" s="85">
        <f t="shared" si="163"/>
        <v>0</v>
      </c>
      <c r="L314" s="74">
        <v>7</v>
      </c>
      <c r="M314" s="74">
        <v>7</v>
      </c>
      <c r="N314" s="74">
        <v>7</v>
      </c>
      <c r="O314" s="74">
        <v>7</v>
      </c>
      <c r="P314" s="74">
        <v>7</v>
      </c>
      <c r="Q314" s="74">
        <v>6</v>
      </c>
      <c r="R314" s="74">
        <v>8</v>
      </c>
      <c r="S314" s="74">
        <v>8</v>
      </c>
      <c r="T314" s="74">
        <v>7</v>
      </c>
      <c r="U314" s="74">
        <v>7</v>
      </c>
      <c r="V314" s="74"/>
      <c r="W314" s="74"/>
      <c r="X314" s="74"/>
      <c r="Y314" s="85">
        <v>188</v>
      </c>
      <c r="Z314" s="85">
        <f t="shared" ref="Z314:Z345" si="167">VLOOKUP(Y314,AADT,2)</f>
        <v>0</v>
      </c>
      <c r="AA314" s="85" t="s">
        <v>1915</v>
      </c>
      <c r="AB314" s="111">
        <f t="shared" si="144"/>
        <v>3</v>
      </c>
      <c r="AC314" s="85" t="s">
        <v>13</v>
      </c>
      <c r="AD314" s="47">
        <f t="shared" si="140"/>
        <v>4621.590909090909</v>
      </c>
      <c r="AE314" s="140"/>
      <c r="AF314" s="113">
        <f t="shared" ref="AF314:AF345" si="168">AD314*AE314</f>
        <v>0</v>
      </c>
      <c r="AG314" s="106">
        <v>2025</v>
      </c>
      <c r="AH314" s="26" t="str">
        <f t="shared" si="164"/>
        <v/>
      </c>
      <c r="AI314" s="26" t="str">
        <f t="shared" si="165"/>
        <v/>
      </c>
      <c r="AJ314" s="26" t="str">
        <f t="shared" si="165"/>
        <v/>
      </c>
      <c r="AK314" s="26" t="str">
        <f t="shared" si="138"/>
        <v>Chip Seal and Fog</v>
      </c>
      <c r="AL314" s="26" t="str">
        <f t="shared" si="155"/>
        <v/>
      </c>
      <c r="AM314" s="26" t="str">
        <f t="shared" si="154"/>
        <v/>
      </c>
      <c r="AN314" s="26" t="str">
        <f t="shared" si="145"/>
        <v>Chip Seal and Fog</v>
      </c>
      <c r="AO314" s="26" t="str">
        <f t="shared" si="156"/>
        <v/>
      </c>
      <c r="AP314" s="26" t="str">
        <f t="shared" si="146"/>
        <v/>
      </c>
      <c r="AQ314" s="68">
        <f t="shared" si="141"/>
        <v>10</v>
      </c>
      <c r="AR314" s="68">
        <f t="shared" si="142"/>
        <v>6</v>
      </c>
      <c r="AS314" s="68">
        <f t="shared" si="147"/>
        <v>1.05</v>
      </c>
      <c r="AT314" s="68">
        <f t="shared" si="148"/>
        <v>1.05</v>
      </c>
      <c r="AU314" s="68">
        <f t="shared" si="149"/>
        <v>1.05</v>
      </c>
      <c r="AV314" s="68">
        <f t="shared" si="150"/>
        <v>1.05</v>
      </c>
      <c r="AW314" s="68">
        <f t="shared" si="151"/>
        <v>1.05</v>
      </c>
      <c r="AX314" s="68">
        <f t="shared" ca="1" si="143"/>
        <v>1.05</v>
      </c>
      <c r="AY314" s="68">
        <v>2019</v>
      </c>
      <c r="AZ314" s="68" t="s">
        <v>2371</v>
      </c>
      <c r="BA314" s="106" t="str">
        <f t="shared" si="152"/>
        <v/>
      </c>
      <c r="BB314" s="178"/>
      <c r="BC314" s="178"/>
      <c r="BD314" s="178"/>
      <c r="BE314" s="178"/>
      <c r="BF314" s="178"/>
      <c r="BG314" s="178"/>
      <c r="BH314" s="178"/>
      <c r="BI314" s="33"/>
      <c r="BK314" s="48">
        <f>$G314/5280*VLOOKUP($AC314,'Cost and Score'!$B$27:$O$40,6,0)</f>
        <v>4.4015151515151514E-2</v>
      </c>
      <c r="BL314" s="48">
        <f>$G314/5280*VLOOKUP($AC314,'Cost and Score'!$B$27:$O$40,7,0)</f>
        <v>4.8416666666666668</v>
      </c>
      <c r="BM314" s="48">
        <f>$G314/5280*VLOOKUP($AC314,'Cost and Score'!$B$27:$O$40,8,0)</f>
        <v>0</v>
      </c>
      <c r="BN314" s="48">
        <f>$G314/5280*VLOOKUP($AC314,'Cost and Score'!$B$27:$O$40,9,0)</f>
        <v>990.34090909090901</v>
      </c>
      <c r="BO314" s="48">
        <f>$G314/5280*VLOOKUP($AC314,'Cost and Score'!$B$27:$O$40,10,0)</f>
        <v>220.07575757575756</v>
      </c>
      <c r="BP314" s="48">
        <f>$G314/5280*VLOOKUP($AC314,'Cost and Score'!$B$27:$O$40,11,0)</f>
        <v>0</v>
      </c>
      <c r="BQ314" s="48">
        <f>$G314/5280*VLOOKUP($AC314,'Cost and Score'!$B$27:$O$40,12,0)</f>
        <v>22.007575757575758</v>
      </c>
      <c r="BR314" s="48">
        <f>$G314/5280*VLOOKUP($AC314,'Cost and Score'!$B$27:$O$40,13,0)</f>
        <v>26.409090909090907</v>
      </c>
      <c r="BS314" s="48">
        <f>$G314/5280*VLOOKUP($AC314,'Cost and Score'!$B$27:$O$40,14,0)</f>
        <v>0</v>
      </c>
      <c r="BT314" s="220">
        <f t="shared" si="153"/>
        <v>0.22007575757575756</v>
      </c>
      <c r="BV314" s="26"/>
      <c r="BW314" s="26"/>
      <c r="BX314" s="26"/>
      <c r="BY314" s="26"/>
      <c r="BZ314" s="26"/>
      <c r="CA314" s="26"/>
      <c r="CB314" s="26"/>
      <c r="CW314" s="112"/>
      <c r="CX314" s="112"/>
      <c r="CY314" s="112"/>
    </row>
    <row r="315" spans="1:103" s="2" customFormat="1" ht="14.45" hidden="1" customHeight="1" x14ac:dyDescent="0.25">
      <c r="A315" s="15" t="s">
        <v>724</v>
      </c>
      <c r="B315" s="34" t="s">
        <v>723</v>
      </c>
      <c r="C315" s="26" t="s">
        <v>723</v>
      </c>
      <c r="D315" s="82"/>
      <c r="E315" s="82" t="s">
        <v>73</v>
      </c>
      <c r="F315" s="82" t="s">
        <v>64</v>
      </c>
      <c r="G315" s="29">
        <v>5310</v>
      </c>
      <c r="H315" s="29">
        <f t="shared" si="166"/>
        <v>20</v>
      </c>
      <c r="I315" s="26" t="s">
        <v>13</v>
      </c>
      <c r="J315" s="26" t="s">
        <v>172</v>
      </c>
      <c r="K315" s="26">
        <f t="shared" si="163"/>
        <v>0</v>
      </c>
      <c r="L315" s="42">
        <v>8</v>
      </c>
      <c r="M315" s="42">
        <v>7</v>
      </c>
      <c r="N315" s="42">
        <v>7</v>
      </c>
      <c r="O315" s="83">
        <v>7</v>
      </c>
      <c r="P315" s="83">
        <v>6</v>
      </c>
      <c r="Q315" s="83">
        <v>8</v>
      </c>
      <c r="R315" s="83">
        <v>7</v>
      </c>
      <c r="S315" s="83">
        <v>7</v>
      </c>
      <c r="T315" s="83">
        <v>7</v>
      </c>
      <c r="U315" s="83">
        <v>7</v>
      </c>
      <c r="V315" s="42"/>
      <c r="W315" s="42"/>
      <c r="X315" s="42"/>
      <c r="Y315" s="26">
        <v>175</v>
      </c>
      <c r="Z315" s="26">
        <f t="shared" si="167"/>
        <v>0</v>
      </c>
      <c r="AA315" s="82" t="s">
        <v>107</v>
      </c>
      <c r="AB315" s="111">
        <f t="shared" si="144"/>
        <v>4</v>
      </c>
      <c r="AC315" s="82" t="s">
        <v>13</v>
      </c>
      <c r="AD315" s="84">
        <f t="shared" si="140"/>
        <v>21119.31818181818</v>
      </c>
      <c r="AE315" s="140"/>
      <c r="AF315" s="113">
        <f t="shared" si="168"/>
        <v>0</v>
      </c>
      <c r="AG315" s="82">
        <v>2024</v>
      </c>
      <c r="AH315" s="26" t="str">
        <f t="shared" si="164"/>
        <v/>
      </c>
      <c r="AI315" s="26" t="str">
        <f t="shared" si="165"/>
        <v/>
      </c>
      <c r="AJ315" s="26" t="str">
        <f t="shared" si="165"/>
        <v>Chip Seal and Fog</v>
      </c>
      <c r="AK315" s="26" t="str">
        <f t="shared" ref="AK315:AK378" si="169">IF($AG315=AK$1,VLOOKUP($AC315,RSL,3,FALSE),"")</f>
        <v/>
      </c>
      <c r="AL315" s="26" t="str">
        <f t="shared" si="155"/>
        <v/>
      </c>
      <c r="AM315" s="26" t="str">
        <f t="shared" si="154"/>
        <v/>
      </c>
      <c r="AN315" s="26" t="str">
        <f t="shared" si="145"/>
        <v>Chip Seal and Fog</v>
      </c>
      <c r="AO315" s="26" t="str">
        <f t="shared" si="156"/>
        <v/>
      </c>
      <c r="AP315" s="26" t="str">
        <f t="shared" si="146"/>
        <v/>
      </c>
      <c r="AQ315" s="68">
        <f t="shared" si="141"/>
        <v>10</v>
      </c>
      <c r="AR315" s="68">
        <f t="shared" si="142"/>
        <v>6</v>
      </c>
      <c r="AS315" s="68">
        <f t="shared" si="147"/>
        <v>1</v>
      </c>
      <c r="AT315" s="68">
        <f t="shared" si="148"/>
        <v>1.05</v>
      </c>
      <c r="AU315" s="68">
        <f t="shared" si="149"/>
        <v>1.05</v>
      </c>
      <c r="AV315" s="68">
        <f t="shared" si="150"/>
        <v>1.05</v>
      </c>
      <c r="AW315" s="68">
        <f t="shared" si="151"/>
        <v>1.1000000000000001</v>
      </c>
      <c r="AX315" s="68">
        <f t="shared" ca="1" si="143"/>
        <v>0</v>
      </c>
      <c r="AY315" s="68">
        <v>2018</v>
      </c>
      <c r="AZ315" s="68" t="s">
        <v>13</v>
      </c>
      <c r="BA315" s="106" t="str">
        <f t="shared" si="152"/>
        <v>CS</v>
      </c>
      <c r="BB315" s="178"/>
      <c r="BC315" s="178">
        <v>9</v>
      </c>
      <c r="BD315" s="178"/>
      <c r="BE315" s="178"/>
      <c r="BF315" s="178"/>
      <c r="BG315" s="178"/>
      <c r="BH315" s="178"/>
      <c r="BI315" s="33"/>
      <c r="BK315" s="48">
        <f>$G315/5280*VLOOKUP($AC315,'Cost and Score'!$B$27:$O$40,6,0)</f>
        <v>0.20113636363636364</v>
      </c>
      <c r="BL315" s="48">
        <f>$G315/5280*VLOOKUP($AC315,'Cost and Score'!$B$27:$O$40,7,0)</f>
        <v>22.125</v>
      </c>
      <c r="BM315" s="48">
        <f>$G315/5280*VLOOKUP($AC315,'Cost and Score'!$B$27:$O$40,8,0)</f>
        <v>0</v>
      </c>
      <c r="BN315" s="48">
        <f>$G315/5280*VLOOKUP($AC315,'Cost and Score'!$B$27:$O$40,9,0)</f>
        <v>4525.568181818182</v>
      </c>
      <c r="BO315" s="48">
        <f>$G315/5280*VLOOKUP($AC315,'Cost and Score'!$B$27:$O$40,10,0)</f>
        <v>1005.6818181818181</v>
      </c>
      <c r="BP315" s="48">
        <f>$G315/5280*VLOOKUP($AC315,'Cost and Score'!$B$27:$O$40,11,0)</f>
        <v>0</v>
      </c>
      <c r="BQ315" s="48">
        <f>$G315/5280*VLOOKUP($AC315,'Cost and Score'!$B$27:$O$40,12,0)</f>
        <v>100.56818181818181</v>
      </c>
      <c r="BR315" s="48">
        <f>$G315/5280*VLOOKUP($AC315,'Cost and Score'!$B$27:$O$40,13,0)</f>
        <v>120.68181818181817</v>
      </c>
      <c r="BS315" s="48">
        <f>$G315/5280*VLOOKUP($AC315,'Cost and Score'!$B$27:$O$40,14,0)</f>
        <v>0</v>
      </c>
      <c r="BT315" s="220">
        <f t="shared" si="153"/>
        <v>1.0056818181818181</v>
      </c>
    </row>
    <row r="316" spans="1:103" s="2" customFormat="1" ht="14.45" hidden="1" customHeight="1" x14ac:dyDescent="0.25">
      <c r="A316" s="15" t="s">
        <v>726</v>
      </c>
      <c r="B316" s="34" t="s">
        <v>725</v>
      </c>
      <c r="C316" s="26" t="s">
        <v>723</v>
      </c>
      <c r="D316" s="82"/>
      <c r="E316" s="82" t="s">
        <v>140</v>
      </c>
      <c r="F316" s="82" t="s">
        <v>73</v>
      </c>
      <c r="G316" s="29">
        <v>4800</v>
      </c>
      <c r="H316" s="29">
        <f t="shared" si="166"/>
        <v>20</v>
      </c>
      <c r="I316" s="26" t="s">
        <v>8</v>
      </c>
      <c r="J316" s="26" t="s">
        <v>172</v>
      </c>
      <c r="K316" s="26">
        <f t="shared" si="163"/>
        <v>0</v>
      </c>
      <c r="L316" s="42">
        <v>7</v>
      </c>
      <c r="M316" s="42">
        <v>7</v>
      </c>
      <c r="N316" s="42">
        <v>7</v>
      </c>
      <c r="O316" s="83">
        <v>7</v>
      </c>
      <c r="P316" s="83">
        <v>6</v>
      </c>
      <c r="Q316" s="83">
        <v>8</v>
      </c>
      <c r="R316" s="83">
        <v>8</v>
      </c>
      <c r="S316" s="83">
        <v>8</v>
      </c>
      <c r="T316" s="83">
        <v>7</v>
      </c>
      <c r="U316" s="83">
        <v>7</v>
      </c>
      <c r="V316" s="42"/>
      <c r="W316" s="42"/>
      <c r="X316" s="42"/>
      <c r="Y316" s="26">
        <v>287</v>
      </c>
      <c r="Z316" s="26">
        <f t="shared" si="167"/>
        <v>0</v>
      </c>
      <c r="AA316" s="82" t="s">
        <v>107</v>
      </c>
      <c r="AB316" s="111">
        <f t="shared" si="144"/>
        <v>4</v>
      </c>
      <c r="AC316" s="82" t="s">
        <v>2073</v>
      </c>
      <c r="AD316" s="84">
        <f t="shared" si="140"/>
        <v>29090.909090909092</v>
      </c>
      <c r="AE316" s="140"/>
      <c r="AF316" s="113">
        <f t="shared" si="168"/>
        <v>0</v>
      </c>
      <c r="AG316" s="82">
        <v>2024</v>
      </c>
      <c r="AH316" s="26" t="str">
        <f t="shared" si="164"/>
        <v/>
      </c>
      <c r="AI316" s="26" t="str">
        <f t="shared" si="165"/>
        <v/>
      </c>
      <c r="AJ316" s="26" t="str">
        <f t="shared" si="165"/>
        <v>Chip Seal - Double and Fog</v>
      </c>
      <c r="AK316" s="26" t="str">
        <f t="shared" si="169"/>
        <v/>
      </c>
      <c r="AL316" s="26" t="str">
        <f t="shared" si="155"/>
        <v/>
      </c>
      <c r="AM316" s="26" t="str">
        <f t="shared" si="154"/>
        <v/>
      </c>
      <c r="AN316" s="26" t="str">
        <f t="shared" si="145"/>
        <v>Chip Seal - Double and Fog</v>
      </c>
      <c r="AO316" s="26" t="str">
        <f t="shared" si="156"/>
        <v/>
      </c>
      <c r="AP316" s="26" t="str">
        <f t="shared" si="146"/>
        <v/>
      </c>
      <c r="AQ316" s="68">
        <f t="shared" si="141"/>
        <v>10</v>
      </c>
      <c r="AR316" s="68">
        <f t="shared" si="142"/>
        <v>6</v>
      </c>
      <c r="AS316" s="68">
        <f t="shared" si="147"/>
        <v>1.05</v>
      </c>
      <c r="AT316" s="68">
        <f t="shared" si="148"/>
        <v>1.05</v>
      </c>
      <c r="AU316" s="68">
        <f t="shared" si="149"/>
        <v>1.05</v>
      </c>
      <c r="AV316" s="68">
        <f t="shared" si="150"/>
        <v>1.05</v>
      </c>
      <c r="AW316" s="68">
        <f t="shared" si="151"/>
        <v>1.1000000000000001</v>
      </c>
      <c r="AX316" s="68">
        <f t="shared" ca="1" si="143"/>
        <v>0</v>
      </c>
      <c r="AY316" s="68">
        <v>2018</v>
      </c>
      <c r="AZ316" s="68" t="s">
        <v>2072</v>
      </c>
      <c r="BA316" s="106" t="str">
        <f t="shared" si="152"/>
        <v>SP/CS</v>
      </c>
      <c r="BB316" s="178"/>
      <c r="BC316" s="178">
        <v>7</v>
      </c>
      <c r="BD316" s="178"/>
      <c r="BE316" s="178"/>
      <c r="BF316" s="178"/>
      <c r="BG316" s="178"/>
      <c r="BH316" s="178"/>
      <c r="BI316" s="33"/>
      <c r="BK316" s="48">
        <f>$G316/5280*VLOOKUP($AC316,'Cost and Score'!$B$27:$O$40,6,0)</f>
        <v>0.45454545454545453</v>
      </c>
      <c r="BL316" s="48">
        <f>$G316/5280*VLOOKUP($AC316,'Cost and Score'!$B$27:$O$40,7,0)</f>
        <v>45.454545454545453</v>
      </c>
      <c r="BM316" s="48">
        <f>$G316/5280*VLOOKUP($AC316,'Cost and Score'!$B$27:$O$40,8,0)</f>
        <v>0</v>
      </c>
      <c r="BN316" s="48">
        <f>$G316/5280*VLOOKUP($AC316,'Cost and Score'!$B$27:$O$40,9,0)</f>
        <v>8636.363636363636</v>
      </c>
      <c r="BO316" s="48">
        <f>$G316/5280*VLOOKUP($AC316,'Cost and Score'!$B$27:$O$40,10,0)</f>
        <v>909.09090909090901</v>
      </c>
      <c r="BP316" s="48">
        <f>$G316/5280*VLOOKUP($AC316,'Cost and Score'!$B$27:$O$40,11,0)</f>
        <v>0</v>
      </c>
      <c r="BQ316" s="48">
        <f>$G316/5280*VLOOKUP($AC316,'Cost and Score'!$B$27:$O$40,12,0)</f>
        <v>181.81818181818181</v>
      </c>
      <c r="BR316" s="48">
        <f>$G316/5280*VLOOKUP($AC316,'Cost and Score'!$B$27:$O$40,13,0)</f>
        <v>163.63636363636363</v>
      </c>
      <c r="BS316" s="48">
        <f>$G316/5280*VLOOKUP($AC316,'Cost and Score'!$B$27:$O$40,14,0)</f>
        <v>218.18181818181819</v>
      </c>
      <c r="BT316" s="220">
        <f t="shared" si="153"/>
        <v>0.90909090909090906</v>
      </c>
    </row>
    <row r="317" spans="1:103" s="2" customFormat="1" ht="14.45" hidden="1" customHeight="1" x14ac:dyDescent="0.25">
      <c r="A317" s="15" t="s">
        <v>728</v>
      </c>
      <c r="B317" s="34" t="s">
        <v>727</v>
      </c>
      <c r="C317" s="26" t="s">
        <v>727</v>
      </c>
      <c r="D317" s="82"/>
      <c r="E317" s="82" t="s">
        <v>147</v>
      </c>
      <c r="F317" s="82" t="s">
        <v>140</v>
      </c>
      <c r="G317" s="29">
        <v>5400</v>
      </c>
      <c r="H317" s="29">
        <f t="shared" si="166"/>
        <v>20</v>
      </c>
      <c r="I317" s="26" t="s">
        <v>8</v>
      </c>
      <c r="J317" s="26" t="s">
        <v>172</v>
      </c>
      <c r="K317" s="26">
        <f t="shared" si="163"/>
        <v>0</v>
      </c>
      <c r="L317" s="42">
        <v>5</v>
      </c>
      <c r="M317" s="42">
        <v>7</v>
      </c>
      <c r="N317" s="42">
        <v>7</v>
      </c>
      <c r="O317" s="83">
        <v>7</v>
      </c>
      <c r="P317" s="83">
        <v>6</v>
      </c>
      <c r="Q317" s="83">
        <v>8</v>
      </c>
      <c r="R317" s="83">
        <v>8</v>
      </c>
      <c r="S317" s="83">
        <v>8</v>
      </c>
      <c r="T317" s="83">
        <v>7</v>
      </c>
      <c r="U317" s="83">
        <v>7</v>
      </c>
      <c r="V317" s="42"/>
      <c r="W317" s="42"/>
      <c r="X317" s="42"/>
      <c r="Y317" s="26">
        <v>219</v>
      </c>
      <c r="Z317" s="26">
        <f t="shared" si="167"/>
        <v>0</v>
      </c>
      <c r="AA317" s="82" t="s">
        <v>107</v>
      </c>
      <c r="AB317" s="111">
        <f t="shared" si="144"/>
        <v>4</v>
      </c>
      <c r="AC317" s="82" t="s">
        <v>13</v>
      </c>
      <c r="AD317" s="84">
        <f t="shared" ref="AD317:AD380" si="170">VLOOKUP(AC317,Cost,2,FALSE)*G317/5280</f>
        <v>21477.272727272728</v>
      </c>
      <c r="AE317" s="140"/>
      <c r="AF317" s="113">
        <f t="shared" si="168"/>
        <v>0</v>
      </c>
      <c r="AG317" s="82">
        <v>2024</v>
      </c>
      <c r="AH317" s="26" t="str">
        <f t="shared" si="164"/>
        <v/>
      </c>
      <c r="AI317" s="26" t="str">
        <f t="shared" si="165"/>
        <v/>
      </c>
      <c r="AJ317" s="26" t="str">
        <f t="shared" si="165"/>
        <v>Chip Seal and Fog</v>
      </c>
      <c r="AK317" s="26" t="str">
        <f t="shared" si="169"/>
        <v/>
      </c>
      <c r="AL317" s="26" t="str">
        <f t="shared" si="155"/>
        <v/>
      </c>
      <c r="AM317" s="26" t="str">
        <f t="shared" si="154"/>
        <v/>
      </c>
      <c r="AN317" s="26" t="str">
        <f t="shared" si="145"/>
        <v>Chip Seal and Fog</v>
      </c>
      <c r="AO317" s="26" t="str">
        <f t="shared" si="156"/>
        <v/>
      </c>
      <c r="AP317" s="26" t="str">
        <f t="shared" si="146"/>
        <v/>
      </c>
      <c r="AQ317" s="68">
        <f t="shared" ref="AQ317:AQ380" si="171">VLOOKUP(O317,RSLrem,2,FALSE)</f>
        <v>10</v>
      </c>
      <c r="AR317" s="68">
        <f t="shared" ref="AR317:AR380" si="172">VLOOKUP(AC317,RSL,5,FALSE)</f>
        <v>6</v>
      </c>
      <c r="AS317" s="68">
        <f t="shared" si="147"/>
        <v>1.25</v>
      </c>
      <c r="AT317" s="68">
        <f t="shared" si="148"/>
        <v>1.05</v>
      </c>
      <c r="AU317" s="68">
        <f t="shared" si="149"/>
        <v>1.05</v>
      </c>
      <c r="AV317" s="68">
        <f t="shared" si="150"/>
        <v>1.05</v>
      </c>
      <c r="AW317" s="68">
        <f t="shared" si="151"/>
        <v>1.1000000000000001</v>
      </c>
      <c r="AX317" s="68">
        <f t="shared" ref="AX317:AX380" ca="1" si="173">AU317*(AG317-YEAR(TODAY()))</f>
        <v>0</v>
      </c>
      <c r="AY317" s="68">
        <v>2018</v>
      </c>
      <c r="AZ317" s="68" t="s">
        <v>2072</v>
      </c>
      <c r="BA317" s="106" t="str">
        <f t="shared" si="152"/>
        <v>SP/CS</v>
      </c>
      <c r="BB317" s="178"/>
      <c r="BC317" s="178">
        <v>7</v>
      </c>
      <c r="BD317" s="178"/>
      <c r="BE317" s="178"/>
      <c r="BF317" s="178"/>
      <c r="BG317" s="178"/>
      <c r="BH317" s="178"/>
      <c r="BI317" s="33"/>
      <c r="BK317" s="48">
        <f>$G317/5280*VLOOKUP($AC317,'Cost and Score'!$B$27:$O$40,6,0)</f>
        <v>0.20454545454545456</v>
      </c>
      <c r="BL317" s="48">
        <f>$G317/5280*VLOOKUP($AC317,'Cost and Score'!$B$27:$O$40,7,0)</f>
        <v>22.5</v>
      </c>
      <c r="BM317" s="48">
        <f>$G317/5280*VLOOKUP($AC317,'Cost and Score'!$B$27:$O$40,8,0)</f>
        <v>0</v>
      </c>
      <c r="BN317" s="48">
        <f>$G317/5280*VLOOKUP($AC317,'Cost and Score'!$B$27:$O$40,9,0)</f>
        <v>4602.272727272727</v>
      </c>
      <c r="BO317" s="48">
        <f>$G317/5280*VLOOKUP($AC317,'Cost and Score'!$B$27:$O$40,10,0)</f>
        <v>1022.7272727272727</v>
      </c>
      <c r="BP317" s="48">
        <f>$G317/5280*VLOOKUP($AC317,'Cost and Score'!$B$27:$O$40,11,0)</f>
        <v>0</v>
      </c>
      <c r="BQ317" s="48">
        <f>$G317/5280*VLOOKUP($AC317,'Cost and Score'!$B$27:$O$40,12,0)</f>
        <v>102.27272727272727</v>
      </c>
      <c r="BR317" s="48">
        <f>$G317/5280*VLOOKUP($AC317,'Cost and Score'!$B$27:$O$40,13,0)</f>
        <v>122.72727272727272</v>
      </c>
      <c r="BS317" s="48">
        <f>$G317/5280*VLOOKUP($AC317,'Cost and Score'!$B$27:$O$40,14,0)</f>
        <v>0</v>
      </c>
      <c r="BT317" s="220">
        <f t="shared" si="153"/>
        <v>1.0227272727272727</v>
      </c>
    </row>
    <row r="318" spans="1:103" s="2" customFormat="1" ht="14.45" hidden="1" customHeight="1" x14ac:dyDescent="0.25">
      <c r="A318" s="15" t="s">
        <v>730</v>
      </c>
      <c r="B318" s="34" t="s">
        <v>729</v>
      </c>
      <c r="C318" s="26" t="s">
        <v>729</v>
      </c>
      <c r="D318" s="82"/>
      <c r="E318" s="82" t="s">
        <v>297</v>
      </c>
      <c r="F318" s="82" t="s">
        <v>565</v>
      </c>
      <c r="G318" s="29">
        <v>2975</v>
      </c>
      <c r="H318" s="29">
        <f t="shared" si="166"/>
        <v>20</v>
      </c>
      <c r="I318" s="26" t="s">
        <v>8</v>
      </c>
      <c r="J318" s="26" t="s">
        <v>172</v>
      </c>
      <c r="K318" s="26">
        <f t="shared" si="163"/>
        <v>0</v>
      </c>
      <c r="L318" s="42">
        <v>7</v>
      </c>
      <c r="M318" s="42">
        <v>7</v>
      </c>
      <c r="N318" s="42">
        <v>7</v>
      </c>
      <c r="O318" s="83">
        <v>7</v>
      </c>
      <c r="P318" s="83">
        <v>6</v>
      </c>
      <c r="Q318" s="83">
        <v>8</v>
      </c>
      <c r="R318" s="83">
        <v>7</v>
      </c>
      <c r="S318" s="83">
        <v>7</v>
      </c>
      <c r="T318" s="83">
        <v>7</v>
      </c>
      <c r="U318" s="83">
        <v>7</v>
      </c>
      <c r="V318" s="42"/>
      <c r="W318" s="42"/>
      <c r="X318" s="42"/>
      <c r="Y318" s="26">
        <v>227</v>
      </c>
      <c r="Z318" s="26">
        <f t="shared" si="167"/>
        <v>0</v>
      </c>
      <c r="AA318" s="82" t="s">
        <v>107</v>
      </c>
      <c r="AB318" s="111">
        <f t="shared" si="144"/>
        <v>4</v>
      </c>
      <c r="AC318" s="82" t="s">
        <v>13</v>
      </c>
      <c r="AD318" s="84">
        <f t="shared" si="170"/>
        <v>11832.386363636364</v>
      </c>
      <c r="AE318" s="140"/>
      <c r="AF318" s="113">
        <f t="shared" si="168"/>
        <v>0</v>
      </c>
      <c r="AG318" s="82">
        <v>2024</v>
      </c>
      <c r="AH318" s="26" t="str">
        <f t="shared" si="164"/>
        <v/>
      </c>
      <c r="AI318" s="26" t="str">
        <f t="shared" si="165"/>
        <v/>
      </c>
      <c r="AJ318" s="26" t="str">
        <f t="shared" si="165"/>
        <v>Chip Seal and Fog</v>
      </c>
      <c r="AK318" s="26" t="str">
        <f t="shared" si="169"/>
        <v/>
      </c>
      <c r="AL318" s="26" t="str">
        <f t="shared" si="155"/>
        <v/>
      </c>
      <c r="AM318" s="26" t="str">
        <f t="shared" si="154"/>
        <v/>
      </c>
      <c r="AN318" s="26" t="str">
        <f t="shared" si="145"/>
        <v>Chip Seal and Fog</v>
      </c>
      <c r="AO318" s="26" t="str">
        <f t="shared" si="156"/>
        <v/>
      </c>
      <c r="AP318" s="26" t="str">
        <f t="shared" si="146"/>
        <v/>
      </c>
      <c r="AQ318" s="68">
        <f t="shared" si="171"/>
        <v>10</v>
      </c>
      <c r="AR318" s="68">
        <f t="shared" si="172"/>
        <v>6</v>
      </c>
      <c r="AS318" s="68">
        <f t="shared" si="147"/>
        <v>1.05</v>
      </c>
      <c r="AT318" s="68">
        <f t="shared" si="148"/>
        <v>1.05</v>
      </c>
      <c r="AU318" s="68">
        <f t="shared" si="149"/>
        <v>1.05</v>
      </c>
      <c r="AV318" s="68">
        <f t="shared" si="150"/>
        <v>1.05</v>
      </c>
      <c r="AW318" s="68">
        <f t="shared" si="151"/>
        <v>1.1000000000000001</v>
      </c>
      <c r="AX318" s="68">
        <f t="shared" ca="1" si="173"/>
        <v>0</v>
      </c>
      <c r="AY318" s="68">
        <v>2018</v>
      </c>
      <c r="AZ318" s="68" t="s">
        <v>13</v>
      </c>
      <c r="BA318" s="106" t="str">
        <f t="shared" si="152"/>
        <v>CS</v>
      </c>
      <c r="BB318" s="178"/>
      <c r="BC318" s="178">
        <v>7</v>
      </c>
      <c r="BD318" s="178"/>
      <c r="BE318" s="178"/>
      <c r="BF318" s="178"/>
      <c r="BG318" s="178"/>
      <c r="BH318" s="178"/>
      <c r="BI318" s="33"/>
      <c r="BK318" s="48">
        <f>$G318/5280*VLOOKUP($AC318,'Cost and Score'!$B$27:$O$40,6,0)</f>
        <v>0.11268939393939395</v>
      </c>
      <c r="BL318" s="48">
        <f>$G318/5280*VLOOKUP($AC318,'Cost and Score'!$B$27:$O$40,7,0)</f>
        <v>12.395833333333334</v>
      </c>
      <c r="BM318" s="48">
        <f>$G318/5280*VLOOKUP($AC318,'Cost and Score'!$B$27:$O$40,8,0)</f>
        <v>0</v>
      </c>
      <c r="BN318" s="48">
        <f>$G318/5280*VLOOKUP($AC318,'Cost and Score'!$B$27:$O$40,9,0)</f>
        <v>2535.511363636364</v>
      </c>
      <c r="BO318" s="48">
        <f>$G318/5280*VLOOKUP($AC318,'Cost and Score'!$B$27:$O$40,10,0)</f>
        <v>563.44696969696975</v>
      </c>
      <c r="BP318" s="48">
        <f>$G318/5280*VLOOKUP($AC318,'Cost and Score'!$B$27:$O$40,11,0)</f>
        <v>0</v>
      </c>
      <c r="BQ318" s="48">
        <f>$G318/5280*VLOOKUP($AC318,'Cost and Score'!$B$27:$O$40,12,0)</f>
        <v>56.344696969696969</v>
      </c>
      <c r="BR318" s="48">
        <f>$G318/5280*VLOOKUP($AC318,'Cost and Score'!$B$27:$O$40,13,0)</f>
        <v>67.613636363636374</v>
      </c>
      <c r="BS318" s="48">
        <f>$G318/5280*VLOOKUP($AC318,'Cost and Score'!$B$27:$O$40,14,0)</f>
        <v>0</v>
      </c>
      <c r="BT318" s="220">
        <f t="shared" si="153"/>
        <v>0.56344696969696972</v>
      </c>
    </row>
    <row r="319" spans="1:103" s="2" customFormat="1" ht="14.45" hidden="1" customHeight="1" x14ac:dyDescent="0.25">
      <c r="A319" s="15" t="s">
        <v>732</v>
      </c>
      <c r="B319" s="34" t="s">
        <v>731</v>
      </c>
      <c r="C319" s="26" t="s">
        <v>731</v>
      </c>
      <c r="D319" s="82"/>
      <c r="E319" s="82" t="s">
        <v>565</v>
      </c>
      <c r="F319" s="82" t="s">
        <v>147</v>
      </c>
      <c r="G319" s="29">
        <v>2425</v>
      </c>
      <c r="H319" s="29">
        <f t="shared" si="166"/>
        <v>20</v>
      </c>
      <c r="I319" s="26" t="s">
        <v>8</v>
      </c>
      <c r="J319" s="26" t="s">
        <v>172</v>
      </c>
      <c r="K319" s="26">
        <f t="shared" si="163"/>
        <v>0</v>
      </c>
      <c r="L319" s="42">
        <v>6</v>
      </c>
      <c r="M319" s="42">
        <v>6</v>
      </c>
      <c r="N319" s="42">
        <v>6</v>
      </c>
      <c r="O319" s="83">
        <v>9</v>
      </c>
      <c r="P319" s="83">
        <v>8</v>
      </c>
      <c r="Q319" s="83">
        <v>8</v>
      </c>
      <c r="R319" s="83">
        <v>6</v>
      </c>
      <c r="S319" s="83">
        <v>6</v>
      </c>
      <c r="T319" s="83">
        <v>7</v>
      </c>
      <c r="U319" s="83">
        <v>7</v>
      </c>
      <c r="V319" s="42"/>
      <c r="W319" s="42"/>
      <c r="X319" s="42"/>
      <c r="Y319" s="26">
        <v>155</v>
      </c>
      <c r="Z319" s="26">
        <f t="shared" si="167"/>
        <v>0</v>
      </c>
      <c r="AA319" s="82" t="s">
        <v>107</v>
      </c>
      <c r="AB319" s="111">
        <f t="shared" si="144"/>
        <v>2</v>
      </c>
      <c r="AC319" s="82" t="s">
        <v>2073</v>
      </c>
      <c r="AD319" s="84">
        <f t="shared" si="170"/>
        <v>14696.969696969696</v>
      </c>
      <c r="AE319" s="140"/>
      <c r="AF319" s="113">
        <f t="shared" si="168"/>
        <v>0</v>
      </c>
      <c r="AG319" s="82">
        <v>2022</v>
      </c>
      <c r="AH319" s="26" t="str">
        <f t="shared" si="164"/>
        <v>Chip Seal - Double and Fog</v>
      </c>
      <c r="AI319" s="26" t="str">
        <f t="shared" si="165"/>
        <v/>
      </c>
      <c r="AJ319" s="26" t="str">
        <f t="shared" si="165"/>
        <v/>
      </c>
      <c r="AK319" s="26" t="str">
        <f t="shared" si="169"/>
        <v/>
      </c>
      <c r="AL319" s="26" t="str">
        <f t="shared" si="155"/>
        <v/>
      </c>
      <c r="AM319" s="26" t="str">
        <f t="shared" si="154"/>
        <v/>
      </c>
      <c r="AN319" s="26" t="str">
        <f t="shared" si="145"/>
        <v>Chip Seal - Double and Fog</v>
      </c>
      <c r="AO319" s="26" t="str">
        <f t="shared" si="156"/>
        <v>Overlay - 2"</v>
      </c>
      <c r="AP319" s="26" t="str">
        <f t="shared" si="146"/>
        <v/>
      </c>
      <c r="AQ319" s="68">
        <f t="shared" si="171"/>
        <v>14</v>
      </c>
      <c r="AR319" s="68">
        <f t="shared" si="172"/>
        <v>6</v>
      </c>
      <c r="AS319" s="68">
        <f t="shared" si="147"/>
        <v>1.1000000000000001</v>
      </c>
      <c r="AT319" s="68">
        <f t="shared" si="148"/>
        <v>1.1000000000000001</v>
      </c>
      <c r="AU319" s="68">
        <f t="shared" si="149"/>
        <v>1.1000000000000001</v>
      </c>
      <c r="AV319" s="68">
        <f t="shared" si="150"/>
        <v>1</v>
      </c>
      <c r="AW319" s="68">
        <f t="shared" si="151"/>
        <v>1</v>
      </c>
      <c r="AX319" s="68">
        <f t="shared" ca="1" si="173"/>
        <v>-2.2000000000000002</v>
      </c>
      <c r="AY319" s="68">
        <v>2021</v>
      </c>
      <c r="AZ319" s="68" t="s">
        <v>751</v>
      </c>
      <c r="BA319" s="106" t="str">
        <f t="shared" si="152"/>
        <v/>
      </c>
      <c r="BB319" s="178">
        <v>23</v>
      </c>
      <c r="BC319" s="178">
        <v>7</v>
      </c>
      <c r="BD319" s="178"/>
      <c r="BE319" s="178"/>
      <c r="BF319" s="178"/>
      <c r="BG319" s="178"/>
      <c r="BH319" s="178"/>
      <c r="BI319" s="33"/>
      <c r="BK319" s="48">
        <f>$G319/5280*VLOOKUP($AC319,'Cost and Score'!$B$27:$O$40,6,0)</f>
        <v>0.22964015151515152</v>
      </c>
      <c r="BL319" s="48">
        <f>$G319/5280*VLOOKUP($AC319,'Cost and Score'!$B$27:$O$40,7,0)</f>
        <v>22.964015151515152</v>
      </c>
      <c r="BM319" s="48">
        <f>$G319/5280*VLOOKUP($AC319,'Cost and Score'!$B$27:$O$40,8,0)</f>
        <v>0</v>
      </c>
      <c r="BN319" s="48">
        <f>$G319/5280*VLOOKUP($AC319,'Cost and Score'!$B$27:$O$40,9,0)</f>
        <v>4363.162878787879</v>
      </c>
      <c r="BO319" s="48">
        <f>$G319/5280*VLOOKUP($AC319,'Cost and Score'!$B$27:$O$40,10,0)</f>
        <v>459.28030303030306</v>
      </c>
      <c r="BP319" s="48">
        <f>$G319/5280*VLOOKUP($AC319,'Cost and Score'!$B$27:$O$40,11,0)</f>
        <v>0</v>
      </c>
      <c r="BQ319" s="48">
        <f>$G319/5280*VLOOKUP($AC319,'Cost and Score'!$B$27:$O$40,12,0)</f>
        <v>91.856060606060609</v>
      </c>
      <c r="BR319" s="48">
        <f>$G319/5280*VLOOKUP($AC319,'Cost and Score'!$B$27:$O$40,13,0)</f>
        <v>82.670454545454547</v>
      </c>
      <c r="BS319" s="48">
        <f>$G319/5280*VLOOKUP($AC319,'Cost and Score'!$B$27:$O$40,14,0)</f>
        <v>110.22727272727273</v>
      </c>
      <c r="BT319" s="220">
        <f t="shared" si="153"/>
        <v>0.45928030303030304</v>
      </c>
    </row>
    <row r="320" spans="1:103" s="2" customFormat="1" ht="14.45" customHeight="1" x14ac:dyDescent="0.25">
      <c r="A320" s="15" t="s">
        <v>444</v>
      </c>
      <c r="B320" s="34" t="s">
        <v>443</v>
      </c>
      <c r="C320" s="26" t="s">
        <v>443</v>
      </c>
      <c r="D320" s="82"/>
      <c r="E320" s="82" t="s">
        <v>104</v>
      </c>
      <c r="F320" s="82" t="s">
        <v>99</v>
      </c>
      <c r="G320" s="29">
        <v>5350</v>
      </c>
      <c r="H320" s="29">
        <f t="shared" si="166"/>
        <v>20</v>
      </c>
      <c r="I320" s="26" t="s">
        <v>8</v>
      </c>
      <c r="J320" s="26" t="s">
        <v>160</v>
      </c>
      <c r="K320" s="26">
        <f t="shared" si="163"/>
        <v>0</v>
      </c>
      <c r="L320" s="42">
        <v>6</v>
      </c>
      <c r="M320" s="42">
        <v>6</v>
      </c>
      <c r="N320" s="42">
        <v>6</v>
      </c>
      <c r="O320" s="83">
        <v>6</v>
      </c>
      <c r="P320" s="83">
        <v>6</v>
      </c>
      <c r="Q320" s="83">
        <v>6</v>
      </c>
      <c r="R320" s="83">
        <v>7</v>
      </c>
      <c r="S320" s="83">
        <v>7</v>
      </c>
      <c r="T320" s="83">
        <v>7</v>
      </c>
      <c r="U320" s="83">
        <v>7</v>
      </c>
      <c r="V320" s="42"/>
      <c r="W320" s="42"/>
      <c r="X320" s="42"/>
      <c r="Y320" s="26">
        <v>180</v>
      </c>
      <c r="Z320" s="26">
        <f t="shared" si="167"/>
        <v>0</v>
      </c>
      <c r="AA320" s="82" t="s">
        <v>158</v>
      </c>
      <c r="AB320" s="111">
        <f t="shared" si="144"/>
        <v>4</v>
      </c>
      <c r="AC320" s="82" t="s">
        <v>13</v>
      </c>
      <c r="AD320" s="84">
        <f t="shared" si="170"/>
        <v>21278.409090909092</v>
      </c>
      <c r="AE320" s="140"/>
      <c r="AF320" s="113">
        <f t="shared" si="168"/>
        <v>0</v>
      </c>
      <c r="AG320" s="106">
        <v>2025</v>
      </c>
      <c r="AH320" s="26" t="str">
        <f t="shared" si="164"/>
        <v/>
      </c>
      <c r="AI320" s="26" t="str">
        <f t="shared" si="165"/>
        <v/>
      </c>
      <c r="AJ320" s="26" t="str">
        <f t="shared" si="165"/>
        <v/>
      </c>
      <c r="AK320" s="26" t="str">
        <f t="shared" si="169"/>
        <v>Chip Seal and Fog</v>
      </c>
      <c r="AL320" s="26" t="str">
        <f t="shared" si="155"/>
        <v/>
      </c>
      <c r="AM320" s="26" t="str">
        <f t="shared" si="154"/>
        <v/>
      </c>
      <c r="AN320" s="26" t="str">
        <f t="shared" si="145"/>
        <v>Chip Seal and Fog</v>
      </c>
      <c r="AO320" s="26" t="str">
        <f t="shared" si="156"/>
        <v/>
      </c>
      <c r="AP320" s="26" t="str">
        <f t="shared" si="146"/>
        <v/>
      </c>
      <c r="AQ320" s="68">
        <f t="shared" si="171"/>
        <v>8</v>
      </c>
      <c r="AR320" s="68">
        <f t="shared" si="172"/>
        <v>6</v>
      </c>
      <c r="AS320" s="68">
        <f t="shared" si="147"/>
        <v>1.1000000000000001</v>
      </c>
      <c r="AT320" s="68">
        <f t="shared" si="148"/>
        <v>1.1000000000000001</v>
      </c>
      <c r="AU320" s="68">
        <f t="shared" si="149"/>
        <v>1.1000000000000001</v>
      </c>
      <c r="AV320" s="68">
        <f t="shared" si="150"/>
        <v>1.1000000000000001</v>
      </c>
      <c r="AW320" s="68">
        <f t="shared" si="151"/>
        <v>1.1000000000000001</v>
      </c>
      <c r="AX320" s="68">
        <f t="shared" ca="1" si="173"/>
        <v>1.1000000000000001</v>
      </c>
      <c r="AY320" s="106">
        <v>2019</v>
      </c>
      <c r="AZ320" s="106" t="s">
        <v>2073</v>
      </c>
      <c r="BA320" s="106" t="str">
        <f t="shared" si="152"/>
        <v/>
      </c>
      <c r="BB320" s="177"/>
      <c r="BC320" s="177">
        <v>8</v>
      </c>
      <c r="BD320" s="177"/>
      <c r="BE320" s="177"/>
      <c r="BF320" s="177"/>
      <c r="BG320" s="177"/>
      <c r="BH320" s="177"/>
      <c r="BI320" s="33"/>
      <c r="BK320" s="48">
        <f>$G320/5280*VLOOKUP($AC320,'Cost and Score'!$B$27:$O$40,6,0)</f>
        <v>0.20265151515151514</v>
      </c>
      <c r="BL320" s="48">
        <f>$G320/5280*VLOOKUP($AC320,'Cost and Score'!$B$27:$O$40,7,0)</f>
        <v>22.291666666666664</v>
      </c>
      <c r="BM320" s="48">
        <f>$G320/5280*VLOOKUP($AC320,'Cost and Score'!$B$27:$O$40,8,0)</f>
        <v>0</v>
      </c>
      <c r="BN320" s="48">
        <f>$G320/5280*VLOOKUP($AC320,'Cost and Score'!$B$27:$O$40,9,0)</f>
        <v>4559.659090909091</v>
      </c>
      <c r="BO320" s="48">
        <f>$G320/5280*VLOOKUP($AC320,'Cost and Score'!$B$27:$O$40,10,0)</f>
        <v>1013.2575757575756</v>
      </c>
      <c r="BP320" s="48">
        <f>$G320/5280*VLOOKUP($AC320,'Cost and Score'!$B$27:$O$40,11,0)</f>
        <v>0</v>
      </c>
      <c r="BQ320" s="48">
        <f>$G320/5280*VLOOKUP($AC320,'Cost and Score'!$B$27:$O$40,12,0)</f>
        <v>101.32575757575756</v>
      </c>
      <c r="BR320" s="48">
        <f>$G320/5280*VLOOKUP($AC320,'Cost and Score'!$B$27:$O$40,13,0)</f>
        <v>121.59090909090908</v>
      </c>
      <c r="BS320" s="48">
        <f>$G320/5280*VLOOKUP($AC320,'Cost and Score'!$B$27:$O$40,14,0)</f>
        <v>0</v>
      </c>
      <c r="BT320" s="220">
        <f t="shared" si="153"/>
        <v>1.0132575757575757</v>
      </c>
    </row>
    <row r="321" spans="1:103" s="112" customFormat="1" ht="14.45" hidden="1" customHeight="1" x14ac:dyDescent="0.25">
      <c r="A321" s="15" t="s">
        <v>736</v>
      </c>
      <c r="B321" s="108" t="s">
        <v>735</v>
      </c>
      <c r="C321" s="106" t="s">
        <v>735</v>
      </c>
      <c r="D321" s="106"/>
      <c r="E321" s="106" t="s">
        <v>165</v>
      </c>
      <c r="F321" s="106" t="s">
        <v>461</v>
      </c>
      <c r="G321" s="109">
        <v>6175</v>
      </c>
      <c r="H321" s="109">
        <f t="shared" si="166"/>
        <v>20</v>
      </c>
      <c r="I321" s="106" t="s">
        <v>13</v>
      </c>
      <c r="J321" s="106" t="s">
        <v>6</v>
      </c>
      <c r="K321" s="106">
        <f t="shared" si="163"/>
        <v>0</v>
      </c>
      <c r="L321" s="110">
        <v>6</v>
      </c>
      <c r="M321" s="110">
        <v>6</v>
      </c>
      <c r="N321" s="110">
        <v>6</v>
      </c>
      <c r="O321" s="110">
        <v>6</v>
      </c>
      <c r="P321" s="110">
        <v>8</v>
      </c>
      <c r="Q321" s="110">
        <v>8</v>
      </c>
      <c r="R321" s="110">
        <v>7</v>
      </c>
      <c r="S321" s="110">
        <v>7</v>
      </c>
      <c r="T321" s="110">
        <v>7</v>
      </c>
      <c r="U321" s="110">
        <v>7</v>
      </c>
      <c r="V321" s="110"/>
      <c r="W321" s="110"/>
      <c r="X321" s="110"/>
      <c r="Y321" s="106">
        <v>241</v>
      </c>
      <c r="Z321" s="106">
        <f t="shared" si="167"/>
        <v>0</v>
      </c>
      <c r="AA321" s="106" t="s">
        <v>107</v>
      </c>
      <c r="AB321" s="111">
        <f t="shared" si="144"/>
        <v>2</v>
      </c>
      <c r="AC321" s="26" t="s">
        <v>13</v>
      </c>
      <c r="AD321" s="107">
        <f t="shared" si="170"/>
        <v>24559.659090909092</v>
      </c>
      <c r="AE321" s="198">
        <v>1</v>
      </c>
      <c r="AF321" s="113">
        <f t="shared" si="168"/>
        <v>24559.659090909092</v>
      </c>
      <c r="AG321" s="106">
        <v>2023</v>
      </c>
      <c r="AH321" s="26" t="str">
        <f t="shared" si="164"/>
        <v/>
      </c>
      <c r="AI321" s="26" t="str">
        <f t="shared" si="165"/>
        <v>Chip Seal and Fog</v>
      </c>
      <c r="AJ321" s="26" t="str">
        <f t="shared" si="165"/>
        <v/>
      </c>
      <c r="AK321" s="26" t="str">
        <f t="shared" si="169"/>
        <v/>
      </c>
      <c r="AL321" s="26" t="str">
        <f t="shared" si="155"/>
        <v/>
      </c>
      <c r="AM321" s="26" t="str">
        <f t="shared" si="154"/>
        <v/>
      </c>
      <c r="AN321" s="26" t="str">
        <f t="shared" si="145"/>
        <v>Chip Seal and Fog</v>
      </c>
      <c r="AO321" s="26" t="str">
        <f t="shared" si="156"/>
        <v/>
      </c>
      <c r="AP321" s="26" t="str">
        <f t="shared" si="146"/>
        <v/>
      </c>
      <c r="AQ321" s="68">
        <f t="shared" si="171"/>
        <v>8</v>
      </c>
      <c r="AR321" s="68">
        <f t="shared" si="172"/>
        <v>6</v>
      </c>
      <c r="AS321" s="68">
        <f t="shared" si="147"/>
        <v>1.1000000000000001</v>
      </c>
      <c r="AT321" s="68">
        <f t="shared" si="148"/>
        <v>1.1000000000000001</v>
      </c>
      <c r="AU321" s="68">
        <f t="shared" si="149"/>
        <v>1.1000000000000001</v>
      </c>
      <c r="AV321" s="68">
        <f t="shared" si="150"/>
        <v>1.1000000000000001</v>
      </c>
      <c r="AW321" s="68">
        <f t="shared" si="151"/>
        <v>1</v>
      </c>
      <c r="AX321" s="68">
        <f t="shared" ca="1" si="173"/>
        <v>-1.1000000000000001</v>
      </c>
      <c r="AY321" s="106">
        <v>2023</v>
      </c>
      <c r="AZ321" s="106" t="s">
        <v>13</v>
      </c>
      <c r="BA321" s="106" t="str">
        <f t="shared" si="152"/>
        <v/>
      </c>
      <c r="BB321" s="177"/>
      <c r="BC321" s="177">
        <v>9</v>
      </c>
      <c r="BD321" s="177"/>
      <c r="BE321" s="177"/>
      <c r="BF321" s="177"/>
      <c r="BG321" s="177"/>
      <c r="BH321" s="177"/>
      <c r="BI321" s="33"/>
      <c r="BJ321" s="2"/>
      <c r="BK321" s="48">
        <f>$G321/5280*VLOOKUP($AC321,'Cost and Score'!$B$27:$O$40,6,0)</f>
        <v>0.23390151515151514</v>
      </c>
      <c r="BL321" s="48">
        <f>$G321/5280*VLOOKUP($AC321,'Cost and Score'!$B$27:$O$40,7,0)</f>
        <v>25.729166666666664</v>
      </c>
      <c r="BM321" s="48">
        <f>$G321/5280*VLOOKUP($AC321,'Cost and Score'!$B$27:$O$40,8,0)</f>
        <v>0</v>
      </c>
      <c r="BN321" s="48">
        <f>$G321/5280*VLOOKUP($AC321,'Cost and Score'!$B$27:$O$40,9,0)</f>
        <v>5262.784090909091</v>
      </c>
      <c r="BO321" s="48">
        <f>$G321/5280*VLOOKUP($AC321,'Cost and Score'!$B$27:$O$40,10,0)</f>
        <v>1169.5075757575758</v>
      </c>
      <c r="BP321" s="48">
        <f>$G321/5280*VLOOKUP($AC321,'Cost and Score'!$B$27:$O$40,11,0)</f>
        <v>0</v>
      </c>
      <c r="BQ321" s="48">
        <f>$G321/5280*VLOOKUP($AC321,'Cost and Score'!$B$27:$O$40,12,0)</f>
        <v>116.95075757575756</v>
      </c>
      <c r="BR321" s="48">
        <f>$G321/5280*VLOOKUP($AC321,'Cost and Score'!$B$27:$O$40,13,0)</f>
        <v>140.34090909090909</v>
      </c>
      <c r="BS321" s="48">
        <f>$G321/5280*VLOOKUP($AC321,'Cost and Score'!$B$27:$O$40,14,0)</f>
        <v>0</v>
      </c>
      <c r="BT321" s="220">
        <f t="shared" si="153"/>
        <v>1.1695075757575757</v>
      </c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</row>
    <row r="322" spans="1:103" s="2" customFormat="1" ht="14.45" hidden="1" customHeight="1" x14ac:dyDescent="0.25">
      <c r="A322" s="15" t="s">
        <v>738</v>
      </c>
      <c r="B322" s="34" t="s">
        <v>737</v>
      </c>
      <c r="C322" s="26" t="s">
        <v>737</v>
      </c>
      <c r="D322" s="26"/>
      <c r="E322" s="26" t="s">
        <v>4</v>
      </c>
      <c r="F322" s="26" t="s">
        <v>102</v>
      </c>
      <c r="G322" s="29">
        <v>4630</v>
      </c>
      <c r="H322" s="29">
        <f t="shared" si="166"/>
        <v>20</v>
      </c>
      <c r="I322" s="26" t="s">
        <v>8</v>
      </c>
      <c r="J322" s="26" t="s">
        <v>6</v>
      </c>
      <c r="K322" s="26">
        <f t="shared" si="163"/>
        <v>0</v>
      </c>
      <c r="L322" s="42">
        <v>8</v>
      </c>
      <c r="M322" s="42">
        <v>7</v>
      </c>
      <c r="N322" s="42">
        <v>8</v>
      </c>
      <c r="O322" s="42">
        <v>7</v>
      </c>
      <c r="P322" s="42">
        <v>7</v>
      </c>
      <c r="Q322" s="42">
        <v>7</v>
      </c>
      <c r="R322" s="42">
        <v>6</v>
      </c>
      <c r="S322" s="42">
        <v>7</v>
      </c>
      <c r="T322" s="42">
        <v>7</v>
      </c>
      <c r="U322" s="42">
        <v>7</v>
      </c>
      <c r="V322" s="42"/>
      <c r="W322" s="42"/>
      <c r="X322" s="42"/>
      <c r="Y322" s="26">
        <v>431</v>
      </c>
      <c r="Z322" s="26">
        <f t="shared" si="167"/>
        <v>0</v>
      </c>
      <c r="AA322" s="26" t="s">
        <v>107</v>
      </c>
      <c r="AB322" s="111">
        <f t="shared" ref="AB322:AB385" si="174">(10-P322)+Z322+K322</f>
        <v>3</v>
      </c>
      <c r="AC322" s="106" t="s">
        <v>13</v>
      </c>
      <c r="AD322" s="47">
        <f t="shared" si="170"/>
        <v>18414.772727272728</v>
      </c>
      <c r="AE322" s="140"/>
      <c r="AF322" s="113">
        <f t="shared" si="168"/>
        <v>0</v>
      </c>
      <c r="AG322" s="85">
        <v>2026</v>
      </c>
      <c r="AH322" s="26" t="str">
        <f t="shared" si="164"/>
        <v/>
      </c>
      <c r="AI322" s="26" t="str">
        <f t="shared" si="165"/>
        <v/>
      </c>
      <c r="AJ322" s="26" t="str">
        <f t="shared" si="165"/>
        <v/>
      </c>
      <c r="AK322" s="26" t="str">
        <f t="shared" si="169"/>
        <v/>
      </c>
      <c r="AL322" s="26" t="str">
        <f t="shared" si="155"/>
        <v>Chip Seal and Fog</v>
      </c>
      <c r="AM322" s="26" t="str">
        <f t="shared" si="154"/>
        <v/>
      </c>
      <c r="AN322" s="26" t="str">
        <f t="shared" ref="AN322:AN385" si="175">VLOOKUP($AC322,RSL,3,FALSE)</f>
        <v>Chip Seal and Fog</v>
      </c>
      <c r="AO322" s="26" t="str">
        <f t="shared" si="156"/>
        <v/>
      </c>
      <c r="AP322" s="26" t="str">
        <f t="shared" ref="AP322:AP385" si="176">IF(AY322=AP$1,VLOOKUP(AZ322,RSL,3,FALSE),"")</f>
        <v/>
      </c>
      <c r="AQ322" s="68">
        <f t="shared" si="171"/>
        <v>10</v>
      </c>
      <c r="AR322" s="68">
        <f t="shared" si="172"/>
        <v>6</v>
      </c>
      <c r="AS322" s="68">
        <f t="shared" ref="AS322:AS385" si="177">IF(L322 &lt;&gt; "",VLOOKUP(L322,RSLloss,3,FALSE),0)</f>
        <v>1</v>
      </c>
      <c r="AT322" s="68">
        <f t="shared" ref="AT322:AT385" si="178">IF(M322 &lt;&gt; "",VLOOKUP(M322,RSLloss,3,FALSE),0)</f>
        <v>1.05</v>
      </c>
      <c r="AU322" s="68">
        <f t="shared" ref="AU322:AU385" si="179">IF(N322 &lt;&gt; "",VLOOKUP(N322,RSLloss,3,FALSE),0)</f>
        <v>1</v>
      </c>
      <c r="AV322" s="68">
        <f t="shared" ref="AV322:AV385" si="180">IF(O322 &lt;&gt; "",VLOOKUP(O322,RSLloss,3,FALSE),0)</f>
        <v>1.05</v>
      </c>
      <c r="AW322" s="68">
        <f t="shared" ref="AW322:AW385" si="181">IF(P322 &lt;&gt; "",VLOOKUP(P322,RSLloss,3,FALSE),0)</f>
        <v>1.05</v>
      </c>
      <c r="AX322" s="68">
        <f t="shared" ca="1" si="173"/>
        <v>2</v>
      </c>
      <c r="AY322" s="68">
        <v>2020</v>
      </c>
      <c r="AZ322" s="68" t="s">
        <v>13</v>
      </c>
      <c r="BA322" s="106" t="str">
        <f t="shared" ref="BA322:BA385" si="182">IF(AY322=2018,AZ322,"")</f>
        <v/>
      </c>
      <c r="BB322" s="178"/>
      <c r="BC322" s="178">
        <v>8</v>
      </c>
      <c r="BD322" s="178"/>
      <c r="BE322" s="178"/>
      <c r="BF322" s="178"/>
      <c r="BG322" s="178"/>
      <c r="BH322" s="178"/>
      <c r="BI322" s="33"/>
      <c r="BK322" s="48">
        <f>$G322/5280*VLOOKUP($AC322,'Cost and Score'!$B$27:$O$40,6,0)</f>
        <v>0.17537878787878791</v>
      </c>
      <c r="BL322" s="48">
        <f>$G322/5280*VLOOKUP($AC322,'Cost and Score'!$B$27:$O$40,7,0)</f>
        <v>19.291666666666668</v>
      </c>
      <c r="BM322" s="48">
        <f>$G322/5280*VLOOKUP($AC322,'Cost and Score'!$B$27:$O$40,8,0)</f>
        <v>0</v>
      </c>
      <c r="BN322" s="48">
        <f>$G322/5280*VLOOKUP($AC322,'Cost and Score'!$B$27:$O$40,9,0)</f>
        <v>3946.0227272727275</v>
      </c>
      <c r="BO322" s="48">
        <f>$G322/5280*VLOOKUP($AC322,'Cost and Score'!$B$27:$O$40,10,0)</f>
        <v>876.89393939393949</v>
      </c>
      <c r="BP322" s="48">
        <f>$G322/5280*VLOOKUP($AC322,'Cost and Score'!$B$27:$O$40,11,0)</f>
        <v>0</v>
      </c>
      <c r="BQ322" s="48">
        <f>$G322/5280*VLOOKUP($AC322,'Cost and Score'!$B$27:$O$40,12,0)</f>
        <v>87.689393939393938</v>
      </c>
      <c r="BR322" s="48">
        <f>$G322/5280*VLOOKUP($AC322,'Cost and Score'!$B$27:$O$40,13,0)</f>
        <v>105.22727272727273</v>
      </c>
      <c r="BS322" s="48">
        <f>$G322/5280*VLOOKUP($AC322,'Cost and Score'!$B$27:$O$40,14,0)</f>
        <v>0</v>
      </c>
      <c r="BT322" s="220">
        <f t="shared" ref="BT322:BT385" si="183">G322/5280</f>
        <v>0.87689393939393945</v>
      </c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</row>
    <row r="323" spans="1:103" s="2" customFormat="1" ht="14.45" customHeight="1" x14ac:dyDescent="0.25">
      <c r="A323" s="15" t="s">
        <v>956</v>
      </c>
      <c r="B323" s="34" t="s">
        <v>955</v>
      </c>
      <c r="C323" s="26" t="s">
        <v>955</v>
      </c>
      <c r="D323" s="82"/>
      <c r="E323" s="82" t="s">
        <v>213</v>
      </c>
      <c r="F323" s="82" t="s">
        <v>9</v>
      </c>
      <c r="G323" s="29">
        <v>5320</v>
      </c>
      <c r="H323" s="29">
        <f t="shared" si="166"/>
        <v>20</v>
      </c>
      <c r="I323" s="26" t="s">
        <v>13</v>
      </c>
      <c r="J323" s="26" t="s">
        <v>11</v>
      </c>
      <c r="K323" s="26">
        <f t="shared" si="163"/>
        <v>0</v>
      </c>
      <c r="L323" s="42">
        <v>7</v>
      </c>
      <c r="M323" s="42">
        <v>7</v>
      </c>
      <c r="N323" s="42">
        <v>6</v>
      </c>
      <c r="O323" s="83">
        <v>6</v>
      </c>
      <c r="P323" s="83">
        <v>6</v>
      </c>
      <c r="Q323" s="83">
        <v>5</v>
      </c>
      <c r="R323" s="83">
        <v>7</v>
      </c>
      <c r="S323" s="83">
        <v>8</v>
      </c>
      <c r="T323" s="83">
        <v>7</v>
      </c>
      <c r="U323" s="83">
        <v>7</v>
      </c>
      <c r="V323" s="42"/>
      <c r="W323" s="42"/>
      <c r="X323" s="42"/>
      <c r="Y323" s="26">
        <v>168</v>
      </c>
      <c r="Z323" s="26">
        <f t="shared" si="167"/>
        <v>0</v>
      </c>
      <c r="AA323" s="82" t="s">
        <v>67</v>
      </c>
      <c r="AB323" s="111">
        <f t="shared" si="174"/>
        <v>4</v>
      </c>
      <c r="AC323" s="85" t="s">
        <v>13</v>
      </c>
      <c r="AD323" s="84">
        <f t="shared" si="170"/>
        <v>21159.090909090908</v>
      </c>
      <c r="AE323" s="140"/>
      <c r="AF323" s="113">
        <f t="shared" si="168"/>
        <v>0</v>
      </c>
      <c r="AG323" s="106">
        <v>2025</v>
      </c>
      <c r="AH323" s="26" t="str">
        <f t="shared" si="164"/>
        <v/>
      </c>
      <c r="AI323" s="26" t="str">
        <f t="shared" si="165"/>
        <v/>
      </c>
      <c r="AJ323" s="26" t="str">
        <f t="shared" si="165"/>
        <v/>
      </c>
      <c r="AK323" s="26" t="str">
        <f t="shared" si="169"/>
        <v>Chip Seal and Fog</v>
      </c>
      <c r="AL323" s="26" t="str">
        <f t="shared" si="155"/>
        <v/>
      </c>
      <c r="AM323" s="26" t="str">
        <f t="shared" ref="AM323:AM386" si="184">IF($AG323=AM$1,VLOOKUP($AC323,RSL,3,FALSE),"")</f>
        <v/>
      </c>
      <c r="AN323" s="26" t="str">
        <f t="shared" si="175"/>
        <v>Chip Seal and Fog</v>
      </c>
      <c r="AO323" s="26" t="str">
        <f t="shared" si="156"/>
        <v/>
      </c>
      <c r="AP323" s="26" t="str">
        <f t="shared" si="176"/>
        <v/>
      </c>
      <c r="AQ323" s="68">
        <f t="shared" si="171"/>
        <v>8</v>
      </c>
      <c r="AR323" s="68">
        <f t="shared" si="172"/>
        <v>6</v>
      </c>
      <c r="AS323" s="68">
        <f t="shared" si="177"/>
        <v>1.05</v>
      </c>
      <c r="AT323" s="68">
        <f t="shared" si="178"/>
        <v>1.05</v>
      </c>
      <c r="AU323" s="68">
        <f t="shared" si="179"/>
        <v>1.1000000000000001</v>
      </c>
      <c r="AV323" s="68">
        <f t="shared" si="180"/>
        <v>1.1000000000000001</v>
      </c>
      <c r="AW323" s="68">
        <f t="shared" si="181"/>
        <v>1.1000000000000001</v>
      </c>
      <c r="AX323" s="68">
        <f t="shared" ca="1" si="173"/>
        <v>1.1000000000000001</v>
      </c>
      <c r="AY323" s="68">
        <v>2019</v>
      </c>
      <c r="AZ323" s="68" t="s">
        <v>2073</v>
      </c>
      <c r="BA323" s="106" t="str">
        <f t="shared" si="182"/>
        <v/>
      </c>
      <c r="BB323" s="178"/>
      <c r="BC323" s="178">
        <v>4</v>
      </c>
      <c r="BD323" s="178"/>
      <c r="BE323" s="178"/>
      <c r="BF323" s="178"/>
      <c r="BG323" s="178"/>
      <c r="BH323" s="178"/>
      <c r="BI323" s="33"/>
      <c r="BK323" s="48">
        <f>$G323/5280*VLOOKUP($AC323,'Cost and Score'!$B$27:$O$40,6,0)</f>
        <v>0.20151515151515154</v>
      </c>
      <c r="BL323" s="48">
        <f>$G323/5280*VLOOKUP($AC323,'Cost and Score'!$B$27:$O$40,7,0)</f>
        <v>22.166666666666668</v>
      </c>
      <c r="BM323" s="48">
        <f>$G323/5280*VLOOKUP($AC323,'Cost and Score'!$B$27:$O$40,8,0)</f>
        <v>0</v>
      </c>
      <c r="BN323" s="48">
        <f>$G323/5280*VLOOKUP($AC323,'Cost and Score'!$B$27:$O$40,9,0)</f>
        <v>4534.090909090909</v>
      </c>
      <c r="BO323" s="48">
        <f>$G323/5280*VLOOKUP($AC323,'Cost and Score'!$B$27:$O$40,10,0)</f>
        <v>1007.5757575757576</v>
      </c>
      <c r="BP323" s="48">
        <f>$G323/5280*VLOOKUP($AC323,'Cost and Score'!$B$27:$O$40,11,0)</f>
        <v>0</v>
      </c>
      <c r="BQ323" s="48">
        <f>$G323/5280*VLOOKUP($AC323,'Cost and Score'!$B$27:$O$40,12,0)</f>
        <v>100.75757575757575</v>
      </c>
      <c r="BR323" s="48">
        <f>$G323/5280*VLOOKUP($AC323,'Cost and Score'!$B$27:$O$40,13,0)</f>
        <v>120.90909090909091</v>
      </c>
      <c r="BS323" s="48">
        <f>$G323/5280*VLOOKUP($AC323,'Cost and Score'!$B$27:$O$40,14,0)</f>
        <v>0</v>
      </c>
      <c r="BT323" s="220">
        <f t="shared" si="183"/>
        <v>1.0075757575757576</v>
      </c>
      <c r="CG323" s="112"/>
      <c r="CH323" s="112"/>
      <c r="CI323" s="112"/>
      <c r="CJ323" s="112"/>
      <c r="CK323" s="112"/>
      <c r="CL323" s="112"/>
      <c r="CM323" s="112"/>
      <c r="CS323" s="112"/>
      <c r="CT323" s="112"/>
      <c r="CU323" s="112"/>
    </row>
    <row r="324" spans="1:103" s="2" customFormat="1" ht="14.45" customHeight="1" x14ac:dyDescent="0.25">
      <c r="A324" s="16" t="s">
        <v>22</v>
      </c>
      <c r="B324" s="34" t="s">
        <v>19</v>
      </c>
      <c r="C324" s="26" t="s">
        <v>19</v>
      </c>
      <c r="D324" s="82"/>
      <c r="E324" s="82" t="s">
        <v>20</v>
      </c>
      <c r="F324" s="82" t="s">
        <v>21</v>
      </c>
      <c r="G324" s="29">
        <v>5345</v>
      </c>
      <c r="H324" s="29">
        <f t="shared" si="166"/>
        <v>20</v>
      </c>
      <c r="I324" s="26" t="s">
        <v>8</v>
      </c>
      <c r="J324" s="26" t="s">
        <v>17</v>
      </c>
      <c r="K324" s="26">
        <f t="shared" si="163"/>
        <v>0</v>
      </c>
      <c r="L324" s="42">
        <v>6</v>
      </c>
      <c r="M324" s="42">
        <v>6</v>
      </c>
      <c r="N324" s="42">
        <v>6</v>
      </c>
      <c r="O324" s="83">
        <v>6</v>
      </c>
      <c r="P324" s="83">
        <v>5</v>
      </c>
      <c r="Q324" s="83">
        <v>5</v>
      </c>
      <c r="R324" s="83">
        <v>9</v>
      </c>
      <c r="S324" s="83">
        <v>8</v>
      </c>
      <c r="T324" s="83">
        <v>8</v>
      </c>
      <c r="U324" s="83">
        <v>8</v>
      </c>
      <c r="V324" s="42"/>
      <c r="W324" s="42"/>
      <c r="X324" s="42"/>
      <c r="Y324" s="26">
        <v>167</v>
      </c>
      <c r="Z324" s="26">
        <f t="shared" si="167"/>
        <v>0</v>
      </c>
      <c r="AA324" s="82" t="s">
        <v>18</v>
      </c>
      <c r="AB324" s="111">
        <f t="shared" si="174"/>
        <v>5</v>
      </c>
      <c r="AC324" s="85" t="s">
        <v>13</v>
      </c>
      <c r="AD324" s="84">
        <f t="shared" si="170"/>
        <v>21258.522727272728</v>
      </c>
      <c r="AE324" s="140"/>
      <c r="AF324" s="113">
        <f t="shared" si="168"/>
        <v>0</v>
      </c>
      <c r="AG324" s="106">
        <v>2025</v>
      </c>
      <c r="AH324" s="26" t="str">
        <f t="shared" si="164"/>
        <v/>
      </c>
      <c r="AI324" s="26" t="str">
        <f t="shared" si="165"/>
        <v/>
      </c>
      <c r="AJ324" s="26" t="str">
        <f t="shared" si="165"/>
        <v/>
      </c>
      <c r="AK324" s="26" t="str">
        <f t="shared" si="169"/>
        <v>Chip Seal and Fog</v>
      </c>
      <c r="AL324" s="26" t="str">
        <f t="shared" ref="AL324:AL387" si="185">IF($AG324=AL$1,VLOOKUP($AC324,RSL,3,FALSE),"")</f>
        <v/>
      </c>
      <c r="AM324" s="26" t="str">
        <f t="shared" si="184"/>
        <v/>
      </c>
      <c r="AN324" s="26" t="str">
        <f t="shared" si="175"/>
        <v>Chip Seal and Fog</v>
      </c>
      <c r="AO324" s="26" t="str">
        <f t="shared" ref="AO324:AO387" si="186">IF(AY324=AO$1,VLOOKUP(AZ324,RSL,3,FALSE),"")</f>
        <v/>
      </c>
      <c r="AP324" s="26" t="str">
        <f t="shared" si="176"/>
        <v/>
      </c>
      <c r="AQ324" s="68">
        <f t="shared" si="171"/>
        <v>8</v>
      </c>
      <c r="AR324" s="68">
        <f t="shared" si="172"/>
        <v>6</v>
      </c>
      <c r="AS324" s="68">
        <f t="shared" si="177"/>
        <v>1.1000000000000001</v>
      </c>
      <c r="AT324" s="68">
        <f t="shared" si="178"/>
        <v>1.1000000000000001</v>
      </c>
      <c r="AU324" s="68">
        <f t="shared" si="179"/>
        <v>1.1000000000000001</v>
      </c>
      <c r="AV324" s="68">
        <f t="shared" si="180"/>
        <v>1.1000000000000001</v>
      </c>
      <c r="AW324" s="68">
        <f t="shared" si="181"/>
        <v>1.25</v>
      </c>
      <c r="AX324" s="68">
        <f t="shared" ca="1" si="173"/>
        <v>1.1000000000000001</v>
      </c>
      <c r="AY324" s="106">
        <v>2019</v>
      </c>
      <c r="AZ324" s="106" t="s">
        <v>2073</v>
      </c>
      <c r="BA324" s="106" t="str">
        <f t="shared" si="182"/>
        <v/>
      </c>
      <c r="BB324" s="177"/>
      <c r="BC324" s="177">
        <v>1</v>
      </c>
      <c r="BD324" s="177"/>
      <c r="BE324" s="177"/>
      <c r="BF324" s="177"/>
      <c r="BG324" s="177"/>
      <c r="BH324" s="177"/>
      <c r="BI324" s="33"/>
      <c r="BK324" s="48">
        <f>$G324/5280*VLOOKUP($AC324,'Cost and Score'!$B$27:$O$40,6,0)</f>
        <v>0.2024621212121212</v>
      </c>
      <c r="BL324" s="48">
        <f>$G324/5280*VLOOKUP($AC324,'Cost and Score'!$B$27:$O$40,7,0)</f>
        <v>22.270833333333332</v>
      </c>
      <c r="BM324" s="48">
        <f>$G324/5280*VLOOKUP($AC324,'Cost and Score'!$B$27:$O$40,8,0)</f>
        <v>0</v>
      </c>
      <c r="BN324" s="48">
        <f>$G324/5280*VLOOKUP($AC324,'Cost and Score'!$B$27:$O$40,9,0)</f>
        <v>4555.397727272727</v>
      </c>
      <c r="BO324" s="48">
        <f>$G324/5280*VLOOKUP($AC324,'Cost and Score'!$B$27:$O$40,10,0)</f>
        <v>1012.310606060606</v>
      </c>
      <c r="BP324" s="48">
        <f>$G324/5280*VLOOKUP($AC324,'Cost and Score'!$B$27:$O$40,11,0)</f>
        <v>0</v>
      </c>
      <c r="BQ324" s="48">
        <f>$G324/5280*VLOOKUP($AC324,'Cost and Score'!$B$27:$O$40,12,0)</f>
        <v>101.23106060606059</v>
      </c>
      <c r="BR324" s="48">
        <f>$G324/5280*VLOOKUP($AC324,'Cost and Score'!$B$27:$O$40,13,0)</f>
        <v>121.47727272727272</v>
      </c>
      <c r="BS324" s="48">
        <f>$G324/5280*VLOOKUP($AC324,'Cost and Score'!$B$27:$O$40,14,0)</f>
        <v>0</v>
      </c>
      <c r="BT324" s="220">
        <f t="shared" si="183"/>
        <v>1.012310606060606</v>
      </c>
      <c r="BY324" s="2" t="s">
        <v>2054</v>
      </c>
      <c r="CC324" s="2" t="s">
        <v>2053</v>
      </c>
      <c r="CV324" s="112"/>
    </row>
    <row r="325" spans="1:103" s="2" customFormat="1" ht="14.45" customHeight="1" x14ac:dyDescent="0.25">
      <c r="A325" s="38" t="s">
        <v>1108</v>
      </c>
      <c r="B325" s="34" t="s">
        <v>1107</v>
      </c>
      <c r="C325" s="26" t="s">
        <v>1107</v>
      </c>
      <c r="D325" s="82"/>
      <c r="E325" s="82" t="s">
        <v>257</v>
      </c>
      <c r="F325" s="82" t="s">
        <v>52</v>
      </c>
      <c r="G325" s="29">
        <v>4071</v>
      </c>
      <c r="H325" s="29">
        <f t="shared" si="166"/>
        <v>20</v>
      </c>
      <c r="I325" s="26" t="s">
        <v>13</v>
      </c>
      <c r="J325" s="26" t="s">
        <v>17</v>
      </c>
      <c r="K325" s="26">
        <f t="shared" si="163"/>
        <v>0</v>
      </c>
      <c r="L325" s="42">
        <v>7</v>
      </c>
      <c r="M325" s="42">
        <v>7</v>
      </c>
      <c r="N325" s="42">
        <v>7</v>
      </c>
      <c r="O325" s="83">
        <v>6</v>
      </c>
      <c r="P325" s="83">
        <v>6</v>
      </c>
      <c r="Q325" s="83">
        <v>6</v>
      </c>
      <c r="R325" s="83">
        <v>6</v>
      </c>
      <c r="S325" s="83">
        <v>7</v>
      </c>
      <c r="T325" s="83">
        <v>7</v>
      </c>
      <c r="U325" s="83">
        <v>7</v>
      </c>
      <c r="V325" s="42"/>
      <c r="W325" s="42"/>
      <c r="X325" s="42"/>
      <c r="Y325" s="26">
        <v>167</v>
      </c>
      <c r="Z325" s="26">
        <f t="shared" si="167"/>
        <v>0</v>
      </c>
      <c r="AA325" s="82" t="s">
        <v>35</v>
      </c>
      <c r="AB325" s="111">
        <f t="shared" si="174"/>
        <v>4</v>
      </c>
      <c r="AC325" s="82" t="s">
        <v>13</v>
      </c>
      <c r="AD325" s="84">
        <f t="shared" si="170"/>
        <v>16191.477272727272</v>
      </c>
      <c r="AE325" s="140"/>
      <c r="AF325" s="113">
        <f t="shared" si="168"/>
        <v>0</v>
      </c>
      <c r="AG325" s="106">
        <v>2025</v>
      </c>
      <c r="AH325" s="26" t="str">
        <f t="shared" si="164"/>
        <v/>
      </c>
      <c r="AI325" s="26" t="str">
        <f t="shared" si="165"/>
        <v/>
      </c>
      <c r="AJ325" s="26" t="str">
        <f t="shared" si="165"/>
        <v/>
      </c>
      <c r="AK325" s="26" t="str">
        <f t="shared" si="169"/>
        <v>Chip Seal and Fog</v>
      </c>
      <c r="AL325" s="26" t="str">
        <f t="shared" si="185"/>
        <v/>
      </c>
      <c r="AM325" s="26" t="str">
        <f t="shared" si="184"/>
        <v/>
      </c>
      <c r="AN325" s="26" t="str">
        <f t="shared" si="175"/>
        <v>Chip Seal and Fog</v>
      </c>
      <c r="AO325" s="26" t="str">
        <f t="shared" si="186"/>
        <v/>
      </c>
      <c r="AP325" s="26" t="str">
        <f t="shared" si="176"/>
        <v/>
      </c>
      <c r="AQ325" s="68">
        <f t="shared" si="171"/>
        <v>8</v>
      </c>
      <c r="AR325" s="68">
        <f t="shared" si="172"/>
        <v>6</v>
      </c>
      <c r="AS325" s="68">
        <f t="shared" si="177"/>
        <v>1.05</v>
      </c>
      <c r="AT325" s="68">
        <f t="shared" si="178"/>
        <v>1.05</v>
      </c>
      <c r="AU325" s="68">
        <f t="shared" si="179"/>
        <v>1.05</v>
      </c>
      <c r="AV325" s="68">
        <f t="shared" si="180"/>
        <v>1.1000000000000001</v>
      </c>
      <c r="AW325" s="68">
        <f t="shared" si="181"/>
        <v>1.1000000000000001</v>
      </c>
      <c r="AX325" s="68">
        <f t="shared" ca="1" si="173"/>
        <v>1.05</v>
      </c>
      <c r="AY325" s="68">
        <v>2019</v>
      </c>
      <c r="AZ325" s="68" t="s">
        <v>2073</v>
      </c>
      <c r="BA325" s="106" t="str">
        <f t="shared" si="182"/>
        <v/>
      </c>
      <c r="BB325" s="178"/>
      <c r="BC325" s="178">
        <v>5</v>
      </c>
      <c r="BD325" s="178"/>
      <c r="BE325" s="178"/>
      <c r="BF325" s="178"/>
      <c r="BG325" s="178"/>
      <c r="BH325" s="178"/>
      <c r="BI325" s="33"/>
      <c r="BK325" s="48">
        <f>$G325/5280*VLOOKUP($AC325,'Cost and Score'!$B$27:$O$40,6,0)</f>
        <v>0.15420454545454546</v>
      </c>
      <c r="BL325" s="48">
        <f>$G325/5280*VLOOKUP($AC325,'Cost and Score'!$B$27:$O$40,7,0)</f>
        <v>16.962499999999999</v>
      </c>
      <c r="BM325" s="48">
        <f>$G325/5280*VLOOKUP($AC325,'Cost and Score'!$B$27:$O$40,8,0)</f>
        <v>0</v>
      </c>
      <c r="BN325" s="48">
        <f>$G325/5280*VLOOKUP($AC325,'Cost and Score'!$B$27:$O$40,9,0)</f>
        <v>3469.6022727272725</v>
      </c>
      <c r="BO325" s="48">
        <f>$G325/5280*VLOOKUP($AC325,'Cost and Score'!$B$27:$O$40,10,0)</f>
        <v>771.02272727272725</v>
      </c>
      <c r="BP325" s="48">
        <f>$G325/5280*VLOOKUP($AC325,'Cost and Score'!$B$27:$O$40,11,0)</f>
        <v>0</v>
      </c>
      <c r="BQ325" s="48">
        <f>$G325/5280*VLOOKUP($AC325,'Cost and Score'!$B$27:$O$40,12,0)</f>
        <v>77.10227272727272</v>
      </c>
      <c r="BR325" s="48">
        <f>$G325/5280*VLOOKUP($AC325,'Cost and Score'!$B$27:$O$40,13,0)</f>
        <v>92.522727272727266</v>
      </c>
      <c r="BS325" s="48">
        <f>$G325/5280*VLOOKUP($AC325,'Cost and Score'!$B$27:$O$40,14,0)</f>
        <v>0</v>
      </c>
      <c r="BT325" s="220">
        <f t="shared" si="183"/>
        <v>0.77102272727272725</v>
      </c>
    </row>
    <row r="326" spans="1:103" s="2" customFormat="1" ht="14.45" hidden="1" customHeight="1" x14ac:dyDescent="0.25">
      <c r="A326" s="15" t="s">
        <v>747</v>
      </c>
      <c r="B326" s="34" t="s">
        <v>746</v>
      </c>
      <c r="C326" s="26" t="s">
        <v>746</v>
      </c>
      <c r="D326" s="82"/>
      <c r="E326" s="82" t="s">
        <v>119</v>
      </c>
      <c r="F326" s="82" t="s">
        <v>217</v>
      </c>
      <c r="G326" s="29">
        <v>2693</v>
      </c>
      <c r="H326" s="29">
        <f t="shared" si="166"/>
        <v>20</v>
      </c>
      <c r="I326" s="26" t="s">
        <v>8</v>
      </c>
      <c r="J326" s="26" t="s">
        <v>125</v>
      </c>
      <c r="K326" s="26">
        <f t="shared" si="163"/>
        <v>0</v>
      </c>
      <c r="L326" s="42">
        <v>7</v>
      </c>
      <c r="M326" s="42">
        <v>8</v>
      </c>
      <c r="N326" s="42">
        <v>8</v>
      </c>
      <c r="O326" s="83">
        <v>7</v>
      </c>
      <c r="P326" s="83">
        <v>7</v>
      </c>
      <c r="Q326" s="83">
        <v>7</v>
      </c>
      <c r="R326" s="83">
        <v>7</v>
      </c>
      <c r="S326" s="83">
        <v>7</v>
      </c>
      <c r="T326" s="83">
        <v>7</v>
      </c>
      <c r="U326" s="83">
        <v>7</v>
      </c>
      <c r="V326" s="42">
        <v>2024</v>
      </c>
      <c r="W326" s="42">
        <v>2023</v>
      </c>
      <c r="X326" s="42" t="s">
        <v>2612</v>
      </c>
      <c r="Y326" s="26">
        <v>927</v>
      </c>
      <c r="Z326" s="26">
        <f t="shared" si="167"/>
        <v>0.5</v>
      </c>
      <c r="AA326" s="82" t="s">
        <v>129</v>
      </c>
      <c r="AB326" s="111">
        <f t="shared" si="174"/>
        <v>3.5</v>
      </c>
      <c r="AC326" s="82" t="s">
        <v>751</v>
      </c>
      <c r="AD326" s="84">
        <f t="shared" si="170"/>
        <v>56104.166666666664</v>
      </c>
      <c r="AE326" s="140"/>
      <c r="AF326" s="113">
        <f t="shared" si="168"/>
        <v>0</v>
      </c>
      <c r="AG326" s="82">
        <v>2024</v>
      </c>
      <c r="AH326" s="26" t="str">
        <f t="shared" si="164"/>
        <v/>
      </c>
      <c r="AI326" s="26" t="str">
        <f t="shared" si="165"/>
        <v/>
      </c>
      <c r="AJ326" s="26" t="str">
        <f t="shared" si="165"/>
        <v>Overlay - 2"</v>
      </c>
      <c r="AK326" s="26" t="str">
        <f t="shared" si="169"/>
        <v/>
      </c>
      <c r="AL326" s="26" t="str">
        <f t="shared" si="185"/>
        <v/>
      </c>
      <c r="AM326" s="26" t="str">
        <f t="shared" si="184"/>
        <v/>
      </c>
      <c r="AN326" s="26" t="str">
        <f t="shared" si="175"/>
        <v>Overlay - 2"</v>
      </c>
      <c r="AO326" s="26" t="str">
        <f t="shared" si="186"/>
        <v/>
      </c>
      <c r="AP326" s="26" t="str">
        <f t="shared" si="176"/>
        <v/>
      </c>
      <c r="AQ326" s="68">
        <f t="shared" si="171"/>
        <v>10</v>
      </c>
      <c r="AR326" s="68">
        <f t="shared" si="172"/>
        <v>12</v>
      </c>
      <c r="AS326" s="68">
        <f t="shared" si="177"/>
        <v>1.05</v>
      </c>
      <c r="AT326" s="68">
        <f t="shared" si="178"/>
        <v>1</v>
      </c>
      <c r="AU326" s="68">
        <f t="shared" si="179"/>
        <v>1</v>
      </c>
      <c r="AV326" s="68">
        <f t="shared" si="180"/>
        <v>1.05</v>
      </c>
      <c r="AW326" s="68">
        <f t="shared" si="181"/>
        <v>1.05</v>
      </c>
      <c r="AX326" s="68">
        <f t="shared" ca="1" si="173"/>
        <v>0</v>
      </c>
      <c r="AY326" s="68">
        <v>2018</v>
      </c>
      <c r="AZ326" s="68" t="s">
        <v>13</v>
      </c>
      <c r="BA326" s="106" t="str">
        <f t="shared" si="182"/>
        <v>CS</v>
      </c>
      <c r="BB326" s="178"/>
      <c r="BC326" s="178">
        <v>6</v>
      </c>
      <c r="BD326" s="178"/>
      <c r="BE326" s="178"/>
      <c r="BF326" s="178"/>
      <c r="BG326" s="178"/>
      <c r="BH326" s="178"/>
      <c r="BI326" s="33"/>
      <c r="BK326" s="48">
        <f>$G326/5280*VLOOKUP($AC326,'Cost and Score'!$B$27:$O$40,6,0)</f>
        <v>1.1475852272727272</v>
      </c>
      <c r="BL326" s="48">
        <f>$G326/5280*VLOOKUP($AC326,'Cost and Score'!$B$27:$O$40,7,0)</f>
        <v>107.10795454545455</v>
      </c>
      <c r="BM326" s="48">
        <f>$G326/5280*VLOOKUP($AC326,'Cost and Score'!$B$27:$O$40,8,0)</f>
        <v>178.51325757575756</v>
      </c>
      <c r="BN326" s="48">
        <f>$G326/5280*VLOOKUP($AC326,'Cost and Score'!$B$27:$O$40,9,0)</f>
        <v>0</v>
      </c>
      <c r="BO326" s="48">
        <f>$G326/5280*VLOOKUP($AC326,'Cost and Score'!$B$27:$O$40,10,0)</f>
        <v>0</v>
      </c>
      <c r="BP326" s="48">
        <f>$G326/5280*VLOOKUP($AC326,'Cost and Score'!$B$27:$O$40,11,0)</f>
        <v>102.00757575757575</v>
      </c>
      <c r="BQ326" s="48">
        <f>$G326/5280*VLOOKUP($AC326,'Cost and Score'!$B$27:$O$40,12,0)</f>
        <v>867.06439393939388</v>
      </c>
      <c r="BR326" s="48">
        <f>$G326/5280*VLOOKUP($AC326,'Cost and Score'!$B$27:$O$40,13,0)</f>
        <v>0</v>
      </c>
      <c r="BS326" s="48">
        <f>$G326/5280*VLOOKUP($AC326,'Cost and Score'!$B$27:$O$40,14,0)</f>
        <v>0</v>
      </c>
      <c r="BT326" s="220">
        <f t="shared" si="183"/>
        <v>0.51003787878787876</v>
      </c>
    </row>
    <row r="327" spans="1:103" s="2" customFormat="1" ht="14.45" hidden="1" customHeight="1" x14ac:dyDescent="0.25">
      <c r="A327" s="15" t="s">
        <v>749</v>
      </c>
      <c r="B327" s="34" t="s">
        <v>748</v>
      </c>
      <c r="C327" s="26" t="s">
        <v>748</v>
      </c>
      <c r="D327" s="82"/>
      <c r="E327" s="82" t="s">
        <v>217</v>
      </c>
      <c r="F327" s="82" t="s">
        <v>193</v>
      </c>
      <c r="G327" s="29">
        <v>2693</v>
      </c>
      <c r="H327" s="29">
        <f t="shared" si="166"/>
        <v>20</v>
      </c>
      <c r="I327" s="26" t="s">
        <v>8</v>
      </c>
      <c r="J327" s="26" t="s">
        <v>125</v>
      </c>
      <c r="K327" s="26">
        <f t="shared" si="163"/>
        <v>0</v>
      </c>
      <c r="L327" s="42">
        <v>7</v>
      </c>
      <c r="M327" s="42">
        <v>7</v>
      </c>
      <c r="N327" s="42">
        <v>7</v>
      </c>
      <c r="O327" s="83">
        <v>6</v>
      </c>
      <c r="P327" s="83">
        <v>6</v>
      </c>
      <c r="Q327" s="83">
        <v>7</v>
      </c>
      <c r="R327" s="83">
        <v>7</v>
      </c>
      <c r="S327" s="83">
        <v>7</v>
      </c>
      <c r="T327" s="83">
        <v>6</v>
      </c>
      <c r="U327" s="83">
        <v>6</v>
      </c>
      <c r="V327" s="42">
        <v>2024</v>
      </c>
      <c r="W327" s="42">
        <v>2023</v>
      </c>
      <c r="X327" s="42" t="s">
        <v>2612</v>
      </c>
      <c r="Y327" s="26">
        <v>922</v>
      </c>
      <c r="Z327" s="26">
        <f t="shared" si="167"/>
        <v>0.5</v>
      </c>
      <c r="AA327" s="82" t="s">
        <v>129</v>
      </c>
      <c r="AB327" s="111">
        <f t="shared" si="174"/>
        <v>4.5</v>
      </c>
      <c r="AC327" s="82" t="s">
        <v>751</v>
      </c>
      <c r="AD327" s="84">
        <f t="shared" si="170"/>
        <v>56104.166666666664</v>
      </c>
      <c r="AE327" s="140"/>
      <c r="AF327" s="113">
        <f t="shared" si="168"/>
        <v>0</v>
      </c>
      <c r="AG327" s="82">
        <v>2024</v>
      </c>
      <c r="AH327" s="26" t="str">
        <f t="shared" si="164"/>
        <v/>
      </c>
      <c r="AI327" s="26" t="str">
        <f t="shared" si="165"/>
        <v/>
      </c>
      <c r="AJ327" s="26" t="str">
        <f t="shared" si="165"/>
        <v>Overlay - 2"</v>
      </c>
      <c r="AK327" s="26" t="str">
        <f t="shared" si="169"/>
        <v/>
      </c>
      <c r="AL327" s="26" t="str">
        <f t="shared" si="185"/>
        <v/>
      </c>
      <c r="AM327" s="26" t="str">
        <f t="shared" si="184"/>
        <v/>
      </c>
      <c r="AN327" s="26" t="str">
        <f t="shared" si="175"/>
        <v>Overlay - 2"</v>
      </c>
      <c r="AO327" s="26" t="str">
        <f t="shared" si="186"/>
        <v/>
      </c>
      <c r="AP327" s="26" t="str">
        <f t="shared" si="176"/>
        <v/>
      </c>
      <c r="AQ327" s="68">
        <f t="shared" si="171"/>
        <v>8</v>
      </c>
      <c r="AR327" s="68">
        <f t="shared" si="172"/>
        <v>12</v>
      </c>
      <c r="AS327" s="68">
        <f t="shared" si="177"/>
        <v>1.05</v>
      </c>
      <c r="AT327" s="68">
        <f t="shared" si="178"/>
        <v>1.05</v>
      </c>
      <c r="AU327" s="68">
        <f t="shared" si="179"/>
        <v>1.05</v>
      </c>
      <c r="AV327" s="68">
        <f t="shared" si="180"/>
        <v>1.1000000000000001</v>
      </c>
      <c r="AW327" s="68">
        <f t="shared" si="181"/>
        <v>1.1000000000000001</v>
      </c>
      <c r="AX327" s="68">
        <f t="shared" ca="1" si="173"/>
        <v>0</v>
      </c>
      <c r="AY327" s="68">
        <v>2018</v>
      </c>
      <c r="AZ327" s="68" t="s">
        <v>13</v>
      </c>
      <c r="BA327" s="106" t="str">
        <f t="shared" si="182"/>
        <v>CS</v>
      </c>
      <c r="BB327" s="178"/>
      <c r="BC327" s="178">
        <v>6</v>
      </c>
      <c r="BD327" s="178"/>
      <c r="BE327" s="178"/>
      <c r="BF327" s="178"/>
      <c r="BG327" s="178"/>
      <c r="BH327" s="178"/>
      <c r="BI327" s="33"/>
      <c r="BK327" s="48">
        <f>$G327/5280*VLOOKUP($AC327,'Cost and Score'!$B$27:$O$40,6,0)</f>
        <v>1.1475852272727272</v>
      </c>
      <c r="BL327" s="48">
        <f>$G327/5280*VLOOKUP($AC327,'Cost and Score'!$B$27:$O$40,7,0)</f>
        <v>107.10795454545455</v>
      </c>
      <c r="BM327" s="48">
        <f>$G327/5280*VLOOKUP($AC327,'Cost and Score'!$B$27:$O$40,8,0)</f>
        <v>178.51325757575756</v>
      </c>
      <c r="BN327" s="48">
        <f>$G327/5280*VLOOKUP($AC327,'Cost and Score'!$B$27:$O$40,9,0)</f>
        <v>0</v>
      </c>
      <c r="BO327" s="48">
        <f>$G327/5280*VLOOKUP($AC327,'Cost and Score'!$B$27:$O$40,10,0)</f>
        <v>0</v>
      </c>
      <c r="BP327" s="48">
        <f>$G327/5280*VLOOKUP($AC327,'Cost and Score'!$B$27:$O$40,11,0)</f>
        <v>102.00757575757575</v>
      </c>
      <c r="BQ327" s="48">
        <f>$G327/5280*VLOOKUP($AC327,'Cost and Score'!$B$27:$O$40,12,0)</f>
        <v>867.06439393939388</v>
      </c>
      <c r="BR327" s="48">
        <f>$G327/5280*VLOOKUP($AC327,'Cost and Score'!$B$27:$O$40,13,0)</f>
        <v>0</v>
      </c>
      <c r="BS327" s="48">
        <f>$G327/5280*VLOOKUP($AC327,'Cost and Score'!$B$27:$O$40,14,0)</f>
        <v>0</v>
      </c>
      <c r="BT327" s="220">
        <f t="shared" si="183"/>
        <v>0.51003787878787876</v>
      </c>
    </row>
    <row r="328" spans="1:103" s="2" customFormat="1" ht="14.45" hidden="1" customHeight="1" x14ac:dyDescent="0.25">
      <c r="A328" s="15" t="s">
        <v>752</v>
      </c>
      <c r="B328" s="34" t="s">
        <v>750</v>
      </c>
      <c r="C328" s="26" t="s">
        <v>750</v>
      </c>
      <c r="D328" s="26"/>
      <c r="E328" s="26" t="s">
        <v>193</v>
      </c>
      <c r="F328" s="26" t="s">
        <v>197</v>
      </c>
      <c r="G328" s="29">
        <v>5386</v>
      </c>
      <c r="H328" s="29">
        <f t="shared" si="166"/>
        <v>20</v>
      </c>
      <c r="I328" s="106" t="s">
        <v>13</v>
      </c>
      <c r="J328" s="26" t="s">
        <v>125</v>
      </c>
      <c r="K328" s="26">
        <f t="shared" si="163"/>
        <v>0</v>
      </c>
      <c r="L328" s="42">
        <v>7</v>
      </c>
      <c r="M328" s="42">
        <v>7</v>
      </c>
      <c r="N328" s="42">
        <v>7</v>
      </c>
      <c r="O328" s="42">
        <v>7</v>
      </c>
      <c r="P328" s="42">
        <v>7</v>
      </c>
      <c r="Q328" s="42">
        <v>6</v>
      </c>
      <c r="R328" s="42">
        <v>6</v>
      </c>
      <c r="S328" s="42">
        <v>6</v>
      </c>
      <c r="T328" s="42">
        <v>6</v>
      </c>
      <c r="U328" s="42">
        <v>6</v>
      </c>
      <c r="V328" s="42">
        <v>2023</v>
      </c>
      <c r="W328" s="42">
        <v>2023</v>
      </c>
      <c r="X328" s="42" t="s">
        <v>2612</v>
      </c>
      <c r="Y328" s="26">
        <v>665</v>
      </c>
      <c r="Z328" s="26">
        <f t="shared" si="167"/>
        <v>0.5</v>
      </c>
      <c r="AA328" s="26" t="s">
        <v>129</v>
      </c>
      <c r="AB328" s="111">
        <f t="shared" si="174"/>
        <v>3.5</v>
      </c>
      <c r="AC328" s="26" t="s">
        <v>13</v>
      </c>
      <c r="AD328" s="47">
        <f t="shared" si="170"/>
        <v>21421.590909090908</v>
      </c>
      <c r="AE328" s="140"/>
      <c r="AF328" s="113">
        <f t="shared" si="168"/>
        <v>0</v>
      </c>
      <c r="AG328" s="26">
        <v>2026</v>
      </c>
      <c r="AH328" s="26" t="str">
        <f t="shared" si="164"/>
        <v/>
      </c>
      <c r="AI328" s="26" t="str">
        <f t="shared" si="165"/>
        <v/>
      </c>
      <c r="AJ328" s="26" t="str">
        <f t="shared" si="165"/>
        <v/>
      </c>
      <c r="AK328" s="26" t="str">
        <f t="shared" si="169"/>
        <v/>
      </c>
      <c r="AL328" s="26" t="str">
        <f t="shared" si="185"/>
        <v>Chip Seal and Fog</v>
      </c>
      <c r="AM328" s="26" t="str">
        <f t="shared" si="184"/>
        <v/>
      </c>
      <c r="AN328" s="26" t="str">
        <f t="shared" si="175"/>
        <v>Chip Seal and Fog</v>
      </c>
      <c r="AO328" s="26" t="str">
        <f t="shared" si="186"/>
        <v/>
      </c>
      <c r="AP328" s="26" t="str">
        <f t="shared" si="176"/>
        <v/>
      </c>
      <c r="AQ328" s="68">
        <f t="shared" si="171"/>
        <v>10</v>
      </c>
      <c r="AR328" s="68">
        <f t="shared" si="172"/>
        <v>6</v>
      </c>
      <c r="AS328" s="68">
        <f t="shared" si="177"/>
        <v>1.05</v>
      </c>
      <c r="AT328" s="68">
        <f t="shared" si="178"/>
        <v>1.05</v>
      </c>
      <c r="AU328" s="68">
        <f t="shared" si="179"/>
        <v>1.05</v>
      </c>
      <c r="AV328" s="68">
        <f t="shared" si="180"/>
        <v>1.05</v>
      </c>
      <c r="AW328" s="68">
        <f t="shared" si="181"/>
        <v>1.05</v>
      </c>
      <c r="AX328" s="68">
        <f t="shared" ca="1" si="173"/>
        <v>2.1</v>
      </c>
      <c r="AY328" s="68">
        <v>2016</v>
      </c>
      <c r="AZ328" s="68" t="s">
        <v>13</v>
      </c>
      <c r="BA328" s="106" t="str">
        <f t="shared" si="182"/>
        <v/>
      </c>
      <c r="BB328" s="178"/>
      <c r="BC328" s="178">
        <v>6</v>
      </c>
      <c r="BD328" s="178"/>
      <c r="BE328" s="178"/>
      <c r="BF328" s="178"/>
      <c r="BG328" s="178"/>
      <c r="BH328" s="178"/>
      <c r="BI328" s="33"/>
      <c r="BK328" s="48">
        <f>$G328/5280*VLOOKUP($AC328,'Cost and Score'!$B$27:$O$40,6,0)</f>
        <v>0.20401515151515151</v>
      </c>
      <c r="BL328" s="48">
        <f>$G328/5280*VLOOKUP($AC328,'Cost and Score'!$B$27:$O$40,7,0)</f>
        <v>22.441666666666666</v>
      </c>
      <c r="BM328" s="48">
        <f>$G328/5280*VLOOKUP($AC328,'Cost and Score'!$B$27:$O$40,8,0)</f>
        <v>0</v>
      </c>
      <c r="BN328" s="48">
        <f>$G328/5280*VLOOKUP($AC328,'Cost and Score'!$B$27:$O$40,9,0)</f>
        <v>4590.340909090909</v>
      </c>
      <c r="BO328" s="48">
        <f>$G328/5280*VLOOKUP($AC328,'Cost and Score'!$B$27:$O$40,10,0)</f>
        <v>1020.0757575757575</v>
      </c>
      <c r="BP328" s="48">
        <f>$G328/5280*VLOOKUP($AC328,'Cost and Score'!$B$27:$O$40,11,0)</f>
        <v>0</v>
      </c>
      <c r="BQ328" s="48">
        <f>$G328/5280*VLOOKUP($AC328,'Cost and Score'!$B$27:$O$40,12,0)</f>
        <v>102.00757575757575</v>
      </c>
      <c r="BR328" s="48">
        <f>$G328/5280*VLOOKUP($AC328,'Cost and Score'!$B$27:$O$40,13,0)</f>
        <v>122.40909090909091</v>
      </c>
      <c r="BS328" s="48">
        <f>$G328/5280*VLOOKUP($AC328,'Cost and Score'!$B$27:$O$40,14,0)</f>
        <v>0</v>
      </c>
      <c r="BT328" s="220">
        <f t="shared" si="183"/>
        <v>1.0200757575757575</v>
      </c>
      <c r="CW328" s="112"/>
      <c r="CX328" s="112"/>
      <c r="CY328" s="112"/>
    </row>
    <row r="329" spans="1:103" s="2" customFormat="1" ht="14.45" hidden="1" customHeight="1" x14ac:dyDescent="0.25">
      <c r="A329" s="15" t="s">
        <v>754</v>
      </c>
      <c r="B329" s="34" t="s">
        <v>753</v>
      </c>
      <c r="C329" s="26" t="s">
        <v>753</v>
      </c>
      <c r="D329" s="82"/>
      <c r="E329" s="82" t="s">
        <v>104</v>
      </c>
      <c r="F329" s="82" t="s">
        <v>107</v>
      </c>
      <c r="G329" s="29">
        <v>5345</v>
      </c>
      <c r="H329" s="29">
        <f t="shared" si="166"/>
        <v>20</v>
      </c>
      <c r="I329" s="26" t="s">
        <v>13</v>
      </c>
      <c r="J329" s="26" t="s">
        <v>160</v>
      </c>
      <c r="K329" s="26">
        <f t="shared" si="163"/>
        <v>0</v>
      </c>
      <c r="L329" s="42">
        <v>7</v>
      </c>
      <c r="M329" s="42">
        <v>7</v>
      </c>
      <c r="N329" s="42">
        <v>6</v>
      </c>
      <c r="O329" s="83">
        <v>6</v>
      </c>
      <c r="P329" s="83">
        <v>6</v>
      </c>
      <c r="Q329" s="83">
        <v>7</v>
      </c>
      <c r="R329" s="83">
        <v>7</v>
      </c>
      <c r="S329" s="83">
        <v>7</v>
      </c>
      <c r="T329" s="83">
        <v>7</v>
      </c>
      <c r="U329" s="83">
        <v>7</v>
      </c>
      <c r="V329" s="42"/>
      <c r="W329" s="42"/>
      <c r="X329" s="42"/>
      <c r="Y329" s="26">
        <v>240</v>
      </c>
      <c r="Z329" s="26">
        <f t="shared" si="167"/>
        <v>0</v>
      </c>
      <c r="AA329" s="82" t="s">
        <v>129</v>
      </c>
      <c r="AB329" s="111">
        <f t="shared" si="174"/>
        <v>4</v>
      </c>
      <c r="AC329" s="82" t="s">
        <v>13</v>
      </c>
      <c r="AD329" s="84">
        <f t="shared" si="170"/>
        <v>21258.522727272728</v>
      </c>
      <c r="AE329" s="140"/>
      <c r="AF329" s="113">
        <f t="shared" si="168"/>
        <v>0</v>
      </c>
      <c r="AG329" s="82">
        <v>2024</v>
      </c>
      <c r="AH329" s="26" t="str">
        <f t="shared" si="164"/>
        <v/>
      </c>
      <c r="AI329" s="26" t="str">
        <f t="shared" si="165"/>
        <v/>
      </c>
      <c r="AJ329" s="26" t="str">
        <f t="shared" si="165"/>
        <v>Chip Seal and Fog</v>
      </c>
      <c r="AK329" s="26" t="str">
        <f t="shared" si="169"/>
        <v/>
      </c>
      <c r="AL329" s="26" t="str">
        <f t="shared" si="185"/>
        <v/>
      </c>
      <c r="AM329" s="26" t="str">
        <f t="shared" si="184"/>
        <v/>
      </c>
      <c r="AN329" s="26" t="str">
        <f t="shared" si="175"/>
        <v>Chip Seal and Fog</v>
      </c>
      <c r="AO329" s="26" t="str">
        <f t="shared" si="186"/>
        <v/>
      </c>
      <c r="AP329" s="26" t="str">
        <f t="shared" si="176"/>
        <v/>
      </c>
      <c r="AQ329" s="68">
        <f t="shared" si="171"/>
        <v>8</v>
      </c>
      <c r="AR329" s="68">
        <f t="shared" si="172"/>
        <v>6</v>
      </c>
      <c r="AS329" s="68">
        <f t="shared" si="177"/>
        <v>1.05</v>
      </c>
      <c r="AT329" s="68">
        <f t="shared" si="178"/>
        <v>1.05</v>
      </c>
      <c r="AU329" s="68">
        <f t="shared" si="179"/>
        <v>1.1000000000000001</v>
      </c>
      <c r="AV329" s="68">
        <f t="shared" si="180"/>
        <v>1.1000000000000001</v>
      </c>
      <c r="AW329" s="68">
        <f t="shared" si="181"/>
        <v>1.1000000000000001</v>
      </c>
      <c r="AX329" s="68">
        <f t="shared" ca="1" si="173"/>
        <v>0</v>
      </c>
      <c r="AY329" s="68">
        <v>2018</v>
      </c>
      <c r="AZ329" s="68" t="s">
        <v>2073</v>
      </c>
      <c r="BA329" s="106" t="str">
        <f t="shared" si="182"/>
        <v>DS</v>
      </c>
      <c r="BB329" s="178"/>
      <c r="BC329" s="178">
        <v>8</v>
      </c>
      <c r="BD329" s="178"/>
      <c r="BE329" s="178"/>
      <c r="BF329" s="178"/>
      <c r="BG329" s="178"/>
      <c r="BH329" s="178"/>
      <c r="BI329" s="33"/>
      <c r="BK329" s="48">
        <f>$G329/5280*VLOOKUP($AC329,'Cost and Score'!$B$27:$O$40,6,0)</f>
        <v>0.2024621212121212</v>
      </c>
      <c r="BL329" s="48">
        <f>$G329/5280*VLOOKUP($AC329,'Cost and Score'!$B$27:$O$40,7,0)</f>
        <v>22.270833333333332</v>
      </c>
      <c r="BM329" s="48">
        <f>$G329/5280*VLOOKUP($AC329,'Cost and Score'!$B$27:$O$40,8,0)</f>
        <v>0</v>
      </c>
      <c r="BN329" s="48">
        <f>$G329/5280*VLOOKUP($AC329,'Cost and Score'!$B$27:$O$40,9,0)</f>
        <v>4555.397727272727</v>
      </c>
      <c r="BO329" s="48">
        <f>$G329/5280*VLOOKUP($AC329,'Cost and Score'!$B$27:$O$40,10,0)</f>
        <v>1012.310606060606</v>
      </c>
      <c r="BP329" s="48">
        <f>$G329/5280*VLOOKUP($AC329,'Cost and Score'!$B$27:$O$40,11,0)</f>
        <v>0</v>
      </c>
      <c r="BQ329" s="48">
        <f>$G329/5280*VLOOKUP($AC329,'Cost and Score'!$B$27:$O$40,12,0)</f>
        <v>101.23106060606059</v>
      </c>
      <c r="BR329" s="48">
        <f>$G329/5280*VLOOKUP($AC329,'Cost and Score'!$B$27:$O$40,13,0)</f>
        <v>121.47727272727272</v>
      </c>
      <c r="BS329" s="48">
        <f>$G329/5280*VLOOKUP($AC329,'Cost and Score'!$B$27:$O$40,14,0)</f>
        <v>0</v>
      </c>
      <c r="BT329" s="220">
        <f t="shared" si="183"/>
        <v>1.012310606060606</v>
      </c>
      <c r="CW329" s="112"/>
      <c r="CX329" s="112"/>
      <c r="CY329" s="112"/>
    </row>
    <row r="330" spans="1:103" s="2" customFormat="1" ht="14.45" customHeight="1" x14ac:dyDescent="0.25">
      <c r="A330" s="17" t="s">
        <v>53</v>
      </c>
      <c r="B330" s="34" t="s">
        <v>51</v>
      </c>
      <c r="C330" s="85" t="s">
        <v>51</v>
      </c>
      <c r="D330" s="85"/>
      <c r="E330" s="85" t="s">
        <v>49</v>
      </c>
      <c r="F330" s="85" t="s">
        <v>52</v>
      </c>
      <c r="G330" s="29">
        <v>5485</v>
      </c>
      <c r="H330" s="29">
        <f t="shared" si="166"/>
        <v>20</v>
      </c>
      <c r="I330" s="85" t="s">
        <v>8</v>
      </c>
      <c r="J330" s="85" t="s">
        <v>17</v>
      </c>
      <c r="K330" s="85">
        <f t="shared" si="163"/>
        <v>0</v>
      </c>
      <c r="L330" s="74">
        <v>8</v>
      </c>
      <c r="M330" s="74">
        <v>7</v>
      </c>
      <c r="N330" s="74">
        <v>7</v>
      </c>
      <c r="O330" s="74">
        <v>7</v>
      </c>
      <c r="P330" s="74">
        <v>7</v>
      </c>
      <c r="Q330" s="74">
        <v>6</v>
      </c>
      <c r="R330" s="74">
        <v>7</v>
      </c>
      <c r="S330" s="74">
        <v>7</v>
      </c>
      <c r="T330" s="74">
        <v>7</v>
      </c>
      <c r="U330" s="74">
        <v>7</v>
      </c>
      <c r="V330" s="74"/>
      <c r="W330" s="74"/>
      <c r="X330" s="74"/>
      <c r="Y330" s="85">
        <v>159</v>
      </c>
      <c r="Z330" s="85">
        <f t="shared" si="167"/>
        <v>0</v>
      </c>
      <c r="AA330" s="85" t="s">
        <v>20</v>
      </c>
      <c r="AB330" s="111">
        <f t="shared" si="174"/>
        <v>3</v>
      </c>
      <c r="AC330" s="82" t="s">
        <v>13</v>
      </c>
      <c r="AD330" s="47">
        <f t="shared" si="170"/>
        <v>21815.340909090908</v>
      </c>
      <c r="AE330" s="140"/>
      <c r="AF330" s="113">
        <f t="shared" si="168"/>
        <v>0</v>
      </c>
      <c r="AG330" s="106">
        <v>2025</v>
      </c>
      <c r="AH330" s="26" t="str">
        <f t="shared" si="164"/>
        <v/>
      </c>
      <c r="AI330" s="26" t="str">
        <f t="shared" si="165"/>
        <v/>
      </c>
      <c r="AJ330" s="26" t="str">
        <f t="shared" si="165"/>
        <v/>
      </c>
      <c r="AK330" s="26" t="str">
        <f t="shared" si="169"/>
        <v>Chip Seal and Fog</v>
      </c>
      <c r="AL330" s="26" t="str">
        <f t="shared" si="185"/>
        <v/>
      </c>
      <c r="AM330" s="26" t="str">
        <f t="shared" si="184"/>
        <v/>
      </c>
      <c r="AN330" s="26" t="str">
        <f t="shared" si="175"/>
        <v>Chip Seal and Fog</v>
      </c>
      <c r="AO330" s="26" t="str">
        <f t="shared" si="186"/>
        <v/>
      </c>
      <c r="AP330" s="26" t="str">
        <f t="shared" si="176"/>
        <v/>
      </c>
      <c r="AQ330" s="68">
        <f t="shared" si="171"/>
        <v>10</v>
      </c>
      <c r="AR330" s="68">
        <f t="shared" si="172"/>
        <v>6</v>
      </c>
      <c r="AS330" s="68">
        <f t="shared" si="177"/>
        <v>1</v>
      </c>
      <c r="AT330" s="68">
        <f t="shared" si="178"/>
        <v>1.05</v>
      </c>
      <c r="AU330" s="68">
        <f t="shared" si="179"/>
        <v>1.05</v>
      </c>
      <c r="AV330" s="68">
        <f t="shared" si="180"/>
        <v>1.05</v>
      </c>
      <c r="AW330" s="68">
        <f t="shared" si="181"/>
        <v>1.05</v>
      </c>
      <c r="AX330" s="68">
        <f t="shared" ca="1" si="173"/>
        <v>1.05</v>
      </c>
      <c r="AY330" s="106">
        <v>2019</v>
      </c>
      <c r="AZ330" s="106" t="s">
        <v>2075</v>
      </c>
      <c r="BA330" s="106" t="str">
        <f t="shared" si="182"/>
        <v/>
      </c>
      <c r="BB330" s="177"/>
      <c r="BC330" s="177">
        <v>1</v>
      </c>
      <c r="BD330" s="177"/>
      <c r="BE330" s="177"/>
      <c r="BF330" s="177"/>
      <c r="BG330" s="177"/>
      <c r="BH330" s="177"/>
      <c r="BI330" s="33" t="s">
        <v>2100</v>
      </c>
      <c r="BK330" s="48">
        <f>$G330/5280*VLOOKUP($AC330,'Cost and Score'!$B$27:$O$40,6,0)</f>
        <v>0.20776515151515151</v>
      </c>
      <c r="BL330" s="48">
        <f>$G330/5280*VLOOKUP($AC330,'Cost and Score'!$B$27:$O$40,7,0)</f>
        <v>22.854166666666668</v>
      </c>
      <c r="BM330" s="48">
        <f>$G330/5280*VLOOKUP($AC330,'Cost and Score'!$B$27:$O$40,8,0)</f>
        <v>0</v>
      </c>
      <c r="BN330" s="48">
        <f>$G330/5280*VLOOKUP($AC330,'Cost and Score'!$B$27:$O$40,9,0)</f>
        <v>4674.715909090909</v>
      </c>
      <c r="BO330" s="48">
        <f>$G330/5280*VLOOKUP($AC330,'Cost and Score'!$B$27:$O$40,10,0)</f>
        <v>1038.8257575757575</v>
      </c>
      <c r="BP330" s="48">
        <f>$G330/5280*VLOOKUP($AC330,'Cost and Score'!$B$27:$O$40,11,0)</f>
        <v>0</v>
      </c>
      <c r="BQ330" s="48">
        <f>$G330/5280*VLOOKUP($AC330,'Cost and Score'!$B$27:$O$40,12,0)</f>
        <v>103.88257575757575</v>
      </c>
      <c r="BR330" s="48">
        <f>$G330/5280*VLOOKUP($AC330,'Cost and Score'!$B$27:$O$40,13,0)</f>
        <v>124.65909090909091</v>
      </c>
      <c r="BS330" s="48">
        <f>$G330/5280*VLOOKUP($AC330,'Cost and Score'!$B$27:$O$40,14,0)</f>
        <v>0</v>
      </c>
      <c r="BT330" s="220">
        <f t="shared" si="183"/>
        <v>1.0388257575757576</v>
      </c>
      <c r="BX330" s="2" t="s">
        <v>2449</v>
      </c>
      <c r="BY330" s="2" t="s">
        <v>11</v>
      </c>
      <c r="BZ330" s="2">
        <v>0</v>
      </c>
    </row>
    <row r="331" spans="1:103" s="2" customFormat="1" ht="14.45" hidden="1" customHeight="1" x14ac:dyDescent="0.25">
      <c r="A331" s="15" t="s">
        <v>758</v>
      </c>
      <c r="B331" s="34" t="s">
        <v>757</v>
      </c>
      <c r="C331" s="26" t="s">
        <v>757</v>
      </c>
      <c r="D331" s="82"/>
      <c r="E331" s="82" t="s">
        <v>107</v>
      </c>
      <c r="F331" s="82" t="s">
        <v>203</v>
      </c>
      <c r="G331" s="29">
        <v>3500</v>
      </c>
      <c r="H331" s="29">
        <f t="shared" si="166"/>
        <v>20</v>
      </c>
      <c r="I331" s="26" t="s">
        <v>13</v>
      </c>
      <c r="J331" s="26" t="s">
        <v>160</v>
      </c>
      <c r="K331" s="26">
        <f t="shared" si="163"/>
        <v>0</v>
      </c>
      <c r="L331" s="42">
        <v>8</v>
      </c>
      <c r="M331" s="42">
        <v>6</v>
      </c>
      <c r="N331" s="42">
        <v>7</v>
      </c>
      <c r="O331" s="83">
        <v>6</v>
      </c>
      <c r="P331" s="83">
        <v>6</v>
      </c>
      <c r="Q331" s="83">
        <v>6</v>
      </c>
      <c r="R331" s="83">
        <v>6</v>
      </c>
      <c r="S331" s="83">
        <v>6</v>
      </c>
      <c r="T331" s="83">
        <v>6</v>
      </c>
      <c r="U331" s="83">
        <v>7</v>
      </c>
      <c r="V331" s="42"/>
      <c r="W331" s="42"/>
      <c r="X331" s="42"/>
      <c r="Y331" s="26">
        <v>356</v>
      </c>
      <c r="Z331" s="26">
        <f t="shared" si="167"/>
        <v>0</v>
      </c>
      <c r="AA331" s="82" t="s">
        <v>129</v>
      </c>
      <c r="AB331" s="111">
        <f t="shared" si="174"/>
        <v>4</v>
      </c>
      <c r="AC331" s="82" t="s">
        <v>13</v>
      </c>
      <c r="AD331" s="84">
        <f t="shared" si="170"/>
        <v>13920.454545454546</v>
      </c>
      <c r="AE331" s="140"/>
      <c r="AF331" s="113">
        <f t="shared" si="168"/>
        <v>0</v>
      </c>
      <c r="AG331" s="82">
        <v>2022</v>
      </c>
      <c r="AH331" s="26" t="str">
        <f t="shared" si="164"/>
        <v>Chip Seal and Fog</v>
      </c>
      <c r="AI331" s="26" t="str">
        <f t="shared" si="165"/>
        <v/>
      </c>
      <c r="AJ331" s="26" t="str">
        <f t="shared" si="165"/>
        <v/>
      </c>
      <c r="AK331" s="26" t="str">
        <f t="shared" si="169"/>
        <v/>
      </c>
      <c r="AL331" s="26" t="str">
        <f t="shared" si="185"/>
        <v/>
      </c>
      <c r="AM331" s="26" t="str">
        <f t="shared" si="184"/>
        <v/>
      </c>
      <c r="AN331" s="26" t="str">
        <f t="shared" si="175"/>
        <v>Chip Seal and Fog</v>
      </c>
      <c r="AO331" s="26" t="str">
        <f t="shared" si="186"/>
        <v>Overlay - 2"</v>
      </c>
      <c r="AP331" s="26" t="str">
        <f t="shared" si="176"/>
        <v/>
      </c>
      <c r="AQ331" s="68">
        <f t="shared" si="171"/>
        <v>8</v>
      </c>
      <c r="AR331" s="68">
        <f t="shared" si="172"/>
        <v>6</v>
      </c>
      <c r="AS331" s="68">
        <f t="shared" si="177"/>
        <v>1</v>
      </c>
      <c r="AT331" s="68">
        <f t="shared" si="178"/>
        <v>1.1000000000000001</v>
      </c>
      <c r="AU331" s="68">
        <f t="shared" si="179"/>
        <v>1.05</v>
      </c>
      <c r="AV331" s="68">
        <f t="shared" si="180"/>
        <v>1.1000000000000001</v>
      </c>
      <c r="AW331" s="68">
        <f t="shared" si="181"/>
        <v>1.1000000000000001</v>
      </c>
      <c r="AX331" s="68">
        <f t="shared" ca="1" si="173"/>
        <v>-2.1</v>
      </c>
      <c r="AY331" s="68">
        <v>2021</v>
      </c>
      <c r="AZ331" s="68" t="s">
        <v>751</v>
      </c>
      <c r="BA331" s="106" t="str">
        <f t="shared" si="182"/>
        <v/>
      </c>
      <c r="BB331" s="178"/>
      <c r="BC331" s="178">
        <v>8</v>
      </c>
      <c r="BD331" s="178"/>
      <c r="BE331" s="178"/>
      <c r="BF331" s="178"/>
      <c r="BG331" s="178"/>
      <c r="BH331" s="178"/>
      <c r="BI331" s="33"/>
      <c r="BK331" s="48">
        <f>$G331/5280*VLOOKUP($AC331,'Cost and Score'!$B$27:$O$40,6,0)</f>
        <v>0.13257575757575757</v>
      </c>
      <c r="BL331" s="48">
        <f>$G331/5280*VLOOKUP($AC331,'Cost and Score'!$B$27:$O$40,7,0)</f>
        <v>14.583333333333332</v>
      </c>
      <c r="BM331" s="48">
        <f>$G331/5280*VLOOKUP($AC331,'Cost and Score'!$B$27:$O$40,8,0)</f>
        <v>0</v>
      </c>
      <c r="BN331" s="48">
        <f>$G331/5280*VLOOKUP($AC331,'Cost and Score'!$B$27:$O$40,9,0)</f>
        <v>2982.9545454545455</v>
      </c>
      <c r="BO331" s="48">
        <f>$G331/5280*VLOOKUP($AC331,'Cost and Score'!$B$27:$O$40,10,0)</f>
        <v>662.87878787878788</v>
      </c>
      <c r="BP331" s="48">
        <f>$G331/5280*VLOOKUP($AC331,'Cost and Score'!$B$27:$O$40,11,0)</f>
        <v>0</v>
      </c>
      <c r="BQ331" s="48">
        <f>$G331/5280*VLOOKUP($AC331,'Cost and Score'!$B$27:$O$40,12,0)</f>
        <v>66.287878787878782</v>
      </c>
      <c r="BR331" s="48">
        <f>$G331/5280*VLOOKUP($AC331,'Cost and Score'!$B$27:$O$40,13,0)</f>
        <v>79.545454545454547</v>
      </c>
      <c r="BS331" s="48">
        <f>$G331/5280*VLOOKUP($AC331,'Cost and Score'!$B$27:$O$40,14,0)</f>
        <v>0</v>
      </c>
      <c r="BT331" s="220">
        <f t="shared" si="183"/>
        <v>0.66287878787878785</v>
      </c>
      <c r="CR331" s="112"/>
      <c r="CW331" s="112"/>
      <c r="CX331" s="112"/>
      <c r="CY331" s="112"/>
    </row>
    <row r="332" spans="1:103" s="112" customFormat="1" ht="14.45" customHeight="1" x14ac:dyDescent="0.25">
      <c r="A332" s="38" t="s">
        <v>1343</v>
      </c>
      <c r="B332" s="34" t="s">
        <v>1342</v>
      </c>
      <c r="C332" s="26" t="s">
        <v>1342</v>
      </c>
      <c r="D332" s="82"/>
      <c r="E332" s="82" t="s">
        <v>44</v>
      </c>
      <c r="F332" s="85" t="s">
        <v>18</v>
      </c>
      <c r="G332" s="29">
        <v>5240</v>
      </c>
      <c r="H332" s="29">
        <f t="shared" si="166"/>
        <v>20</v>
      </c>
      <c r="I332" s="26" t="s">
        <v>8</v>
      </c>
      <c r="J332" s="26" t="s">
        <v>17</v>
      </c>
      <c r="K332" s="26">
        <f t="shared" si="163"/>
        <v>0</v>
      </c>
      <c r="L332" s="42">
        <v>5</v>
      </c>
      <c r="M332" s="42">
        <v>5</v>
      </c>
      <c r="N332" s="42">
        <v>5</v>
      </c>
      <c r="O332" s="83">
        <v>5</v>
      </c>
      <c r="P332" s="83">
        <v>5</v>
      </c>
      <c r="Q332" s="83">
        <v>5</v>
      </c>
      <c r="R332" s="83">
        <v>8</v>
      </c>
      <c r="S332" s="83">
        <v>8</v>
      </c>
      <c r="T332" s="83">
        <v>8</v>
      </c>
      <c r="U332" s="83">
        <v>8</v>
      </c>
      <c r="V332" s="42"/>
      <c r="W332" s="42"/>
      <c r="X332" s="42"/>
      <c r="Y332" s="26">
        <v>149</v>
      </c>
      <c r="Z332" s="26">
        <f t="shared" si="167"/>
        <v>0</v>
      </c>
      <c r="AA332" s="82" t="s">
        <v>38</v>
      </c>
      <c r="AB332" s="111">
        <f t="shared" si="174"/>
        <v>5</v>
      </c>
      <c r="AC332" s="85" t="s">
        <v>13</v>
      </c>
      <c r="AD332" s="84">
        <f t="shared" si="170"/>
        <v>20840.909090909092</v>
      </c>
      <c r="AE332" s="140"/>
      <c r="AF332" s="113">
        <f t="shared" si="168"/>
        <v>0</v>
      </c>
      <c r="AG332" s="106">
        <v>2025</v>
      </c>
      <c r="AH332" s="26" t="str">
        <f t="shared" si="164"/>
        <v/>
      </c>
      <c r="AI332" s="26" t="str">
        <f t="shared" ref="AI332:AJ351" si="187">IF($AG332=AI$1,VLOOKUP($AC332,RSL,3,FALSE),"")</f>
        <v/>
      </c>
      <c r="AJ332" s="26" t="str">
        <f t="shared" si="187"/>
        <v/>
      </c>
      <c r="AK332" s="26" t="str">
        <f t="shared" si="169"/>
        <v>Chip Seal and Fog</v>
      </c>
      <c r="AL332" s="26" t="str">
        <f t="shared" si="185"/>
        <v/>
      </c>
      <c r="AM332" s="26" t="str">
        <f t="shared" si="184"/>
        <v/>
      </c>
      <c r="AN332" s="26" t="str">
        <f t="shared" si="175"/>
        <v>Chip Seal and Fog</v>
      </c>
      <c r="AO332" s="26" t="str">
        <f t="shared" si="186"/>
        <v/>
      </c>
      <c r="AP332" s="26" t="str">
        <f t="shared" si="176"/>
        <v/>
      </c>
      <c r="AQ332" s="68">
        <f t="shared" si="171"/>
        <v>6</v>
      </c>
      <c r="AR332" s="68">
        <f t="shared" si="172"/>
        <v>6</v>
      </c>
      <c r="AS332" s="68">
        <f t="shared" si="177"/>
        <v>1.25</v>
      </c>
      <c r="AT332" s="68">
        <f t="shared" si="178"/>
        <v>1.25</v>
      </c>
      <c r="AU332" s="68">
        <f t="shared" si="179"/>
        <v>1.25</v>
      </c>
      <c r="AV332" s="68">
        <f t="shared" si="180"/>
        <v>1.25</v>
      </c>
      <c r="AW332" s="68">
        <f t="shared" si="181"/>
        <v>1.25</v>
      </c>
      <c r="AX332" s="68">
        <f t="shared" ca="1" si="173"/>
        <v>1.25</v>
      </c>
      <c r="AY332" s="68">
        <v>2019</v>
      </c>
      <c r="AZ332" s="68" t="s">
        <v>2072</v>
      </c>
      <c r="BA332" s="106" t="str">
        <f t="shared" si="182"/>
        <v/>
      </c>
      <c r="BB332" s="178"/>
      <c r="BC332" s="178">
        <v>1</v>
      </c>
      <c r="BD332" s="178"/>
      <c r="BE332" s="178"/>
      <c r="BF332" s="178"/>
      <c r="BG332" s="178"/>
      <c r="BH332" s="178"/>
      <c r="BI332" s="33"/>
      <c r="BJ332" s="2"/>
      <c r="BK332" s="48">
        <f>$G332/5280*VLOOKUP($AC332,'Cost and Score'!$B$27:$O$40,6,0)</f>
        <v>0.19848484848484849</v>
      </c>
      <c r="BL332" s="48">
        <f>$G332/5280*VLOOKUP($AC332,'Cost and Score'!$B$27:$O$40,7,0)</f>
        <v>21.833333333333332</v>
      </c>
      <c r="BM332" s="48">
        <f>$G332/5280*VLOOKUP($AC332,'Cost and Score'!$B$27:$O$40,8,0)</f>
        <v>0</v>
      </c>
      <c r="BN332" s="48">
        <f>$G332/5280*VLOOKUP($AC332,'Cost and Score'!$B$27:$O$40,9,0)</f>
        <v>4465.909090909091</v>
      </c>
      <c r="BO332" s="48">
        <f>$G332/5280*VLOOKUP($AC332,'Cost and Score'!$B$27:$O$40,10,0)</f>
        <v>992.42424242424238</v>
      </c>
      <c r="BP332" s="48">
        <f>$G332/5280*VLOOKUP($AC332,'Cost and Score'!$B$27:$O$40,11,0)</f>
        <v>0</v>
      </c>
      <c r="BQ332" s="48">
        <f>$G332/5280*VLOOKUP($AC332,'Cost and Score'!$B$27:$O$40,12,0)</f>
        <v>99.242424242424249</v>
      </c>
      <c r="BR332" s="48">
        <f>$G332/5280*VLOOKUP($AC332,'Cost and Score'!$B$27:$O$40,13,0)</f>
        <v>119.09090909090909</v>
      </c>
      <c r="BS332" s="48">
        <f>$G332/5280*VLOOKUP($AC332,'Cost and Score'!$B$27:$O$40,14,0)</f>
        <v>0</v>
      </c>
      <c r="BT332" s="220">
        <f t="shared" si="183"/>
        <v>0.99242424242424243</v>
      </c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R332" s="2"/>
      <c r="CS332" s="2"/>
      <c r="CT332" s="2"/>
      <c r="CU332" s="2"/>
      <c r="CW332" s="2"/>
      <c r="CX332" s="2"/>
      <c r="CY332" s="2"/>
    </row>
    <row r="333" spans="1:103" s="2" customFormat="1" ht="14.45" hidden="1" customHeight="1" x14ac:dyDescent="0.25">
      <c r="A333" s="15" t="s">
        <v>762</v>
      </c>
      <c r="B333" s="34" t="s">
        <v>761</v>
      </c>
      <c r="C333" s="26" t="s">
        <v>761</v>
      </c>
      <c r="D333" s="82"/>
      <c r="E333" s="82" t="s">
        <v>9</v>
      </c>
      <c r="F333" s="82" t="s">
        <v>28</v>
      </c>
      <c r="G333" s="29">
        <v>5110</v>
      </c>
      <c r="H333" s="29">
        <f t="shared" si="166"/>
        <v>20</v>
      </c>
      <c r="I333" s="26" t="s">
        <v>8</v>
      </c>
      <c r="J333" s="26" t="s">
        <v>125</v>
      </c>
      <c r="K333" s="26">
        <f t="shared" si="163"/>
        <v>0</v>
      </c>
      <c r="L333" s="42">
        <v>6</v>
      </c>
      <c r="M333" s="42">
        <v>6</v>
      </c>
      <c r="N333" s="42">
        <v>6</v>
      </c>
      <c r="O333" s="83">
        <v>5</v>
      </c>
      <c r="P333" s="83">
        <v>4</v>
      </c>
      <c r="Q333" s="83">
        <v>7</v>
      </c>
      <c r="R333" s="83">
        <v>6</v>
      </c>
      <c r="S333" s="83">
        <v>6</v>
      </c>
      <c r="T333" s="83">
        <v>6</v>
      </c>
      <c r="U333" s="83">
        <v>8</v>
      </c>
      <c r="V333" s="42"/>
      <c r="W333" s="42"/>
      <c r="X333" s="42"/>
      <c r="Y333" s="26">
        <v>214</v>
      </c>
      <c r="Z333" s="26">
        <f t="shared" si="167"/>
        <v>0</v>
      </c>
      <c r="AA333" s="82" t="s">
        <v>129</v>
      </c>
      <c r="AB333" s="111">
        <f t="shared" si="174"/>
        <v>6</v>
      </c>
      <c r="AC333" s="85" t="s">
        <v>751</v>
      </c>
      <c r="AD333" s="84">
        <f t="shared" si="170"/>
        <v>106458.33333333333</v>
      </c>
      <c r="AE333" s="140"/>
      <c r="AF333" s="113">
        <f t="shared" si="168"/>
        <v>0</v>
      </c>
      <c r="AG333" s="85">
        <v>2022</v>
      </c>
      <c r="AH333" s="26" t="str">
        <f t="shared" si="164"/>
        <v>Overlay - 2"</v>
      </c>
      <c r="AI333" s="26" t="str">
        <f t="shared" si="187"/>
        <v/>
      </c>
      <c r="AJ333" s="26" t="str">
        <f t="shared" si="187"/>
        <v/>
      </c>
      <c r="AK333" s="26" t="str">
        <f t="shared" si="169"/>
        <v/>
      </c>
      <c r="AL333" s="26" t="str">
        <f t="shared" si="185"/>
        <v/>
      </c>
      <c r="AM333" s="26" t="str">
        <f t="shared" si="184"/>
        <v/>
      </c>
      <c r="AN333" s="26" t="str">
        <f t="shared" si="175"/>
        <v>Overlay - 2"</v>
      </c>
      <c r="AO333" s="26" t="str">
        <f t="shared" si="186"/>
        <v/>
      </c>
      <c r="AP333" s="26" t="str">
        <f t="shared" si="176"/>
        <v>Overlay - 2"</v>
      </c>
      <c r="AQ333" s="68">
        <f t="shared" si="171"/>
        <v>6</v>
      </c>
      <c r="AR333" s="68">
        <f t="shared" si="172"/>
        <v>12</v>
      </c>
      <c r="AS333" s="68">
        <f t="shared" si="177"/>
        <v>1.1000000000000001</v>
      </c>
      <c r="AT333" s="68">
        <f t="shared" si="178"/>
        <v>1.1000000000000001</v>
      </c>
      <c r="AU333" s="68">
        <f t="shared" si="179"/>
        <v>1.1000000000000001</v>
      </c>
      <c r="AV333" s="68">
        <f t="shared" si="180"/>
        <v>1.25</v>
      </c>
      <c r="AW333" s="68">
        <f t="shared" si="181"/>
        <v>1.5</v>
      </c>
      <c r="AX333" s="68">
        <f t="shared" ca="1" si="173"/>
        <v>-2.2000000000000002</v>
      </c>
      <c r="AY333" s="68">
        <v>2022</v>
      </c>
      <c r="AZ333" s="68" t="s">
        <v>751</v>
      </c>
      <c r="BA333" s="106" t="str">
        <f t="shared" si="182"/>
        <v/>
      </c>
      <c r="BB333" s="178"/>
      <c r="BC333" s="178">
        <v>2</v>
      </c>
      <c r="BD333" s="178"/>
      <c r="BE333" s="178"/>
      <c r="BF333" s="178"/>
      <c r="BG333" s="178"/>
      <c r="BH333" s="178"/>
      <c r="BI333" s="33"/>
      <c r="BK333" s="48">
        <f>$G333/5280*VLOOKUP($AC333,'Cost and Score'!$B$27:$O$40,6,0)</f>
        <v>2.1775568181818183</v>
      </c>
      <c r="BL333" s="48">
        <f>$G333/5280*VLOOKUP($AC333,'Cost and Score'!$B$27:$O$40,7,0)</f>
        <v>203.23863636363635</v>
      </c>
      <c r="BM333" s="48">
        <f>$G333/5280*VLOOKUP($AC333,'Cost and Score'!$B$27:$O$40,8,0)</f>
        <v>338.73106060606062</v>
      </c>
      <c r="BN333" s="48">
        <f>$G333/5280*VLOOKUP($AC333,'Cost and Score'!$B$27:$O$40,9,0)</f>
        <v>0</v>
      </c>
      <c r="BO333" s="48">
        <f>$G333/5280*VLOOKUP($AC333,'Cost and Score'!$B$27:$O$40,10,0)</f>
        <v>0</v>
      </c>
      <c r="BP333" s="48">
        <f>$G333/5280*VLOOKUP($AC333,'Cost and Score'!$B$27:$O$40,11,0)</f>
        <v>193.56060606060606</v>
      </c>
      <c r="BQ333" s="48">
        <f>$G333/5280*VLOOKUP($AC333,'Cost and Score'!$B$27:$O$40,12,0)</f>
        <v>1645.2651515151515</v>
      </c>
      <c r="BR333" s="48">
        <f>$G333/5280*VLOOKUP($AC333,'Cost and Score'!$B$27:$O$40,13,0)</f>
        <v>0</v>
      </c>
      <c r="BS333" s="48">
        <f>$G333/5280*VLOOKUP($AC333,'Cost and Score'!$B$27:$O$40,14,0)</f>
        <v>0</v>
      </c>
      <c r="BT333" s="220">
        <f t="shared" si="183"/>
        <v>0.96780303030303028</v>
      </c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</row>
    <row r="334" spans="1:103" s="2" customFormat="1" ht="14.45" hidden="1" customHeight="1" x14ac:dyDescent="0.25">
      <c r="A334" s="15" t="s">
        <v>764</v>
      </c>
      <c r="B334" s="34" t="s">
        <v>763</v>
      </c>
      <c r="C334" s="26" t="s">
        <v>763</v>
      </c>
      <c r="D334" s="82"/>
      <c r="E334" s="82" t="s">
        <v>9</v>
      </c>
      <c r="F334" s="82" t="s">
        <v>213</v>
      </c>
      <c r="G334" s="29">
        <v>5330</v>
      </c>
      <c r="H334" s="29">
        <f t="shared" si="166"/>
        <v>20</v>
      </c>
      <c r="I334" s="26" t="s">
        <v>62</v>
      </c>
      <c r="J334" s="26" t="s">
        <v>11</v>
      </c>
      <c r="K334" s="26">
        <f t="shared" si="163"/>
        <v>0</v>
      </c>
      <c r="L334" s="42">
        <v>6</v>
      </c>
      <c r="M334" s="42">
        <v>6</v>
      </c>
      <c r="N334" s="42">
        <v>6</v>
      </c>
      <c r="O334" s="83">
        <v>6</v>
      </c>
      <c r="P334" s="83">
        <v>6</v>
      </c>
      <c r="Q334" s="83">
        <v>6</v>
      </c>
      <c r="R334" s="83">
        <v>6</v>
      </c>
      <c r="S334" s="83">
        <v>6</v>
      </c>
      <c r="T334" s="83">
        <v>6</v>
      </c>
      <c r="U334" s="83">
        <v>6</v>
      </c>
      <c r="V334" s="42"/>
      <c r="W334" s="42"/>
      <c r="X334" s="42"/>
      <c r="Y334" s="26">
        <v>124</v>
      </c>
      <c r="Z334" s="26">
        <f t="shared" si="167"/>
        <v>0</v>
      </c>
      <c r="AA334" s="82" t="s">
        <v>129</v>
      </c>
      <c r="AB334" s="111">
        <f t="shared" si="174"/>
        <v>4</v>
      </c>
      <c r="AC334" s="85" t="s">
        <v>751</v>
      </c>
      <c r="AD334" s="84">
        <f t="shared" si="170"/>
        <v>111041.66666666667</v>
      </c>
      <c r="AE334" s="140">
        <v>1</v>
      </c>
      <c r="AF334" s="113">
        <f t="shared" si="168"/>
        <v>111041.66666666667</v>
      </c>
      <c r="AG334" s="106">
        <v>2023</v>
      </c>
      <c r="AH334" s="26" t="str">
        <f t="shared" si="164"/>
        <v/>
      </c>
      <c r="AI334" s="26" t="str">
        <f t="shared" si="187"/>
        <v>Overlay - 2"</v>
      </c>
      <c r="AJ334" s="26" t="str">
        <f t="shared" si="187"/>
        <v/>
      </c>
      <c r="AK334" s="26" t="str">
        <f t="shared" si="169"/>
        <v/>
      </c>
      <c r="AL334" s="26" t="str">
        <f t="shared" si="185"/>
        <v/>
      </c>
      <c r="AM334" s="26" t="str">
        <f t="shared" si="184"/>
        <v/>
      </c>
      <c r="AN334" s="26" t="str">
        <f t="shared" si="175"/>
        <v>Overlay - 2"</v>
      </c>
      <c r="AO334" s="26" t="str">
        <f t="shared" si="186"/>
        <v/>
      </c>
      <c r="AP334" s="26" t="str">
        <f t="shared" si="176"/>
        <v/>
      </c>
      <c r="AQ334" s="68">
        <f t="shared" si="171"/>
        <v>8</v>
      </c>
      <c r="AR334" s="68">
        <f t="shared" si="172"/>
        <v>12</v>
      </c>
      <c r="AS334" s="68">
        <f t="shared" si="177"/>
        <v>1.1000000000000001</v>
      </c>
      <c r="AT334" s="68">
        <f t="shared" si="178"/>
        <v>1.1000000000000001</v>
      </c>
      <c r="AU334" s="68">
        <f t="shared" si="179"/>
        <v>1.1000000000000001</v>
      </c>
      <c r="AV334" s="68">
        <f t="shared" si="180"/>
        <v>1.1000000000000001</v>
      </c>
      <c r="AW334" s="68">
        <f t="shared" si="181"/>
        <v>1.1000000000000001</v>
      </c>
      <c r="AX334" s="68">
        <f t="shared" ca="1" si="173"/>
        <v>-1.1000000000000001</v>
      </c>
      <c r="AY334" s="68">
        <v>2019</v>
      </c>
      <c r="AZ334" s="68" t="s">
        <v>751</v>
      </c>
      <c r="BA334" s="106" t="str">
        <f t="shared" si="182"/>
        <v/>
      </c>
      <c r="BB334" s="178"/>
      <c r="BC334" s="178">
        <v>2</v>
      </c>
      <c r="BD334" s="178"/>
      <c r="BE334" s="178"/>
      <c r="BF334" s="178"/>
      <c r="BG334" s="178"/>
      <c r="BH334" s="178"/>
      <c r="BI334" s="33"/>
      <c r="BK334" s="48">
        <f>$G334/5280*VLOOKUP($AC334,'Cost and Score'!$B$27:$O$40,6,0)</f>
        <v>2.2713068181818183</v>
      </c>
      <c r="BL334" s="48">
        <f>$G334/5280*VLOOKUP($AC334,'Cost and Score'!$B$27:$O$40,7,0)</f>
        <v>211.98863636363637</v>
      </c>
      <c r="BM334" s="48">
        <f>$G334/5280*VLOOKUP($AC334,'Cost and Score'!$B$27:$O$40,8,0)</f>
        <v>353.31439393939394</v>
      </c>
      <c r="BN334" s="48">
        <f>$G334/5280*VLOOKUP($AC334,'Cost and Score'!$B$27:$O$40,9,0)</f>
        <v>0</v>
      </c>
      <c r="BO334" s="48">
        <f>$G334/5280*VLOOKUP($AC334,'Cost and Score'!$B$27:$O$40,10,0)</f>
        <v>0</v>
      </c>
      <c r="BP334" s="48">
        <f>$G334/5280*VLOOKUP($AC334,'Cost and Score'!$B$27:$O$40,11,0)</f>
        <v>201.89393939393941</v>
      </c>
      <c r="BQ334" s="48">
        <f>$G334/5280*VLOOKUP($AC334,'Cost and Score'!$B$27:$O$40,12,0)</f>
        <v>1716.098484848485</v>
      </c>
      <c r="BR334" s="48">
        <f>$G334/5280*VLOOKUP($AC334,'Cost and Score'!$B$27:$O$40,13,0)</f>
        <v>0</v>
      </c>
      <c r="BS334" s="48">
        <f>$G334/5280*VLOOKUP($AC334,'Cost and Score'!$B$27:$O$40,14,0)</f>
        <v>0</v>
      </c>
      <c r="BT334" s="220">
        <f t="shared" si="183"/>
        <v>1.009469696969697</v>
      </c>
      <c r="CW334" s="112"/>
      <c r="CX334" s="112"/>
      <c r="CY334" s="112"/>
    </row>
    <row r="335" spans="1:103" s="2" customFormat="1" ht="14.45" hidden="1" customHeight="1" x14ac:dyDescent="0.25">
      <c r="A335" s="15" t="s">
        <v>766</v>
      </c>
      <c r="B335" s="34" t="s">
        <v>765</v>
      </c>
      <c r="C335" s="26" t="s">
        <v>765</v>
      </c>
      <c r="D335" s="82"/>
      <c r="E335" s="82" t="s">
        <v>39</v>
      </c>
      <c r="F335" s="82" t="s">
        <v>38</v>
      </c>
      <c r="G335" s="29">
        <v>5285</v>
      </c>
      <c r="H335" s="29">
        <f t="shared" si="166"/>
        <v>20</v>
      </c>
      <c r="I335" s="26" t="s">
        <v>13</v>
      </c>
      <c r="J335" s="26" t="s">
        <v>11</v>
      </c>
      <c r="K335" s="26">
        <f t="shared" si="163"/>
        <v>0</v>
      </c>
      <c r="L335" s="42">
        <v>6</v>
      </c>
      <c r="M335" s="42">
        <v>6</v>
      </c>
      <c r="N335" s="42">
        <v>6</v>
      </c>
      <c r="O335" s="83">
        <v>5</v>
      </c>
      <c r="P335" s="83">
        <v>5</v>
      </c>
      <c r="Q335" s="83">
        <v>8</v>
      </c>
      <c r="R335" s="83">
        <v>8</v>
      </c>
      <c r="S335" s="83">
        <v>8</v>
      </c>
      <c r="T335" s="83">
        <v>7</v>
      </c>
      <c r="U335" s="83">
        <v>7</v>
      </c>
      <c r="V335" s="42"/>
      <c r="W335" s="42"/>
      <c r="X335" s="42"/>
      <c r="Y335" s="26">
        <v>178</v>
      </c>
      <c r="Z335" s="26">
        <f t="shared" si="167"/>
        <v>0</v>
      </c>
      <c r="AA335" s="82" t="s">
        <v>129</v>
      </c>
      <c r="AB335" s="111">
        <f t="shared" si="174"/>
        <v>5</v>
      </c>
      <c r="AC335" s="85" t="s">
        <v>13</v>
      </c>
      <c r="AD335" s="84">
        <f t="shared" si="170"/>
        <v>21019.886363636364</v>
      </c>
      <c r="AE335" s="140"/>
      <c r="AF335" s="113">
        <f t="shared" si="168"/>
        <v>0</v>
      </c>
      <c r="AG335" s="26">
        <v>2024</v>
      </c>
      <c r="AH335" s="26" t="str">
        <f t="shared" si="164"/>
        <v/>
      </c>
      <c r="AI335" s="26" t="str">
        <f t="shared" si="187"/>
        <v/>
      </c>
      <c r="AJ335" s="26" t="str">
        <f t="shared" si="187"/>
        <v>Chip Seal and Fog</v>
      </c>
      <c r="AK335" s="26" t="str">
        <f t="shared" si="169"/>
        <v/>
      </c>
      <c r="AL335" s="26" t="str">
        <f t="shared" si="185"/>
        <v/>
      </c>
      <c r="AM335" s="26" t="str">
        <f t="shared" si="184"/>
        <v/>
      </c>
      <c r="AN335" s="26" t="str">
        <f t="shared" si="175"/>
        <v>Chip Seal and Fog</v>
      </c>
      <c r="AO335" s="26" t="str">
        <f t="shared" si="186"/>
        <v/>
      </c>
      <c r="AP335" s="26" t="str">
        <f t="shared" si="176"/>
        <v/>
      </c>
      <c r="AQ335" s="68">
        <f t="shared" si="171"/>
        <v>6</v>
      </c>
      <c r="AR335" s="68">
        <f t="shared" si="172"/>
        <v>6</v>
      </c>
      <c r="AS335" s="68">
        <f t="shared" si="177"/>
        <v>1.1000000000000001</v>
      </c>
      <c r="AT335" s="68">
        <f t="shared" si="178"/>
        <v>1.1000000000000001</v>
      </c>
      <c r="AU335" s="68">
        <f t="shared" si="179"/>
        <v>1.1000000000000001</v>
      </c>
      <c r="AV335" s="68">
        <f t="shared" si="180"/>
        <v>1.25</v>
      </c>
      <c r="AW335" s="68">
        <f t="shared" si="181"/>
        <v>1.25</v>
      </c>
      <c r="AX335" s="68">
        <f t="shared" ca="1" si="173"/>
        <v>0</v>
      </c>
      <c r="AY335" s="68">
        <v>2018</v>
      </c>
      <c r="AZ335" s="68" t="s">
        <v>2072</v>
      </c>
      <c r="BA335" s="106" t="str">
        <f t="shared" si="182"/>
        <v>SP/CS</v>
      </c>
      <c r="BB335" s="178"/>
      <c r="BC335" s="178">
        <v>2</v>
      </c>
      <c r="BD335" s="178"/>
      <c r="BE335" s="178"/>
      <c r="BF335" s="178"/>
      <c r="BG335" s="178"/>
      <c r="BH335" s="178"/>
      <c r="BI335" s="33"/>
      <c r="BK335" s="48">
        <f>$G335/5280*VLOOKUP($AC335,'Cost and Score'!$B$27:$O$40,6,0)</f>
        <v>0.20018939393939394</v>
      </c>
      <c r="BL335" s="48">
        <f>$G335/5280*VLOOKUP($AC335,'Cost and Score'!$B$27:$O$40,7,0)</f>
        <v>22.020833333333336</v>
      </c>
      <c r="BM335" s="48">
        <f>$G335/5280*VLOOKUP($AC335,'Cost and Score'!$B$27:$O$40,8,0)</f>
        <v>0</v>
      </c>
      <c r="BN335" s="48">
        <f>$G335/5280*VLOOKUP($AC335,'Cost and Score'!$B$27:$O$40,9,0)</f>
        <v>4504.261363636364</v>
      </c>
      <c r="BO335" s="48">
        <f>$G335/5280*VLOOKUP($AC335,'Cost and Score'!$B$27:$O$40,10,0)</f>
        <v>1000.9469696969697</v>
      </c>
      <c r="BP335" s="48">
        <f>$G335/5280*VLOOKUP($AC335,'Cost and Score'!$B$27:$O$40,11,0)</f>
        <v>0</v>
      </c>
      <c r="BQ335" s="48">
        <f>$G335/5280*VLOOKUP($AC335,'Cost and Score'!$B$27:$O$40,12,0)</f>
        <v>100.09469696969697</v>
      </c>
      <c r="BR335" s="48">
        <f>$G335/5280*VLOOKUP($AC335,'Cost and Score'!$B$27:$O$40,13,0)</f>
        <v>120.11363636363637</v>
      </c>
      <c r="BS335" s="48">
        <f>$G335/5280*VLOOKUP($AC335,'Cost and Score'!$B$27:$O$40,14,0)</f>
        <v>0</v>
      </c>
      <c r="BT335" s="220">
        <f t="shared" si="183"/>
        <v>1.0009469696969697</v>
      </c>
    </row>
    <row r="336" spans="1:103" s="2" customFormat="1" ht="14.45" hidden="1" customHeight="1" x14ac:dyDescent="0.25">
      <c r="A336" s="15" t="s">
        <v>768</v>
      </c>
      <c r="B336" s="34" t="s">
        <v>767</v>
      </c>
      <c r="C336" s="26" t="s">
        <v>767</v>
      </c>
      <c r="D336" s="82"/>
      <c r="E336" s="82" t="s">
        <v>601</v>
      </c>
      <c r="F336" s="82" t="s">
        <v>210</v>
      </c>
      <c r="G336" s="29">
        <v>2644</v>
      </c>
      <c r="H336" s="29">
        <f t="shared" si="166"/>
        <v>20</v>
      </c>
      <c r="I336" s="26" t="s">
        <v>8</v>
      </c>
      <c r="J336" s="26" t="s">
        <v>160</v>
      </c>
      <c r="K336" s="26">
        <f t="shared" si="163"/>
        <v>0</v>
      </c>
      <c r="L336" s="42">
        <v>7</v>
      </c>
      <c r="M336" s="42">
        <v>7</v>
      </c>
      <c r="N336" s="42">
        <v>7</v>
      </c>
      <c r="O336" s="83">
        <v>6</v>
      </c>
      <c r="P336" s="83">
        <v>6</v>
      </c>
      <c r="Q336" s="83">
        <v>5</v>
      </c>
      <c r="R336" s="83">
        <v>5</v>
      </c>
      <c r="S336" s="83">
        <v>8</v>
      </c>
      <c r="T336" s="83">
        <v>8</v>
      </c>
      <c r="U336" s="83">
        <v>8</v>
      </c>
      <c r="V336" s="42"/>
      <c r="W336" s="42"/>
      <c r="X336" s="42"/>
      <c r="Y336" s="26">
        <v>173</v>
      </c>
      <c r="Z336" s="26">
        <f t="shared" si="167"/>
        <v>0</v>
      </c>
      <c r="AA336" s="82" t="s">
        <v>129</v>
      </c>
      <c r="AB336" s="111">
        <f t="shared" si="174"/>
        <v>4</v>
      </c>
      <c r="AC336" s="85" t="s">
        <v>13</v>
      </c>
      <c r="AD336" s="84">
        <f t="shared" si="170"/>
        <v>10515.90909090909</v>
      </c>
      <c r="AE336" s="140"/>
      <c r="AF336" s="113">
        <f t="shared" si="168"/>
        <v>0</v>
      </c>
      <c r="AG336" s="85">
        <v>2026</v>
      </c>
      <c r="AH336" s="26" t="str">
        <f t="shared" si="164"/>
        <v/>
      </c>
      <c r="AI336" s="26" t="str">
        <f t="shared" si="187"/>
        <v/>
      </c>
      <c r="AJ336" s="26" t="str">
        <f t="shared" si="187"/>
        <v/>
      </c>
      <c r="AK336" s="26" t="str">
        <f t="shared" si="169"/>
        <v/>
      </c>
      <c r="AL336" s="26" t="str">
        <f t="shared" si="185"/>
        <v>Chip Seal and Fog</v>
      </c>
      <c r="AM336" s="26" t="str">
        <f t="shared" si="184"/>
        <v/>
      </c>
      <c r="AN336" s="26" t="str">
        <f t="shared" si="175"/>
        <v>Chip Seal and Fog</v>
      </c>
      <c r="AO336" s="26" t="str">
        <f t="shared" si="186"/>
        <v/>
      </c>
      <c r="AP336" s="26" t="str">
        <f t="shared" si="176"/>
        <v/>
      </c>
      <c r="AQ336" s="68">
        <f t="shared" si="171"/>
        <v>8</v>
      </c>
      <c r="AR336" s="68">
        <f t="shared" si="172"/>
        <v>6</v>
      </c>
      <c r="AS336" s="68">
        <f t="shared" si="177"/>
        <v>1.05</v>
      </c>
      <c r="AT336" s="68">
        <f t="shared" si="178"/>
        <v>1.05</v>
      </c>
      <c r="AU336" s="68">
        <f t="shared" si="179"/>
        <v>1.05</v>
      </c>
      <c r="AV336" s="68">
        <f t="shared" si="180"/>
        <v>1.1000000000000001</v>
      </c>
      <c r="AW336" s="68">
        <f t="shared" si="181"/>
        <v>1.1000000000000001</v>
      </c>
      <c r="AX336" s="68">
        <f t="shared" ca="1" si="173"/>
        <v>2.1</v>
      </c>
      <c r="AY336" s="106">
        <v>2020</v>
      </c>
      <c r="AZ336" s="106" t="s">
        <v>751</v>
      </c>
      <c r="BA336" s="106" t="str">
        <f t="shared" si="182"/>
        <v/>
      </c>
      <c r="BB336" s="178"/>
      <c r="BC336" s="178">
        <v>8</v>
      </c>
      <c r="BD336" s="178"/>
      <c r="BE336" s="178"/>
      <c r="BF336" s="178"/>
      <c r="BG336" s="178"/>
      <c r="BH336" s="178"/>
      <c r="BI336" s="33"/>
      <c r="BK336" s="48">
        <f>$G336/5280*VLOOKUP($AC336,'Cost and Score'!$B$27:$O$40,6,0)</f>
        <v>0.10015151515151516</v>
      </c>
      <c r="BL336" s="48">
        <f>$G336/5280*VLOOKUP($AC336,'Cost and Score'!$B$27:$O$40,7,0)</f>
        <v>11.016666666666666</v>
      </c>
      <c r="BM336" s="48">
        <f>$G336/5280*VLOOKUP($AC336,'Cost and Score'!$B$27:$O$40,8,0)</f>
        <v>0</v>
      </c>
      <c r="BN336" s="48">
        <f>$G336/5280*VLOOKUP($AC336,'Cost and Score'!$B$27:$O$40,9,0)</f>
        <v>2253.409090909091</v>
      </c>
      <c r="BO336" s="48">
        <f>$G336/5280*VLOOKUP($AC336,'Cost and Score'!$B$27:$O$40,10,0)</f>
        <v>500.75757575757575</v>
      </c>
      <c r="BP336" s="48">
        <f>$G336/5280*VLOOKUP($AC336,'Cost and Score'!$B$27:$O$40,11,0)</f>
        <v>0</v>
      </c>
      <c r="BQ336" s="48">
        <f>$G336/5280*VLOOKUP($AC336,'Cost and Score'!$B$27:$O$40,12,0)</f>
        <v>50.075757575757571</v>
      </c>
      <c r="BR336" s="48">
        <f>$G336/5280*VLOOKUP($AC336,'Cost and Score'!$B$27:$O$40,13,0)</f>
        <v>60.090909090909086</v>
      </c>
      <c r="BS336" s="48">
        <f>$G336/5280*VLOOKUP($AC336,'Cost and Score'!$B$27:$O$40,14,0)</f>
        <v>0</v>
      </c>
      <c r="BT336" s="220">
        <f t="shared" si="183"/>
        <v>0.50075757575757573</v>
      </c>
      <c r="CW336" s="112"/>
      <c r="CX336" s="112"/>
      <c r="CY336" s="112"/>
    </row>
    <row r="337" spans="1:103" s="2" customFormat="1" ht="14.45" hidden="1" customHeight="1" x14ac:dyDescent="0.25">
      <c r="A337" s="15" t="s">
        <v>770</v>
      </c>
      <c r="B337" s="34" t="s">
        <v>769</v>
      </c>
      <c r="C337" s="26" t="s">
        <v>769</v>
      </c>
      <c r="D337" s="82"/>
      <c r="E337" s="82" t="s">
        <v>213</v>
      </c>
      <c r="F337" s="82" t="s">
        <v>39</v>
      </c>
      <c r="G337" s="29">
        <v>5386</v>
      </c>
      <c r="H337" s="29">
        <f t="shared" si="166"/>
        <v>20</v>
      </c>
      <c r="I337" s="26" t="s">
        <v>8</v>
      </c>
      <c r="J337" s="26" t="s">
        <v>11</v>
      </c>
      <c r="K337" s="26">
        <f t="shared" si="163"/>
        <v>0</v>
      </c>
      <c r="L337" s="42">
        <v>6</v>
      </c>
      <c r="M337" s="42">
        <v>6</v>
      </c>
      <c r="N337" s="42">
        <v>6</v>
      </c>
      <c r="O337" s="83">
        <v>6</v>
      </c>
      <c r="P337" s="83">
        <v>6</v>
      </c>
      <c r="Q337" s="83">
        <v>6</v>
      </c>
      <c r="R337" s="83">
        <v>6</v>
      </c>
      <c r="S337" s="83">
        <v>8</v>
      </c>
      <c r="T337" s="83">
        <v>7</v>
      </c>
      <c r="U337" s="83">
        <v>7</v>
      </c>
      <c r="V337" s="42"/>
      <c r="W337" s="42"/>
      <c r="X337" s="42"/>
      <c r="Y337" s="26">
        <v>147</v>
      </c>
      <c r="Z337" s="26">
        <f t="shared" si="167"/>
        <v>0</v>
      </c>
      <c r="AA337" s="82" t="s">
        <v>129</v>
      </c>
      <c r="AB337" s="111">
        <f t="shared" si="174"/>
        <v>4</v>
      </c>
      <c r="AC337" s="85" t="s">
        <v>751</v>
      </c>
      <c r="AD337" s="84">
        <f t="shared" si="170"/>
        <v>112208.33333333333</v>
      </c>
      <c r="AE337" s="140"/>
      <c r="AF337" s="113">
        <f t="shared" si="168"/>
        <v>0</v>
      </c>
      <c r="AG337" s="82">
        <v>2022</v>
      </c>
      <c r="AH337" s="26" t="str">
        <f t="shared" si="164"/>
        <v>Overlay - 2"</v>
      </c>
      <c r="AI337" s="26" t="str">
        <f t="shared" si="187"/>
        <v/>
      </c>
      <c r="AJ337" s="26" t="str">
        <f t="shared" si="187"/>
        <v/>
      </c>
      <c r="AK337" s="26" t="str">
        <f t="shared" si="169"/>
        <v/>
      </c>
      <c r="AL337" s="26" t="str">
        <f t="shared" si="185"/>
        <v/>
      </c>
      <c r="AM337" s="26" t="str">
        <f t="shared" si="184"/>
        <v/>
      </c>
      <c r="AN337" s="26" t="str">
        <f t="shared" si="175"/>
        <v>Overlay - 2"</v>
      </c>
      <c r="AO337" s="26" t="str">
        <f t="shared" si="186"/>
        <v/>
      </c>
      <c r="AP337" s="26" t="str">
        <f t="shared" si="176"/>
        <v>Overlay - 2"</v>
      </c>
      <c r="AQ337" s="68">
        <f t="shared" si="171"/>
        <v>8</v>
      </c>
      <c r="AR337" s="68">
        <f t="shared" si="172"/>
        <v>12</v>
      </c>
      <c r="AS337" s="68">
        <f t="shared" si="177"/>
        <v>1.1000000000000001</v>
      </c>
      <c r="AT337" s="68">
        <f t="shared" si="178"/>
        <v>1.1000000000000001</v>
      </c>
      <c r="AU337" s="68">
        <f t="shared" si="179"/>
        <v>1.1000000000000001</v>
      </c>
      <c r="AV337" s="68">
        <f t="shared" si="180"/>
        <v>1.1000000000000001</v>
      </c>
      <c r="AW337" s="68">
        <f t="shared" si="181"/>
        <v>1.1000000000000001</v>
      </c>
      <c r="AX337" s="68">
        <f t="shared" ca="1" si="173"/>
        <v>-2.2000000000000002</v>
      </c>
      <c r="AY337" s="68">
        <v>2022</v>
      </c>
      <c r="AZ337" s="68" t="s">
        <v>751</v>
      </c>
      <c r="BA337" s="106" t="str">
        <f t="shared" si="182"/>
        <v/>
      </c>
      <c r="BB337" s="178"/>
      <c r="BC337" s="178">
        <v>2</v>
      </c>
      <c r="BD337" s="178"/>
      <c r="BE337" s="178"/>
      <c r="BF337" s="178"/>
      <c r="BG337" s="178"/>
      <c r="BH337" s="178"/>
      <c r="BI337" s="33"/>
      <c r="BK337" s="48">
        <f>$G337/5280*VLOOKUP($AC337,'Cost and Score'!$B$27:$O$40,6,0)</f>
        <v>2.2951704545454543</v>
      </c>
      <c r="BL337" s="48">
        <f>$G337/5280*VLOOKUP($AC337,'Cost and Score'!$B$27:$O$40,7,0)</f>
        <v>214.21590909090909</v>
      </c>
      <c r="BM337" s="48">
        <f>$G337/5280*VLOOKUP($AC337,'Cost and Score'!$B$27:$O$40,8,0)</f>
        <v>357.02651515151513</v>
      </c>
      <c r="BN337" s="48">
        <f>$G337/5280*VLOOKUP($AC337,'Cost and Score'!$B$27:$O$40,9,0)</f>
        <v>0</v>
      </c>
      <c r="BO337" s="48">
        <f>$G337/5280*VLOOKUP($AC337,'Cost and Score'!$B$27:$O$40,10,0)</f>
        <v>0</v>
      </c>
      <c r="BP337" s="48">
        <f>$G337/5280*VLOOKUP($AC337,'Cost and Score'!$B$27:$O$40,11,0)</f>
        <v>204.0151515151515</v>
      </c>
      <c r="BQ337" s="48">
        <f>$G337/5280*VLOOKUP($AC337,'Cost and Score'!$B$27:$O$40,12,0)</f>
        <v>1734.1287878787878</v>
      </c>
      <c r="BR337" s="48">
        <f>$G337/5280*VLOOKUP($AC337,'Cost and Score'!$B$27:$O$40,13,0)</f>
        <v>0</v>
      </c>
      <c r="BS337" s="48">
        <f>$G337/5280*VLOOKUP($AC337,'Cost and Score'!$B$27:$O$40,14,0)</f>
        <v>0</v>
      </c>
      <c r="BT337" s="220">
        <f t="shared" si="183"/>
        <v>1.0200757575757575</v>
      </c>
    </row>
    <row r="338" spans="1:103" s="2" customFormat="1" ht="14.45" hidden="1" customHeight="1" x14ac:dyDescent="0.25">
      <c r="A338" s="15" t="s">
        <v>772</v>
      </c>
      <c r="B338" s="34" t="s">
        <v>771</v>
      </c>
      <c r="C338" s="26" t="s">
        <v>771</v>
      </c>
      <c r="D338" s="82"/>
      <c r="E338" s="82" t="s">
        <v>38</v>
      </c>
      <c r="F338" s="82" t="s">
        <v>608</v>
      </c>
      <c r="G338" s="29">
        <v>785</v>
      </c>
      <c r="H338" s="29">
        <f t="shared" si="166"/>
        <v>20</v>
      </c>
      <c r="I338" s="26" t="s">
        <v>8</v>
      </c>
      <c r="J338" s="26" t="s">
        <v>11</v>
      </c>
      <c r="K338" s="26">
        <f t="shared" si="163"/>
        <v>0</v>
      </c>
      <c r="L338" s="42">
        <v>7</v>
      </c>
      <c r="M338" s="42">
        <v>7</v>
      </c>
      <c r="N338" s="42">
        <v>7</v>
      </c>
      <c r="O338" s="83">
        <v>7</v>
      </c>
      <c r="P338" s="83">
        <v>7</v>
      </c>
      <c r="Q338" s="83">
        <v>6</v>
      </c>
      <c r="R338" s="83">
        <v>7</v>
      </c>
      <c r="S338" s="83">
        <v>7</v>
      </c>
      <c r="T338" s="83">
        <v>7</v>
      </c>
      <c r="U338" s="83">
        <v>7</v>
      </c>
      <c r="V338" s="42"/>
      <c r="W338" s="42"/>
      <c r="X338" s="42"/>
      <c r="Y338" s="26">
        <v>209</v>
      </c>
      <c r="Z338" s="26">
        <f t="shared" si="167"/>
        <v>0</v>
      </c>
      <c r="AA338" s="82" t="s">
        <v>129</v>
      </c>
      <c r="AB338" s="111">
        <f t="shared" si="174"/>
        <v>3</v>
      </c>
      <c r="AC338" s="82" t="s">
        <v>751</v>
      </c>
      <c r="AD338" s="84">
        <f t="shared" si="170"/>
        <v>16354.166666666666</v>
      </c>
      <c r="AE338" s="140">
        <v>1</v>
      </c>
      <c r="AF338" s="113">
        <f t="shared" si="168"/>
        <v>16354.166666666666</v>
      </c>
      <c r="AG338" s="106">
        <v>2024</v>
      </c>
      <c r="AH338" s="26" t="str">
        <f t="shared" si="164"/>
        <v/>
      </c>
      <c r="AI338" s="26" t="str">
        <f t="shared" si="187"/>
        <v/>
      </c>
      <c r="AJ338" s="26" t="str">
        <f t="shared" si="187"/>
        <v>Overlay - 2"</v>
      </c>
      <c r="AK338" s="26" t="str">
        <f t="shared" si="169"/>
        <v/>
      </c>
      <c r="AL338" s="26" t="str">
        <f t="shared" si="185"/>
        <v/>
      </c>
      <c r="AM338" s="26" t="str">
        <f t="shared" si="184"/>
        <v/>
      </c>
      <c r="AN338" s="26" t="str">
        <f t="shared" si="175"/>
        <v>Overlay - 2"</v>
      </c>
      <c r="AO338" s="26" t="str">
        <f t="shared" si="186"/>
        <v/>
      </c>
      <c r="AP338" s="26" t="str">
        <f t="shared" si="176"/>
        <v/>
      </c>
      <c r="AQ338" s="68">
        <f t="shared" si="171"/>
        <v>10</v>
      </c>
      <c r="AR338" s="68">
        <f t="shared" si="172"/>
        <v>12</v>
      </c>
      <c r="AS338" s="68">
        <f t="shared" si="177"/>
        <v>1.05</v>
      </c>
      <c r="AT338" s="68">
        <f t="shared" si="178"/>
        <v>1.05</v>
      </c>
      <c r="AU338" s="68">
        <f t="shared" si="179"/>
        <v>1.05</v>
      </c>
      <c r="AV338" s="68">
        <f t="shared" si="180"/>
        <v>1.05</v>
      </c>
      <c r="AW338" s="68">
        <f t="shared" si="181"/>
        <v>1.05</v>
      </c>
      <c r="AX338" s="68">
        <f t="shared" ca="1" si="173"/>
        <v>0</v>
      </c>
      <c r="AY338" s="68"/>
      <c r="AZ338" s="68"/>
      <c r="BA338" s="106" t="str">
        <f t="shared" si="182"/>
        <v/>
      </c>
      <c r="BB338" s="178"/>
      <c r="BC338" s="178">
        <v>2</v>
      </c>
      <c r="BD338" s="178"/>
      <c r="BE338" s="178"/>
      <c r="BF338" s="178"/>
      <c r="BG338" s="178"/>
      <c r="BH338" s="178"/>
      <c r="BI338" s="33" t="s">
        <v>2473</v>
      </c>
      <c r="BK338" s="48">
        <f>$G338/5280*VLOOKUP($AC338,'Cost and Score'!$B$27:$O$40,6,0)</f>
        <v>0.33451704545454547</v>
      </c>
      <c r="BL338" s="48">
        <f>$G338/5280*VLOOKUP($AC338,'Cost and Score'!$B$27:$O$40,7,0)</f>
        <v>31.22159090909091</v>
      </c>
      <c r="BM338" s="48">
        <f>$G338/5280*VLOOKUP($AC338,'Cost and Score'!$B$27:$O$40,8,0)</f>
        <v>52.035984848484851</v>
      </c>
      <c r="BN338" s="48">
        <f>$G338/5280*VLOOKUP($AC338,'Cost and Score'!$B$27:$O$40,9,0)</f>
        <v>0</v>
      </c>
      <c r="BO338" s="48">
        <f>$G338/5280*VLOOKUP($AC338,'Cost and Score'!$B$27:$O$40,10,0)</f>
        <v>0</v>
      </c>
      <c r="BP338" s="48">
        <f>$G338/5280*VLOOKUP($AC338,'Cost and Score'!$B$27:$O$40,11,0)</f>
        <v>29.734848484848484</v>
      </c>
      <c r="BQ338" s="48">
        <f>$G338/5280*VLOOKUP($AC338,'Cost and Score'!$B$27:$O$40,12,0)</f>
        <v>252.74621212121212</v>
      </c>
      <c r="BR338" s="48">
        <f>$G338/5280*VLOOKUP($AC338,'Cost and Score'!$B$27:$O$40,13,0)</f>
        <v>0</v>
      </c>
      <c r="BS338" s="48">
        <f>$G338/5280*VLOOKUP($AC338,'Cost and Score'!$B$27:$O$40,14,0)</f>
        <v>0</v>
      </c>
      <c r="BT338" s="220">
        <f t="shared" si="183"/>
        <v>0.14867424242424243</v>
      </c>
    </row>
    <row r="339" spans="1:103" s="2" customFormat="1" ht="14.45" hidden="1" customHeight="1" x14ac:dyDescent="0.25">
      <c r="A339" s="15" t="s">
        <v>774</v>
      </c>
      <c r="B339" s="34" t="s">
        <v>773</v>
      </c>
      <c r="C339" s="26" t="s">
        <v>773</v>
      </c>
      <c r="D339" s="26"/>
      <c r="E339" s="26" t="s">
        <v>100</v>
      </c>
      <c r="F339" s="26" t="s">
        <v>307</v>
      </c>
      <c r="G339" s="29">
        <v>3110</v>
      </c>
      <c r="H339" s="29">
        <f t="shared" si="166"/>
        <v>20</v>
      </c>
      <c r="I339" s="26" t="s">
        <v>8</v>
      </c>
      <c r="J339" s="26" t="s">
        <v>160</v>
      </c>
      <c r="K339" s="26">
        <f t="shared" si="163"/>
        <v>0</v>
      </c>
      <c r="L339" s="42">
        <v>8</v>
      </c>
      <c r="M339" s="42">
        <v>7</v>
      </c>
      <c r="N339" s="42">
        <v>8</v>
      </c>
      <c r="O339" s="42">
        <v>8</v>
      </c>
      <c r="P339" s="42">
        <v>8</v>
      </c>
      <c r="Q339" s="42">
        <v>8</v>
      </c>
      <c r="R339" s="42">
        <v>8</v>
      </c>
      <c r="S339" s="42">
        <v>8</v>
      </c>
      <c r="T339" s="42">
        <v>8</v>
      </c>
      <c r="U339" s="42">
        <v>8</v>
      </c>
      <c r="V339" s="42">
        <v>2023</v>
      </c>
      <c r="W339" s="42">
        <v>2023</v>
      </c>
      <c r="X339" s="42" t="s">
        <v>2612</v>
      </c>
      <c r="Y339" s="26">
        <v>1221</v>
      </c>
      <c r="Z339" s="26">
        <f t="shared" si="167"/>
        <v>0.5</v>
      </c>
      <c r="AA339" s="26" t="s">
        <v>129</v>
      </c>
      <c r="AB339" s="111">
        <f t="shared" si="174"/>
        <v>2.5</v>
      </c>
      <c r="AC339" s="106" t="s">
        <v>13</v>
      </c>
      <c r="AD339" s="47">
        <f t="shared" si="170"/>
        <v>12369.318181818182</v>
      </c>
      <c r="AE339" s="140"/>
      <c r="AF339" s="113">
        <f t="shared" si="168"/>
        <v>0</v>
      </c>
      <c r="AG339" s="85">
        <v>2026</v>
      </c>
      <c r="AH339" s="26" t="str">
        <f t="shared" si="164"/>
        <v/>
      </c>
      <c r="AI339" s="26" t="str">
        <f t="shared" si="187"/>
        <v/>
      </c>
      <c r="AJ339" s="26" t="str">
        <f t="shared" si="187"/>
        <v/>
      </c>
      <c r="AK339" s="26" t="str">
        <f t="shared" si="169"/>
        <v/>
      </c>
      <c r="AL339" s="26" t="str">
        <f t="shared" si="185"/>
        <v>Chip Seal and Fog</v>
      </c>
      <c r="AM339" s="26" t="str">
        <f t="shared" si="184"/>
        <v/>
      </c>
      <c r="AN339" s="26" t="str">
        <f t="shared" si="175"/>
        <v>Chip Seal and Fog</v>
      </c>
      <c r="AO339" s="26" t="str">
        <f t="shared" si="186"/>
        <v/>
      </c>
      <c r="AP339" s="26" t="str">
        <f t="shared" si="176"/>
        <v/>
      </c>
      <c r="AQ339" s="68">
        <f t="shared" si="171"/>
        <v>12</v>
      </c>
      <c r="AR339" s="68">
        <f t="shared" si="172"/>
        <v>6</v>
      </c>
      <c r="AS339" s="68">
        <f t="shared" si="177"/>
        <v>1</v>
      </c>
      <c r="AT339" s="68">
        <f t="shared" si="178"/>
        <v>1.05</v>
      </c>
      <c r="AU339" s="68">
        <f t="shared" si="179"/>
        <v>1</v>
      </c>
      <c r="AV339" s="68">
        <f t="shared" si="180"/>
        <v>1</v>
      </c>
      <c r="AW339" s="68">
        <f t="shared" si="181"/>
        <v>1</v>
      </c>
      <c r="AX339" s="68">
        <f t="shared" ca="1" si="173"/>
        <v>2</v>
      </c>
      <c r="AY339" s="68">
        <v>2020</v>
      </c>
      <c r="AZ339" s="68" t="s">
        <v>13</v>
      </c>
      <c r="BA339" s="106" t="str">
        <f t="shared" si="182"/>
        <v/>
      </c>
      <c r="BB339" s="178"/>
      <c r="BC339" s="178">
        <v>8</v>
      </c>
      <c r="BD339" s="178"/>
      <c r="BE339" s="178"/>
      <c r="BF339" s="178"/>
      <c r="BG339" s="178"/>
      <c r="BH339" s="178"/>
      <c r="BI339" s="33"/>
      <c r="BK339" s="48">
        <f>$G339/5280*VLOOKUP($AC339,'Cost and Score'!$B$27:$O$40,6,0)</f>
        <v>0.1178030303030303</v>
      </c>
      <c r="BL339" s="48">
        <f>$G339/5280*VLOOKUP($AC339,'Cost and Score'!$B$27:$O$40,7,0)</f>
        <v>12.958333333333332</v>
      </c>
      <c r="BM339" s="48">
        <f>$G339/5280*VLOOKUP($AC339,'Cost and Score'!$B$27:$O$40,8,0)</f>
        <v>0</v>
      </c>
      <c r="BN339" s="48">
        <f>$G339/5280*VLOOKUP($AC339,'Cost and Score'!$B$27:$O$40,9,0)</f>
        <v>2650.5681818181815</v>
      </c>
      <c r="BO339" s="48">
        <f>$G339/5280*VLOOKUP($AC339,'Cost and Score'!$B$27:$O$40,10,0)</f>
        <v>589.0151515151515</v>
      </c>
      <c r="BP339" s="48">
        <f>$G339/5280*VLOOKUP($AC339,'Cost and Score'!$B$27:$O$40,11,0)</f>
        <v>0</v>
      </c>
      <c r="BQ339" s="48">
        <f>$G339/5280*VLOOKUP($AC339,'Cost and Score'!$B$27:$O$40,12,0)</f>
        <v>58.901515151515149</v>
      </c>
      <c r="BR339" s="48">
        <f>$G339/5280*VLOOKUP($AC339,'Cost and Score'!$B$27:$O$40,13,0)</f>
        <v>70.681818181818173</v>
      </c>
      <c r="BS339" s="48">
        <f>$G339/5280*VLOOKUP($AC339,'Cost and Score'!$B$27:$O$40,14,0)</f>
        <v>0</v>
      </c>
      <c r="BT339" s="220">
        <f t="shared" si="183"/>
        <v>0.58901515151515149</v>
      </c>
      <c r="CW339" s="112"/>
      <c r="CX339" s="112"/>
      <c r="CY339" s="112"/>
    </row>
    <row r="340" spans="1:103" s="2" customFormat="1" ht="14.45" hidden="1" customHeight="1" x14ac:dyDescent="0.25">
      <c r="A340" s="15" t="s">
        <v>776</v>
      </c>
      <c r="B340" s="34" t="s">
        <v>775</v>
      </c>
      <c r="C340" s="26" t="s">
        <v>775</v>
      </c>
      <c r="D340" s="82"/>
      <c r="E340" s="82" t="s">
        <v>209</v>
      </c>
      <c r="F340" s="82" t="s">
        <v>601</v>
      </c>
      <c r="G340" s="29">
        <v>4468</v>
      </c>
      <c r="H340" s="29">
        <f t="shared" si="166"/>
        <v>20</v>
      </c>
      <c r="I340" s="26" t="s">
        <v>8</v>
      </c>
      <c r="J340" s="26" t="s">
        <v>160</v>
      </c>
      <c r="K340" s="26">
        <f t="shared" si="163"/>
        <v>0</v>
      </c>
      <c r="L340" s="42">
        <v>7</v>
      </c>
      <c r="M340" s="42">
        <v>6</v>
      </c>
      <c r="N340" s="42">
        <v>7</v>
      </c>
      <c r="O340" s="83">
        <v>6</v>
      </c>
      <c r="P340" s="83">
        <v>6</v>
      </c>
      <c r="Q340" s="83">
        <v>5</v>
      </c>
      <c r="R340" s="83">
        <v>5</v>
      </c>
      <c r="S340" s="83">
        <v>8</v>
      </c>
      <c r="T340" s="83">
        <v>8</v>
      </c>
      <c r="U340" s="83">
        <v>8</v>
      </c>
      <c r="V340" s="42"/>
      <c r="W340" s="42"/>
      <c r="X340" s="42"/>
      <c r="Y340" s="26">
        <v>173</v>
      </c>
      <c r="Z340" s="26">
        <f t="shared" si="167"/>
        <v>0</v>
      </c>
      <c r="AA340" s="82" t="s">
        <v>129</v>
      </c>
      <c r="AB340" s="111">
        <f t="shared" si="174"/>
        <v>4</v>
      </c>
      <c r="AC340" s="85" t="s">
        <v>13</v>
      </c>
      <c r="AD340" s="84">
        <f t="shared" si="170"/>
        <v>17770.454545454544</v>
      </c>
      <c r="AE340" s="140"/>
      <c r="AF340" s="113">
        <f t="shared" si="168"/>
        <v>0</v>
      </c>
      <c r="AG340" s="85">
        <v>2026</v>
      </c>
      <c r="AH340" s="26" t="str">
        <f t="shared" si="164"/>
        <v/>
      </c>
      <c r="AI340" s="26" t="str">
        <f t="shared" si="187"/>
        <v/>
      </c>
      <c r="AJ340" s="26" t="str">
        <f t="shared" si="187"/>
        <v/>
      </c>
      <c r="AK340" s="26" t="str">
        <f t="shared" si="169"/>
        <v/>
      </c>
      <c r="AL340" s="26" t="str">
        <f t="shared" si="185"/>
        <v>Chip Seal and Fog</v>
      </c>
      <c r="AM340" s="26" t="str">
        <f t="shared" si="184"/>
        <v/>
      </c>
      <c r="AN340" s="26" t="str">
        <f t="shared" si="175"/>
        <v>Chip Seal and Fog</v>
      </c>
      <c r="AO340" s="26" t="str">
        <f t="shared" si="186"/>
        <v/>
      </c>
      <c r="AP340" s="26" t="str">
        <f t="shared" si="176"/>
        <v/>
      </c>
      <c r="AQ340" s="68">
        <f t="shared" si="171"/>
        <v>8</v>
      </c>
      <c r="AR340" s="68">
        <f t="shared" si="172"/>
        <v>6</v>
      </c>
      <c r="AS340" s="68">
        <f t="shared" si="177"/>
        <v>1.05</v>
      </c>
      <c r="AT340" s="68">
        <f t="shared" si="178"/>
        <v>1.1000000000000001</v>
      </c>
      <c r="AU340" s="68">
        <f t="shared" si="179"/>
        <v>1.05</v>
      </c>
      <c r="AV340" s="68">
        <f t="shared" si="180"/>
        <v>1.1000000000000001</v>
      </c>
      <c r="AW340" s="68">
        <f t="shared" si="181"/>
        <v>1.1000000000000001</v>
      </c>
      <c r="AX340" s="68">
        <f t="shared" ca="1" si="173"/>
        <v>2.1</v>
      </c>
      <c r="AY340" s="106">
        <v>2020</v>
      </c>
      <c r="AZ340" s="106" t="s">
        <v>751</v>
      </c>
      <c r="BA340" s="106" t="str">
        <f t="shared" si="182"/>
        <v/>
      </c>
      <c r="BB340" s="178"/>
      <c r="BC340" s="178">
        <v>8</v>
      </c>
      <c r="BD340" s="178"/>
      <c r="BE340" s="178"/>
      <c r="BF340" s="178"/>
      <c r="BG340" s="178"/>
      <c r="BH340" s="178"/>
      <c r="BI340" s="33"/>
      <c r="BK340" s="48">
        <f>$G340/5280*VLOOKUP($AC340,'Cost and Score'!$B$27:$O$40,6,0)</f>
        <v>0.16924242424242425</v>
      </c>
      <c r="BL340" s="48">
        <f>$G340/5280*VLOOKUP($AC340,'Cost and Score'!$B$27:$O$40,7,0)</f>
        <v>18.616666666666667</v>
      </c>
      <c r="BM340" s="48">
        <f>$G340/5280*VLOOKUP($AC340,'Cost and Score'!$B$27:$O$40,8,0)</f>
        <v>0</v>
      </c>
      <c r="BN340" s="48">
        <f>$G340/5280*VLOOKUP($AC340,'Cost and Score'!$B$27:$O$40,9,0)</f>
        <v>3807.9545454545455</v>
      </c>
      <c r="BO340" s="48">
        <f>$G340/5280*VLOOKUP($AC340,'Cost and Score'!$B$27:$O$40,10,0)</f>
        <v>846.21212121212125</v>
      </c>
      <c r="BP340" s="48">
        <f>$G340/5280*VLOOKUP($AC340,'Cost and Score'!$B$27:$O$40,11,0)</f>
        <v>0</v>
      </c>
      <c r="BQ340" s="48">
        <f>$G340/5280*VLOOKUP($AC340,'Cost and Score'!$B$27:$O$40,12,0)</f>
        <v>84.621212121212125</v>
      </c>
      <c r="BR340" s="48">
        <f>$G340/5280*VLOOKUP($AC340,'Cost and Score'!$B$27:$O$40,13,0)</f>
        <v>101.54545454545455</v>
      </c>
      <c r="BS340" s="48">
        <f>$G340/5280*VLOOKUP($AC340,'Cost and Score'!$B$27:$O$40,14,0)</f>
        <v>0</v>
      </c>
      <c r="BT340" s="220">
        <f t="shared" si="183"/>
        <v>0.84621212121212119</v>
      </c>
    </row>
    <row r="341" spans="1:103" s="2" customFormat="1" ht="14.45" hidden="1" customHeight="1" x14ac:dyDescent="0.25">
      <c r="A341" s="15" t="s">
        <v>778</v>
      </c>
      <c r="B341" s="34" t="s">
        <v>777</v>
      </c>
      <c r="C341" s="26" t="s">
        <v>777</v>
      </c>
      <c r="D341" s="82"/>
      <c r="E341" s="82" t="s">
        <v>104</v>
      </c>
      <c r="F341" s="82" t="s">
        <v>99</v>
      </c>
      <c r="G341" s="29">
        <v>5340</v>
      </c>
      <c r="H341" s="29">
        <f t="shared" si="166"/>
        <v>20</v>
      </c>
      <c r="I341" s="26" t="s">
        <v>8</v>
      </c>
      <c r="J341" s="26" t="s">
        <v>160</v>
      </c>
      <c r="K341" s="26">
        <f t="shared" si="163"/>
        <v>0</v>
      </c>
      <c r="L341" s="42">
        <v>6</v>
      </c>
      <c r="M341" s="42">
        <v>6</v>
      </c>
      <c r="N341" s="42">
        <v>4</v>
      </c>
      <c r="O341" s="83">
        <v>8</v>
      </c>
      <c r="P341" s="83">
        <v>8</v>
      </c>
      <c r="Q341" s="83">
        <v>8</v>
      </c>
      <c r="R341" s="83">
        <v>7</v>
      </c>
      <c r="S341" s="83">
        <v>7</v>
      </c>
      <c r="T341" s="83">
        <v>7</v>
      </c>
      <c r="U341" s="83">
        <v>7</v>
      </c>
      <c r="V341" s="42"/>
      <c r="W341" s="42"/>
      <c r="X341" s="42"/>
      <c r="Y341" s="26">
        <v>240</v>
      </c>
      <c r="Z341" s="26">
        <f t="shared" si="167"/>
        <v>0</v>
      </c>
      <c r="AA341" s="82" t="s">
        <v>354</v>
      </c>
      <c r="AB341" s="111">
        <f t="shared" si="174"/>
        <v>2</v>
      </c>
      <c r="AC341" s="82" t="s">
        <v>13</v>
      </c>
      <c r="AD341" s="84">
        <f t="shared" si="170"/>
        <v>21238.636363636364</v>
      </c>
      <c r="AE341" s="140"/>
      <c r="AF341" s="113">
        <f t="shared" si="168"/>
        <v>0</v>
      </c>
      <c r="AG341" s="82">
        <v>2024</v>
      </c>
      <c r="AH341" s="26" t="str">
        <f t="shared" si="164"/>
        <v/>
      </c>
      <c r="AI341" s="26" t="str">
        <f t="shared" si="187"/>
        <v/>
      </c>
      <c r="AJ341" s="26" t="str">
        <f t="shared" si="187"/>
        <v>Chip Seal and Fog</v>
      </c>
      <c r="AK341" s="26" t="str">
        <f t="shared" si="169"/>
        <v/>
      </c>
      <c r="AL341" s="26" t="str">
        <f t="shared" si="185"/>
        <v/>
      </c>
      <c r="AM341" s="26" t="str">
        <f t="shared" si="184"/>
        <v/>
      </c>
      <c r="AN341" s="26" t="str">
        <f t="shared" si="175"/>
        <v>Chip Seal and Fog</v>
      </c>
      <c r="AO341" s="26" t="str">
        <f t="shared" si="186"/>
        <v/>
      </c>
      <c r="AP341" s="26" t="str">
        <f t="shared" si="176"/>
        <v/>
      </c>
      <c r="AQ341" s="68">
        <f t="shared" si="171"/>
        <v>12</v>
      </c>
      <c r="AR341" s="68">
        <f t="shared" si="172"/>
        <v>6</v>
      </c>
      <c r="AS341" s="68">
        <f t="shared" si="177"/>
        <v>1.1000000000000001</v>
      </c>
      <c r="AT341" s="68">
        <f t="shared" si="178"/>
        <v>1.1000000000000001</v>
      </c>
      <c r="AU341" s="68">
        <f t="shared" si="179"/>
        <v>1.5</v>
      </c>
      <c r="AV341" s="68">
        <f t="shared" si="180"/>
        <v>1</v>
      </c>
      <c r="AW341" s="68">
        <f t="shared" si="181"/>
        <v>1</v>
      </c>
      <c r="AX341" s="68">
        <f t="shared" ca="1" si="173"/>
        <v>0</v>
      </c>
      <c r="AY341" s="68">
        <v>2018</v>
      </c>
      <c r="AZ341" s="68" t="s">
        <v>2073</v>
      </c>
      <c r="BA341" s="106" t="str">
        <f t="shared" si="182"/>
        <v>DS</v>
      </c>
      <c r="BB341" s="178"/>
      <c r="BC341" s="178">
        <v>8</v>
      </c>
      <c r="BD341" s="178"/>
      <c r="BE341" s="178"/>
      <c r="BF341" s="178"/>
      <c r="BG341" s="178"/>
      <c r="BH341" s="178"/>
      <c r="BI341" s="33"/>
      <c r="BK341" s="48">
        <f>$G341/5280*VLOOKUP($AC341,'Cost and Score'!$B$27:$O$40,6,0)</f>
        <v>0.2022727272727273</v>
      </c>
      <c r="BL341" s="48">
        <f>$G341/5280*VLOOKUP($AC341,'Cost and Score'!$B$27:$O$40,7,0)</f>
        <v>22.250000000000004</v>
      </c>
      <c r="BM341" s="48">
        <f>$G341/5280*VLOOKUP($AC341,'Cost and Score'!$B$27:$O$40,8,0)</f>
        <v>0</v>
      </c>
      <c r="BN341" s="48">
        <f>$G341/5280*VLOOKUP($AC341,'Cost and Score'!$B$27:$O$40,9,0)</f>
        <v>4551.136363636364</v>
      </c>
      <c r="BO341" s="48">
        <f>$G341/5280*VLOOKUP($AC341,'Cost and Score'!$B$27:$O$40,10,0)</f>
        <v>1011.3636363636365</v>
      </c>
      <c r="BP341" s="48">
        <f>$G341/5280*VLOOKUP($AC341,'Cost and Score'!$B$27:$O$40,11,0)</f>
        <v>0</v>
      </c>
      <c r="BQ341" s="48">
        <f>$G341/5280*VLOOKUP($AC341,'Cost and Score'!$B$27:$O$40,12,0)</f>
        <v>101.13636363636364</v>
      </c>
      <c r="BR341" s="48">
        <f>$G341/5280*VLOOKUP($AC341,'Cost and Score'!$B$27:$O$40,13,0)</f>
        <v>121.36363636363637</v>
      </c>
      <c r="BS341" s="48">
        <f>$G341/5280*VLOOKUP($AC341,'Cost and Score'!$B$27:$O$40,14,0)</f>
        <v>0</v>
      </c>
      <c r="BT341" s="220">
        <f t="shared" si="183"/>
        <v>1.0113636363636365</v>
      </c>
      <c r="CW341" s="112"/>
      <c r="CX341" s="112"/>
      <c r="CY341" s="112"/>
    </row>
    <row r="342" spans="1:103" s="2" customFormat="1" ht="14.45" hidden="1" customHeight="1" x14ac:dyDescent="0.25">
      <c r="A342" s="15" t="s">
        <v>780</v>
      </c>
      <c r="B342" s="34" t="s">
        <v>779</v>
      </c>
      <c r="C342" s="26" t="s">
        <v>779</v>
      </c>
      <c r="D342" s="26"/>
      <c r="E342" s="26" t="s">
        <v>25</v>
      </c>
      <c r="F342" s="26" t="s">
        <v>197</v>
      </c>
      <c r="G342" s="29">
        <v>5320</v>
      </c>
      <c r="H342" s="29">
        <f t="shared" si="166"/>
        <v>20</v>
      </c>
      <c r="I342" s="106" t="s">
        <v>751</v>
      </c>
      <c r="J342" s="26" t="s">
        <v>101</v>
      </c>
      <c r="K342" s="26">
        <v>0</v>
      </c>
      <c r="L342" s="42">
        <v>4</v>
      </c>
      <c r="M342" s="42">
        <v>4</v>
      </c>
      <c r="N342" s="42">
        <v>10</v>
      </c>
      <c r="O342" s="42">
        <v>9</v>
      </c>
      <c r="P342" s="42">
        <v>9</v>
      </c>
      <c r="Q342" s="42">
        <v>8</v>
      </c>
      <c r="R342" s="42">
        <v>8</v>
      </c>
      <c r="S342" s="42">
        <v>7</v>
      </c>
      <c r="T342" s="42">
        <v>7</v>
      </c>
      <c r="U342" s="42">
        <v>7</v>
      </c>
      <c r="V342" s="42"/>
      <c r="W342" s="42"/>
      <c r="X342" s="42"/>
      <c r="Y342" s="26">
        <v>447</v>
      </c>
      <c r="Z342" s="26">
        <f t="shared" si="167"/>
        <v>0</v>
      </c>
      <c r="AA342" s="26" t="s">
        <v>499</v>
      </c>
      <c r="AB342" s="111">
        <f t="shared" si="174"/>
        <v>1</v>
      </c>
      <c r="AC342" s="85" t="s">
        <v>2073</v>
      </c>
      <c r="AD342" s="47">
        <f t="shared" si="170"/>
        <v>32242.424242424244</v>
      </c>
      <c r="AE342" s="140"/>
      <c r="AF342" s="113">
        <f t="shared" si="168"/>
        <v>0</v>
      </c>
      <c r="AG342" s="26">
        <v>2027</v>
      </c>
      <c r="AH342" s="26" t="str">
        <f t="shared" si="164"/>
        <v/>
      </c>
      <c r="AI342" s="26" t="str">
        <f t="shared" si="187"/>
        <v/>
      </c>
      <c r="AJ342" s="26" t="str">
        <f t="shared" si="187"/>
        <v/>
      </c>
      <c r="AK342" s="26" t="str">
        <f t="shared" si="169"/>
        <v/>
      </c>
      <c r="AL342" s="26" t="str">
        <f t="shared" si="185"/>
        <v/>
      </c>
      <c r="AM342" s="26" t="str">
        <f t="shared" si="184"/>
        <v>Chip Seal - Double and Fog</v>
      </c>
      <c r="AN342" s="26" t="str">
        <f t="shared" si="175"/>
        <v>Chip Seal - Double and Fog</v>
      </c>
      <c r="AO342" s="26" t="str">
        <f t="shared" si="186"/>
        <v>Crack Seal</v>
      </c>
      <c r="AP342" s="26" t="str">
        <f t="shared" si="176"/>
        <v/>
      </c>
      <c r="AQ342" s="68">
        <f t="shared" si="171"/>
        <v>14</v>
      </c>
      <c r="AR342" s="68">
        <f t="shared" si="172"/>
        <v>6</v>
      </c>
      <c r="AS342" s="68">
        <f t="shared" si="177"/>
        <v>1.5</v>
      </c>
      <c r="AT342" s="68">
        <f t="shared" si="178"/>
        <v>1.5</v>
      </c>
      <c r="AU342" s="68">
        <f t="shared" si="179"/>
        <v>1</v>
      </c>
      <c r="AV342" s="68">
        <f t="shared" si="180"/>
        <v>1</v>
      </c>
      <c r="AW342" s="68">
        <f t="shared" si="181"/>
        <v>1</v>
      </c>
      <c r="AX342" s="68">
        <f t="shared" ca="1" si="173"/>
        <v>3</v>
      </c>
      <c r="AY342" s="68">
        <v>2021</v>
      </c>
      <c r="AZ342" s="68" t="s">
        <v>2075</v>
      </c>
      <c r="BA342" s="106" t="str">
        <f t="shared" si="182"/>
        <v/>
      </c>
      <c r="BB342" s="178"/>
      <c r="BC342" s="178">
        <v>3</v>
      </c>
      <c r="BD342" s="178"/>
      <c r="BE342" s="178"/>
      <c r="BF342" s="178"/>
      <c r="BG342" s="178"/>
      <c r="BH342" s="178"/>
      <c r="BI342" s="33" t="s">
        <v>2192</v>
      </c>
      <c r="BK342" s="48">
        <f>$G342/5280*VLOOKUP($AC342,'Cost and Score'!$B$27:$O$40,6,0)</f>
        <v>0.50378787878787878</v>
      </c>
      <c r="BL342" s="48">
        <f>$G342/5280*VLOOKUP($AC342,'Cost and Score'!$B$27:$O$40,7,0)</f>
        <v>50.378787878787875</v>
      </c>
      <c r="BM342" s="48">
        <f>$G342/5280*VLOOKUP($AC342,'Cost and Score'!$B$27:$O$40,8,0)</f>
        <v>0</v>
      </c>
      <c r="BN342" s="48">
        <f>$G342/5280*VLOOKUP($AC342,'Cost and Score'!$B$27:$O$40,9,0)</f>
        <v>9571.9696969696961</v>
      </c>
      <c r="BO342" s="48">
        <f>$G342/5280*VLOOKUP($AC342,'Cost and Score'!$B$27:$O$40,10,0)</f>
        <v>1007.5757575757576</v>
      </c>
      <c r="BP342" s="48">
        <f>$G342/5280*VLOOKUP($AC342,'Cost and Score'!$B$27:$O$40,11,0)</f>
        <v>0</v>
      </c>
      <c r="BQ342" s="48">
        <f>$G342/5280*VLOOKUP($AC342,'Cost and Score'!$B$27:$O$40,12,0)</f>
        <v>201.5151515151515</v>
      </c>
      <c r="BR342" s="48">
        <f>$G342/5280*VLOOKUP($AC342,'Cost and Score'!$B$27:$O$40,13,0)</f>
        <v>181.36363636363637</v>
      </c>
      <c r="BS342" s="48">
        <f>$G342/5280*VLOOKUP($AC342,'Cost and Score'!$B$27:$O$40,14,0)</f>
        <v>241.81818181818181</v>
      </c>
      <c r="BT342" s="220">
        <f t="shared" si="183"/>
        <v>1.0075757575757576</v>
      </c>
      <c r="CW342" s="112"/>
      <c r="CX342" s="112"/>
      <c r="CY342" s="112"/>
    </row>
    <row r="343" spans="1:103" s="2" customFormat="1" ht="14.45" hidden="1" customHeight="1" x14ac:dyDescent="0.25">
      <c r="A343" s="15" t="s">
        <v>782</v>
      </c>
      <c r="B343" s="34" t="s">
        <v>781</v>
      </c>
      <c r="C343" s="26" t="s">
        <v>781</v>
      </c>
      <c r="D343" s="82"/>
      <c r="E343" s="82" t="s">
        <v>288</v>
      </c>
      <c r="F343" s="82" t="s">
        <v>295</v>
      </c>
      <c r="G343" s="29">
        <v>2950</v>
      </c>
      <c r="H343" s="29">
        <f t="shared" si="166"/>
        <v>20</v>
      </c>
      <c r="I343" s="26" t="s">
        <v>8</v>
      </c>
      <c r="J343" s="26" t="s">
        <v>26</v>
      </c>
      <c r="K343" s="26">
        <f t="shared" ref="K343:K354" si="188">VLOOKUP(J343,TOWNSHIPS,2,FALSE)</f>
        <v>0</v>
      </c>
      <c r="L343" s="42">
        <v>5</v>
      </c>
      <c r="M343" s="42">
        <v>5</v>
      </c>
      <c r="N343" s="42">
        <v>5</v>
      </c>
      <c r="O343" s="83">
        <v>5</v>
      </c>
      <c r="P343" s="83">
        <v>5</v>
      </c>
      <c r="Q343" s="83">
        <v>9</v>
      </c>
      <c r="R343" s="83">
        <v>8</v>
      </c>
      <c r="S343" s="83">
        <v>7</v>
      </c>
      <c r="T343" s="83">
        <v>7</v>
      </c>
      <c r="U343" s="83">
        <v>7</v>
      </c>
      <c r="V343" s="42"/>
      <c r="W343" s="42"/>
      <c r="X343" s="42"/>
      <c r="Y343" s="26">
        <v>50</v>
      </c>
      <c r="Z343" s="26">
        <f t="shared" si="167"/>
        <v>0</v>
      </c>
      <c r="AA343" s="82" t="s">
        <v>233</v>
      </c>
      <c r="AB343" s="111">
        <f t="shared" si="174"/>
        <v>5</v>
      </c>
      <c r="AC343" s="85" t="s">
        <v>13</v>
      </c>
      <c r="AD343" s="84">
        <f t="shared" si="170"/>
        <v>11732.954545454546</v>
      </c>
      <c r="AE343" s="140">
        <v>1</v>
      </c>
      <c r="AF343" s="113">
        <f t="shared" si="168"/>
        <v>11732.954545454546</v>
      </c>
      <c r="AG343" s="26">
        <v>2024</v>
      </c>
      <c r="AH343" s="26" t="str">
        <f t="shared" si="164"/>
        <v/>
      </c>
      <c r="AI343" s="26" t="str">
        <f t="shared" si="187"/>
        <v/>
      </c>
      <c r="AJ343" s="26" t="str">
        <f t="shared" si="187"/>
        <v>Chip Seal and Fog</v>
      </c>
      <c r="AK343" s="26" t="str">
        <f t="shared" si="169"/>
        <v/>
      </c>
      <c r="AL343" s="26" t="str">
        <f t="shared" si="185"/>
        <v/>
      </c>
      <c r="AM343" s="26" t="str">
        <f t="shared" si="184"/>
        <v/>
      </c>
      <c r="AN343" s="26" t="str">
        <f t="shared" si="175"/>
        <v>Chip Seal and Fog</v>
      </c>
      <c r="AO343" s="26" t="str">
        <f t="shared" si="186"/>
        <v/>
      </c>
      <c r="AP343" s="26" t="str">
        <f t="shared" si="176"/>
        <v/>
      </c>
      <c r="AQ343" s="68">
        <f t="shared" si="171"/>
        <v>6</v>
      </c>
      <c r="AR343" s="68">
        <f t="shared" si="172"/>
        <v>6</v>
      </c>
      <c r="AS343" s="68">
        <f t="shared" si="177"/>
        <v>1.25</v>
      </c>
      <c r="AT343" s="68">
        <f t="shared" si="178"/>
        <v>1.25</v>
      </c>
      <c r="AU343" s="68">
        <f t="shared" si="179"/>
        <v>1.25</v>
      </c>
      <c r="AV343" s="68">
        <f t="shared" si="180"/>
        <v>1.25</v>
      </c>
      <c r="AW343" s="68">
        <f t="shared" si="181"/>
        <v>1.25</v>
      </c>
      <c r="AX343" s="68">
        <f t="shared" ca="1" si="173"/>
        <v>0</v>
      </c>
      <c r="AY343" s="68"/>
      <c r="AZ343" s="68"/>
      <c r="BA343" s="106" t="str">
        <f t="shared" si="182"/>
        <v/>
      </c>
      <c r="BB343" s="178"/>
      <c r="BC343" s="178">
        <v>5</v>
      </c>
      <c r="BD343" s="178"/>
      <c r="BE343" s="178"/>
      <c r="BF343" s="178"/>
      <c r="BG343" s="178"/>
      <c r="BH343" s="178"/>
      <c r="BI343" s="33"/>
      <c r="BK343" s="48">
        <f>$G343/5280*VLOOKUP($AC343,'Cost and Score'!$B$27:$O$40,6,0)</f>
        <v>0.11174242424242425</v>
      </c>
      <c r="BL343" s="48">
        <f>$G343/5280*VLOOKUP($AC343,'Cost and Score'!$B$27:$O$40,7,0)</f>
        <v>12.291666666666666</v>
      </c>
      <c r="BM343" s="48">
        <f>$G343/5280*VLOOKUP($AC343,'Cost and Score'!$B$27:$O$40,8,0)</f>
        <v>0</v>
      </c>
      <c r="BN343" s="48">
        <f>$G343/5280*VLOOKUP($AC343,'Cost and Score'!$B$27:$O$40,9,0)</f>
        <v>2514.2045454545455</v>
      </c>
      <c r="BO343" s="48">
        <f>$G343/5280*VLOOKUP($AC343,'Cost and Score'!$B$27:$O$40,10,0)</f>
        <v>558.71212121212125</v>
      </c>
      <c r="BP343" s="48">
        <f>$G343/5280*VLOOKUP($AC343,'Cost and Score'!$B$27:$O$40,11,0)</f>
        <v>0</v>
      </c>
      <c r="BQ343" s="48">
        <f>$G343/5280*VLOOKUP($AC343,'Cost and Score'!$B$27:$O$40,12,0)</f>
        <v>55.871212121212125</v>
      </c>
      <c r="BR343" s="48">
        <f>$G343/5280*VLOOKUP($AC343,'Cost and Score'!$B$27:$O$40,13,0)</f>
        <v>67.045454545454547</v>
      </c>
      <c r="BS343" s="48">
        <f>$G343/5280*VLOOKUP($AC343,'Cost and Score'!$B$27:$O$40,14,0)</f>
        <v>0</v>
      </c>
      <c r="BT343" s="220">
        <f t="shared" si="183"/>
        <v>0.55871212121212122</v>
      </c>
    </row>
    <row r="344" spans="1:103" s="2" customFormat="1" ht="14.45" hidden="1" customHeight="1" x14ac:dyDescent="0.25">
      <c r="A344" s="15" t="s">
        <v>784</v>
      </c>
      <c r="B344" s="34" t="s">
        <v>783</v>
      </c>
      <c r="C344" s="26" t="s">
        <v>783</v>
      </c>
      <c r="D344" s="26"/>
      <c r="E344" s="26" t="s">
        <v>147</v>
      </c>
      <c r="F344" s="26" t="s">
        <v>140</v>
      </c>
      <c r="G344" s="29">
        <v>5370</v>
      </c>
      <c r="H344" s="29">
        <f t="shared" si="166"/>
        <v>20</v>
      </c>
      <c r="I344" s="26" t="s">
        <v>13</v>
      </c>
      <c r="J344" s="26" t="s">
        <v>172</v>
      </c>
      <c r="K344" s="26">
        <f t="shared" si="188"/>
        <v>0</v>
      </c>
      <c r="L344" s="42">
        <v>5</v>
      </c>
      <c r="M344" s="42">
        <v>4</v>
      </c>
      <c r="N344" s="42">
        <v>4</v>
      </c>
      <c r="O344" s="42">
        <v>9</v>
      </c>
      <c r="P344" s="42">
        <v>9</v>
      </c>
      <c r="Q344" s="42">
        <v>9</v>
      </c>
      <c r="R344" s="42">
        <v>7</v>
      </c>
      <c r="S344" s="42">
        <v>7</v>
      </c>
      <c r="T344" s="42">
        <v>7</v>
      </c>
      <c r="U344" s="42">
        <v>7</v>
      </c>
      <c r="V344" s="42"/>
      <c r="W344" s="42"/>
      <c r="X344" s="42"/>
      <c r="Y344" s="26">
        <v>50</v>
      </c>
      <c r="Z344" s="26">
        <f t="shared" si="167"/>
        <v>0</v>
      </c>
      <c r="AA344" s="26" t="s">
        <v>785</v>
      </c>
      <c r="AB344" s="111">
        <f t="shared" si="174"/>
        <v>1</v>
      </c>
      <c r="AC344" s="26" t="s">
        <v>13</v>
      </c>
      <c r="AD344" s="47">
        <f t="shared" si="170"/>
        <v>21357.954545454544</v>
      </c>
      <c r="AE344" s="140">
        <v>1</v>
      </c>
      <c r="AF344" s="113">
        <f t="shared" si="168"/>
        <v>21357.954545454544</v>
      </c>
      <c r="AG344" s="26">
        <v>2023</v>
      </c>
      <c r="AH344" s="26" t="str">
        <f t="shared" si="164"/>
        <v/>
      </c>
      <c r="AI344" s="26" t="str">
        <f t="shared" si="187"/>
        <v>Chip Seal and Fog</v>
      </c>
      <c r="AJ344" s="26" t="str">
        <f t="shared" si="187"/>
        <v/>
      </c>
      <c r="AK344" s="26" t="str">
        <f t="shared" si="169"/>
        <v/>
      </c>
      <c r="AL344" s="26" t="str">
        <f t="shared" si="185"/>
        <v/>
      </c>
      <c r="AM344" s="26" t="str">
        <f t="shared" si="184"/>
        <v/>
      </c>
      <c r="AN344" s="26" t="str">
        <f t="shared" si="175"/>
        <v>Chip Seal and Fog</v>
      </c>
      <c r="AO344" s="26" t="str">
        <f t="shared" si="186"/>
        <v/>
      </c>
      <c r="AP344" s="26" t="str">
        <f t="shared" si="176"/>
        <v/>
      </c>
      <c r="AQ344" s="68">
        <f t="shared" si="171"/>
        <v>14</v>
      </c>
      <c r="AR344" s="68">
        <f t="shared" si="172"/>
        <v>6</v>
      </c>
      <c r="AS344" s="68">
        <f t="shared" si="177"/>
        <v>1.25</v>
      </c>
      <c r="AT344" s="68">
        <f t="shared" si="178"/>
        <v>1.5</v>
      </c>
      <c r="AU344" s="68">
        <f t="shared" si="179"/>
        <v>1.5</v>
      </c>
      <c r="AV344" s="68">
        <f t="shared" si="180"/>
        <v>1</v>
      </c>
      <c r="AW344" s="68">
        <f t="shared" si="181"/>
        <v>1</v>
      </c>
      <c r="AX344" s="68">
        <f t="shared" ca="1" si="173"/>
        <v>-1.5</v>
      </c>
      <c r="AY344" s="68">
        <v>2023</v>
      </c>
      <c r="AZ344" s="68" t="s">
        <v>13</v>
      </c>
      <c r="BA344" s="106" t="str">
        <f t="shared" si="182"/>
        <v/>
      </c>
      <c r="BB344" s="178"/>
      <c r="BC344" s="178">
        <v>7</v>
      </c>
      <c r="BD344" s="178"/>
      <c r="BE344" s="178"/>
      <c r="BF344" s="178"/>
      <c r="BG344" s="178"/>
      <c r="BH344" s="178"/>
      <c r="BI344" s="33" t="s">
        <v>2192</v>
      </c>
      <c r="BK344" s="48">
        <f>$G344/5280*VLOOKUP($AC344,'Cost and Score'!$B$27:$O$40,6,0)</f>
        <v>0.20340909090909093</v>
      </c>
      <c r="BL344" s="48">
        <f>$G344/5280*VLOOKUP($AC344,'Cost and Score'!$B$27:$O$40,7,0)</f>
        <v>22.375</v>
      </c>
      <c r="BM344" s="48">
        <f>$G344/5280*VLOOKUP($AC344,'Cost and Score'!$B$27:$O$40,8,0)</f>
        <v>0</v>
      </c>
      <c r="BN344" s="48">
        <f>$G344/5280*VLOOKUP($AC344,'Cost and Score'!$B$27:$O$40,9,0)</f>
        <v>4576.704545454546</v>
      </c>
      <c r="BO344" s="48">
        <f>$G344/5280*VLOOKUP($AC344,'Cost and Score'!$B$27:$O$40,10,0)</f>
        <v>1017.0454545454546</v>
      </c>
      <c r="BP344" s="48">
        <f>$G344/5280*VLOOKUP($AC344,'Cost and Score'!$B$27:$O$40,11,0)</f>
        <v>0</v>
      </c>
      <c r="BQ344" s="48">
        <f>$G344/5280*VLOOKUP($AC344,'Cost and Score'!$B$27:$O$40,12,0)</f>
        <v>101.70454545454545</v>
      </c>
      <c r="BR344" s="48">
        <f>$G344/5280*VLOOKUP($AC344,'Cost and Score'!$B$27:$O$40,13,0)</f>
        <v>122.04545454545455</v>
      </c>
      <c r="BS344" s="48">
        <f>$G344/5280*VLOOKUP($AC344,'Cost and Score'!$B$27:$O$40,14,0)</f>
        <v>0</v>
      </c>
      <c r="BT344" s="220">
        <f t="shared" si="183"/>
        <v>1.0170454545454546</v>
      </c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</row>
    <row r="345" spans="1:103" s="2" customFormat="1" ht="14.45" hidden="1" customHeight="1" x14ac:dyDescent="0.25">
      <c r="A345" s="15" t="s">
        <v>787</v>
      </c>
      <c r="B345" s="34" t="s">
        <v>786</v>
      </c>
      <c r="C345" s="26" t="s">
        <v>786</v>
      </c>
      <c r="D345" s="26"/>
      <c r="E345" s="26" t="s">
        <v>147</v>
      </c>
      <c r="F345" s="26" t="s">
        <v>297</v>
      </c>
      <c r="G345" s="29">
        <v>5430</v>
      </c>
      <c r="H345" s="29">
        <f t="shared" si="166"/>
        <v>20</v>
      </c>
      <c r="I345" s="26" t="s">
        <v>13</v>
      </c>
      <c r="J345" s="26" t="s">
        <v>172</v>
      </c>
      <c r="K345" s="26">
        <f t="shared" si="188"/>
        <v>0</v>
      </c>
      <c r="L345" s="42">
        <v>4</v>
      </c>
      <c r="M345" s="42">
        <v>4</v>
      </c>
      <c r="N345" s="42">
        <v>4</v>
      </c>
      <c r="O345" s="42">
        <v>10</v>
      </c>
      <c r="P345" s="42">
        <v>9</v>
      </c>
      <c r="Q345" s="42">
        <v>9</v>
      </c>
      <c r="R345" s="42">
        <v>8</v>
      </c>
      <c r="S345" s="42">
        <v>7</v>
      </c>
      <c r="T345" s="42">
        <v>7</v>
      </c>
      <c r="U345" s="42">
        <v>7</v>
      </c>
      <c r="V345" s="42"/>
      <c r="W345" s="42"/>
      <c r="X345" s="42"/>
      <c r="Y345" s="26">
        <v>50</v>
      </c>
      <c r="Z345" s="26">
        <f t="shared" si="167"/>
        <v>0</v>
      </c>
      <c r="AA345" s="26" t="s">
        <v>785</v>
      </c>
      <c r="AB345" s="111">
        <f t="shared" si="174"/>
        <v>1</v>
      </c>
      <c r="AC345" s="85" t="s">
        <v>2075</v>
      </c>
      <c r="AD345" s="47">
        <f t="shared" si="170"/>
        <v>5553.409090909091</v>
      </c>
      <c r="AE345" s="140"/>
      <c r="AF345" s="113">
        <f t="shared" si="168"/>
        <v>0</v>
      </c>
      <c r="AG345" s="26">
        <v>2022</v>
      </c>
      <c r="AH345" s="26" t="str">
        <f t="shared" si="164"/>
        <v>Crack Seal</v>
      </c>
      <c r="AI345" s="26" t="str">
        <f t="shared" si="187"/>
        <v/>
      </c>
      <c r="AJ345" s="26" t="str">
        <f t="shared" si="187"/>
        <v/>
      </c>
      <c r="AK345" s="26" t="str">
        <f t="shared" si="169"/>
        <v/>
      </c>
      <c r="AL345" s="26" t="str">
        <f t="shared" si="185"/>
        <v/>
      </c>
      <c r="AM345" s="26" t="str">
        <f t="shared" si="184"/>
        <v/>
      </c>
      <c r="AN345" s="26" t="str">
        <f t="shared" si="175"/>
        <v>Crack Seal</v>
      </c>
      <c r="AO345" s="26" t="str">
        <f t="shared" si="186"/>
        <v/>
      </c>
      <c r="AP345" s="26" t="str">
        <f t="shared" si="176"/>
        <v/>
      </c>
      <c r="AQ345" s="68">
        <f t="shared" si="171"/>
        <v>16</v>
      </c>
      <c r="AR345" s="68">
        <f t="shared" si="172"/>
        <v>3</v>
      </c>
      <c r="AS345" s="68">
        <f t="shared" si="177"/>
        <v>1.5</v>
      </c>
      <c r="AT345" s="68">
        <f t="shared" si="178"/>
        <v>1.5</v>
      </c>
      <c r="AU345" s="68">
        <f t="shared" si="179"/>
        <v>1.5</v>
      </c>
      <c r="AV345" s="68">
        <f t="shared" si="180"/>
        <v>1</v>
      </c>
      <c r="AW345" s="68">
        <f t="shared" si="181"/>
        <v>1</v>
      </c>
      <c r="AX345" s="68">
        <f t="shared" ca="1" si="173"/>
        <v>-3</v>
      </c>
      <c r="AY345" s="68">
        <v>2016</v>
      </c>
      <c r="AZ345" s="68" t="s">
        <v>2073</v>
      </c>
      <c r="BA345" s="106" t="str">
        <f t="shared" si="182"/>
        <v/>
      </c>
      <c r="BB345" s="178"/>
      <c r="BC345" s="178">
        <v>7</v>
      </c>
      <c r="BD345" s="178"/>
      <c r="BE345" s="178"/>
      <c r="BF345" s="178"/>
      <c r="BG345" s="178"/>
      <c r="BH345" s="178"/>
      <c r="BI345" s="33" t="s">
        <v>2192</v>
      </c>
      <c r="BK345" s="48">
        <f>$G345/5280*VLOOKUP($AC345,'Cost and Score'!$B$27:$O$40,6,0)</f>
        <v>1.0284090909090908</v>
      </c>
      <c r="BL345" s="48">
        <f>$G345/5280*VLOOKUP($AC345,'Cost and Score'!$B$27:$O$40,7,0)</f>
        <v>0</v>
      </c>
      <c r="BM345" s="48">
        <f>$G345/5280*VLOOKUP($AC345,'Cost and Score'!$B$27:$O$40,8,0)</f>
        <v>0</v>
      </c>
      <c r="BN345" s="48">
        <f>$G345/5280*VLOOKUP($AC345,'Cost and Score'!$B$27:$O$40,9,0)</f>
        <v>0</v>
      </c>
      <c r="BO345" s="48">
        <f>$G345/5280*VLOOKUP($AC345,'Cost and Score'!$B$27:$O$40,10,0)</f>
        <v>0</v>
      </c>
      <c r="BP345" s="48">
        <f>$G345/5280*VLOOKUP($AC345,'Cost and Score'!$B$27:$O$40,11,0)</f>
        <v>0</v>
      </c>
      <c r="BQ345" s="48">
        <f>$G345/5280*VLOOKUP($AC345,'Cost and Score'!$B$27:$O$40,12,0)</f>
        <v>0</v>
      </c>
      <c r="BR345" s="48">
        <f>$G345/5280*VLOOKUP($AC345,'Cost and Score'!$B$27:$O$40,13,0)</f>
        <v>0</v>
      </c>
      <c r="BS345" s="48">
        <f>$G345/5280*VLOOKUP($AC345,'Cost and Score'!$B$27:$O$40,14,0)</f>
        <v>0</v>
      </c>
      <c r="BT345" s="220">
        <f t="shared" si="183"/>
        <v>1.0284090909090908</v>
      </c>
    </row>
    <row r="346" spans="1:103" s="2" customFormat="1" ht="14.45" customHeight="1" x14ac:dyDescent="0.25">
      <c r="A346" s="38" t="s">
        <v>1681</v>
      </c>
      <c r="B346" s="34" t="s">
        <v>1680</v>
      </c>
      <c r="C346" s="26" t="s">
        <v>1680</v>
      </c>
      <c r="D346" s="82"/>
      <c r="E346" s="82" t="s">
        <v>217</v>
      </c>
      <c r="F346" s="82" t="s">
        <v>222</v>
      </c>
      <c r="G346" s="29">
        <v>5304</v>
      </c>
      <c r="H346" s="29">
        <f t="shared" ref="H346:H377" si="189">IF(I346="NC",26,20)</f>
        <v>20</v>
      </c>
      <c r="I346" s="26" t="s">
        <v>8</v>
      </c>
      <c r="J346" s="26" t="s">
        <v>26</v>
      </c>
      <c r="K346" s="26">
        <f t="shared" si="188"/>
        <v>0</v>
      </c>
      <c r="L346" s="42">
        <v>6</v>
      </c>
      <c r="M346" s="42">
        <v>6</v>
      </c>
      <c r="N346" s="42">
        <v>6</v>
      </c>
      <c r="O346" s="83">
        <v>5</v>
      </c>
      <c r="P346" s="83">
        <v>5</v>
      </c>
      <c r="Q346" s="83">
        <v>5</v>
      </c>
      <c r="R346" s="83">
        <v>7</v>
      </c>
      <c r="S346" s="83">
        <v>7</v>
      </c>
      <c r="T346" s="83">
        <v>7</v>
      </c>
      <c r="U346" s="83">
        <v>7</v>
      </c>
      <c r="V346" s="42"/>
      <c r="W346" s="42"/>
      <c r="X346" s="42"/>
      <c r="Y346" s="26">
        <v>148</v>
      </c>
      <c r="Z346" s="26">
        <f t="shared" ref="Z346:Z377" si="190">VLOOKUP(Y346,AADT,2)</f>
        <v>0</v>
      </c>
      <c r="AA346" s="82" t="s">
        <v>153</v>
      </c>
      <c r="AB346" s="111">
        <f t="shared" si="174"/>
        <v>5</v>
      </c>
      <c r="AC346" s="82" t="s">
        <v>13</v>
      </c>
      <c r="AD346" s="84">
        <f t="shared" si="170"/>
        <v>21095.454545454544</v>
      </c>
      <c r="AE346" s="140"/>
      <c r="AF346" s="113">
        <f t="shared" ref="AF346:AF377" si="191">AD346*AE346</f>
        <v>0</v>
      </c>
      <c r="AG346" s="106">
        <v>2025</v>
      </c>
      <c r="AH346" s="26" t="str">
        <f t="shared" si="164"/>
        <v/>
      </c>
      <c r="AI346" s="26" t="str">
        <f t="shared" si="187"/>
        <v/>
      </c>
      <c r="AJ346" s="26" t="str">
        <f t="shared" si="187"/>
        <v/>
      </c>
      <c r="AK346" s="26" t="str">
        <f t="shared" si="169"/>
        <v>Chip Seal and Fog</v>
      </c>
      <c r="AL346" s="26" t="str">
        <f t="shared" si="185"/>
        <v/>
      </c>
      <c r="AM346" s="26" t="str">
        <f t="shared" si="184"/>
        <v/>
      </c>
      <c r="AN346" s="26" t="str">
        <f t="shared" si="175"/>
        <v>Chip Seal and Fog</v>
      </c>
      <c r="AO346" s="26" t="str">
        <f t="shared" si="186"/>
        <v/>
      </c>
      <c r="AP346" s="26" t="str">
        <f t="shared" si="176"/>
        <v/>
      </c>
      <c r="AQ346" s="68">
        <f t="shared" si="171"/>
        <v>6</v>
      </c>
      <c r="AR346" s="68">
        <f t="shared" si="172"/>
        <v>6</v>
      </c>
      <c r="AS346" s="68">
        <f t="shared" si="177"/>
        <v>1.1000000000000001</v>
      </c>
      <c r="AT346" s="68">
        <f t="shared" si="178"/>
        <v>1.1000000000000001</v>
      </c>
      <c r="AU346" s="68">
        <f t="shared" si="179"/>
        <v>1.1000000000000001</v>
      </c>
      <c r="AV346" s="68">
        <f t="shared" si="180"/>
        <v>1.25</v>
      </c>
      <c r="AW346" s="68">
        <f t="shared" si="181"/>
        <v>1.25</v>
      </c>
      <c r="AX346" s="68">
        <f t="shared" ca="1" si="173"/>
        <v>1.1000000000000001</v>
      </c>
      <c r="AY346" s="68">
        <v>2019</v>
      </c>
      <c r="AZ346" s="68" t="s">
        <v>2073</v>
      </c>
      <c r="BA346" s="106" t="str">
        <f t="shared" si="182"/>
        <v/>
      </c>
      <c r="BB346" s="178"/>
      <c r="BC346" s="178">
        <v>7</v>
      </c>
      <c r="BD346" s="178"/>
      <c r="BE346" s="178"/>
      <c r="BF346" s="178"/>
      <c r="BG346" s="178"/>
      <c r="BH346" s="178"/>
      <c r="BI346" s="33"/>
      <c r="BK346" s="48">
        <f>$G346/5280*VLOOKUP($AC346,'Cost and Score'!$B$27:$O$40,6,0)</f>
        <v>0.20090909090909093</v>
      </c>
      <c r="BL346" s="48">
        <f>$G346/5280*VLOOKUP($AC346,'Cost and Score'!$B$27:$O$40,7,0)</f>
        <v>22.1</v>
      </c>
      <c r="BM346" s="48">
        <f>$G346/5280*VLOOKUP($AC346,'Cost and Score'!$B$27:$O$40,8,0)</f>
        <v>0</v>
      </c>
      <c r="BN346" s="48">
        <f>$G346/5280*VLOOKUP($AC346,'Cost and Score'!$B$27:$O$40,9,0)</f>
        <v>4520.454545454546</v>
      </c>
      <c r="BO346" s="48">
        <f>$G346/5280*VLOOKUP($AC346,'Cost and Score'!$B$27:$O$40,10,0)</f>
        <v>1004.5454545454546</v>
      </c>
      <c r="BP346" s="48">
        <f>$G346/5280*VLOOKUP($AC346,'Cost and Score'!$B$27:$O$40,11,0)</f>
        <v>0</v>
      </c>
      <c r="BQ346" s="48">
        <f>$G346/5280*VLOOKUP($AC346,'Cost and Score'!$B$27:$O$40,12,0)</f>
        <v>100.45454545454547</v>
      </c>
      <c r="BR346" s="48">
        <f>$G346/5280*VLOOKUP($AC346,'Cost and Score'!$B$27:$O$40,13,0)</f>
        <v>120.54545454545456</v>
      </c>
      <c r="BS346" s="48">
        <f>$G346/5280*VLOOKUP($AC346,'Cost and Score'!$B$27:$O$40,14,0)</f>
        <v>0</v>
      </c>
      <c r="BT346" s="220">
        <f t="shared" si="183"/>
        <v>1.0045454545454546</v>
      </c>
      <c r="CF346" s="112"/>
    </row>
    <row r="347" spans="1:103" s="112" customFormat="1" ht="14.45" hidden="1" customHeight="1" x14ac:dyDescent="0.25">
      <c r="A347" s="15" t="s">
        <v>792</v>
      </c>
      <c r="B347" s="108" t="s">
        <v>790</v>
      </c>
      <c r="C347" s="106" t="s">
        <v>790</v>
      </c>
      <c r="D347" s="106"/>
      <c r="E347" s="106" t="s">
        <v>210</v>
      </c>
      <c r="F347" s="106" t="s">
        <v>791</v>
      </c>
      <c r="G347" s="109">
        <v>6470</v>
      </c>
      <c r="H347" s="109">
        <f t="shared" si="189"/>
        <v>20</v>
      </c>
      <c r="I347" s="106" t="s">
        <v>13</v>
      </c>
      <c r="J347" s="106" t="s">
        <v>160</v>
      </c>
      <c r="K347" s="106">
        <f t="shared" si="188"/>
        <v>0</v>
      </c>
      <c r="L347" s="110">
        <v>6</v>
      </c>
      <c r="M347" s="110">
        <v>6</v>
      </c>
      <c r="N347" s="110">
        <v>6</v>
      </c>
      <c r="O347" s="110">
        <v>6</v>
      </c>
      <c r="P347" s="110">
        <v>9</v>
      </c>
      <c r="Q347" s="110">
        <v>8</v>
      </c>
      <c r="R347" s="110">
        <v>8</v>
      </c>
      <c r="S347" s="110">
        <v>8</v>
      </c>
      <c r="T347" s="110">
        <v>7</v>
      </c>
      <c r="U347" s="110">
        <v>7</v>
      </c>
      <c r="V347" s="110"/>
      <c r="W347" s="110"/>
      <c r="X347" s="110"/>
      <c r="Y347" s="106">
        <v>716</v>
      </c>
      <c r="Z347" s="106">
        <f t="shared" si="190"/>
        <v>0.5</v>
      </c>
      <c r="AA347" s="106" t="s">
        <v>546</v>
      </c>
      <c r="AB347" s="111">
        <f t="shared" si="174"/>
        <v>1.5</v>
      </c>
      <c r="AC347" s="106" t="s">
        <v>2072</v>
      </c>
      <c r="AD347" s="107">
        <f t="shared" si="170"/>
        <v>56367.42424242424</v>
      </c>
      <c r="AE347" s="198">
        <v>1</v>
      </c>
      <c r="AF347" s="113">
        <f t="shared" si="191"/>
        <v>56367.42424242424</v>
      </c>
      <c r="AG347" s="26">
        <v>2023</v>
      </c>
      <c r="AH347" s="26" t="str">
        <f t="shared" si="164"/>
        <v/>
      </c>
      <c r="AI347" s="26" t="str">
        <f t="shared" si="187"/>
        <v>Chip Seal - Triple</v>
      </c>
      <c r="AJ347" s="26" t="str">
        <f t="shared" si="187"/>
        <v/>
      </c>
      <c r="AK347" s="26" t="str">
        <f t="shared" si="169"/>
        <v/>
      </c>
      <c r="AL347" s="26" t="str">
        <f t="shared" si="185"/>
        <v/>
      </c>
      <c r="AM347" s="26" t="str">
        <f t="shared" si="184"/>
        <v/>
      </c>
      <c r="AN347" s="26" t="str">
        <f t="shared" si="175"/>
        <v>Chip Seal - Triple</v>
      </c>
      <c r="AO347" s="26" t="str">
        <f t="shared" si="186"/>
        <v/>
      </c>
      <c r="AP347" s="26" t="str">
        <f t="shared" si="176"/>
        <v/>
      </c>
      <c r="AQ347" s="68">
        <f t="shared" si="171"/>
        <v>8</v>
      </c>
      <c r="AR347" s="68">
        <f t="shared" si="172"/>
        <v>8</v>
      </c>
      <c r="AS347" s="68">
        <f t="shared" si="177"/>
        <v>1.1000000000000001</v>
      </c>
      <c r="AT347" s="68">
        <f t="shared" si="178"/>
        <v>1.1000000000000001</v>
      </c>
      <c r="AU347" s="68">
        <f t="shared" si="179"/>
        <v>1.1000000000000001</v>
      </c>
      <c r="AV347" s="68">
        <f t="shared" si="180"/>
        <v>1.1000000000000001</v>
      </c>
      <c r="AW347" s="68">
        <f t="shared" si="181"/>
        <v>1</v>
      </c>
      <c r="AX347" s="68">
        <f t="shared" ca="1" si="173"/>
        <v>-1.1000000000000001</v>
      </c>
      <c r="AY347" s="106">
        <v>2023</v>
      </c>
      <c r="AZ347" s="106" t="s">
        <v>2072</v>
      </c>
      <c r="BA347" s="106" t="str">
        <f t="shared" si="182"/>
        <v/>
      </c>
      <c r="BB347" s="177"/>
      <c r="BC347" s="177">
        <v>8</v>
      </c>
      <c r="BD347" s="177"/>
      <c r="BE347" s="177"/>
      <c r="BF347" s="177"/>
      <c r="BG347" s="177"/>
      <c r="BH347" s="177"/>
      <c r="BI347" s="33"/>
      <c r="BJ347" s="2"/>
      <c r="BK347" s="48">
        <f>$G347/5280*VLOOKUP($AC347,'Cost and Score'!$B$27:$O$40,6,0)</f>
        <v>0.73522727272727273</v>
      </c>
      <c r="BL347" s="48">
        <f>$G347/5280*VLOOKUP($AC347,'Cost and Score'!$B$27:$O$40,7,0)</f>
        <v>153.17234848484847</v>
      </c>
      <c r="BM347" s="48">
        <f>$G347/5280*VLOOKUP($AC347,'Cost and Score'!$B$27:$O$40,8,0)</f>
        <v>245.07575757575756</v>
      </c>
      <c r="BN347" s="48">
        <f>$G347/5280*VLOOKUP($AC347,'Cost and Score'!$B$27:$O$40,9,0)</f>
        <v>2450.7575757575755</v>
      </c>
      <c r="BO347" s="48">
        <f>$G347/5280*VLOOKUP($AC347,'Cost and Score'!$B$27:$O$40,10,0)</f>
        <v>612.68939393939388</v>
      </c>
      <c r="BP347" s="48">
        <f>$G347/5280*VLOOKUP($AC347,'Cost and Score'!$B$27:$O$40,11,0)</f>
        <v>122.53787878787878</v>
      </c>
      <c r="BQ347" s="48">
        <f>$G347/5280*VLOOKUP($AC347,'Cost and Score'!$B$27:$O$40,12,0)</f>
        <v>980.30303030303025</v>
      </c>
      <c r="BR347" s="48">
        <f>$G347/5280*VLOOKUP($AC347,'Cost and Score'!$B$27:$O$40,13,0)</f>
        <v>98.030303030303031</v>
      </c>
      <c r="BS347" s="48">
        <f>$G347/5280*VLOOKUP($AC347,'Cost and Score'!$B$27:$O$40,14,0)</f>
        <v>0</v>
      </c>
      <c r="BT347" s="220">
        <f t="shared" si="183"/>
        <v>1.2253787878787878</v>
      </c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</row>
    <row r="348" spans="1:103" s="2" customFormat="1" ht="14.45" hidden="1" customHeight="1" x14ac:dyDescent="0.25">
      <c r="A348" s="15" t="s">
        <v>794</v>
      </c>
      <c r="B348" s="34" t="s">
        <v>793</v>
      </c>
      <c r="C348" s="26" t="s">
        <v>793</v>
      </c>
      <c r="D348" s="26"/>
      <c r="E348" s="26" t="s">
        <v>39</v>
      </c>
      <c r="F348" s="26" t="s">
        <v>213</v>
      </c>
      <c r="G348" s="29">
        <v>5287</v>
      </c>
      <c r="H348" s="29">
        <f t="shared" si="189"/>
        <v>20</v>
      </c>
      <c r="I348" s="26" t="s">
        <v>13</v>
      </c>
      <c r="J348" s="26" t="s">
        <v>11</v>
      </c>
      <c r="K348" s="26">
        <f t="shared" si="188"/>
        <v>0</v>
      </c>
      <c r="L348" s="42">
        <v>4</v>
      </c>
      <c r="M348" s="42">
        <v>3</v>
      </c>
      <c r="N348" s="42">
        <v>10</v>
      </c>
      <c r="O348" s="42">
        <v>9</v>
      </c>
      <c r="P348" s="42">
        <v>8</v>
      </c>
      <c r="Q348" s="42">
        <v>7</v>
      </c>
      <c r="R348" s="42">
        <v>7</v>
      </c>
      <c r="S348" s="42">
        <v>6</v>
      </c>
      <c r="T348" s="42">
        <v>6</v>
      </c>
      <c r="U348" s="42">
        <v>6</v>
      </c>
      <c r="V348" s="42"/>
      <c r="W348" s="42"/>
      <c r="X348" s="42"/>
      <c r="Y348" s="26">
        <v>27</v>
      </c>
      <c r="Z348" s="26">
        <f t="shared" si="190"/>
        <v>0</v>
      </c>
      <c r="AA348" s="26" t="s">
        <v>795</v>
      </c>
      <c r="AB348" s="111">
        <f t="shared" si="174"/>
        <v>2</v>
      </c>
      <c r="AC348" s="26" t="s">
        <v>13</v>
      </c>
      <c r="AD348" s="47">
        <f t="shared" si="170"/>
        <v>21027.840909090908</v>
      </c>
      <c r="AE348" s="140"/>
      <c r="AF348" s="113">
        <f t="shared" si="191"/>
        <v>0</v>
      </c>
      <c r="AG348" s="26">
        <v>2022</v>
      </c>
      <c r="AH348" s="26" t="str">
        <f t="shared" si="164"/>
        <v>Chip Seal and Fog</v>
      </c>
      <c r="AI348" s="26" t="str">
        <f t="shared" si="187"/>
        <v/>
      </c>
      <c r="AJ348" s="26" t="str">
        <f t="shared" si="187"/>
        <v/>
      </c>
      <c r="AK348" s="26" t="str">
        <f t="shared" si="169"/>
        <v/>
      </c>
      <c r="AL348" s="26" t="str">
        <f t="shared" si="185"/>
        <v/>
      </c>
      <c r="AM348" s="26" t="str">
        <f t="shared" si="184"/>
        <v/>
      </c>
      <c r="AN348" s="26" t="str">
        <f t="shared" si="175"/>
        <v>Chip Seal and Fog</v>
      </c>
      <c r="AO348" s="26" t="str">
        <f t="shared" si="186"/>
        <v/>
      </c>
      <c r="AP348" s="26" t="str">
        <f t="shared" si="176"/>
        <v>Chip Seal and Fog</v>
      </c>
      <c r="AQ348" s="68">
        <f t="shared" si="171"/>
        <v>14</v>
      </c>
      <c r="AR348" s="68">
        <f t="shared" si="172"/>
        <v>6</v>
      </c>
      <c r="AS348" s="68">
        <f t="shared" si="177"/>
        <v>1.5</v>
      </c>
      <c r="AT348" s="68">
        <f t="shared" si="178"/>
        <v>1.75</v>
      </c>
      <c r="AU348" s="68">
        <f t="shared" si="179"/>
        <v>1</v>
      </c>
      <c r="AV348" s="68">
        <f t="shared" si="180"/>
        <v>1</v>
      </c>
      <c r="AW348" s="68">
        <f t="shared" si="181"/>
        <v>1</v>
      </c>
      <c r="AX348" s="68">
        <f t="shared" ca="1" si="173"/>
        <v>-2</v>
      </c>
      <c r="AY348" s="68">
        <v>2022</v>
      </c>
      <c r="AZ348" s="68" t="s">
        <v>13</v>
      </c>
      <c r="BA348" s="106" t="str">
        <f t="shared" si="182"/>
        <v/>
      </c>
      <c r="BB348" s="178"/>
      <c r="BC348" s="178">
        <v>2</v>
      </c>
      <c r="BD348" s="178"/>
      <c r="BE348" s="178"/>
      <c r="BF348" s="178"/>
      <c r="BG348" s="178"/>
      <c r="BH348" s="178"/>
      <c r="BI348" s="33" t="s">
        <v>2378</v>
      </c>
      <c r="BK348" s="48">
        <f>$G348/5280*VLOOKUP($AC348,'Cost and Score'!$B$27:$O$40,6,0)</f>
        <v>0.20026515151515151</v>
      </c>
      <c r="BL348" s="48">
        <f>$G348/5280*VLOOKUP($AC348,'Cost and Score'!$B$27:$O$40,7,0)</f>
        <v>22.029166666666665</v>
      </c>
      <c r="BM348" s="48">
        <f>$G348/5280*VLOOKUP($AC348,'Cost and Score'!$B$27:$O$40,8,0)</f>
        <v>0</v>
      </c>
      <c r="BN348" s="48">
        <f>$G348/5280*VLOOKUP($AC348,'Cost and Score'!$B$27:$O$40,9,0)</f>
        <v>4505.965909090909</v>
      </c>
      <c r="BO348" s="48">
        <f>$G348/5280*VLOOKUP($AC348,'Cost and Score'!$B$27:$O$40,10,0)</f>
        <v>1001.3257575757575</v>
      </c>
      <c r="BP348" s="48">
        <f>$G348/5280*VLOOKUP($AC348,'Cost and Score'!$B$27:$O$40,11,0)</f>
        <v>0</v>
      </c>
      <c r="BQ348" s="48">
        <f>$G348/5280*VLOOKUP($AC348,'Cost and Score'!$B$27:$O$40,12,0)</f>
        <v>100.13257575757575</v>
      </c>
      <c r="BR348" s="48">
        <f>$G348/5280*VLOOKUP($AC348,'Cost and Score'!$B$27:$O$40,13,0)</f>
        <v>120.15909090909089</v>
      </c>
      <c r="BS348" s="48">
        <f>$G348/5280*VLOOKUP($AC348,'Cost and Score'!$B$27:$O$40,14,0)</f>
        <v>0</v>
      </c>
      <c r="BT348" s="220">
        <f t="shared" si="183"/>
        <v>1.0013257575757575</v>
      </c>
      <c r="CS348" s="112"/>
      <c r="CT348" s="112"/>
      <c r="CU348" s="112"/>
      <c r="CV348" s="112"/>
    </row>
    <row r="349" spans="1:103" s="2" customFormat="1" ht="14.45" hidden="1" customHeight="1" x14ac:dyDescent="0.25">
      <c r="A349" s="15" t="s">
        <v>797</v>
      </c>
      <c r="B349" s="34" t="s">
        <v>796</v>
      </c>
      <c r="C349" s="26" t="s">
        <v>796</v>
      </c>
      <c r="D349" s="26"/>
      <c r="E349" s="26" t="s">
        <v>38</v>
      </c>
      <c r="F349" s="26" t="s">
        <v>20</v>
      </c>
      <c r="G349" s="29">
        <v>5280</v>
      </c>
      <c r="H349" s="29">
        <f t="shared" si="189"/>
        <v>20</v>
      </c>
      <c r="I349" s="26" t="s">
        <v>13</v>
      </c>
      <c r="J349" s="26" t="s">
        <v>62</v>
      </c>
      <c r="K349" s="26">
        <f t="shared" si="188"/>
        <v>0</v>
      </c>
      <c r="L349" s="42">
        <v>7</v>
      </c>
      <c r="M349" s="42">
        <v>7</v>
      </c>
      <c r="N349" s="42">
        <v>7</v>
      </c>
      <c r="O349" s="42">
        <v>7</v>
      </c>
      <c r="P349" s="42">
        <v>7</v>
      </c>
      <c r="Q349" s="42">
        <v>8</v>
      </c>
      <c r="R349" s="42">
        <v>8</v>
      </c>
      <c r="S349" s="42">
        <v>6</v>
      </c>
      <c r="T349" s="42">
        <v>6</v>
      </c>
      <c r="U349" s="42">
        <v>8</v>
      </c>
      <c r="V349" s="42"/>
      <c r="W349" s="42"/>
      <c r="X349" s="42"/>
      <c r="Y349" s="26">
        <v>49</v>
      </c>
      <c r="Z349" s="26">
        <f t="shared" si="190"/>
        <v>0</v>
      </c>
      <c r="AA349" s="26" t="s">
        <v>64</v>
      </c>
      <c r="AB349" s="111">
        <f t="shared" si="174"/>
        <v>3</v>
      </c>
      <c r="AC349" s="26" t="s">
        <v>13</v>
      </c>
      <c r="AD349" s="47">
        <f t="shared" si="170"/>
        <v>21000</v>
      </c>
      <c r="AE349" s="140"/>
      <c r="AF349" s="113">
        <f t="shared" si="191"/>
        <v>0</v>
      </c>
      <c r="AG349" s="26">
        <v>2022</v>
      </c>
      <c r="AH349" s="26" t="str">
        <f t="shared" si="164"/>
        <v>Chip Seal and Fog</v>
      </c>
      <c r="AI349" s="26" t="str">
        <f t="shared" si="187"/>
        <v/>
      </c>
      <c r="AJ349" s="26" t="str">
        <f t="shared" si="187"/>
        <v/>
      </c>
      <c r="AK349" s="26" t="str">
        <f t="shared" si="169"/>
        <v/>
      </c>
      <c r="AL349" s="26" t="str">
        <f t="shared" si="185"/>
        <v/>
      </c>
      <c r="AM349" s="26" t="str">
        <f t="shared" si="184"/>
        <v/>
      </c>
      <c r="AN349" s="26" t="str">
        <f t="shared" si="175"/>
        <v>Chip Seal and Fog</v>
      </c>
      <c r="AO349" s="26" t="str">
        <f t="shared" si="186"/>
        <v/>
      </c>
      <c r="AP349" s="26" t="str">
        <f t="shared" si="176"/>
        <v>Chip Seal and Fog</v>
      </c>
      <c r="AQ349" s="68">
        <f t="shared" si="171"/>
        <v>10</v>
      </c>
      <c r="AR349" s="68">
        <f t="shared" si="172"/>
        <v>6</v>
      </c>
      <c r="AS349" s="68">
        <f t="shared" si="177"/>
        <v>1.05</v>
      </c>
      <c r="AT349" s="68">
        <f t="shared" si="178"/>
        <v>1.05</v>
      </c>
      <c r="AU349" s="68">
        <f t="shared" si="179"/>
        <v>1.05</v>
      </c>
      <c r="AV349" s="68">
        <f t="shared" si="180"/>
        <v>1.05</v>
      </c>
      <c r="AW349" s="68">
        <f t="shared" si="181"/>
        <v>1.05</v>
      </c>
      <c r="AX349" s="68">
        <f t="shared" ca="1" si="173"/>
        <v>-2.1</v>
      </c>
      <c r="AY349" s="68">
        <v>2022</v>
      </c>
      <c r="AZ349" s="68" t="s">
        <v>13</v>
      </c>
      <c r="BA349" s="106" t="str">
        <f t="shared" si="182"/>
        <v/>
      </c>
      <c r="BB349" s="178"/>
      <c r="BC349" s="178">
        <v>1</v>
      </c>
      <c r="BD349" s="178"/>
      <c r="BE349" s="178"/>
      <c r="BF349" s="178"/>
      <c r="BG349" s="178"/>
      <c r="BH349" s="178"/>
      <c r="BI349" s="33"/>
      <c r="BK349" s="48">
        <f>$G349/5280*VLOOKUP($AC349,'Cost and Score'!$B$27:$O$40,6,0)</f>
        <v>0.2</v>
      </c>
      <c r="BL349" s="48">
        <f>$G349/5280*VLOOKUP($AC349,'Cost and Score'!$B$27:$O$40,7,0)</f>
        <v>22</v>
      </c>
      <c r="BM349" s="48">
        <f>$G349/5280*VLOOKUP($AC349,'Cost and Score'!$B$27:$O$40,8,0)</f>
        <v>0</v>
      </c>
      <c r="BN349" s="48">
        <f>$G349/5280*VLOOKUP($AC349,'Cost and Score'!$B$27:$O$40,9,0)</f>
        <v>4500</v>
      </c>
      <c r="BO349" s="48">
        <f>$G349/5280*VLOOKUP($AC349,'Cost and Score'!$B$27:$O$40,10,0)</f>
        <v>1000</v>
      </c>
      <c r="BP349" s="48">
        <f>$G349/5280*VLOOKUP($AC349,'Cost and Score'!$B$27:$O$40,11,0)</f>
        <v>0</v>
      </c>
      <c r="BQ349" s="48">
        <f>$G349/5280*VLOOKUP($AC349,'Cost and Score'!$B$27:$O$40,12,0)</f>
        <v>100</v>
      </c>
      <c r="BR349" s="48">
        <f>$G349/5280*VLOOKUP($AC349,'Cost and Score'!$B$27:$O$40,13,0)</f>
        <v>120</v>
      </c>
      <c r="BS349" s="48">
        <f>$G349/5280*VLOOKUP($AC349,'Cost and Score'!$B$27:$O$40,14,0)</f>
        <v>0</v>
      </c>
      <c r="BT349" s="220">
        <f t="shared" si="183"/>
        <v>1</v>
      </c>
    </row>
    <row r="350" spans="1:103" s="2" customFormat="1" ht="14.45" customHeight="1" x14ac:dyDescent="0.25">
      <c r="A350" s="15" t="s">
        <v>595</v>
      </c>
      <c r="B350" s="34" t="s">
        <v>594</v>
      </c>
      <c r="C350" s="26" t="s">
        <v>594</v>
      </c>
      <c r="D350" s="82"/>
      <c r="E350" s="82" t="s">
        <v>9</v>
      </c>
      <c r="F350" s="82" t="s">
        <v>213</v>
      </c>
      <c r="G350" s="29">
        <v>5326</v>
      </c>
      <c r="H350" s="29">
        <f t="shared" si="189"/>
        <v>20</v>
      </c>
      <c r="I350" s="26" t="s">
        <v>13</v>
      </c>
      <c r="J350" s="26" t="s">
        <v>11</v>
      </c>
      <c r="K350" s="26">
        <f t="shared" si="188"/>
        <v>0</v>
      </c>
      <c r="L350" s="42">
        <v>7</v>
      </c>
      <c r="M350" s="42">
        <v>7</v>
      </c>
      <c r="N350" s="42">
        <v>7</v>
      </c>
      <c r="O350" s="83">
        <v>5</v>
      </c>
      <c r="P350" s="83">
        <v>5</v>
      </c>
      <c r="Q350" s="83">
        <v>5</v>
      </c>
      <c r="R350" s="83">
        <v>7</v>
      </c>
      <c r="S350" s="83">
        <v>7</v>
      </c>
      <c r="T350" s="83">
        <v>6</v>
      </c>
      <c r="U350" s="83">
        <v>6</v>
      </c>
      <c r="V350" s="42"/>
      <c r="W350" s="42"/>
      <c r="X350" s="42"/>
      <c r="Y350" s="26">
        <v>147</v>
      </c>
      <c r="Z350" s="26">
        <f t="shared" si="190"/>
        <v>0</v>
      </c>
      <c r="AA350" s="82" t="s">
        <v>124</v>
      </c>
      <c r="AB350" s="111">
        <f t="shared" si="174"/>
        <v>5</v>
      </c>
      <c r="AC350" s="82" t="s">
        <v>13</v>
      </c>
      <c r="AD350" s="84">
        <f t="shared" si="170"/>
        <v>21182.954545454544</v>
      </c>
      <c r="AE350" s="140"/>
      <c r="AF350" s="113">
        <f t="shared" si="191"/>
        <v>0</v>
      </c>
      <c r="AG350" s="106">
        <v>2025</v>
      </c>
      <c r="AH350" s="26" t="str">
        <f t="shared" si="164"/>
        <v/>
      </c>
      <c r="AI350" s="26" t="str">
        <f t="shared" si="187"/>
        <v/>
      </c>
      <c r="AJ350" s="26" t="str">
        <f t="shared" si="187"/>
        <v/>
      </c>
      <c r="AK350" s="26" t="str">
        <f t="shared" si="169"/>
        <v>Chip Seal and Fog</v>
      </c>
      <c r="AL350" s="26" t="str">
        <f t="shared" si="185"/>
        <v/>
      </c>
      <c r="AM350" s="26" t="str">
        <f t="shared" si="184"/>
        <v/>
      </c>
      <c r="AN350" s="26" t="str">
        <f t="shared" si="175"/>
        <v>Chip Seal and Fog</v>
      </c>
      <c r="AO350" s="26" t="str">
        <f t="shared" si="186"/>
        <v/>
      </c>
      <c r="AP350" s="26" t="str">
        <f t="shared" si="176"/>
        <v/>
      </c>
      <c r="AQ350" s="68">
        <f t="shared" si="171"/>
        <v>6</v>
      </c>
      <c r="AR350" s="68">
        <f t="shared" si="172"/>
        <v>6</v>
      </c>
      <c r="AS350" s="68">
        <f t="shared" si="177"/>
        <v>1.05</v>
      </c>
      <c r="AT350" s="68">
        <f t="shared" si="178"/>
        <v>1.05</v>
      </c>
      <c r="AU350" s="68">
        <f t="shared" si="179"/>
        <v>1.05</v>
      </c>
      <c r="AV350" s="68">
        <f t="shared" si="180"/>
        <v>1.25</v>
      </c>
      <c r="AW350" s="68">
        <f t="shared" si="181"/>
        <v>1.25</v>
      </c>
      <c r="AX350" s="68">
        <f t="shared" ca="1" si="173"/>
        <v>1.05</v>
      </c>
      <c r="AY350" s="106">
        <v>2019</v>
      </c>
      <c r="AZ350" s="106" t="s">
        <v>2073</v>
      </c>
      <c r="BA350" s="106" t="str">
        <f t="shared" si="182"/>
        <v/>
      </c>
      <c r="BB350" s="177"/>
      <c r="BC350" s="177">
        <v>2</v>
      </c>
      <c r="BD350" s="177"/>
      <c r="BE350" s="177"/>
      <c r="BF350" s="177"/>
      <c r="BG350" s="177"/>
      <c r="BH350" s="177"/>
      <c r="BI350" s="33"/>
      <c r="BK350" s="48">
        <f>$G350/5280*VLOOKUP($AC350,'Cost and Score'!$B$27:$O$40,6,0)</f>
        <v>0.20174242424242428</v>
      </c>
      <c r="BL350" s="48">
        <f>$G350/5280*VLOOKUP($AC350,'Cost and Score'!$B$27:$O$40,7,0)</f>
        <v>22.19166666666667</v>
      </c>
      <c r="BM350" s="48">
        <f>$G350/5280*VLOOKUP($AC350,'Cost and Score'!$B$27:$O$40,8,0)</f>
        <v>0</v>
      </c>
      <c r="BN350" s="48">
        <f>$G350/5280*VLOOKUP($AC350,'Cost and Score'!$B$27:$O$40,9,0)</f>
        <v>4539.204545454546</v>
      </c>
      <c r="BO350" s="48">
        <f>$G350/5280*VLOOKUP($AC350,'Cost and Score'!$B$27:$O$40,10,0)</f>
        <v>1008.7121212121212</v>
      </c>
      <c r="BP350" s="48">
        <f>$G350/5280*VLOOKUP($AC350,'Cost and Score'!$B$27:$O$40,11,0)</f>
        <v>0</v>
      </c>
      <c r="BQ350" s="48">
        <f>$G350/5280*VLOOKUP($AC350,'Cost and Score'!$B$27:$O$40,12,0)</f>
        <v>100.87121212121212</v>
      </c>
      <c r="BR350" s="48">
        <f>$G350/5280*VLOOKUP($AC350,'Cost and Score'!$B$27:$O$40,13,0)</f>
        <v>121.04545454545456</v>
      </c>
      <c r="BS350" s="48">
        <f>$G350/5280*VLOOKUP($AC350,'Cost and Score'!$B$27:$O$40,14,0)</f>
        <v>0</v>
      </c>
      <c r="BT350" s="220">
        <f t="shared" si="183"/>
        <v>1.0087121212121213</v>
      </c>
      <c r="CW350" s="112"/>
      <c r="CX350" s="112"/>
      <c r="CY350" s="112"/>
    </row>
    <row r="351" spans="1:103" s="2" customFormat="1" ht="14.45" hidden="1" customHeight="1" x14ac:dyDescent="0.25">
      <c r="A351" s="15" t="s">
        <v>801</v>
      </c>
      <c r="B351" s="34" t="s">
        <v>800</v>
      </c>
      <c r="C351" s="26" t="s">
        <v>800</v>
      </c>
      <c r="D351" s="26"/>
      <c r="E351" s="26" t="s">
        <v>99</v>
      </c>
      <c r="F351" s="26" t="s">
        <v>100</v>
      </c>
      <c r="G351" s="29">
        <v>5374</v>
      </c>
      <c r="H351" s="29">
        <f t="shared" si="189"/>
        <v>20</v>
      </c>
      <c r="I351" s="26" t="s">
        <v>8</v>
      </c>
      <c r="J351" s="26" t="s">
        <v>172</v>
      </c>
      <c r="K351" s="26">
        <f t="shared" si="188"/>
        <v>0</v>
      </c>
      <c r="L351" s="42">
        <v>5</v>
      </c>
      <c r="M351" s="42">
        <v>5</v>
      </c>
      <c r="N351" s="42">
        <v>5</v>
      </c>
      <c r="O351" s="42">
        <v>8</v>
      </c>
      <c r="P351" s="42">
        <v>8</v>
      </c>
      <c r="Q351" s="42">
        <v>7</v>
      </c>
      <c r="R351" s="42">
        <v>7</v>
      </c>
      <c r="S351" s="42">
        <v>7</v>
      </c>
      <c r="T351" s="42">
        <v>7</v>
      </c>
      <c r="U351" s="42">
        <v>7</v>
      </c>
      <c r="V351" s="42"/>
      <c r="W351" s="42"/>
      <c r="X351" s="42"/>
      <c r="Y351" s="26">
        <v>300</v>
      </c>
      <c r="Z351" s="26">
        <f t="shared" si="190"/>
        <v>0</v>
      </c>
      <c r="AA351" s="26" t="s">
        <v>64</v>
      </c>
      <c r="AB351" s="111">
        <f t="shared" si="174"/>
        <v>2</v>
      </c>
      <c r="AC351" s="26" t="s">
        <v>13</v>
      </c>
      <c r="AD351" s="47">
        <f t="shared" si="170"/>
        <v>21373.863636363636</v>
      </c>
      <c r="AE351" s="140"/>
      <c r="AF351" s="113">
        <f t="shared" si="191"/>
        <v>0</v>
      </c>
      <c r="AG351" s="26">
        <v>2022</v>
      </c>
      <c r="AH351" s="26" t="str">
        <f t="shared" si="164"/>
        <v>Chip Seal and Fog</v>
      </c>
      <c r="AI351" s="26" t="str">
        <f t="shared" si="187"/>
        <v/>
      </c>
      <c r="AJ351" s="26" t="str">
        <f t="shared" si="187"/>
        <v/>
      </c>
      <c r="AK351" s="26" t="str">
        <f t="shared" si="169"/>
        <v/>
      </c>
      <c r="AL351" s="26" t="str">
        <f t="shared" si="185"/>
        <v/>
      </c>
      <c r="AM351" s="26" t="str">
        <f t="shared" si="184"/>
        <v/>
      </c>
      <c r="AN351" s="26" t="str">
        <f t="shared" si="175"/>
        <v>Chip Seal and Fog</v>
      </c>
      <c r="AO351" s="26" t="str">
        <f t="shared" si="186"/>
        <v/>
      </c>
      <c r="AP351" s="26" t="str">
        <f t="shared" si="176"/>
        <v/>
      </c>
      <c r="AQ351" s="68">
        <f t="shared" si="171"/>
        <v>12</v>
      </c>
      <c r="AR351" s="68">
        <f t="shared" si="172"/>
        <v>6</v>
      </c>
      <c r="AS351" s="68">
        <f t="shared" si="177"/>
        <v>1.25</v>
      </c>
      <c r="AT351" s="68">
        <f t="shared" si="178"/>
        <v>1.25</v>
      </c>
      <c r="AU351" s="68">
        <f t="shared" si="179"/>
        <v>1.25</v>
      </c>
      <c r="AV351" s="68">
        <f t="shared" si="180"/>
        <v>1</v>
      </c>
      <c r="AW351" s="68">
        <f t="shared" si="181"/>
        <v>1</v>
      </c>
      <c r="AX351" s="68">
        <f t="shared" ca="1" si="173"/>
        <v>-2.5</v>
      </c>
      <c r="AY351" s="68">
        <v>2015</v>
      </c>
      <c r="AZ351" s="68" t="s">
        <v>2072</v>
      </c>
      <c r="BA351" s="106" t="str">
        <f t="shared" si="182"/>
        <v/>
      </c>
      <c r="BB351" s="178"/>
      <c r="BC351" s="178">
        <v>9</v>
      </c>
      <c r="BD351" s="178"/>
      <c r="BE351" s="178"/>
      <c r="BF351" s="178"/>
      <c r="BG351" s="178"/>
      <c r="BH351" s="178"/>
      <c r="BI351" s="33"/>
      <c r="BK351" s="48">
        <f>$G351/5280*VLOOKUP($AC351,'Cost and Score'!$B$27:$O$40,6,0)</f>
        <v>0.20356060606060608</v>
      </c>
      <c r="BL351" s="48">
        <f>$G351/5280*VLOOKUP($AC351,'Cost and Score'!$B$27:$O$40,7,0)</f>
        <v>22.391666666666666</v>
      </c>
      <c r="BM351" s="48">
        <f>$G351/5280*VLOOKUP($AC351,'Cost and Score'!$B$27:$O$40,8,0)</f>
        <v>0</v>
      </c>
      <c r="BN351" s="48">
        <f>$G351/5280*VLOOKUP($AC351,'Cost and Score'!$B$27:$O$40,9,0)</f>
        <v>4580.113636363636</v>
      </c>
      <c r="BO351" s="48">
        <f>$G351/5280*VLOOKUP($AC351,'Cost and Score'!$B$27:$O$40,10,0)</f>
        <v>1017.8030303030304</v>
      </c>
      <c r="BP351" s="48">
        <f>$G351/5280*VLOOKUP($AC351,'Cost and Score'!$B$27:$O$40,11,0)</f>
        <v>0</v>
      </c>
      <c r="BQ351" s="48">
        <f>$G351/5280*VLOOKUP($AC351,'Cost and Score'!$B$27:$O$40,12,0)</f>
        <v>101.78030303030303</v>
      </c>
      <c r="BR351" s="48">
        <f>$G351/5280*VLOOKUP($AC351,'Cost and Score'!$B$27:$O$40,13,0)</f>
        <v>122.13636363636364</v>
      </c>
      <c r="BS351" s="48">
        <f>$G351/5280*VLOOKUP($AC351,'Cost and Score'!$B$27:$O$40,14,0)</f>
        <v>0</v>
      </c>
      <c r="BT351" s="220">
        <f t="shared" si="183"/>
        <v>1.0178030303030303</v>
      </c>
    </row>
    <row r="352" spans="1:103" s="2" customFormat="1" ht="14.45" hidden="1" customHeight="1" x14ac:dyDescent="0.25">
      <c r="A352" s="15" t="s">
        <v>803</v>
      </c>
      <c r="B352" s="34" t="s">
        <v>802</v>
      </c>
      <c r="C352" s="26" t="s">
        <v>802</v>
      </c>
      <c r="D352" s="26"/>
      <c r="E352" s="26" t="s">
        <v>21</v>
      </c>
      <c r="F352" s="26" t="s">
        <v>20</v>
      </c>
      <c r="G352" s="29">
        <v>5280</v>
      </c>
      <c r="H352" s="29">
        <f t="shared" si="189"/>
        <v>20</v>
      </c>
      <c r="I352" s="26" t="s">
        <v>13</v>
      </c>
      <c r="J352" s="26" t="s">
        <v>62</v>
      </c>
      <c r="K352" s="26">
        <f t="shared" si="188"/>
        <v>0</v>
      </c>
      <c r="L352" s="42">
        <v>7</v>
      </c>
      <c r="M352" s="42">
        <v>7</v>
      </c>
      <c r="N352" s="42">
        <v>7</v>
      </c>
      <c r="O352" s="42">
        <v>6</v>
      </c>
      <c r="P352" s="42">
        <v>6</v>
      </c>
      <c r="Q352" s="42">
        <v>9</v>
      </c>
      <c r="R352" s="42">
        <v>8</v>
      </c>
      <c r="S352" s="42">
        <v>6</v>
      </c>
      <c r="T352" s="42">
        <v>5</v>
      </c>
      <c r="U352" s="42">
        <v>8</v>
      </c>
      <c r="V352" s="42"/>
      <c r="W352" s="42"/>
      <c r="X352" s="42"/>
      <c r="Y352" s="26">
        <v>64</v>
      </c>
      <c r="Z352" s="26">
        <f t="shared" si="190"/>
        <v>0</v>
      </c>
      <c r="AA352" s="26" t="s">
        <v>64</v>
      </c>
      <c r="AB352" s="111">
        <f t="shared" si="174"/>
        <v>4</v>
      </c>
      <c r="AC352" s="26" t="s">
        <v>13</v>
      </c>
      <c r="AD352" s="47">
        <f t="shared" si="170"/>
        <v>21000</v>
      </c>
      <c r="AE352" s="140"/>
      <c r="AF352" s="113">
        <f t="shared" si="191"/>
        <v>0</v>
      </c>
      <c r="AG352" s="26">
        <v>2022</v>
      </c>
      <c r="AH352" s="26" t="str">
        <f t="shared" si="164"/>
        <v>Chip Seal and Fog</v>
      </c>
      <c r="AI352" s="26" t="str">
        <f t="shared" ref="AI352:AJ371" si="192">IF($AG352=AI$1,VLOOKUP($AC352,RSL,3,FALSE),"")</f>
        <v/>
      </c>
      <c r="AJ352" s="26" t="str">
        <f t="shared" si="192"/>
        <v/>
      </c>
      <c r="AK352" s="26" t="str">
        <f t="shared" si="169"/>
        <v/>
      </c>
      <c r="AL352" s="26" t="str">
        <f t="shared" si="185"/>
        <v/>
      </c>
      <c r="AM352" s="26" t="str">
        <f t="shared" si="184"/>
        <v/>
      </c>
      <c r="AN352" s="26" t="str">
        <f t="shared" si="175"/>
        <v>Chip Seal and Fog</v>
      </c>
      <c r="AO352" s="26" t="str">
        <f t="shared" si="186"/>
        <v/>
      </c>
      <c r="AP352" s="26" t="str">
        <f t="shared" si="176"/>
        <v>Chip Seal and Fog</v>
      </c>
      <c r="AQ352" s="68">
        <f t="shared" si="171"/>
        <v>8</v>
      </c>
      <c r="AR352" s="68">
        <f t="shared" si="172"/>
        <v>6</v>
      </c>
      <c r="AS352" s="68">
        <f t="shared" si="177"/>
        <v>1.05</v>
      </c>
      <c r="AT352" s="68">
        <f t="shared" si="178"/>
        <v>1.05</v>
      </c>
      <c r="AU352" s="68">
        <f t="shared" si="179"/>
        <v>1.05</v>
      </c>
      <c r="AV352" s="68">
        <f t="shared" si="180"/>
        <v>1.1000000000000001</v>
      </c>
      <c r="AW352" s="68">
        <f t="shared" si="181"/>
        <v>1.1000000000000001</v>
      </c>
      <c r="AX352" s="68">
        <f t="shared" ca="1" si="173"/>
        <v>-2.1</v>
      </c>
      <c r="AY352" s="68">
        <v>2022</v>
      </c>
      <c r="AZ352" s="68" t="s">
        <v>13</v>
      </c>
      <c r="BA352" s="106" t="str">
        <f t="shared" si="182"/>
        <v/>
      </c>
      <c r="BB352" s="178"/>
      <c r="BC352" s="178">
        <v>1</v>
      </c>
      <c r="BD352" s="178"/>
      <c r="BE352" s="178"/>
      <c r="BF352" s="178"/>
      <c r="BG352" s="178"/>
      <c r="BH352" s="178"/>
      <c r="BI352" s="33"/>
      <c r="BK352" s="48">
        <f>$G352/5280*VLOOKUP($AC352,'Cost and Score'!$B$27:$O$40,6,0)</f>
        <v>0.2</v>
      </c>
      <c r="BL352" s="48">
        <f>$G352/5280*VLOOKUP($AC352,'Cost and Score'!$B$27:$O$40,7,0)</f>
        <v>22</v>
      </c>
      <c r="BM352" s="48">
        <f>$G352/5280*VLOOKUP($AC352,'Cost and Score'!$B$27:$O$40,8,0)</f>
        <v>0</v>
      </c>
      <c r="BN352" s="48">
        <f>$G352/5280*VLOOKUP($AC352,'Cost and Score'!$B$27:$O$40,9,0)</f>
        <v>4500</v>
      </c>
      <c r="BO352" s="48">
        <f>$G352/5280*VLOOKUP($AC352,'Cost and Score'!$B$27:$O$40,10,0)</f>
        <v>1000</v>
      </c>
      <c r="BP352" s="48">
        <f>$G352/5280*VLOOKUP($AC352,'Cost and Score'!$B$27:$O$40,11,0)</f>
        <v>0</v>
      </c>
      <c r="BQ352" s="48">
        <f>$G352/5280*VLOOKUP($AC352,'Cost and Score'!$B$27:$O$40,12,0)</f>
        <v>100</v>
      </c>
      <c r="BR352" s="48">
        <f>$G352/5280*VLOOKUP($AC352,'Cost and Score'!$B$27:$O$40,13,0)</f>
        <v>120</v>
      </c>
      <c r="BS352" s="48">
        <f>$G352/5280*VLOOKUP($AC352,'Cost and Score'!$B$27:$O$40,14,0)</f>
        <v>0</v>
      </c>
      <c r="BT352" s="220">
        <f t="shared" si="183"/>
        <v>1</v>
      </c>
    </row>
    <row r="353" spans="1:103" s="112" customFormat="1" ht="14.45" customHeight="1" x14ac:dyDescent="0.25">
      <c r="A353" s="15" t="s">
        <v>359</v>
      </c>
      <c r="B353" s="34" t="s">
        <v>358</v>
      </c>
      <c r="C353" s="26" t="s">
        <v>358</v>
      </c>
      <c r="D353" s="82"/>
      <c r="E353" s="82" t="s">
        <v>59</v>
      </c>
      <c r="F353" s="82" t="s">
        <v>64</v>
      </c>
      <c r="G353" s="29">
        <v>5360</v>
      </c>
      <c r="H353" s="29">
        <f t="shared" si="189"/>
        <v>20</v>
      </c>
      <c r="I353" s="26" t="s">
        <v>8</v>
      </c>
      <c r="J353" s="26" t="s">
        <v>172</v>
      </c>
      <c r="K353" s="26">
        <f t="shared" si="188"/>
        <v>0</v>
      </c>
      <c r="L353" s="42">
        <v>6</v>
      </c>
      <c r="M353" s="42">
        <v>5</v>
      </c>
      <c r="N353" s="42">
        <v>5</v>
      </c>
      <c r="O353" s="83">
        <v>5</v>
      </c>
      <c r="P353" s="83">
        <v>5</v>
      </c>
      <c r="Q353" s="83">
        <v>5</v>
      </c>
      <c r="R353" s="83">
        <v>9</v>
      </c>
      <c r="S353" s="83">
        <v>8</v>
      </c>
      <c r="T353" s="83">
        <v>7</v>
      </c>
      <c r="U353" s="83">
        <v>7</v>
      </c>
      <c r="V353" s="42"/>
      <c r="W353" s="42"/>
      <c r="X353" s="42"/>
      <c r="Y353" s="26">
        <v>141</v>
      </c>
      <c r="Z353" s="26">
        <f t="shared" si="190"/>
        <v>0</v>
      </c>
      <c r="AA353" s="82" t="s">
        <v>99</v>
      </c>
      <c r="AB353" s="111">
        <f t="shared" si="174"/>
        <v>5</v>
      </c>
      <c r="AC353" s="85" t="s">
        <v>13</v>
      </c>
      <c r="AD353" s="84">
        <f t="shared" si="170"/>
        <v>21318.18181818182</v>
      </c>
      <c r="AE353" s="140"/>
      <c r="AF353" s="113">
        <f t="shared" si="191"/>
        <v>0</v>
      </c>
      <c r="AG353" s="106">
        <v>2025</v>
      </c>
      <c r="AH353" s="26" t="str">
        <f t="shared" si="164"/>
        <v/>
      </c>
      <c r="AI353" s="26" t="str">
        <f t="shared" si="192"/>
        <v/>
      </c>
      <c r="AJ353" s="26" t="str">
        <f t="shared" si="192"/>
        <v/>
      </c>
      <c r="AK353" s="26" t="str">
        <f t="shared" si="169"/>
        <v>Chip Seal and Fog</v>
      </c>
      <c r="AL353" s="26" t="str">
        <f t="shared" si="185"/>
        <v/>
      </c>
      <c r="AM353" s="26" t="str">
        <f t="shared" si="184"/>
        <v/>
      </c>
      <c r="AN353" s="26" t="str">
        <f t="shared" si="175"/>
        <v>Chip Seal and Fog</v>
      </c>
      <c r="AO353" s="26" t="str">
        <f t="shared" si="186"/>
        <v/>
      </c>
      <c r="AP353" s="26" t="str">
        <f t="shared" si="176"/>
        <v/>
      </c>
      <c r="AQ353" s="68">
        <f t="shared" si="171"/>
        <v>6</v>
      </c>
      <c r="AR353" s="68">
        <f t="shared" si="172"/>
        <v>6</v>
      </c>
      <c r="AS353" s="68">
        <f t="shared" si="177"/>
        <v>1.1000000000000001</v>
      </c>
      <c r="AT353" s="68">
        <f t="shared" si="178"/>
        <v>1.25</v>
      </c>
      <c r="AU353" s="68">
        <f t="shared" si="179"/>
        <v>1.25</v>
      </c>
      <c r="AV353" s="68">
        <f t="shared" si="180"/>
        <v>1.25</v>
      </c>
      <c r="AW353" s="68">
        <f t="shared" si="181"/>
        <v>1.25</v>
      </c>
      <c r="AX353" s="68">
        <f t="shared" ca="1" si="173"/>
        <v>1.25</v>
      </c>
      <c r="AY353" s="106">
        <v>2019</v>
      </c>
      <c r="AZ353" s="106" t="s">
        <v>751</v>
      </c>
      <c r="BA353" s="106" t="str">
        <f t="shared" si="182"/>
        <v/>
      </c>
      <c r="BB353" s="177"/>
      <c r="BC353" s="177">
        <v>9</v>
      </c>
      <c r="BD353" s="177"/>
      <c r="BE353" s="177"/>
      <c r="BF353" s="177"/>
      <c r="BG353" s="177"/>
      <c r="BH353" s="177"/>
      <c r="BI353" s="33" t="s">
        <v>2493</v>
      </c>
      <c r="BJ353" s="2"/>
      <c r="BK353" s="48">
        <f>$G353/5280*VLOOKUP($AC353,'Cost and Score'!$B$27:$O$40,6,0)</f>
        <v>0.20303030303030303</v>
      </c>
      <c r="BL353" s="48">
        <f>$G353/5280*VLOOKUP($AC353,'Cost and Score'!$B$27:$O$40,7,0)</f>
        <v>22.333333333333332</v>
      </c>
      <c r="BM353" s="48">
        <f>$G353/5280*VLOOKUP($AC353,'Cost and Score'!$B$27:$O$40,8,0)</f>
        <v>0</v>
      </c>
      <c r="BN353" s="48">
        <f>$G353/5280*VLOOKUP($AC353,'Cost and Score'!$B$27:$O$40,9,0)</f>
        <v>4568.181818181818</v>
      </c>
      <c r="BO353" s="48">
        <f>$G353/5280*VLOOKUP($AC353,'Cost and Score'!$B$27:$O$40,10,0)</f>
        <v>1015.1515151515151</v>
      </c>
      <c r="BP353" s="48">
        <f>$G353/5280*VLOOKUP($AC353,'Cost and Score'!$B$27:$O$40,11,0)</f>
        <v>0</v>
      </c>
      <c r="BQ353" s="48">
        <f>$G353/5280*VLOOKUP($AC353,'Cost and Score'!$B$27:$O$40,12,0)</f>
        <v>101.51515151515152</v>
      </c>
      <c r="BR353" s="48">
        <f>$G353/5280*VLOOKUP($AC353,'Cost and Score'!$B$27:$O$40,13,0)</f>
        <v>121.81818181818181</v>
      </c>
      <c r="BS353" s="48">
        <f>$G353/5280*VLOOKUP($AC353,'Cost and Score'!$B$27:$O$40,14,0)</f>
        <v>0</v>
      </c>
      <c r="BT353" s="220">
        <f t="shared" si="183"/>
        <v>1.0151515151515151</v>
      </c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</row>
    <row r="354" spans="1:103" s="2" customFormat="1" ht="14.45" hidden="1" customHeight="1" x14ac:dyDescent="0.25">
      <c r="A354" s="15" t="s">
        <v>807</v>
      </c>
      <c r="B354" s="34" t="s">
        <v>806</v>
      </c>
      <c r="C354" s="26" t="s">
        <v>806</v>
      </c>
      <c r="D354" s="82"/>
      <c r="E354" s="82" t="s">
        <v>104</v>
      </c>
      <c r="F354" s="82" t="s">
        <v>99</v>
      </c>
      <c r="G354" s="29">
        <v>5300</v>
      </c>
      <c r="H354" s="29">
        <f t="shared" si="189"/>
        <v>20</v>
      </c>
      <c r="I354" s="26" t="s">
        <v>8</v>
      </c>
      <c r="J354" s="26" t="s">
        <v>172</v>
      </c>
      <c r="K354" s="26">
        <f t="shared" si="188"/>
        <v>0</v>
      </c>
      <c r="L354" s="42">
        <v>6</v>
      </c>
      <c r="M354" s="42">
        <v>6</v>
      </c>
      <c r="N354" s="42">
        <v>6</v>
      </c>
      <c r="O354" s="83">
        <v>6</v>
      </c>
      <c r="P354" s="83">
        <v>6</v>
      </c>
      <c r="Q354" s="83">
        <v>8</v>
      </c>
      <c r="R354" s="83">
        <v>7</v>
      </c>
      <c r="S354" s="83">
        <v>7</v>
      </c>
      <c r="T354" s="83">
        <v>7</v>
      </c>
      <c r="U354" s="83">
        <v>7</v>
      </c>
      <c r="V354" s="42"/>
      <c r="W354" s="42"/>
      <c r="X354" s="42"/>
      <c r="Y354" s="26">
        <v>226</v>
      </c>
      <c r="Z354" s="26">
        <f t="shared" si="190"/>
        <v>0</v>
      </c>
      <c r="AA354" s="82" t="s">
        <v>64</v>
      </c>
      <c r="AB354" s="111">
        <f t="shared" si="174"/>
        <v>4</v>
      </c>
      <c r="AC354" s="82" t="s">
        <v>13</v>
      </c>
      <c r="AD354" s="84">
        <f t="shared" si="170"/>
        <v>21079.545454545456</v>
      </c>
      <c r="AE354" s="140"/>
      <c r="AF354" s="113">
        <f t="shared" si="191"/>
        <v>0</v>
      </c>
      <c r="AG354" s="82">
        <v>2026</v>
      </c>
      <c r="AH354" s="26" t="str">
        <f t="shared" si="164"/>
        <v/>
      </c>
      <c r="AI354" s="26" t="str">
        <f t="shared" si="192"/>
        <v/>
      </c>
      <c r="AJ354" s="26" t="str">
        <f t="shared" si="192"/>
        <v/>
      </c>
      <c r="AK354" s="26" t="str">
        <f t="shared" si="169"/>
        <v/>
      </c>
      <c r="AL354" s="26" t="str">
        <f t="shared" si="185"/>
        <v>Chip Seal and Fog</v>
      </c>
      <c r="AM354" s="26" t="str">
        <f t="shared" si="184"/>
        <v/>
      </c>
      <c r="AN354" s="26" t="str">
        <f t="shared" si="175"/>
        <v>Chip Seal and Fog</v>
      </c>
      <c r="AO354" s="26" t="str">
        <f t="shared" si="186"/>
        <v/>
      </c>
      <c r="AP354" s="26" t="str">
        <f t="shared" si="176"/>
        <v/>
      </c>
      <c r="AQ354" s="68">
        <f t="shared" si="171"/>
        <v>8</v>
      </c>
      <c r="AR354" s="68">
        <f t="shared" si="172"/>
        <v>6</v>
      </c>
      <c r="AS354" s="68">
        <f t="shared" si="177"/>
        <v>1.1000000000000001</v>
      </c>
      <c r="AT354" s="68">
        <f t="shared" si="178"/>
        <v>1.1000000000000001</v>
      </c>
      <c r="AU354" s="68">
        <f t="shared" si="179"/>
        <v>1.1000000000000001</v>
      </c>
      <c r="AV354" s="68">
        <f t="shared" si="180"/>
        <v>1.1000000000000001</v>
      </c>
      <c r="AW354" s="68">
        <f t="shared" si="181"/>
        <v>1.1000000000000001</v>
      </c>
      <c r="AX354" s="68">
        <f t="shared" ca="1" si="173"/>
        <v>2.2000000000000002</v>
      </c>
      <c r="AY354" s="68">
        <v>2018</v>
      </c>
      <c r="AZ354" s="68" t="s">
        <v>2073</v>
      </c>
      <c r="BA354" s="106" t="str">
        <f t="shared" si="182"/>
        <v>DS</v>
      </c>
      <c r="BB354" s="178"/>
      <c r="BC354" s="178">
        <v>9</v>
      </c>
      <c r="BD354" s="178"/>
      <c r="BE354" s="178"/>
      <c r="BF354" s="178"/>
      <c r="BG354" s="178"/>
      <c r="BH354" s="178"/>
      <c r="BI354" s="33"/>
      <c r="BK354" s="48">
        <f>$G354/5280*VLOOKUP($AC354,'Cost and Score'!$B$27:$O$40,6,0)</f>
        <v>0.2007575757575758</v>
      </c>
      <c r="BL354" s="48">
        <f>$G354/5280*VLOOKUP($AC354,'Cost and Score'!$B$27:$O$40,7,0)</f>
        <v>22.083333333333336</v>
      </c>
      <c r="BM354" s="48">
        <f>$G354/5280*VLOOKUP($AC354,'Cost and Score'!$B$27:$O$40,8,0)</f>
        <v>0</v>
      </c>
      <c r="BN354" s="48">
        <f>$G354/5280*VLOOKUP($AC354,'Cost and Score'!$B$27:$O$40,9,0)</f>
        <v>4517.045454545455</v>
      </c>
      <c r="BO354" s="48">
        <f>$G354/5280*VLOOKUP($AC354,'Cost and Score'!$B$27:$O$40,10,0)</f>
        <v>1003.7878787878789</v>
      </c>
      <c r="BP354" s="48">
        <f>$G354/5280*VLOOKUP($AC354,'Cost and Score'!$B$27:$O$40,11,0)</f>
        <v>0</v>
      </c>
      <c r="BQ354" s="48">
        <f>$G354/5280*VLOOKUP($AC354,'Cost and Score'!$B$27:$O$40,12,0)</f>
        <v>100.37878787878789</v>
      </c>
      <c r="BR354" s="48">
        <f>$G354/5280*VLOOKUP($AC354,'Cost and Score'!$B$27:$O$40,13,0)</f>
        <v>120.45454545454547</v>
      </c>
      <c r="BS354" s="48">
        <f>$G354/5280*VLOOKUP($AC354,'Cost and Score'!$B$27:$O$40,14,0)</f>
        <v>0</v>
      </c>
      <c r="BT354" s="220">
        <f t="shared" si="183"/>
        <v>1.0037878787878789</v>
      </c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</row>
    <row r="355" spans="1:103" s="112" customFormat="1" ht="14.45" customHeight="1" x14ac:dyDescent="0.25">
      <c r="A355" s="37" t="s">
        <v>2357</v>
      </c>
      <c r="B355" s="34" t="s">
        <v>472</v>
      </c>
      <c r="C355" s="26" t="s">
        <v>472</v>
      </c>
      <c r="D355" s="82"/>
      <c r="E355" s="82" t="s">
        <v>9</v>
      </c>
      <c r="F355" s="82" t="s">
        <v>28</v>
      </c>
      <c r="G355" s="29">
        <v>5110</v>
      </c>
      <c r="H355" s="29">
        <f t="shared" si="189"/>
        <v>20</v>
      </c>
      <c r="I355" s="26" t="s">
        <v>13</v>
      </c>
      <c r="J355" s="26" t="s">
        <v>101</v>
      </c>
      <c r="K355" s="26">
        <v>0</v>
      </c>
      <c r="L355" s="42">
        <v>7</v>
      </c>
      <c r="M355" s="42">
        <v>6</v>
      </c>
      <c r="N355" s="42">
        <v>6</v>
      </c>
      <c r="O355" s="83">
        <v>6</v>
      </c>
      <c r="P355" s="83">
        <v>6</v>
      </c>
      <c r="Q355" s="83">
        <v>6</v>
      </c>
      <c r="R355" s="83">
        <v>8</v>
      </c>
      <c r="S355" s="83">
        <v>7</v>
      </c>
      <c r="T355" s="83">
        <v>7</v>
      </c>
      <c r="U355" s="83">
        <v>7</v>
      </c>
      <c r="V355" s="42"/>
      <c r="W355" s="42"/>
      <c r="X355" s="42"/>
      <c r="Y355" s="26">
        <v>141</v>
      </c>
      <c r="Z355" s="26">
        <f t="shared" si="190"/>
        <v>0</v>
      </c>
      <c r="AA355" s="82" t="s">
        <v>461</v>
      </c>
      <c r="AB355" s="111">
        <f t="shared" si="174"/>
        <v>4</v>
      </c>
      <c r="AC355" s="82" t="s">
        <v>13</v>
      </c>
      <c r="AD355" s="84">
        <f t="shared" si="170"/>
        <v>20323.863636363636</v>
      </c>
      <c r="AE355" s="140"/>
      <c r="AF355" s="113">
        <f t="shared" si="191"/>
        <v>0</v>
      </c>
      <c r="AG355" s="106">
        <v>2025</v>
      </c>
      <c r="AH355" s="26" t="str">
        <f t="shared" si="164"/>
        <v/>
      </c>
      <c r="AI355" s="26" t="str">
        <f t="shared" si="192"/>
        <v/>
      </c>
      <c r="AJ355" s="26" t="str">
        <f t="shared" si="192"/>
        <v/>
      </c>
      <c r="AK355" s="26" t="str">
        <f t="shared" si="169"/>
        <v>Chip Seal and Fog</v>
      </c>
      <c r="AL355" s="26" t="str">
        <f t="shared" si="185"/>
        <v/>
      </c>
      <c r="AM355" s="26" t="str">
        <f t="shared" si="184"/>
        <v/>
      </c>
      <c r="AN355" s="26" t="str">
        <f t="shared" si="175"/>
        <v>Chip Seal and Fog</v>
      </c>
      <c r="AO355" s="26" t="str">
        <f t="shared" si="186"/>
        <v/>
      </c>
      <c r="AP355" s="26" t="str">
        <f t="shared" si="176"/>
        <v/>
      </c>
      <c r="AQ355" s="68">
        <f t="shared" si="171"/>
        <v>8</v>
      </c>
      <c r="AR355" s="68">
        <f t="shared" si="172"/>
        <v>6</v>
      </c>
      <c r="AS355" s="68">
        <f t="shared" si="177"/>
        <v>1.05</v>
      </c>
      <c r="AT355" s="68">
        <f t="shared" si="178"/>
        <v>1.1000000000000001</v>
      </c>
      <c r="AU355" s="68">
        <f t="shared" si="179"/>
        <v>1.1000000000000001</v>
      </c>
      <c r="AV355" s="68">
        <f t="shared" si="180"/>
        <v>1.1000000000000001</v>
      </c>
      <c r="AW355" s="68">
        <f t="shared" si="181"/>
        <v>1.1000000000000001</v>
      </c>
      <c r="AX355" s="68">
        <f t="shared" ca="1" si="173"/>
        <v>1.1000000000000001</v>
      </c>
      <c r="AY355" s="106">
        <v>2019</v>
      </c>
      <c r="AZ355" s="106" t="s">
        <v>2073</v>
      </c>
      <c r="BA355" s="106" t="str">
        <f t="shared" si="182"/>
        <v/>
      </c>
      <c r="BB355" s="177"/>
      <c r="BC355" s="177">
        <v>3</v>
      </c>
      <c r="BD355" s="177"/>
      <c r="BE355" s="177"/>
      <c r="BF355" s="177"/>
      <c r="BG355" s="177"/>
      <c r="BH355" s="177"/>
      <c r="BI355" s="33"/>
      <c r="BJ355" s="2"/>
      <c r="BK355" s="48">
        <f>$G355/5280*VLOOKUP($AC355,'Cost and Score'!$B$27:$O$40,6,0)</f>
        <v>0.19356060606060607</v>
      </c>
      <c r="BL355" s="48">
        <f>$G355/5280*VLOOKUP($AC355,'Cost and Score'!$B$27:$O$40,7,0)</f>
        <v>21.291666666666664</v>
      </c>
      <c r="BM355" s="48">
        <f>$G355/5280*VLOOKUP($AC355,'Cost and Score'!$B$27:$O$40,8,0)</f>
        <v>0</v>
      </c>
      <c r="BN355" s="48">
        <f>$G355/5280*VLOOKUP($AC355,'Cost and Score'!$B$27:$O$40,9,0)</f>
        <v>4355.113636363636</v>
      </c>
      <c r="BO355" s="48">
        <f>$G355/5280*VLOOKUP($AC355,'Cost and Score'!$B$27:$O$40,10,0)</f>
        <v>967.80303030303025</v>
      </c>
      <c r="BP355" s="48">
        <f>$G355/5280*VLOOKUP($AC355,'Cost and Score'!$B$27:$O$40,11,0)</f>
        <v>0</v>
      </c>
      <c r="BQ355" s="48">
        <f>$G355/5280*VLOOKUP($AC355,'Cost and Score'!$B$27:$O$40,12,0)</f>
        <v>96.780303030303031</v>
      </c>
      <c r="BR355" s="48">
        <f>$G355/5280*VLOOKUP($AC355,'Cost and Score'!$B$27:$O$40,13,0)</f>
        <v>116.13636363636363</v>
      </c>
      <c r="BS355" s="48">
        <f>$G355/5280*VLOOKUP($AC355,'Cost and Score'!$B$27:$O$40,14,0)</f>
        <v>0</v>
      </c>
      <c r="BT355" s="220">
        <f t="shared" si="183"/>
        <v>0.96780303030303028</v>
      </c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</row>
    <row r="356" spans="1:103" s="2" customFormat="1" ht="14.45" hidden="1" customHeight="1" x14ac:dyDescent="0.25">
      <c r="A356" s="15" t="s">
        <v>811</v>
      </c>
      <c r="B356" s="34" t="s">
        <v>810</v>
      </c>
      <c r="C356" s="26" t="s">
        <v>810</v>
      </c>
      <c r="D356" s="26"/>
      <c r="E356" s="26" t="s">
        <v>197</v>
      </c>
      <c r="F356" s="26" t="s">
        <v>206</v>
      </c>
      <c r="G356" s="29">
        <v>1307</v>
      </c>
      <c r="H356" s="29">
        <f t="shared" si="189"/>
        <v>20</v>
      </c>
      <c r="I356" s="26" t="s">
        <v>13</v>
      </c>
      <c r="J356" s="26" t="s">
        <v>101</v>
      </c>
      <c r="K356" s="26">
        <v>0</v>
      </c>
      <c r="L356" s="42">
        <v>5</v>
      </c>
      <c r="M356" s="42">
        <v>4</v>
      </c>
      <c r="N356" s="42">
        <v>4</v>
      </c>
      <c r="O356" s="42">
        <v>8</v>
      </c>
      <c r="P356" s="42">
        <v>8</v>
      </c>
      <c r="Q356" s="42">
        <v>8</v>
      </c>
      <c r="R356" s="42">
        <v>7</v>
      </c>
      <c r="S356" s="42">
        <v>7</v>
      </c>
      <c r="T356" s="42">
        <v>7</v>
      </c>
      <c r="U356" s="42">
        <v>7</v>
      </c>
      <c r="V356" s="42"/>
      <c r="W356" s="42"/>
      <c r="X356" s="42"/>
      <c r="Y356" s="26">
        <v>50</v>
      </c>
      <c r="Z356" s="26">
        <f t="shared" si="190"/>
        <v>0</v>
      </c>
      <c r="AA356" s="26" t="s">
        <v>64</v>
      </c>
      <c r="AB356" s="111">
        <f t="shared" si="174"/>
        <v>2</v>
      </c>
      <c r="AC356" s="26" t="s">
        <v>13</v>
      </c>
      <c r="AD356" s="47">
        <f t="shared" si="170"/>
        <v>5198.295454545455</v>
      </c>
      <c r="AE356" s="140"/>
      <c r="AF356" s="113">
        <f t="shared" si="191"/>
        <v>0</v>
      </c>
      <c r="AG356" s="26">
        <v>2022</v>
      </c>
      <c r="AH356" s="26" t="str">
        <f t="shared" si="164"/>
        <v>Chip Seal and Fog</v>
      </c>
      <c r="AI356" s="26" t="str">
        <f t="shared" si="192"/>
        <v/>
      </c>
      <c r="AJ356" s="26" t="str">
        <f t="shared" si="192"/>
        <v/>
      </c>
      <c r="AK356" s="26" t="str">
        <f t="shared" si="169"/>
        <v/>
      </c>
      <c r="AL356" s="26" t="str">
        <f t="shared" si="185"/>
        <v/>
      </c>
      <c r="AM356" s="26" t="str">
        <f t="shared" si="184"/>
        <v/>
      </c>
      <c r="AN356" s="26" t="str">
        <f t="shared" si="175"/>
        <v>Chip Seal and Fog</v>
      </c>
      <c r="AO356" s="26" t="str">
        <f t="shared" si="186"/>
        <v/>
      </c>
      <c r="AP356" s="26" t="str">
        <f t="shared" si="176"/>
        <v/>
      </c>
      <c r="AQ356" s="68">
        <f t="shared" si="171"/>
        <v>12</v>
      </c>
      <c r="AR356" s="68">
        <f t="shared" si="172"/>
        <v>6</v>
      </c>
      <c r="AS356" s="68">
        <f t="shared" si="177"/>
        <v>1.25</v>
      </c>
      <c r="AT356" s="68">
        <f t="shared" si="178"/>
        <v>1.5</v>
      </c>
      <c r="AU356" s="68">
        <f t="shared" si="179"/>
        <v>1.5</v>
      </c>
      <c r="AV356" s="68">
        <f t="shared" si="180"/>
        <v>1</v>
      </c>
      <c r="AW356" s="68">
        <f t="shared" si="181"/>
        <v>1</v>
      </c>
      <c r="AX356" s="68">
        <f t="shared" ca="1" si="173"/>
        <v>-3</v>
      </c>
      <c r="AY356" s="68">
        <v>2016</v>
      </c>
      <c r="AZ356" s="68" t="s">
        <v>2073</v>
      </c>
      <c r="BA356" s="106" t="str">
        <f t="shared" si="182"/>
        <v/>
      </c>
      <c r="BB356" s="178"/>
      <c r="BC356" s="178">
        <v>3</v>
      </c>
      <c r="BD356" s="178"/>
      <c r="BE356" s="178"/>
      <c r="BF356" s="178"/>
      <c r="BG356" s="178"/>
      <c r="BH356" s="178"/>
      <c r="BI356" s="33" t="s">
        <v>2377</v>
      </c>
      <c r="BK356" s="48">
        <f>$G356/5280*VLOOKUP($AC356,'Cost and Score'!$B$27:$O$40,6,0)</f>
        <v>4.9507575757575757E-2</v>
      </c>
      <c r="BL356" s="48">
        <f>$G356/5280*VLOOKUP($AC356,'Cost and Score'!$B$27:$O$40,7,0)</f>
        <v>5.4458333333333329</v>
      </c>
      <c r="BM356" s="48">
        <f>$G356/5280*VLOOKUP($AC356,'Cost and Score'!$B$27:$O$40,8,0)</f>
        <v>0</v>
      </c>
      <c r="BN356" s="48">
        <f>$G356/5280*VLOOKUP($AC356,'Cost and Score'!$B$27:$O$40,9,0)</f>
        <v>1113.9204545454545</v>
      </c>
      <c r="BO356" s="48">
        <f>$G356/5280*VLOOKUP($AC356,'Cost and Score'!$B$27:$O$40,10,0)</f>
        <v>247.53787878787878</v>
      </c>
      <c r="BP356" s="48">
        <f>$G356/5280*VLOOKUP($AC356,'Cost and Score'!$B$27:$O$40,11,0)</f>
        <v>0</v>
      </c>
      <c r="BQ356" s="48">
        <f>$G356/5280*VLOOKUP($AC356,'Cost and Score'!$B$27:$O$40,12,0)</f>
        <v>24.753787878787879</v>
      </c>
      <c r="BR356" s="48">
        <f>$G356/5280*VLOOKUP($AC356,'Cost and Score'!$B$27:$O$40,13,0)</f>
        <v>29.704545454545453</v>
      </c>
      <c r="BS356" s="48">
        <f>$G356/5280*VLOOKUP($AC356,'Cost and Score'!$B$27:$O$40,14,0)</f>
        <v>0</v>
      </c>
      <c r="BT356" s="220">
        <f t="shared" si="183"/>
        <v>0.24753787878787878</v>
      </c>
      <c r="CV356" s="112"/>
    </row>
    <row r="357" spans="1:103" s="2" customFormat="1" ht="14.45" hidden="1" customHeight="1" x14ac:dyDescent="0.25">
      <c r="A357" s="15" t="s">
        <v>813</v>
      </c>
      <c r="B357" s="34" t="s">
        <v>812</v>
      </c>
      <c r="C357" s="26" t="s">
        <v>812</v>
      </c>
      <c r="D357" s="82"/>
      <c r="E357" s="82" t="s">
        <v>107</v>
      </c>
      <c r="F357" s="82" t="s">
        <v>104</v>
      </c>
      <c r="G357" s="29">
        <v>5338</v>
      </c>
      <c r="H357" s="29">
        <f t="shared" si="189"/>
        <v>20</v>
      </c>
      <c r="I357" s="26" t="s">
        <v>8</v>
      </c>
      <c r="J357" s="26" t="s">
        <v>172</v>
      </c>
      <c r="K357" s="26">
        <f t="shared" ref="K357:K363" si="193">VLOOKUP(J357,TOWNSHIPS,2,FALSE)</f>
        <v>0</v>
      </c>
      <c r="L357" s="42">
        <v>6</v>
      </c>
      <c r="M357" s="42">
        <v>6</v>
      </c>
      <c r="N357" s="42">
        <v>6</v>
      </c>
      <c r="O357" s="83">
        <v>6</v>
      </c>
      <c r="P357" s="83">
        <v>6</v>
      </c>
      <c r="Q357" s="83">
        <v>8</v>
      </c>
      <c r="R357" s="83">
        <v>7</v>
      </c>
      <c r="S357" s="83">
        <v>7</v>
      </c>
      <c r="T357" s="83">
        <v>7</v>
      </c>
      <c r="U357" s="83">
        <v>7</v>
      </c>
      <c r="V357" s="42"/>
      <c r="W357" s="42"/>
      <c r="X357" s="42"/>
      <c r="Y357" s="26">
        <v>194</v>
      </c>
      <c r="Z357" s="26">
        <f t="shared" si="190"/>
        <v>0</v>
      </c>
      <c r="AA357" s="82" t="s">
        <v>64</v>
      </c>
      <c r="AB357" s="111">
        <f t="shared" si="174"/>
        <v>4</v>
      </c>
      <c r="AC357" s="82" t="s">
        <v>13</v>
      </c>
      <c r="AD357" s="84">
        <f t="shared" si="170"/>
        <v>21230.68181818182</v>
      </c>
      <c r="AE357" s="140"/>
      <c r="AF357" s="113">
        <f t="shared" si="191"/>
        <v>0</v>
      </c>
      <c r="AG357" s="82">
        <v>2026</v>
      </c>
      <c r="AH357" s="26" t="str">
        <f t="shared" si="164"/>
        <v/>
      </c>
      <c r="AI357" s="26" t="str">
        <f t="shared" si="192"/>
        <v/>
      </c>
      <c r="AJ357" s="26" t="str">
        <f t="shared" si="192"/>
        <v/>
      </c>
      <c r="AK357" s="26" t="str">
        <f t="shared" si="169"/>
        <v/>
      </c>
      <c r="AL357" s="26" t="str">
        <f t="shared" si="185"/>
        <v>Chip Seal and Fog</v>
      </c>
      <c r="AM357" s="26" t="str">
        <f t="shared" si="184"/>
        <v/>
      </c>
      <c r="AN357" s="26" t="str">
        <f t="shared" si="175"/>
        <v>Chip Seal and Fog</v>
      </c>
      <c r="AO357" s="26" t="str">
        <f t="shared" si="186"/>
        <v/>
      </c>
      <c r="AP357" s="26" t="str">
        <f t="shared" si="176"/>
        <v/>
      </c>
      <c r="AQ357" s="68">
        <f t="shared" si="171"/>
        <v>8</v>
      </c>
      <c r="AR357" s="68">
        <f t="shared" si="172"/>
        <v>6</v>
      </c>
      <c r="AS357" s="68">
        <f t="shared" si="177"/>
        <v>1.1000000000000001</v>
      </c>
      <c r="AT357" s="68">
        <f t="shared" si="178"/>
        <v>1.1000000000000001</v>
      </c>
      <c r="AU357" s="68">
        <f t="shared" si="179"/>
        <v>1.1000000000000001</v>
      </c>
      <c r="AV357" s="68">
        <f t="shared" si="180"/>
        <v>1.1000000000000001</v>
      </c>
      <c r="AW357" s="68">
        <f t="shared" si="181"/>
        <v>1.1000000000000001</v>
      </c>
      <c r="AX357" s="68">
        <f t="shared" ca="1" si="173"/>
        <v>2.2000000000000002</v>
      </c>
      <c r="AY357" s="68">
        <v>2018</v>
      </c>
      <c r="AZ357" s="68" t="s">
        <v>2073</v>
      </c>
      <c r="BA357" s="106" t="str">
        <f t="shared" si="182"/>
        <v>DS</v>
      </c>
      <c r="BB357" s="178"/>
      <c r="BC357" s="178">
        <v>9</v>
      </c>
      <c r="BD357" s="178"/>
      <c r="BE357" s="178"/>
      <c r="BF357" s="178"/>
      <c r="BG357" s="178"/>
      <c r="BH357" s="178"/>
      <c r="BI357" s="33"/>
      <c r="BK357" s="48">
        <f>$G357/5280*VLOOKUP($AC357,'Cost and Score'!$B$27:$O$40,6,0)</f>
        <v>0.20219696969696971</v>
      </c>
      <c r="BL357" s="48">
        <f>$G357/5280*VLOOKUP($AC357,'Cost and Score'!$B$27:$O$40,7,0)</f>
        <v>22.241666666666667</v>
      </c>
      <c r="BM357" s="48">
        <f>$G357/5280*VLOOKUP($AC357,'Cost and Score'!$B$27:$O$40,8,0)</f>
        <v>0</v>
      </c>
      <c r="BN357" s="48">
        <f>$G357/5280*VLOOKUP($AC357,'Cost and Score'!$B$27:$O$40,9,0)</f>
        <v>4549.431818181818</v>
      </c>
      <c r="BO357" s="48">
        <f>$G357/5280*VLOOKUP($AC357,'Cost and Score'!$B$27:$O$40,10,0)</f>
        <v>1010.9848484848485</v>
      </c>
      <c r="BP357" s="48">
        <f>$G357/5280*VLOOKUP($AC357,'Cost and Score'!$B$27:$O$40,11,0)</f>
        <v>0</v>
      </c>
      <c r="BQ357" s="48">
        <f>$G357/5280*VLOOKUP($AC357,'Cost and Score'!$B$27:$O$40,12,0)</f>
        <v>101.09848484848484</v>
      </c>
      <c r="BR357" s="48">
        <f>$G357/5280*VLOOKUP($AC357,'Cost and Score'!$B$27:$O$40,13,0)</f>
        <v>121.31818181818181</v>
      </c>
      <c r="BS357" s="48">
        <f>$G357/5280*VLOOKUP($AC357,'Cost and Score'!$B$27:$O$40,14,0)</f>
        <v>0</v>
      </c>
      <c r="BT357" s="220">
        <f t="shared" si="183"/>
        <v>1.0109848484848485</v>
      </c>
    </row>
    <row r="358" spans="1:103" s="2" customFormat="1" ht="14.45" hidden="1" customHeight="1" x14ac:dyDescent="0.25">
      <c r="A358" s="15" t="s">
        <v>815</v>
      </c>
      <c r="B358" s="34" t="s">
        <v>814</v>
      </c>
      <c r="C358" s="26" t="s">
        <v>814</v>
      </c>
      <c r="D358" s="82"/>
      <c r="E358" s="82" t="s">
        <v>110</v>
      </c>
      <c r="F358" s="82" t="s">
        <v>107</v>
      </c>
      <c r="G358" s="29">
        <v>5323</v>
      </c>
      <c r="H358" s="29">
        <f t="shared" si="189"/>
        <v>20</v>
      </c>
      <c r="I358" s="26" t="s">
        <v>8</v>
      </c>
      <c r="J358" s="26" t="s">
        <v>172</v>
      </c>
      <c r="K358" s="26">
        <f t="shared" si="193"/>
        <v>0</v>
      </c>
      <c r="L358" s="42">
        <v>5</v>
      </c>
      <c r="M358" s="42">
        <v>7</v>
      </c>
      <c r="N358" s="42">
        <v>7</v>
      </c>
      <c r="O358" s="83">
        <v>6</v>
      </c>
      <c r="P358" s="83">
        <v>5</v>
      </c>
      <c r="Q358" s="83">
        <v>8</v>
      </c>
      <c r="R358" s="83">
        <v>7</v>
      </c>
      <c r="S358" s="83">
        <v>7</v>
      </c>
      <c r="T358" s="83">
        <v>7</v>
      </c>
      <c r="U358" s="83">
        <v>7</v>
      </c>
      <c r="V358" s="42"/>
      <c r="W358" s="42"/>
      <c r="X358" s="42"/>
      <c r="Y358" s="26">
        <v>148</v>
      </c>
      <c r="Z358" s="26">
        <f t="shared" si="190"/>
        <v>0</v>
      </c>
      <c r="AA358" s="82" t="s">
        <v>64</v>
      </c>
      <c r="AB358" s="111">
        <f t="shared" si="174"/>
        <v>5</v>
      </c>
      <c r="AC358" s="85" t="s">
        <v>13</v>
      </c>
      <c r="AD358" s="84">
        <f t="shared" si="170"/>
        <v>21171.022727272728</v>
      </c>
      <c r="AE358" s="140"/>
      <c r="AF358" s="113">
        <f t="shared" si="191"/>
        <v>0</v>
      </c>
      <c r="AG358" s="26">
        <v>2026</v>
      </c>
      <c r="AH358" s="26" t="str">
        <f t="shared" si="164"/>
        <v/>
      </c>
      <c r="AI358" s="26" t="str">
        <f t="shared" si="192"/>
        <v/>
      </c>
      <c r="AJ358" s="26" t="str">
        <f t="shared" si="192"/>
        <v/>
      </c>
      <c r="AK358" s="26" t="str">
        <f t="shared" si="169"/>
        <v/>
      </c>
      <c r="AL358" s="26" t="str">
        <f t="shared" si="185"/>
        <v>Chip Seal and Fog</v>
      </c>
      <c r="AM358" s="26" t="str">
        <f t="shared" si="184"/>
        <v/>
      </c>
      <c r="AN358" s="26" t="str">
        <f t="shared" si="175"/>
        <v>Chip Seal and Fog</v>
      </c>
      <c r="AO358" s="26" t="str">
        <f t="shared" si="186"/>
        <v/>
      </c>
      <c r="AP358" s="26" t="str">
        <f t="shared" si="176"/>
        <v/>
      </c>
      <c r="AQ358" s="68">
        <f t="shared" si="171"/>
        <v>8</v>
      </c>
      <c r="AR358" s="68">
        <f t="shared" si="172"/>
        <v>6</v>
      </c>
      <c r="AS358" s="68">
        <f t="shared" si="177"/>
        <v>1.25</v>
      </c>
      <c r="AT358" s="68">
        <f t="shared" si="178"/>
        <v>1.05</v>
      </c>
      <c r="AU358" s="68">
        <f t="shared" si="179"/>
        <v>1.05</v>
      </c>
      <c r="AV358" s="68">
        <f t="shared" si="180"/>
        <v>1.1000000000000001</v>
      </c>
      <c r="AW358" s="68">
        <f t="shared" si="181"/>
        <v>1.25</v>
      </c>
      <c r="AX358" s="68">
        <f t="shared" ca="1" si="173"/>
        <v>2.1</v>
      </c>
      <c r="AY358" s="68">
        <v>2018</v>
      </c>
      <c r="AZ358" s="68" t="s">
        <v>2072</v>
      </c>
      <c r="BA358" s="106" t="str">
        <f t="shared" si="182"/>
        <v>SP/CS</v>
      </c>
      <c r="BB358" s="178"/>
      <c r="BC358" s="178">
        <v>9</v>
      </c>
      <c r="BD358" s="178"/>
      <c r="BE358" s="178"/>
      <c r="BF358" s="178"/>
      <c r="BG358" s="178"/>
      <c r="BH358" s="178"/>
      <c r="BI358" s="33"/>
      <c r="BK358" s="48">
        <f>$G358/5280*VLOOKUP($AC358,'Cost and Score'!$B$27:$O$40,6,0)</f>
        <v>0.20162878787878788</v>
      </c>
      <c r="BL358" s="48">
        <f>$G358/5280*VLOOKUP($AC358,'Cost and Score'!$B$27:$O$40,7,0)</f>
        <v>22.179166666666664</v>
      </c>
      <c r="BM358" s="48">
        <f>$G358/5280*VLOOKUP($AC358,'Cost and Score'!$B$27:$O$40,8,0)</f>
        <v>0</v>
      </c>
      <c r="BN358" s="48">
        <f>$G358/5280*VLOOKUP($AC358,'Cost and Score'!$B$27:$O$40,9,0)</f>
        <v>4536.647727272727</v>
      </c>
      <c r="BO358" s="48">
        <f>$G358/5280*VLOOKUP($AC358,'Cost and Score'!$B$27:$O$40,10,0)</f>
        <v>1008.1439393939393</v>
      </c>
      <c r="BP358" s="48">
        <f>$G358/5280*VLOOKUP($AC358,'Cost and Score'!$B$27:$O$40,11,0)</f>
        <v>0</v>
      </c>
      <c r="BQ358" s="48">
        <f>$G358/5280*VLOOKUP($AC358,'Cost and Score'!$B$27:$O$40,12,0)</f>
        <v>100.81439393939394</v>
      </c>
      <c r="BR358" s="48">
        <f>$G358/5280*VLOOKUP($AC358,'Cost and Score'!$B$27:$O$40,13,0)</f>
        <v>120.97727272727272</v>
      </c>
      <c r="BS358" s="48">
        <f>$G358/5280*VLOOKUP($AC358,'Cost and Score'!$B$27:$O$40,14,0)</f>
        <v>0</v>
      </c>
      <c r="BT358" s="220">
        <f t="shared" si="183"/>
        <v>1.0081439393939393</v>
      </c>
    </row>
    <row r="359" spans="1:103" s="2" customFormat="1" ht="14.45" hidden="1" customHeight="1" x14ac:dyDescent="0.25">
      <c r="A359" s="15" t="s">
        <v>818</v>
      </c>
      <c r="B359" s="34" t="s">
        <v>816</v>
      </c>
      <c r="C359" s="26" t="s">
        <v>816</v>
      </c>
      <c r="D359" s="82"/>
      <c r="E359" s="82" t="s">
        <v>110</v>
      </c>
      <c r="F359" s="82" t="s">
        <v>817</v>
      </c>
      <c r="G359" s="29">
        <v>2650</v>
      </c>
      <c r="H359" s="29">
        <f t="shared" si="189"/>
        <v>20</v>
      </c>
      <c r="I359" s="26" t="s">
        <v>13</v>
      </c>
      <c r="J359" s="26" t="s">
        <v>172</v>
      </c>
      <c r="K359" s="26">
        <f t="shared" si="193"/>
        <v>0</v>
      </c>
      <c r="L359" s="42">
        <v>8</v>
      </c>
      <c r="M359" s="42">
        <v>7</v>
      </c>
      <c r="N359" s="42">
        <v>7</v>
      </c>
      <c r="O359" s="83">
        <v>7</v>
      </c>
      <c r="P359" s="83">
        <v>7</v>
      </c>
      <c r="Q359" s="83">
        <v>7</v>
      </c>
      <c r="R359" s="83">
        <v>7</v>
      </c>
      <c r="S359" s="83">
        <v>7</v>
      </c>
      <c r="T359" s="83">
        <v>7</v>
      </c>
      <c r="U359" s="83">
        <v>7</v>
      </c>
      <c r="V359" s="42"/>
      <c r="W359" s="42"/>
      <c r="X359" s="42"/>
      <c r="Y359" s="26">
        <v>50</v>
      </c>
      <c r="Z359" s="26">
        <f t="shared" si="190"/>
        <v>0</v>
      </c>
      <c r="AA359" s="82" t="s">
        <v>64</v>
      </c>
      <c r="AB359" s="111">
        <f t="shared" si="174"/>
        <v>3</v>
      </c>
      <c r="AC359" s="85" t="s">
        <v>13</v>
      </c>
      <c r="AD359" s="221">
        <f t="shared" si="170"/>
        <v>10539.772727272728</v>
      </c>
      <c r="AE359" s="140"/>
      <c r="AF359" s="113">
        <f t="shared" si="191"/>
        <v>0</v>
      </c>
      <c r="AG359" s="26">
        <v>2027</v>
      </c>
      <c r="AH359" s="26" t="str">
        <f t="shared" si="164"/>
        <v/>
      </c>
      <c r="AI359" s="26" t="str">
        <f t="shared" si="192"/>
        <v/>
      </c>
      <c r="AJ359" s="26" t="str">
        <f t="shared" si="192"/>
        <v/>
      </c>
      <c r="AK359" s="26" t="str">
        <f t="shared" si="169"/>
        <v/>
      </c>
      <c r="AL359" s="26" t="str">
        <f t="shared" si="185"/>
        <v/>
      </c>
      <c r="AM359" s="26" t="str">
        <f t="shared" si="184"/>
        <v>Chip Seal and Fog</v>
      </c>
      <c r="AN359" s="26" t="str">
        <f t="shared" si="175"/>
        <v>Chip Seal and Fog</v>
      </c>
      <c r="AO359" s="26" t="str">
        <f t="shared" si="186"/>
        <v>Overlay - 2"</v>
      </c>
      <c r="AP359" s="26" t="str">
        <f t="shared" si="176"/>
        <v/>
      </c>
      <c r="AQ359" s="68">
        <f t="shared" si="171"/>
        <v>10</v>
      </c>
      <c r="AR359" s="68">
        <f t="shared" si="172"/>
        <v>6</v>
      </c>
      <c r="AS359" s="68">
        <f t="shared" si="177"/>
        <v>1</v>
      </c>
      <c r="AT359" s="68">
        <f t="shared" si="178"/>
        <v>1.05</v>
      </c>
      <c r="AU359" s="68">
        <f t="shared" si="179"/>
        <v>1.05</v>
      </c>
      <c r="AV359" s="68">
        <f t="shared" si="180"/>
        <v>1.05</v>
      </c>
      <c r="AW359" s="68">
        <f t="shared" si="181"/>
        <v>1.05</v>
      </c>
      <c r="AX359" s="68">
        <f t="shared" ca="1" si="173"/>
        <v>3.1500000000000004</v>
      </c>
      <c r="AY359" s="106">
        <v>2021</v>
      </c>
      <c r="AZ359" s="106" t="s">
        <v>751</v>
      </c>
      <c r="BA359" s="106" t="str">
        <f t="shared" si="182"/>
        <v/>
      </c>
      <c r="BB359" s="178"/>
      <c r="BC359" s="178">
        <v>9</v>
      </c>
      <c r="BD359" s="178"/>
      <c r="BE359" s="178"/>
      <c r="BF359" s="178"/>
      <c r="BG359" s="178"/>
      <c r="BH359" s="178"/>
      <c r="BI359" s="33"/>
      <c r="BK359" s="48">
        <f>$G359/5280*VLOOKUP($AC359,'Cost and Score'!$B$27:$O$40,6,0)</f>
        <v>0.1003787878787879</v>
      </c>
      <c r="BL359" s="48">
        <f>$G359/5280*VLOOKUP($AC359,'Cost and Score'!$B$27:$O$40,7,0)</f>
        <v>11.041666666666668</v>
      </c>
      <c r="BM359" s="48">
        <f>$G359/5280*VLOOKUP($AC359,'Cost and Score'!$B$27:$O$40,8,0)</f>
        <v>0</v>
      </c>
      <c r="BN359" s="48">
        <f>$G359/5280*VLOOKUP($AC359,'Cost and Score'!$B$27:$O$40,9,0)</f>
        <v>2258.5227272727275</v>
      </c>
      <c r="BO359" s="48">
        <f>$G359/5280*VLOOKUP($AC359,'Cost and Score'!$B$27:$O$40,10,0)</f>
        <v>501.89393939393943</v>
      </c>
      <c r="BP359" s="48">
        <f>$G359/5280*VLOOKUP($AC359,'Cost and Score'!$B$27:$O$40,11,0)</f>
        <v>0</v>
      </c>
      <c r="BQ359" s="48">
        <f>$G359/5280*VLOOKUP($AC359,'Cost and Score'!$B$27:$O$40,12,0)</f>
        <v>50.189393939393945</v>
      </c>
      <c r="BR359" s="48">
        <f>$G359/5280*VLOOKUP($AC359,'Cost and Score'!$B$27:$O$40,13,0)</f>
        <v>60.227272727272734</v>
      </c>
      <c r="BS359" s="48">
        <f>$G359/5280*VLOOKUP($AC359,'Cost and Score'!$B$27:$O$40,14,0)</f>
        <v>0</v>
      </c>
      <c r="BT359" s="220">
        <f t="shared" si="183"/>
        <v>0.50189393939393945</v>
      </c>
      <c r="CW359" s="112"/>
      <c r="CX359" s="112"/>
      <c r="CY359" s="112"/>
    </row>
    <row r="360" spans="1:103" s="2" customFormat="1" ht="14.45" hidden="1" customHeight="1" x14ac:dyDescent="0.25">
      <c r="A360" s="15" t="s">
        <v>820</v>
      </c>
      <c r="B360" s="34" t="s">
        <v>819</v>
      </c>
      <c r="C360" s="26" t="s">
        <v>819</v>
      </c>
      <c r="D360" s="26"/>
      <c r="E360" s="26" t="s">
        <v>817</v>
      </c>
      <c r="F360" s="26" t="s">
        <v>210</v>
      </c>
      <c r="G360" s="29">
        <v>2880</v>
      </c>
      <c r="H360" s="29">
        <f t="shared" si="189"/>
        <v>20</v>
      </c>
      <c r="I360" s="26" t="s">
        <v>13</v>
      </c>
      <c r="J360" s="26" t="s">
        <v>172</v>
      </c>
      <c r="K360" s="26">
        <f t="shared" si="193"/>
        <v>0</v>
      </c>
      <c r="L360" s="42">
        <v>7</v>
      </c>
      <c r="M360" s="42">
        <v>7</v>
      </c>
      <c r="N360" s="42">
        <v>7</v>
      </c>
      <c r="O360" s="42">
        <v>6</v>
      </c>
      <c r="P360" s="42">
        <v>6</v>
      </c>
      <c r="Q360" s="42">
        <v>6</v>
      </c>
      <c r="R360" s="42">
        <v>6</v>
      </c>
      <c r="S360" s="42">
        <v>6</v>
      </c>
      <c r="T360" s="42">
        <v>8</v>
      </c>
      <c r="U360" s="42">
        <v>8</v>
      </c>
      <c r="V360" s="42"/>
      <c r="W360" s="42"/>
      <c r="X360" s="42"/>
      <c r="Y360" s="26">
        <v>50</v>
      </c>
      <c r="Z360" s="26">
        <f t="shared" si="190"/>
        <v>0</v>
      </c>
      <c r="AA360" s="26" t="s">
        <v>64</v>
      </c>
      <c r="AB360" s="111">
        <f t="shared" si="174"/>
        <v>4</v>
      </c>
      <c r="AC360" s="85" t="s">
        <v>13</v>
      </c>
      <c r="AD360" s="123">
        <f t="shared" si="170"/>
        <v>11454.545454545454</v>
      </c>
      <c r="AE360" s="140"/>
      <c r="AF360" s="113">
        <f t="shared" si="191"/>
        <v>0</v>
      </c>
      <c r="AG360" s="26">
        <v>2027</v>
      </c>
      <c r="AH360" s="26" t="str">
        <f t="shared" si="164"/>
        <v/>
      </c>
      <c r="AI360" s="26" t="str">
        <f t="shared" si="192"/>
        <v/>
      </c>
      <c r="AJ360" s="26" t="str">
        <f t="shared" si="192"/>
        <v/>
      </c>
      <c r="AK360" s="26" t="str">
        <f t="shared" si="169"/>
        <v/>
      </c>
      <c r="AL360" s="26" t="str">
        <f t="shared" si="185"/>
        <v/>
      </c>
      <c r="AM360" s="26" t="str">
        <f t="shared" si="184"/>
        <v>Chip Seal and Fog</v>
      </c>
      <c r="AN360" s="26" t="str">
        <f t="shared" si="175"/>
        <v>Chip Seal and Fog</v>
      </c>
      <c r="AO360" s="26" t="str">
        <f t="shared" si="186"/>
        <v>Overlay - 2"</v>
      </c>
      <c r="AP360" s="26" t="str">
        <f t="shared" si="176"/>
        <v/>
      </c>
      <c r="AQ360" s="68">
        <f t="shared" si="171"/>
        <v>8</v>
      </c>
      <c r="AR360" s="68">
        <f t="shared" si="172"/>
        <v>6</v>
      </c>
      <c r="AS360" s="68">
        <f t="shared" si="177"/>
        <v>1.05</v>
      </c>
      <c r="AT360" s="68">
        <f t="shared" si="178"/>
        <v>1.05</v>
      </c>
      <c r="AU360" s="68">
        <f t="shared" si="179"/>
        <v>1.05</v>
      </c>
      <c r="AV360" s="68">
        <f t="shared" si="180"/>
        <v>1.1000000000000001</v>
      </c>
      <c r="AW360" s="68">
        <f t="shared" si="181"/>
        <v>1.1000000000000001</v>
      </c>
      <c r="AX360" s="68">
        <f t="shared" ca="1" si="173"/>
        <v>3.1500000000000004</v>
      </c>
      <c r="AY360" s="68">
        <v>2021</v>
      </c>
      <c r="AZ360" s="68" t="s">
        <v>751</v>
      </c>
      <c r="BA360" s="106" t="str">
        <f t="shared" si="182"/>
        <v/>
      </c>
      <c r="BB360" s="178"/>
      <c r="BC360" s="178">
        <v>9</v>
      </c>
      <c r="BD360" s="178"/>
      <c r="BE360" s="178"/>
      <c r="BF360" s="178"/>
      <c r="BG360" s="178"/>
      <c r="BH360" s="178"/>
      <c r="BI360" s="33"/>
      <c r="BK360" s="48">
        <f>$G360/5280*VLOOKUP($AC360,'Cost and Score'!$B$27:$O$40,6,0)</f>
        <v>0.10909090909090909</v>
      </c>
      <c r="BL360" s="48">
        <f>$G360/5280*VLOOKUP($AC360,'Cost and Score'!$B$27:$O$40,7,0)</f>
        <v>12</v>
      </c>
      <c r="BM360" s="48">
        <f>$G360/5280*VLOOKUP($AC360,'Cost and Score'!$B$27:$O$40,8,0)</f>
        <v>0</v>
      </c>
      <c r="BN360" s="48">
        <f>$G360/5280*VLOOKUP($AC360,'Cost and Score'!$B$27:$O$40,9,0)</f>
        <v>2454.5454545454545</v>
      </c>
      <c r="BO360" s="48">
        <f>$G360/5280*VLOOKUP($AC360,'Cost and Score'!$B$27:$O$40,10,0)</f>
        <v>545.45454545454538</v>
      </c>
      <c r="BP360" s="48">
        <f>$G360/5280*VLOOKUP($AC360,'Cost and Score'!$B$27:$O$40,11,0)</f>
        <v>0</v>
      </c>
      <c r="BQ360" s="48">
        <f>$G360/5280*VLOOKUP($AC360,'Cost and Score'!$B$27:$O$40,12,0)</f>
        <v>54.54545454545454</v>
      </c>
      <c r="BR360" s="48">
        <f>$G360/5280*VLOOKUP($AC360,'Cost and Score'!$B$27:$O$40,13,0)</f>
        <v>65.454545454545453</v>
      </c>
      <c r="BS360" s="48">
        <f>$G360/5280*VLOOKUP($AC360,'Cost and Score'!$B$27:$O$40,14,0)</f>
        <v>0</v>
      </c>
      <c r="BT360" s="220">
        <f t="shared" si="183"/>
        <v>0.54545454545454541</v>
      </c>
      <c r="CW360" s="112"/>
      <c r="CX360" s="112"/>
      <c r="CY360" s="112"/>
    </row>
    <row r="361" spans="1:103" s="2" customFormat="1" ht="14.45" hidden="1" customHeight="1" x14ac:dyDescent="0.25">
      <c r="A361" s="15" t="s">
        <v>822</v>
      </c>
      <c r="B361" s="34" t="s">
        <v>821</v>
      </c>
      <c r="C361" s="26" t="s">
        <v>821</v>
      </c>
      <c r="D361" s="26"/>
      <c r="E361" s="26" t="s">
        <v>35</v>
      </c>
      <c r="F361" s="26" t="s">
        <v>9</v>
      </c>
      <c r="G361" s="29">
        <v>2693</v>
      </c>
      <c r="H361" s="29">
        <f t="shared" si="189"/>
        <v>20</v>
      </c>
      <c r="I361" s="106" t="s">
        <v>751</v>
      </c>
      <c r="J361" s="26" t="s">
        <v>62</v>
      </c>
      <c r="K361" s="26">
        <f t="shared" si="193"/>
        <v>0</v>
      </c>
      <c r="L361" s="42">
        <v>4</v>
      </c>
      <c r="M361" s="42">
        <v>3</v>
      </c>
      <c r="N361" s="42">
        <v>10</v>
      </c>
      <c r="O361" s="42">
        <v>9</v>
      </c>
      <c r="P361" s="42">
        <v>8</v>
      </c>
      <c r="Q361" s="42">
        <v>7</v>
      </c>
      <c r="R361" s="42">
        <v>7</v>
      </c>
      <c r="S361" s="42">
        <v>7</v>
      </c>
      <c r="T361" s="42">
        <v>7</v>
      </c>
      <c r="U361" s="42">
        <v>7</v>
      </c>
      <c r="V361" s="42"/>
      <c r="W361" s="42"/>
      <c r="X361" s="42"/>
      <c r="Y361" s="26">
        <v>105</v>
      </c>
      <c r="Z361" s="26">
        <f t="shared" si="190"/>
        <v>0</v>
      </c>
      <c r="AA361" s="26" t="s">
        <v>64</v>
      </c>
      <c r="AB361" s="111">
        <f t="shared" si="174"/>
        <v>2</v>
      </c>
      <c r="AC361" s="85" t="s">
        <v>2073</v>
      </c>
      <c r="AD361" s="47">
        <f t="shared" si="170"/>
        <v>16321.212121212122</v>
      </c>
      <c r="AE361" s="140"/>
      <c r="AF361" s="113">
        <f t="shared" si="191"/>
        <v>0</v>
      </c>
      <c r="AG361" s="26">
        <v>2027</v>
      </c>
      <c r="AH361" s="26" t="str">
        <f t="shared" si="164"/>
        <v/>
      </c>
      <c r="AI361" s="26" t="str">
        <f t="shared" si="192"/>
        <v/>
      </c>
      <c r="AJ361" s="26" t="str">
        <f t="shared" si="192"/>
        <v/>
      </c>
      <c r="AK361" s="26" t="str">
        <f t="shared" si="169"/>
        <v/>
      </c>
      <c r="AL361" s="26" t="str">
        <f t="shared" si="185"/>
        <v/>
      </c>
      <c r="AM361" s="26" t="str">
        <f t="shared" si="184"/>
        <v>Chip Seal - Double and Fog</v>
      </c>
      <c r="AN361" s="26" t="str">
        <f t="shared" si="175"/>
        <v>Chip Seal - Double and Fog</v>
      </c>
      <c r="AO361" s="26" t="str">
        <f t="shared" si="186"/>
        <v>Crack Seal</v>
      </c>
      <c r="AP361" s="26" t="str">
        <f t="shared" si="176"/>
        <v/>
      </c>
      <c r="AQ361" s="68">
        <f t="shared" si="171"/>
        <v>14</v>
      </c>
      <c r="AR361" s="68">
        <f t="shared" si="172"/>
        <v>6</v>
      </c>
      <c r="AS361" s="68">
        <f t="shared" si="177"/>
        <v>1.5</v>
      </c>
      <c r="AT361" s="68">
        <f t="shared" si="178"/>
        <v>1.75</v>
      </c>
      <c r="AU361" s="68">
        <f t="shared" si="179"/>
        <v>1</v>
      </c>
      <c r="AV361" s="68">
        <f t="shared" si="180"/>
        <v>1</v>
      </c>
      <c r="AW361" s="68">
        <f t="shared" si="181"/>
        <v>1</v>
      </c>
      <c r="AX361" s="68">
        <f t="shared" ca="1" si="173"/>
        <v>3</v>
      </c>
      <c r="AY361" s="68">
        <v>2021</v>
      </c>
      <c r="AZ361" s="68" t="s">
        <v>2075</v>
      </c>
      <c r="BA361" s="106" t="str">
        <f t="shared" si="182"/>
        <v/>
      </c>
      <c r="BB361" s="178"/>
      <c r="BC361" s="178">
        <v>3</v>
      </c>
      <c r="BD361" s="178"/>
      <c r="BE361" s="178"/>
      <c r="BF361" s="178"/>
      <c r="BG361" s="178"/>
      <c r="BH361" s="178"/>
      <c r="BI361" s="33" t="s">
        <v>2192</v>
      </c>
      <c r="BK361" s="48">
        <f>$G361/5280*VLOOKUP($AC361,'Cost and Score'!$B$27:$O$40,6,0)</f>
        <v>0.25501893939393938</v>
      </c>
      <c r="BL361" s="48">
        <f>$G361/5280*VLOOKUP($AC361,'Cost and Score'!$B$27:$O$40,7,0)</f>
        <v>25.501893939393938</v>
      </c>
      <c r="BM361" s="48">
        <f>$G361/5280*VLOOKUP($AC361,'Cost and Score'!$B$27:$O$40,8,0)</f>
        <v>0</v>
      </c>
      <c r="BN361" s="48">
        <f>$G361/5280*VLOOKUP($AC361,'Cost and Score'!$B$27:$O$40,9,0)</f>
        <v>4845.359848484848</v>
      </c>
      <c r="BO361" s="48">
        <f>$G361/5280*VLOOKUP($AC361,'Cost and Score'!$B$27:$O$40,10,0)</f>
        <v>510.03787878787875</v>
      </c>
      <c r="BP361" s="48">
        <f>$G361/5280*VLOOKUP($AC361,'Cost and Score'!$B$27:$O$40,11,0)</f>
        <v>0</v>
      </c>
      <c r="BQ361" s="48">
        <f>$G361/5280*VLOOKUP($AC361,'Cost and Score'!$B$27:$O$40,12,0)</f>
        <v>102.00757575757575</v>
      </c>
      <c r="BR361" s="48">
        <f>$G361/5280*VLOOKUP($AC361,'Cost and Score'!$B$27:$O$40,13,0)</f>
        <v>91.806818181818173</v>
      </c>
      <c r="BS361" s="48">
        <f>$G361/5280*VLOOKUP($AC361,'Cost and Score'!$B$27:$O$40,14,0)</f>
        <v>122.40909090909091</v>
      </c>
      <c r="BT361" s="220">
        <f t="shared" si="183"/>
        <v>0.51003787878787876</v>
      </c>
      <c r="CW361" s="112"/>
      <c r="CX361" s="112"/>
      <c r="CY361" s="112"/>
    </row>
    <row r="362" spans="1:103" s="2" customFormat="1" ht="14.45" hidden="1" customHeight="1" x14ac:dyDescent="0.25">
      <c r="A362" s="15" t="s">
        <v>824</v>
      </c>
      <c r="B362" s="34" t="s">
        <v>823</v>
      </c>
      <c r="C362" s="26" t="s">
        <v>823</v>
      </c>
      <c r="D362" s="26"/>
      <c r="E362" s="26" t="s">
        <v>213</v>
      </c>
      <c r="F362" s="26" t="s">
        <v>35</v>
      </c>
      <c r="G362" s="29">
        <v>2851</v>
      </c>
      <c r="H362" s="29">
        <f t="shared" si="189"/>
        <v>20</v>
      </c>
      <c r="I362" s="26" t="s">
        <v>13</v>
      </c>
      <c r="J362" s="26" t="s">
        <v>62</v>
      </c>
      <c r="K362" s="26">
        <f t="shared" si="193"/>
        <v>0</v>
      </c>
      <c r="L362" s="42">
        <v>7</v>
      </c>
      <c r="M362" s="42">
        <v>7</v>
      </c>
      <c r="N362" s="42">
        <v>7</v>
      </c>
      <c r="O362" s="42">
        <v>7</v>
      </c>
      <c r="P362" s="42">
        <v>7</v>
      </c>
      <c r="Q362" s="42">
        <v>6</v>
      </c>
      <c r="R362" s="42">
        <v>6</v>
      </c>
      <c r="S362" s="42">
        <v>6</v>
      </c>
      <c r="T362" s="42">
        <v>7</v>
      </c>
      <c r="U362" s="42">
        <v>7</v>
      </c>
      <c r="V362" s="42"/>
      <c r="W362" s="42"/>
      <c r="X362" s="42"/>
      <c r="Y362" s="26">
        <v>36</v>
      </c>
      <c r="Z362" s="26">
        <f t="shared" si="190"/>
        <v>0</v>
      </c>
      <c r="AA362" s="26" t="s">
        <v>64</v>
      </c>
      <c r="AB362" s="111">
        <f t="shared" si="174"/>
        <v>3</v>
      </c>
      <c r="AC362" s="85" t="s">
        <v>13</v>
      </c>
      <c r="AD362" s="47">
        <f t="shared" si="170"/>
        <v>11339.204545454546</v>
      </c>
      <c r="AE362" s="140"/>
      <c r="AF362" s="113">
        <f t="shared" si="191"/>
        <v>0</v>
      </c>
      <c r="AG362" s="26">
        <v>2027</v>
      </c>
      <c r="AH362" s="26" t="str">
        <f t="shared" si="164"/>
        <v/>
      </c>
      <c r="AI362" s="26" t="str">
        <f t="shared" si="192"/>
        <v/>
      </c>
      <c r="AJ362" s="26" t="str">
        <f t="shared" si="192"/>
        <v/>
      </c>
      <c r="AK362" s="26" t="str">
        <f t="shared" si="169"/>
        <v/>
      </c>
      <c r="AL362" s="26" t="str">
        <f t="shared" si="185"/>
        <v/>
      </c>
      <c r="AM362" s="26" t="str">
        <f t="shared" si="184"/>
        <v>Chip Seal and Fog</v>
      </c>
      <c r="AN362" s="26" t="str">
        <f t="shared" si="175"/>
        <v>Chip Seal and Fog</v>
      </c>
      <c r="AO362" s="26" t="str">
        <f t="shared" si="186"/>
        <v>Overlay - 2"</v>
      </c>
      <c r="AP362" s="26" t="str">
        <f t="shared" si="176"/>
        <v/>
      </c>
      <c r="AQ362" s="68">
        <f t="shared" si="171"/>
        <v>10</v>
      </c>
      <c r="AR362" s="68">
        <f t="shared" si="172"/>
        <v>6</v>
      </c>
      <c r="AS362" s="68">
        <f t="shared" si="177"/>
        <v>1.05</v>
      </c>
      <c r="AT362" s="68">
        <f t="shared" si="178"/>
        <v>1.05</v>
      </c>
      <c r="AU362" s="68">
        <f t="shared" si="179"/>
        <v>1.05</v>
      </c>
      <c r="AV362" s="68">
        <f t="shared" si="180"/>
        <v>1.05</v>
      </c>
      <c r="AW362" s="68">
        <f t="shared" si="181"/>
        <v>1.05</v>
      </c>
      <c r="AX362" s="68">
        <f t="shared" ca="1" si="173"/>
        <v>3.1500000000000004</v>
      </c>
      <c r="AY362" s="68">
        <v>2021</v>
      </c>
      <c r="AZ362" s="68" t="s">
        <v>751</v>
      </c>
      <c r="BA362" s="106" t="str">
        <f t="shared" si="182"/>
        <v/>
      </c>
      <c r="BB362" s="178">
        <v>27</v>
      </c>
      <c r="BC362" s="178">
        <v>3</v>
      </c>
      <c r="BD362" s="178"/>
      <c r="BE362" s="178"/>
      <c r="BF362" s="178"/>
      <c r="BG362" s="178"/>
      <c r="BH362" s="178"/>
      <c r="BI362" s="33"/>
      <c r="BJ362" s="2" t="s">
        <v>2603</v>
      </c>
      <c r="BK362" s="48">
        <f>$G362/5280*VLOOKUP($AC362,'Cost and Score'!$B$27:$O$40,6,0)</f>
        <v>0.10799242424242424</v>
      </c>
      <c r="BL362" s="48">
        <f>$G362/5280*VLOOKUP($AC362,'Cost and Score'!$B$27:$O$40,7,0)</f>
        <v>11.879166666666666</v>
      </c>
      <c r="BM362" s="48">
        <f>$G362/5280*VLOOKUP($AC362,'Cost and Score'!$B$27:$O$40,8,0)</f>
        <v>0</v>
      </c>
      <c r="BN362" s="48">
        <f>$G362/5280*VLOOKUP($AC362,'Cost and Score'!$B$27:$O$40,9,0)</f>
        <v>2429.8295454545455</v>
      </c>
      <c r="BO362" s="48">
        <f>$G362/5280*VLOOKUP($AC362,'Cost and Score'!$B$27:$O$40,10,0)</f>
        <v>539.96212121212113</v>
      </c>
      <c r="BP362" s="48">
        <f>$G362/5280*VLOOKUP($AC362,'Cost and Score'!$B$27:$O$40,11,0)</f>
        <v>0</v>
      </c>
      <c r="BQ362" s="48">
        <f>$G362/5280*VLOOKUP($AC362,'Cost and Score'!$B$27:$O$40,12,0)</f>
        <v>53.996212121212118</v>
      </c>
      <c r="BR362" s="48">
        <f>$G362/5280*VLOOKUP($AC362,'Cost and Score'!$B$27:$O$40,13,0)</f>
        <v>64.795454545454547</v>
      </c>
      <c r="BS362" s="48">
        <f>$G362/5280*VLOOKUP($AC362,'Cost and Score'!$B$27:$O$40,14,0)</f>
        <v>0</v>
      </c>
      <c r="BT362" s="220">
        <f t="shared" si="183"/>
        <v>0.53996212121212117</v>
      </c>
    </row>
    <row r="363" spans="1:103" s="2" customFormat="1" ht="14.45" hidden="1" customHeight="1" x14ac:dyDescent="0.25">
      <c r="A363" s="15" t="s">
        <v>826</v>
      </c>
      <c r="B363" s="34" t="s">
        <v>825</v>
      </c>
      <c r="C363" s="26" t="s">
        <v>825</v>
      </c>
      <c r="D363" s="82"/>
      <c r="E363" s="82" t="s">
        <v>39</v>
      </c>
      <c r="F363" s="82" t="s">
        <v>38</v>
      </c>
      <c r="G363" s="29">
        <v>5370</v>
      </c>
      <c r="H363" s="29">
        <f t="shared" si="189"/>
        <v>20</v>
      </c>
      <c r="I363" s="26" t="s">
        <v>62</v>
      </c>
      <c r="J363" s="26" t="s">
        <v>62</v>
      </c>
      <c r="K363" s="26">
        <f t="shared" si="193"/>
        <v>0</v>
      </c>
      <c r="L363" s="42">
        <v>6</v>
      </c>
      <c r="M363" s="42">
        <v>6</v>
      </c>
      <c r="N363" s="42">
        <v>6</v>
      </c>
      <c r="O363" s="83">
        <v>7</v>
      </c>
      <c r="P363" s="83">
        <v>7</v>
      </c>
      <c r="Q363" s="83">
        <v>7</v>
      </c>
      <c r="R363" s="83">
        <v>7</v>
      </c>
      <c r="S363" s="83">
        <v>7</v>
      </c>
      <c r="T363" s="83">
        <v>7</v>
      </c>
      <c r="U363" s="83">
        <v>7</v>
      </c>
      <c r="V363" s="42"/>
      <c r="W363" s="42"/>
      <c r="X363" s="42"/>
      <c r="Y363" s="26">
        <v>113</v>
      </c>
      <c r="Z363" s="26">
        <f t="shared" si="190"/>
        <v>0</v>
      </c>
      <c r="AA363" s="82" t="s">
        <v>64</v>
      </c>
      <c r="AB363" s="111">
        <f t="shared" si="174"/>
        <v>3</v>
      </c>
      <c r="AC363" s="82" t="s">
        <v>2073</v>
      </c>
      <c r="AD363" s="84">
        <f t="shared" si="170"/>
        <v>32545.454545454544</v>
      </c>
      <c r="AE363" s="140"/>
      <c r="AF363" s="113">
        <f t="shared" si="191"/>
        <v>0</v>
      </c>
      <c r="AG363" s="85">
        <v>2024</v>
      </c>
      <c r="AH363" s="26" t="str">
        <f t="shared" si="164"/>
        <v/>
      </c>
      <c r="AI363" s="26" t="str">
        <f t="shared" si="192"/>
        <v/>
      </c>
      <c r="AJ363" s="26" t="str">
        <f t="shared" si="192"/>
        <v>Chip Seal - Double and Fog</v>
      </c>
      <c r="AK363" s="26" t="str">
        <f t="shared" si="169"/>
        <v/>
      </c>
      <c r="AL363" s="26" t="str">
        <f t="shared" si="185"/>
        <v/>
      </c>
      <c r="AM363" s="26" t="str">
        <f t="shared" si="184"/>
        <v/>
      </c>
      <c r="AN363" s="26" t="str">
        <f t="shared" si="175"/>
        <v>Chip Seal - Double and Fog</v>
      </c>
      <c r="AO363" s="26" t="str">
        <f t="shared" si="186"/>
        <v/>
      </c>
      <c r="AP363" s="26" t="str">
        <f t="shared" si="176"/>
        <v/>
      </c>
      <c r="AQ363" s="68">
        <f t="shared" si="171"/>
        <v>10</v>
      </c>
      <c r="AR363" s="68">
        <f t="shared" si="172"/>
        <v>6</v>
      </c>
      <c r="AS363" s="68">
        <f t="shared" si="177"/>
        <v>1.1000000000000001</v>
      </c>
      <c r="AT363" s="68">
        <f t="shared" si="178"/>
        <v>1.1000000000000001</v>
      </c>
      <c r="AU363" s="68">
        <f t="shared" si="179"/>
        <v>1.1000000000000001</v>
      </c>
      <c r="AV363" s="68">
        <f t="shared" si="180"/>
        <v>1.05</v>
      </c>
      <c r="AW363" s="68">
        <f t="shared" si="181"/>
        <v>1.05</v>
      </c>
      <c r="AX363" s="68">
        <f t="shared" ca="1" si="173"/>
        <v>0</v>
      </c>
      <c r="AY363" s="68">
        <v>2020</v>
      </c>
      <c r="AZ363" s="68" t="s">
        <v>2076</v>
      </c>
      <c r="BA363" s="106" t="str">
        <f t="shared" si="182"/>
        <v/>
      </c>
      <c r="BB363" s="178"/>
      <c r="BC363" s="178">
        <v>1</v>
      </c>
      <c r="BD363" s="178"/>
      <c r="BE363" s="178"/>
      <c r="BF363" s="178"/>
      <c r="BG363" s="178"/>
      <c r="BH363" s="178"/>
      <c r="BI363" s="33"/>
      <c r="BK363" s="48">
        <f>$G363/5280*VLOOKUP($AC363,'Cost and Score'!$B$27:$O$40,6,0)</f>
        <v>0.50852272727272729</v>
      </c>
      <c r="BL363" s="48">
        <f>$G363/5280*VLOOKUP($AC363,'Cost and Score'!$B$27:$O$40,7,0)</f>
        <v>50.852272727272727</v>
      </c>
      <c r="BM363" s="48">
        <f>$G363/5280*VLOOKUP($AC363,'Cost and Score'!$B$27:$O$40,8,0)</f>
        <v>0</v>
      </c>
      <c r="BN363" s="48">
        <f>$G363/5280*VLOOKUP($AC363,'Cost and Score'!$B$27:$O$40,9,0)</f>
        <v>9661.931818181818</v>
      </c>
      <c r="BO363" s="48">
        <f>$G363/5280*VLOOKUP($AC363,'Cost and Score'!$B$27:$O$40,10,0)</f>
        <v>1017.0454545454546</v>
      </c>
      <c r="BP363" s="48">
        <f>$G363/5280*VLOOKUP($AC363,'Cost and Score'!$B$27:$O$40,11,0)</f>
        <v>0</v>
      </c>
      <c r="BQ363" s="48">
        <f>$G363/5280*VLOOKUP($AC363,'Cost and Score'!$B$27:$O$40,12,0)</f>
        <v>203.40909090909091</v>
      </c>
      <c r="BR363" s="48">
        <f>$G363/5280*VLOOKUP($AC363,'Cost and Score'!$B$27:$O$40,13,0)</f>
        <v>183.06818181818181</v>
      </c>
      <c r="BS363" s="48">
        <f>$G363/5280*VLOOKUP($AC363,'Cost and Score'!$B$27:$O$40,14,0)</f>
        <v>244.09090909090909</v>
      </c>
      <c r="BT363" s="220">
        <f t="shared" si="183"/>
        <v>1.0170454545454546</v>
      </c>
    </row>
    <row r="364" spans="1:103" s="2" customFormat="1" ht="14.45" hidden="1" customHeight="1" x14ac:dyDescent="0.25">
      <c r="A364" s="15" t="s">
        <v>828</v>
      </c>
      <c r="B364" s="34" t="s">
        <v>827</v>
      </c>
      <c r="C364" s="26" t="s">
        <v>827</v>
      </c>
      <c r="D364" s="26"/>
      <c r="E364" s="26" t="s">
        <v>222</v>
      </c>
      <c r="F364" s="26" t="s">
        <v>206</v>
      </c>
      <c r="G364" s="29">
        <v>654</v>
      </c>
      <c r="H364" s="29">
        <f t="shared" si="189"/>
        <v>20</v>
      </c>
      <c r="I364" s="26" t="s">
        <v>13</v>
      </c>
      <c r="J364" s="26" t="s">
        <v>101</v>
      </c>
      <c r="K364" s="26">
        <v>0</v>
      </c>
      <c r="L364" s="42">
        <v>4</v>
      </c>
      <c r="M364" s="42">
        <v>3</v>
      </c>
      <c r="N364" s="42">
        <v>8</v>
      </c>
      <c r="O364" s="42">
        <v>8</v>
      </c>
      <c r="P364" s="42">
        <v>8</v>
      </c>
      <c r="Q364" s="42">
        <v>7</v>
      </c>
      <c r="R364" s="42">
        <v>7</v>
      </c>
      <c r="S364" s="42">
        <v>7</v>
      </c>
      <c r="T364" s="42">
        <v>7</v>
      </c>
      <c r="U364" s="42">
        <v>7</v>
      </c>
      <c r="V364" s="42"/>
      <c r="W364" s="42"/>
      <c r="X364" s="42"/>
      <c r="Y364" s="26">
        <v>50</v>
      </c>
      <c r="Z364" s="26">
        <f t="shared" si="190"/>
        <v>0</v>
      </c>
      <c r="AA364" s="26" t="s">
        <v>64</v>
      </c>
      <c r="AB364" s="111">
        <f t="shared" si="174"/>
        <v>2</v>
      </c>
      <c r="AC364" s="26" t="s">
        <v>13</v>
      </c>
      <c r="AD364" s="47">
        <f t="shared" si="170"/>
        <v>2601.1363636363635</v>
      </c>
      <c r="AE364" s="140"/>
      <c r="AF364" s="113">
        <f t="shared" si="191"/>
        <v>0</v>
      </c>
      <c r="AG364" s="26">
        <v>2022</v>
      </c>
      <c r="AH364" s="26" t="str">
        <f t="shared" si="164"/>
        <v>Chip Seal and Fog</v>
      </c>
      <c r="AI364" s="26" t="str">
        <f t="shared" si="192"/>
        <v/>
      </c>
      <c r="AJ364" s="26" t="str">
        <f t="shared" si="192"/>
        <v/>
      </c>
      <c r="AK364" s="26" t="str">
        <f t="shared" si="169"/>
        <v/>
      </c>
      <c r="AL364" s="26" t="str">
        <f t="shared" si="185"/>
        <v/>
      </c>
      <c r="AM364" s="26" t="str">
        <f t="shared" si="184"/>
        <v/>
      </c>
      <c r="AN364" s="26" t="str">
        <f t="shared" si="175"/>
        <v>Chip Seal and Fog</v>
      </c>
      <c r="AO364" s="26" t="str">
        <f t="shared" si="186"/>
        <v/>
      </c>
      <c r="AP364" s="26" t="str">
        <f t="shared" si="176"/>
        <v/>
      </c>
      <c r="AQ364" s="68">
        <f t="shared" si="171"/>
        <v>12</v>
      </c>
      <c r="AR364" s="68">
        <f t="shared" si="172"/>
        <v>6</v>
      </c>
      <c r="AS364" s="68">
        <f t="shared" si="177"/>
        <v>1.5</v>
      </c>
      <c r="AT364" s="68">
        <f t="shared" si="178"/>
        <v>1.75</v>
      </c>
      <c r="AU364" s="68">
        <f t="shared" si="179"/>
        <v>1</v>
      </c>
      <c r="AV364" s="68">
        <f t="shared" si="180"/>
        <v>1</v>
      </c>
      <c r="AW364" s="68">
        <f t="shared" si="181"/>
        <v>1</v>
      </c>
      <c r="AX364" s="68">
        <f t="shared" ca="1" si="173"/>
        <v>-2</v>
      </c>
      <c r="AY364" s="68">
        <v>2016</v>
      </c>
      <c r="AZ364" s="68" t="s">
        <v>2073</v>
      </c>
      <c r="BA364" s="106" t="str">
        <f t="shared" si="182"/>
        <v/>
      </c>
      <c r="BB364" s="178"/>
      <c r="BC364" s="178">
        <v>3</v>
      </c>
      <c r="BD364" s="178"/>
      <c r="BE364" s="178"/>
      <c r="BF364" s="178"/>
      <c r="BG364" s="178"/>
      <c r="BH364" s="178"/>
      <c r="BI364" s="33" t="s">
        <v>2377</v>
      </c>
      <c r="BK364" s="48">
        <f>$G364/5280*VLOOKUP($AC364,'Cost and Score'!$B$27:$O$40,6,0)</f>
        <v>2.4772727272727276E-2</v>
      </c>
      <c r="BL364" s="48">
        <f>$G364/5280*VLOOKUP($AC364,'Cost and Score'!$B$27:$O$40,7,0)</f>
        <v>2.7250000000000001</v>
      </c>
      <c r="BM364" s="48">
        <f>$G364/5280*VLOOKUP($AC364,'Cost and Score'!$B$27:$O$40,8,0)</f>
        <v>0</v>
      </c>
      <c r="BN364" s="48">
        <f>$G364/5280*VLOOKUP($AC364,'Cost and Score'!$B$27:$O$40,9,0)</f>
        <v>557.38636363636363</v>
      </c>
      <c r="BO364" s="48">
        <f>$G364/5280*VLOOKUP($AC364,'Cost and Score'!$B$27:$O$40,10,0)</f>
        <v>123.86363636363637</v>
      </c>
      <c r="BP364" s="48">
        <f>$G364/5280*VLOOKUP($AC364,'Cost and Score'!$B$27:$O$40,11,0)</f>
        <v>0</v>
      </c>
      <c r="BQ364" s="48">
        <f>$G364/5280*VLOOKUP($AC364,'Cost and Score'!$B$27:$O$40,12,0)</f>
        <v>12.386363636363637</v>
      </c>
      <c r="BR364" s="48">
        <f>$G364/5280*VLOOKUP($AC364,'Cost and Score'!$B$27:$O$40,13,0)</f>
        <v>14.863636363636365</v>
      </c>
      <c r="BS364" s="48">
        <f>$G364/5280*VLOOKUP($AC364,'Cost and Score'!$B$27:$O$40,14,0)</f>
        <v>0</v>
      </c>
      <c r="BT364" s="220">
        <f t="shared" si="183"/>
        <v>0.12386363636363637</v>
      </c>
      <c r="CR364" s="112"/>
    </row>
    <row r="365" spans="1:103" s="112" customFormat="1" ht="14.45" hidden="1" customHeight="1" x14ac:dyDescent="0.25">
      <c r="A365" s="15" t="s">
        <v>831</v>
      </c>
      <c r="B365" s="108" t="s">
        <v>829</v>
      </c>
      <c r="C365" s="106" t="s">
        <v>829</v>
      </c>
      <c r="D365" s="106"/>
      <c r="E365" s="106" t="s">
        <v>100</v>
      </c>
      <c r="F365" s="106" t="s">
        <v>830</v>
      </c>
      <c r="G365" s="109">
        <v>5011</v>
      </c>
      <c r="H365" s="109">
        <f t="shared" si="189"/>
        <v>20</v>
      </c>
      <c r="I365" s="106" t="s">
        <v>13</v>
      </c>
      <c r="J365" s="106" t="s">
        <v>172</v>
      </c>
      <c r="K365" s="106">
        <f>VLOOKUP(J365,TOWNSHIPS,2,FALSE)</f>
        <v>0</v>
      </c>
      <c r="L365" s="110">
        <v>6</v>
      </c>
      <c r="M365" s="110">
        <v>6</v>
      </c>
      <c r="N365" s="110">
        <v>6</v>
      </c>
      <c r="O365" s="110">
        <v>5</v>
      </c>
      <c r="P365" s="110">
        <v>8</v>
      </c>
      <c r="Q365" s="110">
        <v>8</v>
      </c>
      <c r="R365" s="110">
        <v>7</v>
      </c>
      <c r="S365" s="110">
        <v>7</v>
      </c>
      <c r="T365" s="110">
        <v>7</v>
      </c>
      <c r="U365" s="110">
        <v>7</v>
      </c>
      <c r="V365" s="110"/>
      <c r="W365" s="110"/>
      <c r="X365" s="110"/>
      <c r="Y365" s="106">
        <v>326</v>
      </c>
      <c r="Z365" s="106">
        <f t="shared" si="190"/>
        <v>0</v>
      </c>
      <c r="AA365" s="106" t="s">
        <v>64</v>
      </c>
      <c r="AB365" s="111">
        <f t="shared" si="174"/>
        <v>2</v>
      </c>
      <c r="AC365" s="26" t="s">
        <v>13</v>
      </c>
      <c r="AD365" s="107">
        <f t="shared" si="170"/>
        <v>19930.113636363636</v>
      </c>
      <c r="AE365" s="198">
        <v>1</v>
      </c>
      <c r="AF365" s="113">
        <f t="shared" si="191"/>
        <v>19930.113636363636</v>
      </c>
      <c r="AG365" s="26">
        <v>2023</v>
      </c>
      <c r="AH365" s="26" t="str">
        <f t="shared" si="164"/>
        <v/>
      </c>
      <c r="AI365" s="26" t="str">
        <f t="shared" si="192"/>
        <v>Chip Seal and Fog</v>
      </c>
      <c r="AJ365" s="26" t="str">
        <f t="shared" si="192"/>
        <v/>
      </c>
      <c r="AK365" s="26" t="str">
        <f t="shared" si="169"/>
        <v/>
      </c>
      <c r="AL365" s="26" t="str">
        <f t="shared" si="185"/>
        <v/>
      </c>
      <c r="AM365" s="26" t="str">
        <f t="shared" si="184"/>
        <v/>
      </c>
      <c r="AN365" s="26" t="str">
        <f t="shared" si="175"/>
        <v>Chip Seal and Fog</v>
      </c>
      <c r="AO365" s="26" t="str">
        <f t="shared" si="186"/>
        <v/>
      </c>
      <c r="AP365" s="26" t="str">
        <f t="shared" si="176"/>
        <v/>
      </c>
      <c r="AQ365" s="68">
        <f t="shared" si="171"/>
        <v>6</v>
      </c>
      <c r="AR365" s="68">
        <f t="shared" si="172"/>
        <v>6</v>
      </c>
      <c r="AS365" s="68">
        <f t="shared" si="177"/>
        <v>1.1000000000000001</v>
      </c>
      <c r="AT365" s="68">
        <f t="shared" si="178"/>
        <v>1.1000000000000001</v>
      </c>
      <c r="AU365" s="68">
        <f t="shared" si="179"/>
        <v>1.1000000000000001</v>
      </c>
      <c r="AV365" s="68">
        <f t="shared" si="180"/>
        <v>1.25</v>
      </c>
      <c r="AW365" s="68">
        <f t="shared" si="181"/>
        <v>1</v>
      </c>
      <c r="AX365" s="68">
        <f t="shared" ca="1" si="173"/>
        <v>-1.1000000000000001</v>
      </c>
      <c r="AY365" s="106">
        <v>2023</v>
      </c>
      <c r="AZ365" s="111" t="s">
        <v>13</v>
      </c>
      <c r="BA365" s="106" t="str">
        <f t="shared" si="182"/>
        <v/>
      </c>
      <c r="BB365" s="110"/>
      <c r="BC365" s="110">
        <v>9</v>
      </c>
      <c r="BD365" s="110"/>
      <c r="BE365" s="110"/>
      <c r="BF365" s="110"/>
      <c r="BG365" s="110"/>
      <c r="BH365" s="110"/>
      <c r="BI365" s="33"/>
      <c r="BJ365" s="2"/>
      <c r="BK365" s="48">
        <f>$G365/5280*VLOOKUP($AC365,'Cost and Score'!$B$27:$O$40,6,0)</f>
        <v>0.18981060606060607</v>
      </c>
      <c r="BL365" s="48">
        <f>$G365/5280*VLOOKUP($AC365,'Cost and Score'!$B$27:$O$40,7,0)</f>
        <v>20.879166666666666</v>
      </c>
      <c r="BM365" s="48">
        <f>$G365/5280*VLOOKUP($AC365,'Cost and Score'!$B$27:$O$40,8,0)</f>
        <v>0</v>
      </c>
      <c r="BN365" s="48">
        <f>$G365/5280*VLOOKUP($AC365,'Cost and Score'!$B$27:$O$40,9,0)</f>
        <v>4270.7386363636369</v>
      </c>
      <c r="BO365" s="48">
        <f>$G365/5280*VLOOKUP($AC365,'Cost and Score'!$B$27:$O$40,10,0)</f>
        <v>949.05303030303037</v>
      </c>
      <c r="BP365" s="48">
        <f>$G365/5280*VLOOKUP($AC365,'Cost and Score'!$B$27:$O$40,11,0)</f>
        <v>0</v>
      </c>
      <c r="BQ365" s="48">
        <f>$G365/5280*VLOOKUP($AC365,'Cost and Score'!$B$27:$O$40,12,0)</f>
        <v>94.905303030303031</v>
      </c>
      <c r="BR365" s="48">
        <f>$G365/5280*VLOOKUP($AC365,'Cost and Score'!$B$27:$O$40,13,0)</f>
        <v>113.88636363636364</v>
      </c>
      <c r="BS365" s="48">
        <f>$G365/5280*VLOOKUP($AC365,'Cost and Score'!$B$27:$O$40,14,0)</f>
        <v>0</v>
      </c>
      <c r="BT365" s="220">
        <f t="shared" si="183"/>
        <v>0.94905303030303034</v>
      </c>
      <c r="BU365" s="2"/>
      <c r="BV365" s="2"/>
      <c r="BW365" s="2"/>
      <c r="BX365" s="2"/>
      <c r="BY365" s="2" t="s">
        <v>2069</v>
      </c>
      <c r="BZ365" s="2"/>
      <c r="CA365" s="2"/>
      <c r="CB365" s="2" t="s">
        <v>2070</v>
      </c>
      <c r="CC365" s="2"/>
      <c r="CD365" s="2"/>
      <c r="CE365" s="2" t="s">
        <v>2071</v>
      </c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</row>
    <row r="366" spans="1:103" s="2" customFormat="1" ht="14.45" hidden="1" customHeight="1" x14ac:dyDescent="0.25">
      <c r="A366" s="15" t="s">
        <v>833</v>
      </c>
      <c r="B366" s="34" t="s">
        <v>832</v>
      </c>
      <c r="C366" s="26" t="s">
        <v>832</v>
      </c>
      <c r="D366" s="26"/>
      <c r="E366" s="26" t="s">
        <v>39</v>
      </c>
      <c r="F366" s="26" t="s">
        <v>213</v>
      </c>
      <c r="G366" s="29">
        <v>7974</v>
      </c>
      <c r="H366" s="29">
        <f t="shared" si="189"/>
        <v>20</v>
      </c>
      <c r="I366" s="26" t="s">
        <v>13</v>
      </c>
      <c r="J366" s="26" t="s">
        <v>62</v>
      </c>
      <c r="K366" s="26">
        <f>VLOOKUP(J366,TOWNSHIPS,2,FALSE)</f>
        <v>0</v>
      </c>
      <c r="L366" s="42">
        <v>7</v>
      </c>
      <c r="M366" s="42">
        <v>7</v>
      </c>
      <c r="N366" s="42">
        <v>7</v>
      </c>
      <c r="O366" s="42">
        <v>7</v>
      </c>
      <c r="P366" s="42">
        <v>7</v>
      </c>
      <c r="Q366" s="42">
        <v>6</v>
      </c>
      <c r="R366" s="42">
        <v>6</v>
      </c>
      <c r="S366" s="42">
        <v>6</v>
      </c>
      <c r="T366" s="42">
        <v>7</v>
      </c>
      <c r="U366" s="42">
        <v>7</v>
      </c>
      <c r="V366" s="42"/>
      <c r="W366" s="42"/>
      <c r="X366" s="42"/>
      <c r="Y366" s="26">
        <v>26</v>
      </c>
      <c r="Z366" s="26">
        <f t="shared" si="190"/>
        <v>0</v>
      </c>
      <c r="AA366" s="26" t="s">
        <v>64</v>
      </c>
      <c r="AB366" s="111">
        <f t="shared" si="174"/>
        <v>3</v>
      </c>
      <c r="AC366" s="82" t="s">
        <v>2072</v>
      </c>
      <c r="AD366" s="47">
        <f t="shared" si="170"/>
        <v>69470.454545454544</v>
      </c>
      <c r="AE366" s="140"/>
      <c r="AF366" s="113">
        <f t="shared" si="191"/>
        <v>0</v>
      </c>
      <c r="AG366" s="26">
        <v>2027</v>
      </c>
      <c r="AH366" s="26" t="str">
        <f t="shared" si="164"/>
        <v/>
      </c>
      <c r="AI366" s="26" t="str">
        <f t="shared" si="192"/>
        <v/>
      </c>
      <c r="AJ366" s="26" t="str">
        <f t="shared" si="192"/>
        <v/>
      </c>
      <c r="AK366" s="26" t="str">
        <f t="shared" si="169"/>
        <v/>
      </c>
      <c r="AL366" s="26" t="str">
        <f t="shared" si="185"/>
        <v/>
      </c>
      <c r="AM366" s="26" t="str">
        <f t="shared" si="184"/>
        <v>Chip Seal - Triple</v>
      </c>
      <c r="AN366" s="26" t="str">
        <f t="shared" si="175"/>
        <v>Chip Seal - Triple</v>
      </c>
      <c r="AO366" s="26" t="str">
        <f t="shared" si="186"/>
        <v>Chip Seal and Fog</v>
      </c>
      <c r="AP366" s="26" t="str">
        <f t="shared" si="176"/>
        <v/>
      </c>
      <c r="AQ366" s="68">
        <f t="shared" si="171"/>
        <v>10</v>
      </c>
      <c r="AR366" s="68">
        <f t="shared" si="172"/>
        <v>8</v>
      </c>
      <c r="AS366" s="68">
        <f t="shared" si="177"/>
        <v>1.05</v>
      </c>
      <c r="AT366" s="68">
        <f t="shared" si="178"/>
        <v>1.05</v>
      </c>
      <c r="AU366" s="68">
        <f t="shared" si="179"/>
        <v>1.05</v>
      </c>
      <c r="AV366" s="68">
        <f t="shared" si="180"/>
        <v>1.05</v>
      </c>
      <c r="AW366" s="68">
        <f t="shared" si="181"/>
        <v>1.05</v>
      </c>
      <c r="AX366" s="68">
        <f t="shared" ca="1" si="173"/>
        <v>3.1500000000000004</v>
      </c>
      <c r="AY366" s="68">
        <v>2021</v>
      </c>
      <c r="AZ366" s="68" t="s">
        <v>13</v>
      </c>
      <c r="BA366" s="106" t="str">
        <f t="shared" si="182"/>
        <v/>
      </c>
      <c r="BB366" s="178">
        <v>28</v>
      </c>
      <c r="BC366" s="178">
        <v>3</v>
      </c>
      <c r="BD366" s="178"/>
      <c r="BE366" s="178"/>
      <c r="BF366" s="178"/>
      <c r="BG366" s="178"/>
      <c r="BH366" s="178"/>
      <c r="BI366" s="33"/>
      <c r="BK366" s="48">
        <f>$G366/5280*VLOOKUP($AC366,'Cost and Score'!$B$27:$O$40,6,0)</f>
        <v>0.90613636363636363</v>
      </c>
      <c r="BL366" s="48">
        <f>$G366/5280*VLOOKUP($AC366,'Cost and Score'!$B$27:$O$40,7,0)</f>
        <v>188.77840909090909</v>
      </c>
      <c r="BM366" s="48">
        <f>$G366/5280*VLOOKUP($AC366,'Cost and Score'!$B$27:$O$40,8,0)</f>
        <v>302.04545454545456</v>
      </c>
      <c r="BN366" s="48">
        <f>$G366/5280*VLOOKUP($AC366,'Cost and Score'!$B$27:$O$40,9,0)</f>
        <v>3020.4545454545455</v>
      </c>
      <c r="BO366" s="48">
        <f>$G366/5280*VLOOKUP($AC366,'Cost and Score'!$B$27:$O$40,10,0)</f>
        <v>755.11363636363637</v>
      </c>
      <c r="BP366" s="48">
        <f>$G366/5280*VLOOKUP($AC366,'Cost and Score'!$B$27:$O$40,11,0)</f>
        <v>151.02272727272728</v>
      </c>
      <c r="BQ366" s="48">
        <f>$G366/5280*VLOOKUP($AC366,'Cost and Score'!$B$27:$O$40,12,0)</f>
        <v>1208.1818181818182</v>
      </c>
      <c r="BR366" s="48">
        <f>$G366/5280*VLOOKUP($AC366,'Cost and Score'!$B$27:$O$40,13,0)</f>
        <v>120.81818181818181</v>
      </c>
      <c r="BS366" s="48">
        <f>$G366/5280*VLOOKUP($AC366,'Cost and Score'!$B$27:$O$40,14,0)</f>
        <v>0</v>
      </c>
      <c r="BT366" s="220">
        <f t="shared" si="183"/>
        <v>1.5102272727272728</v>
      </c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</row>
    <row r="367" spans="1:103" s="2" customFormat="1" ht="14.45" hidden="1" customHeight="1" x14ac:dyDescent="0.25">
      <c r="A367" s="15" t="s">
        <v>835</v>
      </c>
      <c r="B367" s="34" t="s">
        <v>834</v>
      </c>
      <c r="C367" s="26" t="s">
        <v>834</v>
      </c>
      <c r="D367" s="26"/>
      <c r="E367" s="26" t="s">
        <v>830</v>
      </c>
      <c r="F367" s="26" t="s">
        <v>307</v>
      </c>
      <c r="G367" s="29">
        <v>760</v>
      </c>
      <c r="H367" s="29">
        <f t="shared" si="189"/>
        <v>20</v>
      </c>
      <c r="I367" s="26" t="s">
        <v>8</v>
      </c>
      <c r="J367" s="26" t="s">
        <v>101</v>
      </c>
      <c r="K367" s="26">
        <v>0</v>
      </c>
      <c r="L367" s="42">
        <v>8</v>
      </c>
      <c r="M367" s="42">
        <v>6</v>
      </c>
      <c r="N367" s="42">
        <v>6</v>
      </c>
      <c r="O367" s="42">
        <v>8</v>
      </c>
      <c r="P367" s="42">
        <v>8</v>
      </c>
      <c r="Q367" s="42">
        <v>8</v>
      </c>
      <c r="R367" s="42">
        <v>8</v>
      </c>
      <c r="S367" s="42">
        <v>8</v>
      </c>
      <c r="T367" s="42">
        <v>7</v>
      </c>
      <c r="U367" s="42">
        <v>7</v>
      </c>
      <c r="V367" s="42"/>
      <c r="W367" s="42"/>
      <c r="X367" s="42"/>
      <c r="Y367" s="26">
        <v>326</v>
      </c>
      <c r="Z367" s="26">
        <f t="shared" si="190"/>
        <v>0</v>
      </c>
      <c r="AA367" s="26" t="s">
        <v>64</v>
      </c>
      <c r="AB367" s="111">
        <f t="shared" si="174"/>
        <v>2</v>
      </c>
      <c r="AC367" s="106" t="s">
        <v>13</v>
      </c>
      <c r="AD367" s="47">
        <f t="shared" si="170"/>
        <v>3022.7272727272725</v>
      </c>
      <c r="AE367" s="140">
        <v>1</v>
      </c>
      <c r="AF367" s="113">
        <f t="shared" si="191"/>
        <v>3022.7272727272725</v>
      </c>
      <c r="AG367" s="85">
        <v>2023</v>
      </c>
      <c r="AH367" s="26" t="str">
        <f t="shared" si="164"/>
        <v/>
      </c>
      <c r="AI367" s="26" t="str">
        <f t="shared" si="192"/>
        <v>Chip Seal and Fog</v>
      </c>
      <c r="AJ367" s="26" t="str">
        <f t="shared" si="192"/>
        <v/>
      </c>
      <c r="AK367" s="26" t="str">
        <f t="shared" si="169"/>
        <v/>
      </c>
      <c r="AL367" s="26" t="str">
        <f t="shared" si="185"/>
        <v/>
      </c>
      <c r="AM367" s="26" t="str">
        <f t="shared" si="184"/>
        <v/>
      </c>
      <c r="AN367" s="26" t="str">
        <f t="shared" si="175"/>
        <v>Chip Seal and Fog</v>
      </c>
      <c r="AO367" s="26" t="str">
        <f t="shared" si="186"/>
        <v/>
      </c>
      <c r="AP367" s="26" t="str">
        <f t="shared" si="176"/>
        <v/>
      </c>
      <c r="AQ367" s="68">
        <f t="shared" si="171"/>
        <v>12</v>
      </c>
      <c r="AR367" s="68">
        <f t="shared" si="172"/>
        <v>6</v>
      </c>
      <c r="AS367" s="68">
        <f t="shared" si="177"/>
        <v>1</v>
      </c>
      <c r="AT367" s="68">
        <f t="shared" si="178"/>
        <v>1.1000000000000001</v>
      </c>
      <c r="AU367" s="68">
        <f t="shared" si="179"/>
        <v>1.1000000000000001</v>
      </c>
      <c r="AV367" s="68">
        <f t="shared" si="180"/>
        <v>1</v>
      </c>
      <c r="AW367" s="68">
        <f t="shared" si="181"/>
        <v>1</v>
      </c>
      <c r="AX367" s="68">
        <f t="shared" ca="1" si="173"/>
        <v>-1.1000000000000001</v>
      </c>
      <c r="AY367" s="68">
        <v>2023</v>
      </c>
      <c r="AZ367" s="68" t="s">
        <v>13</v>
      </c>
      <c r="BA367" s="106" t="str">
        <f t="shared" si="182"/>
        <v/>
      </c>
      <c r="BB367" s="178"/>
      <c r="BC367" s="178">
        <v>3</v>
      </c>
      <c r="BD367" s="178"/>
      <c r="BE367" s="178"/>
      <c r="BF367" s="178"/>
      <c r="BG367" s="178"/>
      <c r="BH367" s="178"/>
      <c r="BI367" s="33"/>
      <c r="BK367" s="48">
        <f>$G367/5280*VLOOKUP($AC367,'Cost and Score'!$B$27:$O$40,6,0)</f>
        <v>2.8787878787878793E-2</v>
      </c>
      <c r="BL367" s="48">
        <f>$G367/5280*VLOOKUP($AC367,'Cost and Score'!$B$27:$O$40,7,0)</f>
        <v>3.166666666666667</v>
      </c>
      <c r="BM367" s="48">
        <f>$G367/5280*VLOOKUP($AC367,'Cost and Score'!$B$27:$O$40,8,0)</f>
        <v>0</v>
      </c>
      <c r="BN367" s="48">
        <f>$G367/5280*VLOOKUP($AC367,'Cost and Score'!$B$27:$O$40,9,0)</f>
        <v>647.72727272727275</v>
      </c>
      <c r="BO367" s="48">
        <f>$G367/5280*VLOOKUP($AC367,'Cost and Score'!$B$27:$O$40,10,0)</f>
        <v>143.93939393939394</v>
      </c>
      <c r="BP367" s="48">
        <f>$G367/5280*VLOOKUP($AC367,'Cost and Score'!$B$27:$O$40,11,0)</f>
        <v>0</v>
      </c>
      <c r="BQ367" s="48">
        <f>$G367/5280*VLOOKUP($AC367,'Cost and Score'!$B$27:$O$40,12,0)</f>
        <v>14.393939393939394</v>
      </c>
      <c r="BR367" s="48">
        <f>$G367/5280*VLOOKUP($AC367,'Cost and Score'!$B$27:$O$40,13,0)</f>
        <v>17.272727272727273</v>
      </c>
      <c r="BS367" s="48">
        <f>$G367/5280*VLOOKUP($AC367,'Cost and Score'!$B$27:$O$40,14,0)</f>
        <v>0</v>
      </c>
      <c r="BT367" s="220">
        <f t="shared" si="183"/>
        <v>0.14393939393939395</v>
      </c>
    </row>
    <row r="368" spans="1:103" s="2" customFormat="1" ht="14.45" hidden="1" customHeight="1" x14ac:dyDescent="0.25">
      <c r="A368" s="15" t="s">
        <v>838</v>
      </c>
      <c r="B368" s="34" t="s">
        <v>837</v>
      </c>
      <c r="C368" s="26" t="s">
        <v>837</v>
      </c>
      <c r="D368" s="26"/>
      <c r="E368" s="26" t="s">
        <v>297</v>
      </c>
      <c r="F368" s="26" t="s">
        <v>18</v>
      </c>
      <c r="G368" s="29">
        <v>5445</v>
      </c>
      <c r="H368" s="29">
        <f t="shared" si="189"/>
        <v>20</v>
      </c>
      <c r="I368" s="26" t="s">
        <v>8</v>
      </c>
      <c r="J368" s="26" t="s">
        <v>26</v>
      </c>
      <c r="K368" s="26">
        <f>VLOOKUP(J368,TOWNSHIPS,2,FALSE)</f>
        <v>0</v>
      </c>
      <c r="L368" s="42">
        <v>9</v>
      </c>
      <c r="M368" s="42">
        <v>7</v>
      </c>
      <c r="N368" s="42">
        <v>7</v>
      </c>
      <c r="O368" s="42">
        <v>7</v>
      </c>
      <c r="P368" s="42">
        <v>7</v>
      </c>
      <c r="Q368" s="42">
        <v>7</v>
      </c>
      <c r="R368" s="42">
        <v>7</v>
      </c>
      <c r="S368" s="42">
        <v>7</v>
      </c>
      <c r="T368" s="42">
        <v>7</v>
      </c>
      <c r="U368" s="42">
        <v>7</v>
      </c>
      <c r="V368" s="42"/>
      <c r="W368" s="42"/>
      <c r="X368" s="42"/>
      <c r="Y368" s="26">
        <v>50</v>
      </c>
      <c r="Z368" s="26">
        <f t="shared" si="190"/>
        <v>0</v>
      </c>
      <c r="AA368" s="26" t="s">
        <v>28</v>
      </c>
      <c r="AB368" s="111">
        <f t="shared" si="174"/>
        <v>3</v>
      </c>
      <c r="AC368" s="106" t="s">
        <v>13</v>
      </c>
      <c r="AD368" s="47">
        <f t="shared" si="170"/>
        <v>21656.25</v>
      </c>
      <c r="AE368" s="140"/>
      <c r="AF368" s="113">
        <f t="shared" si="191"/>
        <v>0</v>
      </c>
      <c r="AG368" s="85">
        <v>2026</v>
      </c>
      <c r="AH368" s="26" t="str">
        <f t="shared" si="164"/>
        <v/>
      </c>
      <c r="AI368" s="26" t="str">
        <f t="shared" si="192"/>
        <v/>
      </c>
      <c r="AJ368" s="26" t="str">
        <f t="shared" si="192"/>
        <v/>
      </c>
      <c r="AK368" s="26" t="str">
        <f t="shared" si="169"/>
        <v/>
      </c>
      <c r="AL368" s="26" t="str">
        <f t="shared" si="185"/>
        <v>Chip Seal and Fog</v>
      </c>
      <c r="AM368" s="26" t="str">
        <f t="shared" si="184"/>
        <v/>
      </c>
      <c r="AN368" s="26" t="str">
        <f t="shared" si="175"/>
        <v>Chip Seal and Fog</v>
      </c>
      <c r="AO368" s="26" t="str">
        <f t="shared" si="186"/>
        <v/>
      </c>
      <c r="AP368" s="26" t="str">
        <f t="shared" si="176"/>
        <v/>
      </c>
      <c r="AQ368" s="68">
        <f t="shared" si="171"/>
        <v>10</v>
      </c>
      <c r="AR368" s="68">
        <f t="shared" si="172"/>
        <v>6</v>
      </c>
      <c r="AS368" s="68">
        <f t="shared" si="177"/>
        <v>1</v>
      </c>
      <c r="AT368" s="68">
        <f t="shared" si="178"/>
        <v>1.05</v>
      </c>
      <c r="AU368" s="68">
        <f t="shared" si="179"/>
        <v>1.05</v>
      </c>
      <c r="AV368" s="68">
        <f t="shared" si="180"/>
        <v>1.05</v>
      </c>
      <c r="AW368" s="68">
        <f t="shared" si="181"/>
        <v>1.05</v>
      </c>
      <c r="AX368" s="68">
        <f t="shared" ca="1" si="173"/>
        <v>2.1</v>
      </c>
      <c r="AY368" s="68">
        <v>2020</v>
      </c>
      <c r="AZ368" s="68" t="s">
        <v>13</v>
      </c>
      <c r="BA368" s="106" t="str">
        <f t="shared" si="182"/>
        <v/>
      </c>
      <c r="BB368" s="178"/>
      <c r="BC368" s="178">
        <v>5</v>
      </c>
      <c r="BD368" s="178"/>
      <c r="BE368" s="178"/>
      <c r="BF368" s="178"/>
      <c r="BG368" s="178"/>
      <c r="BH368" s="178"/>
      <c r="BI368" s="33"/>
      <c r="BK368" s="48">
        <f>$G368/5280*VLOOKUP($AC368,'Cost and Score'!$B$27:$O$40,6,0)</f>
        <v>0.20625000000000002</v>
      </c>
      <c r="BL368" s="48">
        <f>$G368/5280*VLOOKUP($AC368,'Cost and Score'!$B$27:$O$40,7,0)</f>
        <v>22.6875</v>
      </c>
      <c r="BM368" s="48">
        <f>$G368/5280*VLOOKUP($AC368,'Cost and Score'!$B$27:$O$40,8,0)</f>
        <v>0</v>
      </c>
      <c r="BN368" s="48">
        <f>$G368/5280*VLOOKUP($AC368,'Cost and Score'!$B$27:$O$40,9,0)</f>
        <v>4640.625</v>
      </c>
      <c r="BO368" s="48">
        <f>$G368/5280*VLOOKUP($AC368,'Cost and Score'!$B$27:$O$40,10,0)</f>
        <v>1031.25</v>
      </c>
      <c r="BP368" s="48">
        <f>$G368/5280*VLOOKUP($AC368,'Cost and Score'!$B$27:$O$40,11,0)</f>
        <v>0</v>
      </c>
      <c r="BQ368" s="48">
        <f>$G368/5280*VLOOKUP($AC368,'Cost and Score'!$B$27:$O$40,12,0)</f>
        <v>103.125</v>
      </c>
      <c r="BR368" s="48">
        <f>$G368/5280*VLOOKUP($AC368,'Cost and Score'!$B$27:$O$40,13,0)</f>
        <v>123.75</v>
      </c>
      <c r="BS368" s="48">
        <f>$G368/5280*VLOOKUP($AC368,'Cost and Score'!$B$27:$O$40,14,0)</f>
        <v>0</v>
      </c>
      <c r="BT368" s="220">
        <f t="shared" si="183"/>
        <v>1.03125</v>
      </c>
      <c r="CW368" s="112"/>
      <c r="CX368" s="112"/>
      <c r="CY368" s="112"/>
    </row>
    <row r="369" spans="1:103" s="2" customFormat="1" ht="14.45" hidden="1" customHeight="1" x14ac:dyDescent="0.25">
      <c r="A369" s="15" t="s">
        <v>840</v>
      </c>
      <c r="B369" s="34" t="s">
        <v>839</v>
      </c>
      <c r="C369" s="26" t="s">
        <v>839</v>
      </c>
      <c r="D369" s="82"/>
      <c r="E369" s="82" t="s">
        <v>18</v>
      </c>
      <c r="F369" s="82" t="s">
        <v>288</v>
      </c>
      <c r="G369" s="29">
        <v>2746</v>
      </c>
      <c r="H369" s="29">
        <f t="shared" si="189"/>
        <v>20</v>
      </c>
      <c r="I369" s="26" t="s">
        <v>8</v>
      </c>
      <c r="J369" s="26" t="s">
        <v>26</v>
      </c>
      <c r="K369" s="26">
        <f>VLOOKUP(J369,TOWNSHIPS,2,FALSE)</f>
        <v>0</v>
      </c>
      <c r="L369" s="42">
        <v>7</v>
      </c>
      <c r="M369" s="42">
        <v>7</v>
      </c>
      <c r="N369" s="42">
        <v>7</v>
      </c>
      <c r="O369" s="83">
        <v>7</v>
      </c>
      <c r="P369" s="83">
        <v>6</v>
      </c>
      <c r="Q369" s="83">
        <v>6</v>
      </c>
      <c r="R369" s="83">
        <v>6</v>
      </c>
      <c r="S369" s="83">
        <v>6</v>
      </c>
      <c r="T369" s="83">
        <v>7</v>
      </c>
      <c r="U369" s="83">
        <v>7</v>
      </c>
      <c r="V369" s="42"/>
      <c r="W369" s="42"/>
      <c r="X369" s="42"/>
      <c r="Y369" s="26">
        <v>50</v>
      </c>
      <c r="Z369" s="26">
        <f t="shared" si="190"/>
        <v>0</v>
      </c>
      <c r="AA369" s="82" t="s">
        <v>28</v>
      </c>
      <c r="AB369" s="111">
        <f t="shared" si="174"/>
        <v>4</v>
      </c>
      <c r="AC369" s="82" t="s">
        <v>2072</v>
      </c>
      <c r="AD369" s="84">
        <f t="shared" si="170"/>
        <v>23923.484848484848</v>
      </c>
      <c r="AE369" s="140"/>
      <c r="AF369" s="113">
        <f t="shared" si="191"/>
        <v>0</v>
      </c>
      <c r="AG369" s="26">
        <v>2027</v>
      </c>
      <c r="AH369" s="26" t="str">
        <f t="shared" si="164"/>
        <v/>
      </c>
      <c r="AI369" s="26" t="str">
        <f t="shared" si="192"/>
        <v/>
      </c>
      <c r="AJ369" s="26" t="str">
        <f t="shared" si="192"/>
        <v/>
      </c>
      <c r="AK369" s="26" t="str">
        <f t="shared" si="169"/>
        <v/>
      </c>
      <c r="AL369" s="26" t="str">
        <f t="shared" si="185"/>
        <v/>
      </c>
      <c r="AM369" s="26" t="str">
        <f t="shared" si="184"/>
        <v>Chip Seal - Triple</v>
      </c>
      <c r="AN369" s="26" t="str">
        <f t="shared" si="175"/>
        <v>Chip Seal - Triple</v>
      </c>
      <c r="AO369" s="26" t="str">
        <f t="shared" si="186"/>
        <v>Chip Seal and Fog</v>
      </c>
      <c r="AP369" s="26" t="str">
        <f t="shared" si="176"/>
        <v/>
      </c>
      <c r="AQ369" s="68">
        <f t="shared" si="171"/>
        <v>10</v>
      </c>
      <c r="AR369" s="68">
        <f t="shared" si="172"/>
        <v>8</v>
      </c>
      <c r="AS369" s="68">
        <f t="shared" si="177"/>
        <v>1.05</v>
      </c>
      <c r="AT369" s="68">
        <f t="shared" si="178"/>
        <v>1.05</v>
      </c>
      <c r="AU369" s="68">
        <f t="shared" si="179"/>
        <v>1.05</v>
      </c>
      <c r="AV369" s="68">
        <f t="shared" si="180"/>
        <v>1.05</v>
      </c>
      <c r="AW369" s="68">
        <f t="shared" si="181"/>
        <v>1.1000000000000001</v>
      </c>
      <c r="AX369" s="68">
        <f t="shared" ca="1" si="173"/>
        <v>3.1500000000000004</v>
      </c>
      <c r="AY369" s="68">
        <v>2021</v>
      </c>
      <c r="AZ369" s="68" t="s">
        <v>13</v>
      </c>
      <c r="BA369" s="106" t="str">
        <f t="shared" si="182"/>
        <v/>
      </c>
      <c r="BB369" s="178">
        <v>34</v>
      </c>
      <c r="BC369" s="178">
        <v>5</v>
      </c>
      <c r="BD369" s="178"/>
      <c r="BE369" s="178"/>
      <c r="BF369" s="178"/>
      <c r="BG369" s="178"/>
      <c r="BH369" s="178"/>
      <c r="BI369" s="33"/>
      <c r="BK369" s="48">
        <f>$G369/5280*VLOOKUP($AC369,'Cost and Score'!$B$27:$O$40,6,0)</f>
        <v>0.31204545454545451</v>
      </c>
      <c r="BL369" s="48">
        <f>$G369/5280*VLOOKUP($AC369,'Cost and Score'!$B$27:$O$40,7,0)</f>
        <v>65.009469696969688</v>
      </c>
      <c r="BM369" s="48">
        <f>$G369/5280*VLOOKUP($AC369,'Cost and Score'!$B$27:$O$40,8,0)</f>
        <v>104.0151515151515</v>
      </c>
      <c r="BN369" s="48">
        <f>$G369/5280*VLOOKUP($AC369,'Cost and Score'!$B$27:$O$40,9,0)</f>
        <v>1040.151515151515</v>
      </c>
      <c r="BO369" s="48">
        <f>$G369/5280*VLOOKUP($AC369,'Cost and Score'!$B$27:$O$40,10,0)</f>
        <v>260.03787878787875</v>
      </c>
      <c r="BP369" s="48">
        <f>$G369/5280*VLOOKUP($AC369,'Cost and Score'!$B$27:$O$40,11,0)</f>
        <v>52.007575757575751</v>
      </c>
      <c r="BQ369" s="48">
        <f>$G369/5280*VLOOKUP($AC369,'Cost and Score'!$B$27:$O$40,12,0)</f>
        <v>416.06060606060601</v>
      </c>
      <c r="BR369" s="48">
        <f>$G369/5280*VLOOKUP($AC369,'Cost and Score'!$B$27:$O$40,13,0)</f>
        <v>41.606060606060602</v>
      </c>
      <c r="BS369" s="48">
        <f>$G369/5280*VLOOKUP($AC369,'Cost and Score'!$B$27:$O$40,14,0)</f>
        <v>0</v>
      </c>
      <c r="BT369" s="220">
        <f t="shared" si="183"/>
        <v>0.52007575757575752</v>
      </c>
    </row>
    <row r="370" spans="1:103" s="112" customFormat="1" ht="14.45" hidden="1" customHeight="1" x14ac:dyDescent="0.25">
      <c r="A370" s="15" t="s">
        <v>842</v>
      </c>
      <c r="B370" s="108" t="s">
        <v>841</v>
      </c>
      <c r="C370" s="106" t="s">
        <v>841</v>
      </c>
      <c r="D370" s="106"/>
      <c r="E370" s="106" t="s">
        <v>124</v>
      </c>
      <c r="F370" s="106" t="s">
        <v>121</v>
      </c>
      <c r="G370" s="109">
        <v>5290</v>
      </c>
      <c r="H370" s="109">
        <f t="shared" si="189"/>
        <v>20</v>
      </c>
      <c r="I370" s="106" t="s">
        <v>13</v>
      </c>
      <c r="J370" s="106" t="s">
        <v>11</v>
      </c>
      <c r="K370" s="106">
        <f>VLOOKUP(J370,TOWNSHIPS,2,FALSE)</f>
        <v>0</v>
      </c>
      <c r="L370" s="110">
        <v>6</v>
      </c>
      <c r="M370" s="110">
        <v>6</v>
      </c>
      <c r="N370" s="110">
        <v>6</v>
      </c>
      <c r="O370" s="110">
        <v>6</v>
      </c>
      <c r="P370" s="110">
        <v>8</v>
      </c>
      <c r="Q370" s="110">
        <v>7</v>
      </c>
      <c r="R370" s="110">
        <v>7</v>
      </c>
      <c r="S370" s="110">
        <v>7</v>
      </c>
      <c r="T370" s="110">
        <v>6</v>
      </c>
      <c r="U370" s="110">
        <v>6</v>
      </c>
      <c r="V370" s="110">
        <v>2023</v>
      </c>
      <c r="W370" s="110">
        <v>2023</v>
      </c>
      <c r="X370" s="110" t="s">
        <v>2612</v>
      </c>
      <c r="Y370" s="106">
        <v>288</v>
      </c>
      <c r="Z370" s="106">
        <f t="shared" si="190"/>
        <v>0</v>
      </c>
      <c r="AA370" s="106" t="s">
        <v>28</v>
      </c>
      <c r="AB370" s="111">
        <f t="shared" si="174"/>
        <v>2</v>
      </c>
      <c r="AC370" s="26" t="s">
        <v>751</v>
      </c>
      <c r="AD370" s="107">
        <f t="shared" si="170"/>
        <v>110208.33333333333</v>
      </c>
      <c r="AE370" s="198">
        <v>1</v>
      </c>
      <c r="AF370" s="113">
        <f t="shared" si="191"/>
        <v>110208.33333333333</v>
      </c>
      <c r="AG370" s="26">
        <v>2023</v>
      </c>
      <c r="AH370" s="26" t="str">
        <f t="shared" si="164"/>
        <v/>
      </c>
      <c r="AI370" s="26" t="str">
        <f t="shared" si="192"/>
        <v>Overlay - 2"</v>
      </c>
      <c r="AJ370" s="26" t="str">
        <f t="shared" si="192"/>
        <v/>
      </c>
      <c r="AK370" s="26" t="str">
        <f t="shared" si="169"/>
        <v/>
      </c>
      <c r="AL370" s="26" t="str">
        <f t="shared" si="185"/>
        <v/>
      </c>
      <c r="AM370" s="26" t="str">
        <f t="shared" si="184"/>
        <v/>
      </c>
      <c r="AN370" s="26" t="str">
        <f t="shared" si="175"/>
        <v>Overlay - 2"</v>
      </c>
      <c r="AO370" s="26" t="str">
        <f t="shared" si="186"/>
        <v/>
      </c>
      <c r="AP370" s="26" t="str">
        <f t="shared" si="176"/>
        <v/>
      </c>
      <c r="AQ370" s="68">
        <f t="shared" si="171"/>
        <v>8</v>
      </c>
      <c r="AR370" s="68">
        <f t="shared" si="172"/>
        <v>12</v>
      </c>
      <c r="AS370" s="68">
        <f t="shared" si="177"/>
        <v>1.1000000000000001</v>
      </c>
      <c r="AT370" s="68">
        <f t="shared" si="178"/>
        <v>1.1000000000000001</v>
      </c>
      <c r="AU370" s="68">
        <f t="shared" si="179"/>
        <v>1.1000000000000001</v>
      </c>
      <c r="AV370" s="68">
        <f t="shared" si="180"/>
        <v>1.1000000000000001</v>
      </c>
      <c r="AW370" s="68">
        <f t="shared" si="181"/>
        <v>1</v>
      </c>
      <c r="AX370" s="68">
        <f t="shared" ca="1" si="173"/>
        <v>-1.1000000000000001</v>
      </c>
      <c r="AY370" s="106">
        <v>2023</v>
      </c>
      <c r="AZ370" s="111" t="s">
        <v>751</v>
      </c>
      <c r="BA370" s="106" t="str">
        <f t="shared" si="182"/>
        <v/>
      </c>
      <c r="BB370" s="110"/>
      <c r="BC370" s="110">
        <v>4</v>
      </c>
      <c r="BD370" s="110"/>
      <c r="BE370" s="110"/>
      <c r="BF370" s="110"/>
      <c r="BG370" s="110"/>
      <c r="BH370" s="110"/>
      <c r="BI370" s="33"/>
      <c r="BJ370" s="2"/>
      <c r="BK370" s="48">
        <f>$G370/5280*VLOOKUP($AC370,'Cost and Score'!$B$27:$O$40,6,0)</f>
        <v>2.2542613636363638</v>
      </c>
      <c r="BL370" s="48">
        <f>$G370/5280*VLOOKUP($AC370,'Cost and Score'!$B$27:$O$40,7,0)</f>
        <v>210.39772727272728</v>
      </c>
      <c r="BM370" s="48">
        <f>$G370/5280*VLOOKUP($AC370,'Cost and Score'!$B$27:$O$40,8,0)</f>
        <v>350.66287878787881</v>
      </c>
      <c r="BN370" s="48">
        <f>$G370/5280*VLOOKUP($AC370,'Cost and Score'!$B$27:$O$40,9,0)</f>
        <v>0</v>
      </c>
      <c r="BO370" s="48">
        <f>$G370/5280*VLOOKUP($AC370,'Cost and Score'!$B$27:$O$40,10,0)</f>
        <v>0</v>
      </c>
      <c r="BP370" s="48">
        <f>$G370/5280*VLOOKUP($AC370,'Cost and Score'!$B$27:$O$40,11,0)</f>
        <v>200.37878787878788</v>
      </c>
      <c r="BQ370" s="48">
        <f>$G370/5280*VLOOKUP($AC370,'Cost and Score'!$B$27:$O$40,12,0)</f>
        <v>1703.219696969697</v>
      </c>
      <c r="BR370" s="48">
        <f>$G370/5280*VLOOKUP($AC370,'Cost and Score'!$B$27:$O$40,13,0)</f>
        <v>0</v>
      </c>
      <c r="BS370" s="48">
        <f>$G370/5280*VLOOKUP($AC370,'Cost and Score'!$B$27:$O$40,14,0)</f>
        <v>0</v>
      </c>
      <c r="BT370" s="220">
        <f t="shared" si="183"/>
        <v>1.0018939393939394</v>
      </c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</row>
    <row r="371" spans="1:103" s="2" customFormat="1" ht="14.45" hidden="1" customHeight="1" x14ac:dyDescent="0.25">
      <c r="A371" s="15" t="s">
        <v>844</v>
      </c>
      <c r="B371" s="34" t="s">
        <v>843</v>
      </c>
      <c r="C371" s="26" t="s">
        <v>843</v>
      </c>
      <c r="D371" s="82"/>
      <c r="E371" s="82" t="s">
        <v>406</v>
      </c>
      <c r="F371" s="82" t="s">
        <v>450</v>
      </c>
      <c r="G371" s="29">
        <v>3515</v>
      </c>
      <c r="H371" s="29">
        <f t="shared" si="189"/>
        <v>20</v>
      </c>
      <c r="I371" s="26" t="s">
        <v>13</v>
      </c>
      <c r="J371" s="26" t="s">
        <v>101</v>
      </c>
      <c r="K371" s="26">
        <v>0</v>
      </c>
      <c r="L371" s="42">
        <v>8</v>
      </c>
      <c r="M371" s="42">
        <v>7</v>
      </c>
      <c r="N371" s="42">
        <v>8</v>
      </c>
      <c r="O371" s="83">
        <v>7</v>
      </c>
      <c r="P371" s="83">
        <v>7</v>
      </c>
      <c r="Q371" s="83">
        <v>7</v>
      </c>
      <c r="R371" s="83">
        <v>7</v>
      </c>
      <c r="S371" s="83">
        <v>6</v>
      </c>
      <c r="T371" s="83">
        <v>6</v>
      </c>
      <c r="U371" s="83">
        <v>7</v>
      </c>
      <c r="V371" s="42"/>
      <c r="W371" s="42"/>
      <c r="X371" s="42"/>
      <c r="Y371" s="26">
        <v>100</v>
      </c>
      <c r="Z371" s="26">
        <f t="shared" si="190"/>
        <v>0</v>
      </c>
      <c r="AA371" s="82" t="s">
        <v>28</v>
      </c>
      <c r="AB371" s="111">
        <f t="shared" si="174"/>
        <v>3</v>
      </c>
      <c r="AC371" s="82" t="s">
        <v>13</v>
      </c>
      <c r="AD371" s="84">
        <f t="shared" si="170"/>
        <v>13980.113636363636</v>
      </c>
      <c r="AE371" s="140"/>
      <c r="AF371" s="113">
        <f t="shared" si="191"/>
        <v>0</v>
      </c>
      <c r="AG371" s="26">
        <v>2022</v>
      </c>
      <c r="AH371" s="26" t="str">
        <f t="shared" si="164"/>
        <v>Chip Seal and Fog</v>
      </c>
      <c r="AI371" s="26" t="str">
        <f t="shared" si="192"/>
        <v/>
      </c>
      <c r="AJ371" s="26" t="str">
        <f t="shared" si="192"/>
        <v/>
      </c>
      <c r="AK371" s="26" t="str">
        <f t="shared" si="169"/>
        <v/>
      </c>
      <c r="AL371" s="26" t="str">
        <f t="shared" si="185"/>
        <v/>
      </c>
      <c r="AM371" s="26" t="str">
        <f t="shared" si="184"/>
        <v/>
      </c>
      <c r="AN371" s="26" t="str">
        <f t="shared" si="175"/>
        <v>Chip Seal and Fog</v>
      </c>
      <c r="AO371" s="26" t="str">
        <f t="shared" si="186"/>
        <v/>
      </c>
      <c r="AP371" s="26" t="str">
        <f t="shared" si="176"/>
        <v/>
      </c>
      <c r="AQ371" s="68">
        <f t="shared" si="171"/>
        <v>10</v>
      </c>
      <c r="AR371" s="68">
        <f t="shared" si="172"/>
        <v>6</v>
      </c>
      <c r="AS371" s="68">
        <f t="shared" si="177"/>
        <v>1</v>
      </c>
      <c r="AT371" s="68">
        <f t="shared" si="178"/>
        <v>1.05</v>
      </c>
      <c r="AU371" s="68">
        <f t="shared" si="179"/>
        <v>1</v>
      </c>
      <c r="AV371" s="68">
        <f t="shared" si="180"/>
        <v>1.05</v>
      </c>
      <c r="AW371" s="68">
        <f t="shared" si="181"/>
        <v>1.05</v>
      </c>
      <c r="AX371" s="68">
        <f t="shared" ca="1" si="173"/>
        <v>-2</v>
      </c>
      <c r="AY371" s="68"/>
      <c r="AZ371" s="68"/>
      <c r="BA371" s="106" t="str">
        <f t="shared" si="182"/>
        <v/>
      </c>
      <c r="BB371" s="178">
        <v>32</v>
      </c>
      <c r="BC371" s="178">
        <v>4</v>
      </c>
      <c r="BD371" s="178"/>
      <c r="BE371" s="178"/>
      <c r="BF371" s="178"/>
      <c r="BG371" s="178"/>
      <c r="BH371" s="178"/>
      <c r="BI371" s="33"/>
      <c r="BK371" s="48">
        <f>$G371/5280*VLOOKUP($AC371,'Cost and Score'!$B$27:$O$40,6,0)</f>
        <v>0.1331439393939394</v>
      </c>
      <c r="BL371" s="48">
        <f>$G371/5280*VLOOKUP($AC371,'Cost and Score'!$B$27:$O$40,7,0)</f>
        <v>14.645833333333334</v>
      </c>
      <c r="BM371" s="48">
        <f>$G371/5280*VLOOKUP($AC371,'Cost and Score'!$B$27:$O$40,8,0)</f>
        <v>0</v>
      </c>
      <c r="BN371" s="48">
        <f>$G371/5280*VLOOKUP($AC371,'Cost and Score'!$B$27:$O$40,9,0)</f>
        <v>2995.7386363636365</v>
      </c>
      <c r="BO371" s="48">
        <f>$G371/5280*VLOOKUP($AC371,'Cost and Score'!$B$27:$O$40,10,0)</f>
        <v>665.719696969697</v>
      </c>
      <c r="BP371" s="48">
        <f>$G371/5280*VLOOKUP($AC371,'Cost and Score'!$B$27:$O$40,11,0)</f>
        <v>0</v>
      </c>
      <c r="BQ371" s="48">
        <f>$G371/5280*VLOOKUP($AC371,'Cost and Score'!$B$27:$O$40,12,0)</f>
        <v>66.571969696969703</v>
      </c>
      <c r="BR371" s="48">
        <f>$G371/5280*VLOOKUP($AC371,'Cost and Score'!$B$27:$O$40,13,0)</f>
        <v>79.88636363636364</v>
      </c>
      <c r="BS371" s="48">
        <f>$G371/5280*VLOOKUP($AC371,'Cost and Score'!$B$27:$O$40,14,0)</f>
        <v>0</v>
      </c>
      <c r="BT371" s="220">
        <f t="shared" si="183"/>
        <v>0.66571969696969702</v>
      </c>
      <c r="CV371" s="112"/>
    </row>
    <row r="372" spans="1:103" s="2" customFormat="1" ht="14.45" hidden="1" customHeight="1" x14ac:dyDescent="0.25">
      <c r="A372" s="15" t="s">
        <v>846</v>
      </c>
      <c r="B372" s="34" t="s">
        <v>845</v>
      </c>
      <c r="C372" s="26" t="s">
        <v>845</v>
      </c>
      <c r="D372" s="26"/>
      <c r="E372" s="26" t="s">
        <v>86</v>
      </c>
      <c r="F372" s="26" t="s">
        <v>461</v>
      </c>
      <c r="G372" s="29">
        <v>8817</v>
      </c>
      <c r="H372" s="29">
        <f t="shared" si="189"/>
        <v>20</v>
      </c>
      <c r="I372" s="106" t="s">
        <v>751</v>
      </c>
      <c r="J372" s="26" t="s">
        <v>101</v>
      </c>
      <c r="K372" s="26">
        <v>0</v>
      </c>
      <c r="L372" s="42">
        <v>5</v>
      </c>
      <c r="M372" s="42">
        <v>5</v>
      </c>
      <c r="N372" s="42">
        <v>10</v>
      </c>
      <c r="O372" s="42">
        <v>9</v>
      </c>
      <c r="P372" s="42">
        <v>9</v>
      </c>
      <c r="Q372" s="42">
        <v>8</v>
      </c>
      <c r="R372" s="42">
        <v>8</v>
      </c>
      <c r="S372" s="42">
        <v>7</v>
      </c>
      <c r="T372" s="42">
        <v>7</v>
      </c>
      <c r="U372" s="42">
        <v>7</v>
      </c>
      <c r="V372" s="42"/>
      <c r="W372" s="42"/>
      <c r="X372" s="42"/>
      <c r="Y372" s="26">
        <v>250</v>
      </c>
      <c r="Z372" s="26">
        <f t="shared" si="190"/>
        <v>0</v>
      </c>
      <c r="AA372" s="26" t="s">
        <v>28</v>
      </c>
      <c r="AB372" s="111">
        <f t="shared" si="174"/>
        <v>1</v>
      </c>
      <c r="AC372" s="85" t="s">
        <v>2073</v>
      </c>
      <c r="AD372" s="47">
        <f t="shared" si="170"/>
        <v>53436.36363636364</v>
      </c>
      <c r="AE372" s="140"/>
      <c r="AF372" s="113">
        <f t="shared" si="191"/>
        <v>0</v>
      </c>
      <c r="AG372" s="26">
        <v>2027</v>
      </c>
      <c r="AH372" s="26" t="str">
        <f t="shared" si="164"/>
        <v/>
      </c>
      <c r="AI372" s="26" t="str">
        <f t="shared" ref="AI372:AJ391" si="194">IF($AG372=AI$1,VLOOKUP($AC372,RSL,3,FALSE),"")</f>
        <v/>
      </c>
      <c r="AJ372" s="26" t="str">
        <f t="shared" si="194"/>
        <v/>
      </c>
      <c r="AK372" s="26" t="str">
        <f t="shared" si="169"/>
        <v/>
      </c>
      <c r="AL372" s="26" t="str">
        <f t="shared" si="185"/>
        <v/>
      </c>
      <c r="AM372" s="26" t="str">
        <f t="shared" si="184"/>
        <v>Chip Seal - Double and Fog</v>
      </c>
      <c r="AN372" s="26" t="str">
        <f t="shared" si="175"/>
        <v>Chip Seal - Double and Fog</v>
      </c>
      <c r="AO372" s="26" t="str">
        <f t="shared" si="186"/>
        <v>Crack Seal</v>
      </c>
      <c r="AP372" s="26" t="str">
        <f t="shared" si="176"/>
        <v/>
      </c>
      <c r="AQ372" s="68">
        <f t="shared" si="171"/>
        <v>14</v>
      </c>
      <c r="AR372" s="68">
        <f t="shared" si="172"/>
        <v>6</v>
      </c>
      <c r="AS372" s="68">
        <f t="shared" si="177"/>
        <v>1.25</v>
      </c>
      <c r="AT372" s="68">
        <f t="shared" si="178"/>
        <v>1.25</v>
      </c>
      <c r="AU372" s="68">
        <f t="shared" si="179"/>
        <v>1</v>
      </c>
      <c r="AV372" s="68">
        <f t="shared" si="180"/>
        <v>1</v>
      </c>
      <c r="AW372" s="68">
        <f t="shared" si="181"/>
        <v>1</v>
      </c>
      <c r="AX372" s="68">
        <f t="shared" ca="1" si="173"/>
        <v>3</v>
      </c>
      <c r="AY372" s="68">
        <v>2021</v>
      </c>
      <c r="AZ372" s="68" t="s">
        <v>2075</v>
      </c>
      <c r="BA372" s="106" t="str">
        <f t="shared" si="182"/>
        <v/>
      </c>
      <c r="BB372" s="178"/>
      <c r="BC372" s="178">
        <v>3</v>
      </c>
      <c r="BD372" s="178"/>
      <c r="BE372" s="178"/>
      <c r="BF372" s="178"/>
      <c r="BG372" s="178"/>
      <c r="BH372" s="178"/>
      <c r="BI372" s="33" t="s">
        <v>2366</v>
      </c>
      <c r="BK372" s="48">
        <f>$G372/5280*VLOOKUP($AC372,'Cost and Score'!$B$27:$O$40,6,0)</f>
        <v>0.83494318181818183</v>
      </c>
      <c r="BL372" s="48">
        <f>$G372/5280*VLOOKUP($AC372,'Cost and Score'!$B$27:$O$40,7,0)</f>
        <v>83.494318181818187</v>
      </c>
      <c r="BM372" s="48">
        <f>$G372/5280*VLOOKUP($AC372,'Cost and Score'!$B$27:$O$40,8,0)</f>
        <v>0</v>
      </c>
      <c r="BN372" s="48">
        <f>$G372/5280*VLOOKUP($AC372,'Cost and Score'!$B$27:$O$40,9,0)</f>
        <v>15863.920454545454</v>
      </c>
      <c r="BO372" s="48">
        <f>$G372/5280*VLOOKUP($AC372,'Cost and Score'!$B$27:$O$40,10,0)</f>
        <v>1669.8863636363637</v>
      </c>
      <c r="BP372" s="48">
        <f>$G372/5280*VLOOKUP($AC372,'Cost and Score'!$B$27:$O$40,11,0)</f>
        <v>0</v>
      </c>
      <c r="BQ372" s="48">
        <f>$G372/5280*VLOOKUP($AC372,'Cost and Score'!$B$27:$O$40,12,0)</f>
        <v>333.97727272727275</v>
      </c>
      <c r="BR372" s="48">
        <f>$G372/5280*VLOOKUP($AC372,'Cost and Score'!$B$27:$O$40,13,0)</f>
        <v>300.57954545454544</v>
      </c>
      <c r="BS372" s="48">
        <f>$G372/5280*VLOOKUP($AC372,'Cost and Score'!$B$27:$O$40,14,0)</f>
        <v>400.77272727272725</v>
      </c>
      <c r="BT372" s="220">
        <f t="shared" si="183"/>
        <v>1.6698863636363637</v>
      </c>
    </row>
    <row r="373" spans="1:103" s="2" customFormat="1" ht="14.45" hidden="1" customHeight="1" x14ac:dyDescent="0.25">
      <c r="A373" s="15" t="s">
        <v>848</v>
      </c>
      <c r="B373" s="34" t="s">
        <v>847</v>
      </c>
      <c r="C373" s="26" t="s">
        <v>847</v>
      </c>
      <c r="D373" s="26"/>
      <c r="E373" s="26" t="s">
        <v>124</v>
      </c>
      <c r="F373" s="26" t="s">
        <v>129</v>
      </c>
      <c r="G373" s="29">
        <v>5385</v>
      </c>
      <c r="H373" s="29">
        <f t="shared" si="189"/>
        <v>20</v>
      </c>
      <c r="I373" s="106" t="s">
        <v>13</v>
      </c>
      <c r="J373" s="26" t="s">
        <v>125</v>
      </c>
      <c r="K373" s="26">
        <f>VLOOKUP(J373,TOWNSHIPS,2,FALSE)</f>
        <v>0</v>
      </c>
      <c r="L373" s="42">
        <v>6</v>
      </c>
      <c r="M373" s="42">
        <v>7</v>
      </c>
      <c r="N373" s="42">
        <v>8</v>
      </c>
      <c r="O373" s="42">
        <v>8</v>
      </c>
      <c r="P373" s="42">
        <v>7</v>
      </c>
      <c r="Q373" s="42">
        <v>7</v>
      </c>
      <c r="R373" s="42">
        <v>7</v>
      </c>
      <c r="S373" s="42">
        <v>6</v>
      </c>
      <c r="T373" s="42">
        <v>6</v>
      </c>
      <c r="U373" s="42">
        <v>7</v>
      </c>
      <c r="V373" s="42">
        <v>2023</v>
      </c>
      <c r="W373" s="42">
        <v>2023</v>
      </c>
      <c r="X373" s="42" t="s">
        <v>2612</v>
      </c>
      <c r="Y373" s="26">
        <v>685</v>
      </c>
      <c r="Z373" s="26">
        <f t="shared" si="190"/>
        <v>0.5</v>
      </c>
      <c r="AA373" s="26" t="s">
        <v>28</v>
      </c>
      <c r="AB373" s="111">
        <f t="shared" si="174"/>
        <v>3.5</v>
      </c>
      <c r="AC373" s="85" t="s">
        <v>13</v>
      </c>
      <c r="AD373" s="47">
        <f t="shared" si="170"/>
        <v>21417.613636363636</v>
      </c>
      <c r="AE373" s="140"/>
      <c r="AF373" s="113">
        <f t="shared" si="191"/>
        <v>0</v>
      </c>
      <c r="AG373" s="85">
        <v>2026</v>
      </c>
      <c r="AH373" s="26" t="str">
        <f t="shared" si="164"/>
        <v/>
      </c>
      <c r="AI373" s="26" t="str">
        <f t="shared" si="194"/>
        <v/>
      </c>
      <c r="AJ373" s="26" t="str">
        <f t="shared" si="194"/>
        <v/>
      </c>
      <c r="AK373" s="26" t="str">
        <f t="shared" si="169"/>
        <v/>
      </c>
      <c r="AL373" s="26" t="str">
        <f t="shared" si="185"/>
        <v>Chip Seal and Fog</v>
      </c>
      <c r="AM373" s="26" t="str">
        <f t="shared" si="184"/>
        <v/>
      </c>
      <c r="AN373" s="26" t="str">
        <f t="shared" si="175"/>
        <v>Chip Seal and Fog</v>
      </c>
      <c r="AO373" s="26" t="str">
        <f t="shared" si="186"/>
        <v/>
      </c>
      <c r="AP373" s="26" t="str">
        <f t="shared" si="176"/>
        <v/>
      </c>
      <c r="AQ373" s="68">
        <f t="shared" si="171"/>
        <v>12</v>
      </c>
      <c r="AR373" s="68">
        <f t="shared" si="172"/>
        <v>6</v>
      </c>
      <c r="AS373" s="68">
        <f t="shared" si="177"/>
        <v>1.1000000000000001</v>
      </c>
      <c r="AT373" s="68">
        <f t="shared" si="178"/>
        <v>1.05</v>
      </c>
      <c r="AU373" s="68">
        <f t="shared" si="179"/>
        <v>1</v>
      </c>
      <c r="AV373" s="68">
        <f t="shared" si="180"/>
        <v>1</v>
      </c>
      <c r="AW373" s="68">
        <f t="shared" si="181"/>
        <v>1.05</v>
      </c>
      <c r="AX373" s="68">
        <f t="shared" ca="1" si="173"/>
        <v>2</v>
      </c>
      <c r="AY373" s="68">
        <v>2020</v>
      </c>
      <c r="AZ373" s="68" t="s">
        <v>2072</v>
      </c>
      <c r="BA373" s="106" t="str">
        <f t="shared" si="182"/>
        <v/>
      </c>
      <c r="BB373" s="178"/>
      <c r="BC373" s="178">
        <v>2</v>
      </c>
      <c r="BD373" s="178"/>
      <c r="BE373" s="178"/>
      <c r="BF373" s="178"/>
      <c r="BG373" s="178"/>
      <c r="BH373" s="178"/>
      <c r="BI373" s="33"/>
      <c r="BK373" s="48">
        <f>$G373/5280*VLOOKUP($AC373,'Cost and Score'!$B$27:$O$40,6,0)</f>
        <v>0.20397727272727273</v>
      </c>
      <c r="BL373" s="48">
        <f>$G373/5280*VLOOKUP($AC373,'Cost and Score'!$B$27:$O$40,7,0)</f>
        <v>22.437499999999996</v>
      </c>
      <c r="BM373" s="48">
        <f>$G373/5280*VLOOKUP($AC373,'Cost and Score'!$B$27:$O$40,8,0)</f>
        <v>0</v>
      </c>
      <c r="BN373" s="48">
        <f>$G373/5280*VLOOKUP($AC373,'Cost and Score'!$B$27:$O$40,9,0)</f>
        <v>4589.488636363636</v>
      </c>
      <c r="BO373" s="48">
        <f>$G373/5280*VLOOKUP($AC373,'Cost and Score'!$B$27:$O$40,10,0)</f>
        <v>1019.8863636363635</v>
      </c>
      <c r="BP373" s="48">
        <f>$G373/5280*VLOOKUP($AC373,'Cost and Score'!$B$27:$O$40,11,0)</f>
        <v>0</v>
      </c>
      <c r="BQ373" s="48">
        <f>$G373/5280*VLOOKUP($AC373,'Cost and Score'!$B$27:$O$40,12,0)</f>
        <v>101.98863636363636</v>
      </c>
      <c r="BR373" s="48">
        <f>$G373/5280*VLOOKUP($AC373,'Cost and Score'!$B$27:$O$40,13,0)</f>
        <v>122.38636363636363</v>
      </c>
      <c r="BS373" s="48">
        <f>$G373/5280*VLOOKUP($AC373,'Cost and Score'!$B$27:$O$40,14,0)</f>
        <v>0</v>
      </c>
      <c r="BT373" s="220">
        <f t="shared" si="183"/>
        <v>1.0198863636363635</v>
      </c>
    </row>
    <row r="374" spans="1:103" s="2" customFormat="1" ht="14.45" hidden="1" customHeight="1" x14ac:dyDescent="0.25">
      <c r="A374" s="15" t="s">
        <v>850</v>
      </c>
      <c r="B374" s="34" t="s">
        <v>849</v>
      </c>
      <c r="C374" s="26" t="s">
        <v>849</v>
      </c>
      <c r="D374" s="82"/>
      <c r="E374" s="82" t="s">
        <v>461</v>
      </c>
      <c r="F374" s="82" t="s">
        <v>59</v>
      </c>
      <c r="G374" s="29">
        <v>5385</v>
      </c>
      <c r="H374" s="29">
        <f t="shared" si="189"/>
        <v>20</v>
      </c>
      <c r="I374" s="26" t="s">
        <v>8</v>
      </c>
      <c r="J374" s="26" t="s">
        <v>101</v>
      </c>
      <c r="K374" s="26">
        <v>0</v>
      </c>
      <c r="L374" s="42">
        <v>6</v>
      </c>
      <c r="M374" s="42">
        <v>6</v>
      </c>
      <c r="N374" s="42">
        <v>6</v>
      </c>
      <c r="O374" s="83">
        <v>6</v>
      </c>
      <c r="P374" s="83">
        <v>6</v>
      </c>
      <c r="Q374" s="83">
        <v>6</v>
      </c>
      <c r="R374" s="83">
        <v>8</v>
      </c>
      <c r="S374" s="83">
        <v>8</v>
      </c>
      <c r="T374" s="83">
        <v>7</v>
      </c>
      <c r="U374" s="83">
        <v>7</v>
      </c>
      <c r="V374" s="42"/>
      <c r="W374" s="42"/>
      <c r="X374" s="42"/>
      <c r="Y374" s="26">
        <v>175</v>
      </c>
      <c r="Z374" s="26">
        <f t="shared" si="190"/>
        <v>0</v>
      </c>
      <c r="AA374" s="82" t="s">
        <v>28</v>
      </c>
      <c r="AB374" s="111">
        <f t="shared" si="174"/>
        <v>4</v>
      </c>
      <c r="AC374" s="85" t="s">
        <v>13</v>
      </c>
      <c r="AD374" s="84">
        <f t="shared" si="170"/>
        <v>21417.613636363636</v>
      </c>
      <c r="AE374" s="140"/>
      <c r="AF374" s="113">
        <f t="shared" si="191"/>
        <v>0</v>
      </c>
      <c r="AG374" s="26">
        <v>2027</v>
      </c>
      <c r="AH374" s="26" t="str">
        <f t="shared" si="164"/>
        <v/>
      </c>
      <c r="AI374" s="26" t="str">
        <f t="shared" si="194"/>
        <v/>
      </c>
      <c r="AJ374" s="26" t="str">
        <f t="shared" si="194"/>
        <v/>
      </c>
      <c r="AK374" s="26" t="str">
        <f t="shared" si="169"/>
        <v/>
      </c>
      <c r="AL374" s="26" t="str">
        <f t="shared" si="185"/>
        <v/>
      </c>
      <c r="AM374" s="26" t="str">
        <f t="shared" si="184"/>
        <v>Chip Seal and Fog</v>
      </c>
      <c r="AN374" s="26" t="str">
        <f t="shared" si="175"/>
        <v>Chip Seal and Fog</v>
      </c>
      <c r="AO374" s="26" t="str">
        <f t="shared" si="186"/>
        <v>Crack Seal</v>
      </c>
      <c r="AP374" s="26" t="str">
        <f t="shared" si="176"/>
        <v/>
      </c>
      <c r="AQ374" s="68">
        <f t="shared" si="171"/>
        <v>8</v>
      </c>
      <c r="AR374" s="68">
        <f t="shared" si="172"/>
        <v>6</v>
      </c>
      <c r="AS374" s="68">
        <f t="shared" si="177"/>
        <v>1.1000000000000001</v>
      </c>
      <c r="AT374" s="68">
        <f t="shared" si="178"/>
        <v>1.1000000000000001</v>
      </c>
      <c r="AU374" s="68">
        <f t="shared" si="179"/>
        <v>1.1000000000000001</v>
      </c>
      <c r="AV374" s="68">
        <f t="shared" si="180"/>
        <v>1.1000000000000001</v>
      </c>
      <c r="AW374" s="68">
        <f t="shared" si="181"/>
        <v>1.1000000000000001</v>
      </c>
      <c r="AX374" s="68">
        <f t="shared" ca="1" si="173"/>
        <v>3.3000000000000003</v>
      </c>
      <c r="AY374" s="68">
        <v>2021</v>
      </c>
      <c r="AZ374" s="68" t="s">
        <v>2075</v>
      </c>
      <c r="BA374" s="106" t="str">
        <f t="shared" si="182"/>
        <v/>
      </c>
      <c r="BB374" s="178"/>
      <c r="BC374" s="178">
        <v>3</v>
      </c>
      <c r="BD374" s="178"/>
      <c r="BE374" s="178"/>
      <c r="BF374" s="178"/>
      <c r="BG374" s="178"/>
      <c r="BH374" s="178"/>
      <c r="BI374" s="33"/>
      <c r="BK374" s="48">
        <f>$G374/5280*VLOOKUP($AC374,'Cost and Score'!$B$27:$O$40,6,0)</f>
        <v>0.20397727272727273</v>
      </c>
      <c r="BL374" s="48">
        <f>$G374/5280*VLOOKUP($AC374,'Cost and Score'!$B$27:$O$40,7,0)</f>
        <v>22.437499999999996</v>
      </c>
      <c r="BM374" s="48">
        <f>$G374/5280*VLOOKUP($AC374,'Cost and Score'!$B$27:$O$40,8,0)</f>
        <v>0</v>
      </c>
      <c r="BN374" s="48">
        <f>$G374/5280*VLOOKUP($AC374,'Cost and Score'!$B$27:$O$40,9,0)</f>
        <v>4589.488636363636</v>
      </c>
      <c r="BO374" s="48">
        <f>$G374/5280*VLOOKUP($AC374,'Cost and Score'!$B$27:$O$40,10,0)</f>
        <v>1019.8863636363635</v>
      </c>
      <c r="BP374" s="48">
        <f>$G374/5280*VLOOKUP($AC374,'Cost and Score'!$B$27:$O$40,11,0)</f>
        <v>0</v>
      </c>
      <c r="BQ374" s="48">
        <f>$G374/5280*VLOOKUP($AC374,'Cost and Score'!$B$27:$O$40,12,0)</f>
        <v>101.98863636363636</v>
      </c>
      <c r="BR374" s="48">
        <f>$G374/5280*VLOOKUP($AC374,'Cost and Score'!$B$27:$O$40,13,0)</f>
        <v>122.38636363636363</v>
      </c>
      <c r="BS374" s="48">
        <f>$G374/5280*VLOOKUP($AC374,'Cost and Score'!$B$27:$O$40,14,0)</f>
        <v>0</v>
      </c>
      <c r="BT374" s="220">
        <f t="shared" si="183"/>
        <v>1.0198863636363635</v>
      </c>
    </row>
    <row r="375" spans="1:103" s="2" customFormat="1" ht="14.45" hidden="1" customHeight="1" x14ac:dyDescent="0.25">
      <c r="A375" s="36" t="s">
        <v>852</v>
      </c>
      <c r="B375" s="34" t="s">
        <v>851</v>
      </c>
      <c r="C375" s="26" t="s">
        <v>851</v>
      </c>
      <c r="D375" s="26"/>
      <c r="E375" s="26" t="s">
        <v>129</v>
      </c>
      <c r="F375" s="26" t="s">
        <v>168</v>
      </c>
      <c r="G375" s="29">
        <v>2710</v>
      </c>
      <c r="H375" s="29">
        <f t="shared" si="189"/>
        <v>20</v>
      </c>
      <c r="I375" s="26" t="s">
        <v>8</v>
      </c>
      <c r="J375" s="26" t="s">
        <v>125</v>
      </c>
      <c r="K375" s="26">
        <v>0</v>
      </c>
      <c r="L375" s="42">
        <v>5</v>
      </c>
      <c r="M375" s="42">
        <v>5</v>
      </c>
      <c r="N375" s="42">
        <v>7</v>
      </c>
      <c r="O375" s="42">
        <v>7</v>
      </c>
      <c r="P375" s="42">
        <v>7</v>
      </c>
      <c r="Q375" s="42">
        <v>7</v>
      </c>
      <c r="R375" s="42">
        <v>7</v>
      </c>
      <c r="S375" s="42">
        <v>6</v>
      </c>
      <c r="T375" s="42">
        <v>6</v>
      </c>
      <c r="U375" s="42">
        <v>7</v>
      </c>
      <c r="V375" s="42">
        <v>2023</v>
      </c>
      <c r="W375" s="42">
        <v>2023</v>
      </c>
      <c r="X375" s="42" t="s">
        <v>2612</v>
      </c>
      <c r="Y375" s="26">
        <v>655</v>
      </c>
      <c r="Z375" s="26">
        <f t="shared" si="190"/>
        <v>0.5</v>
      </c>
      <c r="AA375" s="26" t="s">
        <v>28</v>
      </c>
      <c r="AB375" s="111">
        <f t="shared" si="174"/>
        <v>3.5</v>
      </c>
      <c r="AC375" s="85" t="s">
        <v>13</v>
      </c>
      <c r="AD375" s="47">
        <f t="shared" si="170"/>
        <v>10778.40909090909</v>
      </c>
      <c r="AE375" s="140"/>
      <c r="AF375" s="113">
        <f t="shared" si="191"/>
        <v>0</v>
      </c>
      <c r="AG375" s="85">
        <v>2026</v>
      </c>
      <c r="AH375" s="26" t="str">
        <f t="shared" ref="AH375:AH398" si="195">IF($AG375=AH$1,VLOOKUP($AC375,RSL,3,FALSE),"")</f>
        <v/>
      </c>
      <c r="AI375" s="26" t="str">
        <f t="shared" si="194"/>
        <v/>
      </c>
      <c r="AJ375" s="26" t="str">
        <f t="shared" si="194"/>
        <v/>
      </c>
      <c r="AK375" s="26" t="str">
        <f t="shared" si="169"/>
        <v/>
      </c>
      <c r="AL375" s="26" t="str">
        <f t="shared" si="185"/>
        <v>Chip Seal and Fog</v>
      </c>
      <c r="AM375" s="26" t="str">
        <f t="shared" si="184"/>
        <v/>
      </c>
      <c r="AN375" s="26" t="str">
        <f t="shared" si="175"/>
        <v>Chip Seal and Fog</v>
      </c>
      <c r="AO375" s="26" t="str">
        <f t="shared" si="186"/>
        <v/>
      </c>
      <c r="AP375" s="26" t="str">
        <f t="shared" si="176"/>
        <v/>
      </c>
      <c r="AQ375" s="68">
        <f t="shared" si="171"/>
        <v>10</v>
      </c>
      <c r="AR375" s="68">
        <f t="shared" si="172"/>
        <v>6</v>
      </c>
      <c r="AS375" s="68">
        <f t="shared" si="177"/>
        <v>1.25</v>
      </c>
      <c r="AT375" s="68">
        <f t="shared" si="178"/>
        <v>1.25</v>
      </c>
      <c r="AU375" s="68">
        <f t="shared" si="179"/>
        <v>1.05</v>
      </c>
      <c r="AV375" s="68">
        <f t="shared" si="180"/>
        <v>1.05</v>
      </c>
      <c r="AW375" s="68">
        <f t="shared" si="181"/>
        <v>1.05</v>
      </c>
      <c r="AX375" s="68">
        <f t="shared" ca="1" si="173"/>
        <v>2.1</v>
      </c>
      <c r="AY375" s="68">
        <v>2020</v>
      </c>
      <c r="AZ375" s="68" t="s">
        <v>2072</v>
      </c>
      <c r="BA375" s="106" t="str">
        <f t="shared" si="182"/>
        <v/>
      </c>
      <c r="BB375" s="178"/>
      <c r="BC375" s="178">
        <v>2</v>
      </c>
      <c r="BD375" s="178"/>
      <c r="BE375" s="178"/>
      <c r="BF375" s="178"/>
      <c r="BG375" s="178"/>
      <c r="BH375" s="178"/>
      <c r="BI375" s="33"/>
      <c r="BK375" s="48">
        <f>$G375/5280*VLOOKUP($AC375,'Cost and Score'!$B$27:$O$40,6,0)</f>
        <v>0.10265151515151516</v>
      </c>
      <c r="BL375" s="48">
        <f>$G375/5280*VLOOKUP($AC375,'Cost and Score'!$B$27:$O$40,7,0)</f>
        <v>11.291666666666668</v>
      </c>
      <c r="BM375" s="48">
        <f>$G375/5280*VLOOKUP($AC375,'Cost and Score'!$B$27:$O$40,8,0)</f>
        <v>0</v>
      </c>
      <c r="BN375" s="48">
        <f>$G375/5280*VLOOKUP($AC375,'Cost and Score'!$B$27:$O$40,9,0)</f>
        <v>2309.659090909091</v>
      </c>
      <c r="BO375" s="48">
        <f>$G375/5280*VLOOKUP($AC375,'Cost and Score'!$B$27:$O$40,10,0)</f>
        <v>513.25757575757575</v>
      </c>
      <c r="BP375" s="48">
        <f>$G375/5280*VLOOKUP($AC375,'Cost and Score'!$B$27:$O$40,11,0)</f>
        <v>0</v>
      </c>
      <c r="BQ375" s="48">
        <f>$G375/5280*VLOOKUP($AC375,'Cost and Score'!$B$27:$O$40,12,0)</f>
        <v>51.325757575757578</v>
      </c>
      <c r="BR375" s="48">
        <f>$G375/5280*VLOOKUP($AC375,'Cost and Score'!$B$27:$O$40,13,0)</f>
        <v>61.590909090909093</v>
      </c>
      <c r="BS375" s="48">
        <f>$G375/5280*VLOOKUP($AC375,'Cost and Score'!$B$27:$O$40,14,0)</f>
        <v>0</v>
      </c>
      <c r="BT375" s="220">
        <f t="shared" si="183"/>
        <v>0.5132575757575758</v>
      </c>
    </row>
    <row r="376" spans="1:103" s="2" customFormat="1" ht="14.45" hidden="1" customHeight="1" x14ac:dyDescent="0.25">
      <c r="A376" s="36" t="s">
        <v>854</v>
      </c>
      <c r="B376" s="34" t="s">
        <v>853</v>
      </c>
      <c r="C376" s="26" t="s">
        <v>853</v>
      </c>
      <c r="D376" s="26"/>
      <c r="E376" s="26" t="s">
        <v>135</v>
      </c>
      <c r="F376" s="26" t="s">
        <v>168</v>
      </c>
      <c r="G376" s="29">
        <v>4960</v>
      </c>
      <c r="H376" s="29">
        <f t="shared" si="189"/>
        <v>20</v>
      </c>
      <c r="I376" s="26" t="s">
        <v>8</v>
      </c>
      <c r="J376" s="26" t="s">
        <v>125</v>
      </c>
      <c r="K376" s="26">
        <f>VLOOKUP(J376,TOWNSHIPS,2,FALSE)</f>
        <v>0</v>
      </c>
      <c r="L376" s="42">
        <v>6</v>
      </c>
      <c r="M376" s="42">
        <v>6</v>
      </c>
      <c r="N376" s="42">
        <v>6</v>
      </c>
      <c r="O376" s="42">
        <v>8</v>
      </c>
      <c r="P376" s="42">
        <v>7</v>
      </c>
      <c r="Q376" s="42">
        <v>7</v>
      </c>
      <c r="R376" s="42">
        <v>7</v>
      </c>
      <c r="S376" s="42">
        <v>4</v>
      </c>
      <c r="T376" s="42">
        <v>4</v>
      </c>
      <c r="U376" s="42">
        <v>5</v>
      </c>
      <c r="V376" s="42">
        <v>2023</v>
      </c>
      <c r="W376" s="42">
        <v>2023</v>
      </c>
      <c r="X376" s="42" t="s">
        <v>2612</v>
      </c>
      <c r="Y376" s="26">
        <v>954</v>
      </c>
      <c r="Z376" s="26">
        <f t="shared" si="190"/>
        <v>0.5</v>
      </c>
      <c r="AA376" s="26" t="s">
        <v>28</v>
      </c>
      <c r="AB376" s="111">
        <f t="shared" si="174"/>
        <v>3.5</v>
      </c>
      <c r="AC376" s="85" t="s">
        <v>13</v>
      </c>
      <c r="AD376" s="47">
        <f t="shared" si="170"/>
        <v>19727.272727272728</v>
      </c>
      <c r="AE376" s="140"/>
      <c r="AF376" s="113">
        <f t="shared" si="191"/>
        <v>0</v>
      </c>
      <c r="AG376" s="85">
        <v>2026</v>
      </c>
      <c r="AH376" s="26" t="str">
        <f t="shared" si="195"/>
        <v/>
      </c>
      <c r="AI376" s="26" t="str">
        <f t="shared" si="194"/>
        <v/>
      </c>
      <c r="AJ376" s="26" t="str">
        <f t="shared" si="194"/>
        <v/>
      </c>
      <c r="AK376" s="26" t="str">
        <f t="shared" si="169"/>
        <v/>
      </c>
      <c r="AL376" s="26" t="str">
        <f t="shared" si="185"/>
        <v>Chip Seal and Fog</v>
      </c>
      <c r="AM376" s="26" t="str">
        <f t="shared" si="184"/>
        <v/>
      </c>
      <c r="AN376" s="26" t="str">
        <f t="shared" si="175"/>
        <v>Chip Seal and Fog</v>
      </c>
      <c r="AO376" s="26" t="str">
        <f t="shared" si="186"/>
        <v/>
      </c>
      <c r="AP376" s="26" t="str">
        <f t="shared" si="176"/>
        <v/>
      </c>
      <c r="AQ376" s="68">
        <f t="shared" si="171"/>
        <v>12</v>
      </c>
      <c r="AR376" s="68">
        <f t="shared" si="172"/>
        <v>6</v>
      </c>
      <c r="AS376" s="68">
        <f t="shared" si="177"/>
        <v>1.1000000000000001</v>
      </c>
      <c r="AT376" s="68">
        <f t="shared" si="178"/>
        <v>1.1000000000000001</v>
      </c>
      <c r="AU376" s="68">
        <f t="shared" si="179"/>
        <v>1.1000000000000001</v>
      </c>
      <c r="AV376" s="68">
        <f t="shared" si="180"/>
        <v>1</v>
      </c>
      <c r="AW376" s="68">
        <f t="shared" si="181"/>
        <v>1.05</v>
      </c>
      <c r="AX376" s="68">
        <f t="shared" ca="1" si="173"/>
        <v>2.2000000000000002</v>
      </c>
      <c r="AY376" s="68">
        <v>2020</v>
      </c>
      <c r="AZ376" s="68" t="s">
        <v>2072</v>
      </c>
      <c r="BA376" s="106" t="str">
        <f t="shared" si="182"/>
        <v/>
      </c>
      <c r="BB376" s="178"/>
      <c r="BC376" s="178">
        <v>2</v>
      </c>
      <c r="BD376" s="178"/>
      <c r="BE376" s="178"/>
      <c r="BF376" s="178"/>
      <c r="BG376" s="178"/>
      <c r="BH376" s="178"/>
      <c r="BI376" s="33"/>
      <c r="BK376" s="48">
        <f>$G376/5280*VLOOKUP($AC376,'Cost and Score'!$B$27:$O$40,6,0)</f>
        <v>0.1878787878787879</v>
      </c>
      <c r="BL376" s="48">
        <f>$G376/5280*VLOOKUP($AC376,'Cost and Score'!$B$27:$O$40,7,0)</f>
        <v>20.666666666666668</v>
      </c>
      <c r="BM376" s="48">
        <f>$G376/5280*VLOOKUP($AC376,'Cost and Score'!$B$27:$O$40,8,0)</f>
        <v>0</v>
      </c>
      <c r="BN376" s="48">
        <f>$G376/5280*VLOOKUP($AC376,'Cost and Score'!$B$27:$O$40,9,0)</f>
        <v>4227.2727272727279</v>
      </c>
      <c r="BO376" s="48">
        <f>$G376/5280*VLOOKUP($AC376,'Cost and Score'!$B$27:$O$40,10,0)</f>
        <v>939.39393939393949</v>
      </c>
      <c r="BP376" s="48">
        <f>$G376/5280*VLOOKUP($AC376,'Cost and Score'!$B$27:$O$40,11,0)</f>
        <v>0</v>
      </c>
      <c r="BQ376" s="48">
        <f>$G376/5280*VLOOKUP($AC376,'Cost and Score'!$B$27:$O$40,12,0)</f>
        <v>93.939393939393938</v>
      </c>
      <c r="BR376" s="48">
        <f>$G376/5280*VLOOKUP($AC376,'Cost and Score'!$B$27:$O$40,13,0)</f>
        <v>112.72727272727273</v>
      </c>
      <c r="BS376" s="48">
        <f>$G376/5280*VLOOKUP($AC376,'Cost and Score'!$B$27:$O$40,14,0)</f>
        <v>0</v>
      </c>
      <c r="BT376" s="220">
        <f t="shared" si="183"/>
        <v>0.93939393939393945</v>
      </c>
      <c r="CW376" s="112"/>
      <c r="CX376" s="112"/>
      <c r="CY376" s="112"/>
    </row>
    <row r="377" spans="1:103" s="2" customFormat="1" ht="14.45" hidden="1" customHeight="1" x14ac:dyDescent="0.25">
      <c r="A377" s="15" t="s">
        <v>856</v>
      </c>
      <c r="B377" s="34" t="s">
        <v>855</v>
      </c>
      <c r="C377" s="26" t="s">
        <v>855</v>
      </c>
      <c r="D377" s="26"/>
      <c r="E377" s="26" t="s">
        <v>450</v>
      </c>
      <c r="F377" s="26" t="s">
        <v>504</v>
      </c>
      <c r="G377" s="29">
        <v>5068</v>
      </c>
      <c r="H377" s="29">
        <f t="shared" si="189"/>
        <v>20</v>
      </c>
      <c r="I377" s="26" t="s">
        <v>8</v>
      </c>
      <c r="J377" s="26" t="s">
        <v>101</v>
      </c>
      <c r="K377" s="26">
        <v>0</v>
      </c>
      <c r="L377" s="42">
        <v>8</v>
      </c>
      <c r="M377" s="42">
        <v>6</v>
      </c>
      <c r="N377" s="42">
        <v>6</v>
      </c>
      <c r="O377" s="42">
        <v>6</v>
      </c>
      <c r="P377" s="42">
        <v>6</v>
      </c>
      <c r="Q377" s="42">
        <v>6</v>
      </c>
      <c r="R377" s="42">
        <v>6</v>
      </c>
      <c r="S377" s="42">
        <v>6</v>
      </c>
      <c r="T377" s="42">
        <v>6</v>
      </c>
      <c r="U377" s="42">
        <v>6</v>
      </c>
      <c r="V377" s="42"/>
      <c r="W377" s="42"/>
      <c r="X377" s="42"/>
      <c r="Y377" s="26">
        <v>280</v>
      </c>
      <c r="Z377" s="26">
        <f t="shared" si="190"/>
        <v>0</v>
      </c>
      <c r="AA377" s="26" t="s">
        <v>28</v>
      </c>
      <c r="AB377" s="111">
        <f t="shared" si="174"/>
        <v>4</v>
      </c>
      <c r="AC377" s="85" t="s">
        <v>2072</v>
      </c>
      <c r="AD377" s="47">
        <f t="shared" si="170"/>
        <v>44153.030303030304</v>
      </c>
      <c r="AE377" s="140">
        <v>1</v>
      </c>
      <c r="AF377" s="113">
        <f t="shared" si="191"/>
        <v>44153.030303030304</v>
      </c>
      <c r="AG377" s="85">
        <v>2023</v>
      </c>
      <c r="AH377" s="26" t="str">
        <f t="shared" si="195"/>
        <v/>
      </c>
      <c r="AI377" s="26" t="str">
        <f t="shared" si="194"/>
        <v>Chip Seal - Triple</v>
      </c>
      <c r="AJ377" s="26" t="str">
        <f t="shared" si="194"/>
        <v/>
      </c>
      <c r="AK377" s="26" t="str">
        <f t="shared" si="169"/>
        <v/>
      </c>
      <c r="AL377" s="26" t="str">
        <f t="shared" si="185"/>
        <v/>
      </c>
      <c r="AM377" s="26" t="str">
        <f t="shared" si="184"/>
        <v/>
      </c>
      <c r="AN377" s="26" t="str">
        <f t="shared" si="175"/>
        <v>Chip Seal - Triple</v>
      </c>
      <c r="AO377" s="26" t="str">
        <f t="shared" si="186"/>
        <v/>
      </c>
      <c r="AP377" s="26" t="str">
        <f t="shared" si="176"/>
        <v/>
      </c>
      <c r="AQ377" s="68">
        <f t="shared" si="171"/>
        <v>8</v>
      </c>
      <c r="AR377" s="68">
        <f t="shared" si="172"/>
        <v>8</v>
      </c>
      <c r="AS377" s="68">
        <f t="shared" si="177"/>
        <v>1</v>
      </c>
      <c r="AT377" s="68">
        <f t="shared" si="178"/>
        <v>1.1000000000000001</v>
      </c>
      <c r="AU377" s="68">
        <f t="shared" si="179"/>
        <v>1.1000000000000001</v>
      </c>
      <c r="AV377" s="68">
        <f t="shared" si="180"/>
        <v>1.1000000000000001</v>
      </c>
      <c r="AW377" s="68">
        <f t="shared" si="181"/>
        <v>1.1000000000000001</v>
      </c>
      <c r="AX377" s="68">
        <f t="shared" ca="1" si="173"/>
        <v>-1.1000000000000001</v>
      </c>
      <c r="AY377" s="68">
        <v>2023</v>
      </c>
      <c r="AZ377" s="68" t="s">
        <v>2072</v>
      </c>
      <c r="BA377" s="106" t="str">
        <f t="shared" si="182"/>
        <v/>
      </c>
      <c r="BB377" s="178"/>
      <c r="BC377" s="178">
        <v>4</v>
      </c>
      <c r="BD377" s="178"/>
      <c r="BE377" s="178"/>
      <c r="BF377" s="178"/>
      <c r="BG377" s="178"/>
      <c r="BH377" s="178"/>
      <c r="BI377" s="33"/>
      <c r="BK377" s="48">
        <f>$G377/5280*VLOOKUP($AC377,'Cost and Score'!$B$27:$O$40,6,0)</f>
        <v>0.57590909090909093</v>
      </c>
      <c r="BL377" s="48">
        <f>$G377/5280*VLOOKUP($AC377,'Cost and Score'!$B$27:$O$40,7,0)</f>
        <v>119.98106060606061</v>
      </c>
      <c r="BM377" s="48">
        <f>$G377/5280*VLOOKUP($AC377,'Cost and Score'!$B$27:$O$40,8,0)</f>
        <v>191.96969696969697</v>
      </c>
      <c r="BN377" s="48">
        <f>$G377/5280*VLOOKUP($AC377,'Cost and Score'!$B$27:$O$40,9,0)</f>
        <v>1919.6969696969697</v>
      </c>
      <c r="BO377" s="48">
        <f>$G377/5280*VLOOKUP($AC377,'Cost and Score'!$B$27:$O$40,10,0)</f>
        <v>479.92424242424244</v>
      </c>
      <c r="BP377" s="48">
        <f>$G377/5280*VLOOKUP($AC377,'Cost and Score'!$B$27:$O$40,11,0)</f>
        <v>95.984848484848484</v>
      </c>
      <c r="BQ377" s="48">
        <f>$G377/5280*VLOOKUP($AC377,'Cost and Score'!$B$27:$O$40,12,0)</f>
        <v>767.87878787878788</v>
      </c>
      <c r="BR377" s="48">
        <f>$G377/5280*VLOOKUP($AC377,'Cost and Score'!$B$27:$O$40,13,0)</f>
        <v>76.787878787878782</v>
      </c>
      <c r="BS377" s="48">
        <f>$G377/5280*VLOOKUP($AC377,'Cost and Score'!$B$27:$O$40,14,0)</f>
        <v>0</v>
      </c>
      <c r="BT377" s="220">
        <f t="shared" si="183"/>
        <v>0.95984848484848484</v>
      </c>
    </row>
    <row r="378" spans="1:103" s="2" customFormat="1" ht="14.45" hidden="1" customHeight="1" x14ac:dyDescent="0.25">
      <c r="A378" s="15" t="s">
        <v>858</v>
      </c>
      <c r="B378" s="34" t="s">
        <v>857</v>
      </c>
      <c r="C378" s="26" t="s">
        <v>857</v>
      </c>
      <c r="D378" s="26"/>
      <c r="E378" s="26" t="s">
        <v>59</v>
      </c>
      <c r="F378" s="26" t="s">
        <v>73</v>
      </c>
      <c r="G378" s="29">
        <v>10650</v>
      </c>
      <c r="H378" s="29">
        <f t="shared" ref="H378:H409" si="196">IF(I378="NC",26,20)</f>
        <v>20</v>
      </c>
      <c r="I378" s="106" t="s">
        <v>751</v>
      </c>
      <c r="J378" s="26" t="s">
        <v>101</v>
      </c>
      <c r="K378" s="26">
        <v>0</v>
      </c>
      <c r="L378" s="42">
        <v>5</v>
      </c>
      <c r="M378" s="42">
        <v>4</v>
      </c>
      <c r="N378" s="42">
        <v>10</v>
      </c>
      <c r="O378" s="42">
        <v>9</v>
      </c>
      <c r="P378" s="42">
        <v>8</v>
      </c>
      <c r="Q378" s="42">
        <v>8</v>
      </c>
      <c r="R378" s="42">
        <v>8</v>
      </c>
      <c r="S378" s="42">
        <v>7</v>
      </c>
      <c r="T378" s="42">
        <v>7</v>
      </c>
      <c r="U378" s="42">
        <v>8</v>
      </c>
      <c r="V378" s="42"/>
      <c r="W378" s="42"/>
      <c r="X378" s="42"/>
      <c r="Y378" s="26">
        <v>49</v>
      </c>
      <c r="Z378" s="26">
        <f t="shared" ref="Z378:Z409" si="197">VLOOKUP(Y378,AADT,2)</f>
        <v>0</v>
      </c>
      <c r="AA378" s="26" t="s">
        <v>28</v>
      </c>
      <c r="AB378" s="111">
        <f t="shared" si="174"/>
        <v>2</v>
      </c>
      <c r="AC378" s="85" t="s">
        <v>2073</v>
      </c>
      <c r="AD378" s="47">
        <f t="shared" si="170"/>
        <v>64545.454545454544</v>
      </c>
      <c r="AE378" s="140"/>
      <c r="AF378" s="113">
        <f t="shared" ref="AF378:AF409" si="198">AD378*AE378</f>
        <v>0</v>
      </c>
      <c r="AG378" s="26">
        <v>2027</v>
      </c>
      <c r="AH378" s="26" t="str">
        <f t="shared" si="195"/>
        <v/>
      </c>
      <c r="AI378" s="26" t="str">
        <f t="shared" si="194"/>
        <v/>
      </c>
      <c r="AJ378" s="26" t="str">
        <f t="shared" si="194"/>
        <v/>
      </c>
      <c r="AK378" s="26" t="str">
        <f t="shared" si="169"/>
        <v/>
      </c>
      <c r="AL378" s="26" t="str">
        <f t="shared" si="185"/>
        <v/>
      </c>
      <c r="AM378" s="26" t="str">
        <f t="shared" si="184"/>
        <v>Chip Seal - Double and Fog</v>
      </c>
      <c r="AN378" s="26" t="str">
        <f t="shared" si="175"/>
        <v>Chip Seal - Double and Fog</v>
      </c>
      <c r="AO378" s="26" t="str">
        <f t="shared" si="186"/>
        <v>Crack Seal</v>
      </c>
      <c r="AP378" s="26" t="str">
        <f t="shared" si="176"/>
        <v/>
      </c>
      <c r="AQ378" s="68">
        <f t="shared" si="171"/>
        <v>14</v>
      </c>
      <c r="AR378" s="68">
        <f t="shared" si="172"/>
        <v>6</v>
      </c>
      <c r="AS378" s="68">
        <f t="shared" si="177"/>
        <v>1.25</v>
      </c>
      <c r="AT378" s="68">
        <f t="shared" si="178"/>
        <v>1.5</v>
      </c>
      <c r="AU378" s="68">
        <f t="shared" si="179"/>
        <v>1</v>
      </c>
      <c r="AV378" s="68">
        <f t="shared" si="180"/>
        <v>1</v>
      </c>
      <c r="AW378" s="68">
        <f t="shared" si="181"/>
        <v>1</v>
      </c>
      <c r="AX378" s="68">
        <f t="shared" ca="1" si="173"/>
        <v>3</v>
      </c>
      <c r="AY378" s="68">
        <v>2021</v>
      </c>
      <c r="AZ378" s="68" t="s">
        <v>2075</v>
      </c>
      <c r="BA378" s="106" t="str">
        <f t="shared" si="182"/>
        <v/>
      </c>
      <c r="BB378" s="178"/>
      <c r="BC378" s="178">
        <v>3</v>
      </c>
      <c r="BD378" s="178"/>
      <c r="BE378" s="178"/>
      <c r="BF378" s="178"/>
      <c r="BG378" s="178"/>
      <c r="BH378" s="178"/>
      <c r="BI378" s="33" t="s">
        <v>2369</v>
      </c>
      <c r="BK378" s="48">
        <f>$G378/5280*VLOOKUP($AC378,'Cost and Score'!$B$27:$O$40,6,0)</f>
        <v>1.0085227272727273</v>
      </c>
      <c r="BL378" s="48">
        <f>$G378/5280*VLOOKUP($AC378,'Cost and Score'!$B$27:$O$40,7,0)</f>
        <v>100.85227272727273</v>
      </c>
      <c r="BM378" s="48">
        <f>$G378/5280*VLOOKUP($AC378,'Cost and Score'!$B$27:$O$40,8,0)</f>
        <v>0</v>
      </c>
      <c r="BN378" s="48">
        <f>$G378/5280*VLOOKUP($AC378,'Cost and Score'!$B$27:$O$40,9,0)</f>
        <v>19161.93181818182</v>
      </c>
      <c r="BO378" s="48">
        <f>$G378/5280*VLOOKUP($AC378,'Cost and Score'!$B$27:$O$40,10,0)</f>
        <v>2017.0454545454545</v>
      </c>
      <c r="BP378" s="48">
        <f>$G378/5280*VLOOKUP($AC378,'Cost and Score'!$B$27:$O$40,11,0)</f>
        <v>0</v>
      </c>
      <c r="BQ378" s="48">
        <f>$G378/5280*VLOOKUP($AC378,'Cost and Score'!$B$27:$O$40,12,0)</f>
        <v>403.40909090909093</v>
      </c>
      <c r="BR378" s="48">
        <f>$G378/5280*VLOOKUP($AC378,'Cost and Score'!$B$27:$O$40,13,0)</f>
        <v>363.06818181818181</v>
      </c>
      <c r="BS378" s="48">
        <f>$G378/5280*VLOOKUP($AC378,'Cost and Score'!$B$27:$O$40,14,0)</f>
        <v>484.09090909090912</v>
      </c>
      <c r="BT378" s="220">
        <f t="shared" si="183"/>
        <v>2.0170454545454546</v>
      </c>
    </row>
    <row r="379" spans="1:103" s="2" customFormat="1" ht="14.45" hidden="1" customHeight="1" x14ac:dyDescent="0.25">
      <c r="A379" s="15" t="s">
        <v>860</v>
      </c>
      <c r="B379" s="34" t="s">
        <v>859</v>
      </c>
      <c r="C379" s="26" t="s">
        <v>859</v>
      </c>
      <c r="D379" s="82"/>
      <c r="E379" s="82" t="s">
        <v>138</v>
      </c>
      <c r="F379" s="82" t="s">
        <v>135</v>
      </c>
      <c r="G379" s="29">
        <v>5380</v>
      </c>
      <c r="H379" s="29">
        <f t="shared" si="196"/>
        <v>20</v>
      </c>
      <c r="I379" s="26" t="s">
        <v>8</v>
      </c>
      <c r="J379" s="26" t="s">
        <v>125</v>
      </c>
      <c r="K379" s="26">
        <f t="shared" ref="K379:K384" si="199">VLOOKUP(J379,TOWNSHIPS,2,FALSE)</f>
        <v>0</v>
      </c>
      <c r="L379" s="42">
        <v>7</v>
      </c>
      <c r="M379" s="42">
        <v>7</v>
      </c>
      <c r="N379" s="42">
        <v>7</v>
      </c>
      <c r="O379" s="83">
        <v>7</v>
      </c>
      <c r="P379" s="83">
        <v>6</v>
      </c>
      <c r="Q379" s="83">
        <v>6</v>
      </c>
      <c r="R379" s="83">
        <v>6</v>
      </c>
      <c r="S379" s="83">
        <v>6</v>
      </c>
      <c r="T379" s="83">
        <v>6</v>
      </c>
      <c r="U379" s="83">
        <v>7</v>
      </c>
      <c r="V379" s="42">
        <v>2023</v>
      </c>
      <c r="W379" s="42">
        <v>2023</v>
      </c>
      <c r="X379" s="42" t="s">
        <v>2612</v>
      </c>
      <c r="Y379" s="26">
        <v>1765</v>
      </c>
      <c r="Z379" s="26">
        <f t="shared" si="197"/>
        <v>1</v>
      </c>
      <c r="AA379" s="82" t="s">
        <v>28</v>
      </c>
      <c r="AB379" s="111">
        <f t="shared" si="174"/>
        <v>5</v>
      </c>
      <c r="AC379" s="82" t="s">
        <v>13</v>
      </c>
      <c r="AD379" s="84">
        <f t="shared" si="170"/>
        <v>21397.727272727272</v>
      </c>
      <c r="AE379" s="140"/>
      <c r="AF379" s="113">
        <f t="shared" si="198"/>
        <v>0</v>
      </c>
      <c r="AG379" s="82">
        <v>2022</v>
      </c>
      <c r="AH379" s="26" t="str">
        <f t="shared" si="195"/>
        <v>Chip Seal and Fog</v>
      </c>
      <c r="AI379" s="26" t="str">
        <f t="shared" si="194"/>
        <v/>
      </c>
      <c r="AJ379" s="26" t="str">
        <f t="shared" si="194"/>
        <v/>
      </c>
      <c r="AK379" s="26" t="str">
        <f t="shared" ref="AK379:AK398" si="200">IF($AG379=AK$1,VLOOKUP($AC379,RSL,3,FALSE),"")</f>
        <v/>
      </c>
      <c r="AL379" s="26" t="str">
        <f t="shared" si="185"/>
        <v/>
      </c>
      <c r="AM379" s="26" t="str">
        <f t="shared" si="184"/>
        <v/>
      </c>
      <c r="AN379" s="26" t="str">
        <f t="shared" si="175"/>
        <v>Chip Seal and Fog</v>
      </c>
      <c r="AO379" s="26" t="str">
        <f t="shared" si="186"/>
        <v/>
      </c>
      <c r="AP379" s="26" t="str">
        <f t="shared" si="176"/>
        <v/>
      </c>
      <c r="AQ379" s="68">
        <f t="shared" si="171"/>
        <v>10</v>
      </c>
      <c r="AR379" s="68">
        <f t="shared" si="172"/>
        <v>6</v>
      </c>
      <c r="AS379" s="68">
        <f t="shared" si="177"/>
        <v>1.05</v>
      </c>
      <c r="AT379" s="68">
        <f t="shared" si="178"/>
        <v>1.05</v>
      </c>
      <c r="AU379" s="68">
        <f t="shared" si="179"/>
        <v>1.05</v>
      </c>
      <c r="AV379" s="68">
        <f t="shared" si="180"/>
        <v>1.05</v>
      </c>
      <c r="AW379" s="68">
        <f t="shared" si="181"/>
        <v>1.1000000000000001</v>
      </c>
      <c r="AX379" s="68">
        <f t="shared" ca="1" si="173"/>
        <v>-2.1</v>
      </c>
      <c r="AY379" s="68"/>
      <c r="AZ379" s="68"/>
      <c r="BA379" s="106" t="str">
        <f t="shared" si="182"/>
        <v/>
      </c>
      <c r="BB379" s="178"/>
      <c r="BC379" s="178">
        <v>2</v>
      </c>
      <c r="BD379" s="178"/>
      <c r="BE379" s="178"/>
      <c r="BF379" s="178"/>
      <c r="BG379" s="178"/>
      <c r="BH379" s="178"/>
      <c r="BI379" s="33"/>
      <c r="BK379" s="48">
        <f>$G379/5280*VLOOKUP($AC379,'Cost and Score'!$B$27:$O$40,6,0)</f>
        <v>0.20378787878787882</v>
      </c>
      <c r="BL379" s="48">
        <f>$G379/5280*VLOOKUP($AC379,'Cost and Score'!$B$27:$O$40,7,0)</f>
        <v>22.416666666666668</v>
      </c>
      <c r="BM379" s="48">
        <f>$G379/5280*VLOOKUP($AC379,'Cost and Score'!$B$27:$O$40,8,0)</f>
        <v>0</v>
      </c>
      <c r="BN379" s="48">
        <f>$G379/5280*VLOOKUP($AC379,'Cost and Score'!$B$27:$O$40,9,0)</f>
        <v>4585.227272727273</v>
      </c>
      <c r="BO379" s="48">
        <f>$G379/5280*VLOOKUP($AC379,'Cost and Score'!$B$27:$O$40,10,0)</f>
        <v>1018.939393939394</v>
      </c>
      <c r="BP379" s="48">
        <f>$G379/5280*VLOOKUP($AC379,'Cost and Score'!$B$27:$O$40,11,0)</f>
        <v>0</v>
      </c>
      <c r="BQ379" s="48">
        <f>$G379/5280*VLOOKUP($AC379,'Cost and Score'!$B$27:$O$40,12,0)</f>
        <v>101.89393939393941</v>
      </c>
      <c r="BR379" s="48">
        <f>$G379/5280*VLOOKUP($AC379,'Cost and Score'!$B$27:$O$40,13,0)</f>
        <v>122.27272727272728</v>
      </c>
      <c r="BS379" s="48">
        <f>$G379/5280*VLOOKUP($AC379,'Cost and Score'!$B$27:$O$40,14,0)</f>
        <v>0</v>
      </c>
      <c r="BT379" s="220">
        <f t="shared" si="183"/>
        <v>1.018939393939394</v>
      </c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</row>
    <row r="380" spans="1:103" s="112" customFormat="1" ht="14.45" hidden="1" customHeight="1" x14ac:dyDescent="0.25">
      <c r="A380" s="15" t="s">
        <v>862</v>
      </c>
      <c r="B380" s="108" t="s">
        <v>861</v>
      </c>
      <c r="C380" s="106" t="s">
        <v>861</v>
      </c>
      <c r="D380" s="106"/>
      <c r="E380" s="106" t="s">
        <v>140</v>
      </c>
      <c r="F380" s="106" t="s">
        <v>73</v>
      </c>
      <c r="G380" s="109">
        <v>4475</v>
      </c>
      <c r="H380" s="109">
        <f t="shared" si="196"/>
        <v>20</v>
      </c>
      <c r="I380" s="106" t="s">
        <v>13</v>
      </c>
      <c r="J380" s="106" t="s">
        <v>26</v>
      </c>
      <c r="K380" s="106">
        <f t="shared" si="199"/>
        <v>0</v>
      </c>
      <c r="L380" s="110">
        <v>8</v>
      </c>
      <c r="M380" s="110">
        <v>6</v>
      </c>
      <c r="N380" s="110">
        <v>6</v>
      </c>
      <c r="O380" s="110">
        <v>6</v>
      </c>
      <c r="P380" s="110"/>
      <c r="Q380" s="110">
        <v>7</v>
      </c>
      <c r="R380" s="110">
        <v>7</v>
      </c>
      <c r="S380" s="110">
        <v>7</v>
      </c>
      <c r="T380" s="110">
        <v>7</v>
      </c>
      <c r="U380" s="110">
        <v>7</v>
      </c>
      <c r="V380" s="110"/>
      <c r="W380" s="110"/>
      <c r="X380" s="110"/>
      <c r="Y380" s="106">
        <v>161</v>
      </c>
      <c r="Z380" s="106">
        <f t="shared" si="197"/>
        <v>0</v>
      </c>
      <c r="AA380" s="106" t="s">
        <v>28</v>
      </c>
      <c r="AB380" s="111">
        <f t="shared" si="174"/>
        <v>10</v>
      </c>
      <c r="AC380" s="106" t="s">
        <v>13</v>
      </c>
      <c r="AD380" s="107">
        <f t="shared" si="170"/>
        <v>17798.295454545456</v>
      </c>
      <c r="AE380" s="198">
        <v>1</v>
      </c>
      <c r="AF380" s="113">
        <f t="shared" si="198"/>
        <v>17798.295454545456</v>
      </c>
      <c r="AG380" s="26">
        <v>2023</v>
      </c>
      <c r="AH380" s="26" t="str">
        <f t="shared" si="195"/>
        <v/>
      </c>
      <c r="AI380" s="26" t="str">
        <f t="shared" si="194"/>
        <v>Chip Seal and Fog</v>
      </c>
      <c r="AJ380" s="26" t="str">
        <f t="shared" si="194"/>
        <v/>
      </c>
      <c r="AK380" s="26" t="str">
        <f t="shared" si="200"/>
        <v/>
      </c>
      <c r="AL380" s="26" t="str">
        <f t="shared" si="185"/>
        <v/>
      </c>
      <c r="AM380" s="26" t="str">
        <f t="shared" si="184"/>
        <v/>
      </c>
      <c r="AN380" s="26" t="str">
        <f t="shared" si="175"/>
        <v>Chip Seal and Fog</v>
      </c>
      <c r="AO380" s="26" t="str">
        <f t="shared" si="186"/>
        <v/>
      </c>
      <c r="AP380" s="26" t="str">
        <f t="shared" si="176"/>
        <v/>
      </c>
      <c r="AQ380" s="68">
        <f t="shared" si="171"/>
        <v>8</v>
      </c>
      <c r="AR380" s="68">
        <f t="shared" si="172"/>
        <v>6</v>
      </c>
      <c r="AS380" s="68">
        <f t="shared" si="177"/>
        <v>1</v>
      </c>
      <c r="AT380" s="68">
        <f t="shared" si="178"/>
        <v>1.1000000000000001</v>
      </c>
      <c r="AU380" s="68">
        <f t="shared" si="179"/>
        <v>1.1000000000000001</v>
      </c>
      <c r="AV380" s="68">
        <f t="shared" si="180"/>
        <v>1.1000000000000001</v>
      </c>
      <c r="AW380" s="68">
        <f t="shared" si="181"/>
        <v>0</v>
      </c>
      <c r="AX380" s="68">
        <f t="shared" ca="1" si="173"/>
        <v>-1.1000000000000001</v>
      </c>
      <c r="AY380" s="106">
        <v>2023</v>
      </c>
      <c r="AZ380" s="106" t="s">
        <v>13</v>
      </c>
      <c r="BA380" s="106" t="str">
        <f t="shared" si="182"/>
        <v/>
      </c>
      <c r="BB380" s="177"/>
      <c r="BC380" s="177">
        <v>5</v>
      </c>
      <c r="BD380" s="177"/>
      <c r="BE380" s="177"/>
      <c r="BF380" s="177"/>
      <c r="BG380" s="177"/>
      <c r="BH380" s="177"/>
      <c r="BI380" s="33"/>
      <c r="BJ380" s="2"/>
      <c r="BK380" s="48">
        <f>$G380/5280*VLOOKUP($AC380,'Cost and Score'!$B$27:$O$40,6,0)</f>
        <v>0.16950757575757577</v>
      </c>
      <c r="BL380" s="48">
        <f>$G380/5280*VLOOKUP($AC380,'Cost and Score'!$B$27:$O$40,7,0)</f>
        <v>18.645833333333332</v>
      </c>
      <c r="BM380" s="48">
        <f>$G380/5280*VLOOKUP($AC380,'Cost and Score'!$B$27:$O$40,8,0)</f>
        <v>0</v>
      </c>
      <c r="BN380" s="48">
        <f>$G380/5280*VLOOKUP($AC380,'Cost and Score'!$B$27:$O$40,9,0)</f>
        <v>3813.9204545454545</v>
      </c>
      <c r="BO380" s="48">
        <f>$G380/5280*VLOOKUP($AC380,'Cost and Score'!$B$27:$O$40,10,0)</f>
        <v>847.53787878787875</v>
      </c>
      <c r="BP380" s="48">
        <f>$G380/5280*VLOOKUP($AC380,'Cost and Score'!$B$27:$O$40,11,0)</f>
        <v>0</v>
      </c>
      <c r="BQ380" s="48">
        <f>$G380/5280*VLOOKUP($AC380,'Cost and Score'!$B$27:$O$40,12,0)</f>
        <v>84.753787878787875</v>
      </c>
      <c r="BR380" s="48">
        <f>$G380/5280*VLOOKUP($AC380,'Cost and Score'!$B$27:$O$40,13,0)</f>
        <v>101.70454545454545</v>
      </c>
      <c r="BS380" s="48">
        <f>$G380/5280*VLOOKUP($AC380,'Cost and Score'!$B$27:$O$40,14,0)</f>
        <v>0</v>
      </c>
      <c r="BT380" s="220">
        <f t="shared" si="183"/>
        <v>0.84753787878787878</v>
      </c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</row>
    <row r="381" spans="1:103" s="2" customFormat="1" ht="14.45" hidden="1" customHeight="1" x14ac:dyDescent="0.25">
      <c r="A381" s="36" t="s">
        <v>864</v>
      </c>
      <c r="B381" s="34" t="s">
        <v>863</v>
      </c>
      <c r="C381" s="85" t="s">
        <v>863</v>
      </c>
      <c r="D381" s="85"/>
      <c r="E381" s="85" t="s">
        <v>340</v>
      </c>
      <c r="F381" s="85" t="s">
        <v>138</v>
      </c>
      <c r="G381" s="29">
        <v>5290</v>
      </c>
      <c r="H381" s="29">
        <f t="shared" si="196"/>
        <v>20</v>
      </c>
      <c r="I381" s="85" t="s">
        <v>8</v>
      </c>
      <c r="J381" s="85" t="s">
        <v>125</v>
      </c>
      <c r="K381" s="85">
        <f t="shared" si="199"/>
        <v>0</v>
      </c>
      <c r="L381" s="74">
        <v>8</v>
      </c>
      <c r="M381" s="74">
        <v>7</v>
      </c>
      <c r="N381" s="74">
        <v>7</v>
      </c>
      <c r="O381" s="74">
        <v>7</v>
      </c>
      <c r="P381" s="74">
        <v>6</v>
      </c>
      <c r="Q381" s="74">
        <v>6</v>
      </c>
      <c r="R381" s="74">
        <v>6</v>
      </c>
      <c r="S381" s="74">
        <v>6</v>
      </c>
      <c r="T381" s="74">
        <v>6</v>
      </c>
      <c r="U381" s="74">
        <v>6</v>
      </c>
      <c r="V381" s="74">
        <v>2023</v>
      </c>
      <c r="W381" s="74">
        <v>2023</v>
      </c>
      <c r="X381" s="74" t="s">
        <v>2612</v>
      </c>
      <c r="Y381" s="85">
        <v>2965</v>
      </c>
      <c r="Z381" s="85">
        <f t="shared" si="197"/>
        <v>1.5</v>
      </c>
      <c r="AA381" s="85" t="s">
        <v>28</v>
      </c>
      <c r="AB381" s="111">
        <f t="shared" si="174"/>
        <v>5.5</v>
      </c>
      <c r="AC381" s="85" t="s">
        <v>751</v>
      </c>
      <c r="AD381" s="47">
        <f t="shared" ref="AD381:AD444" si="201">VLOOKUP(AC381,Cost,2,FALSE)*G381/5280</f>
        <v>110208.33333333333</v>
      </c>
      <c r="AE381" s="140">
        <v>1</v>
      </c>
      <c r="AF381" s="113">
        <f t="shared" si="198"/>
        <v>110208.33333333333</v>
      </c>
      <c r="AG381" s="106">
        <v>2023</v>
      </c>
      <c r="AH381" s="26" t="str">
        <f t="shared" si="195"/>
        <v/>
      </c>
      <c r="AI381" s="26" t="str">
        <f t="shared" si="194"/>
        <v>Overlay - 2"</v>
      </c>
      <c r="AJ381" s="26" t="str">
        <f t="shared" si="194"/>
        <v/>
      </c>
      <c r="AK381" s="26" t="str">
        <f t="shared" si="200"/>
        <v/>
      </c>
      <c r="AL381" s="26" t="str">
        <f t="shared" si="185"/>
        <v/>
      </c>
      <c r="AM381" s="26" t="str">
        <f t="shared" si="184"/>
        <v/>
      </c>
      <c r="AN381" s="26" t="str">
        <f t="shared" si="175"/>
        <v>Overlay - 2"</v>
      </c>
      <c r="AO381" s="26" t="str">
        <f t="shared" si="186"/>
        <v/>
      </c>
      <c r="AP381" s="26" t="str">
        <f t="shared" si="176"/>
        <v/>
      </c>
      <c r="AQ381" s="68">
        <f t="shared" ref="AQ381:AQ398" si="202">VLOOKUP(O381,RSLrem,2,FALSE)</f>
        <v>10</v>
      </c>
      <c r="AR381" s="68">
        <f t="shared" ref="AR381:AR398" si="203">VLOOKUP(AC381,RSL,5,FALSE)</f>
        <v>12</v>
      </c>
      <c r="AS381" s="68">
        <f t="shared" si="177"/>
        <v>1</v>
      </c>
      <c r="AT381" s="68">
        <f t="shared" si="178"/>
        <v>1.05</v>
      </c>
      <c r="AU381" s="68">
        <f t="shared" si="179"/>
        <v>1.05</v>
      </c>
      <c r="AV381" s="68">
        <f t="shared" si="180"/>
        <v>1.05</v>
      </c>
      <c r="AW381" s="68">
        <f t="shared" si="181"/>
        <v>1.1000000000000001</v>
      </c>
      <c r="AX381" s="68">
        <f t="shared" ref="AX381:AX398" ca="1" si="204">AU381*(AG381-YEAR(TODAY()))</f>
        <v>-1.05</v>
      </c>
      <c r="AY381" s="68">
        <v>2023</v>
      </c>
      <c r="AZ381" s="68" t="s">
        <v>751</v>
      </c>
      <c r="BA381" s="106" t="str">
        <f t="shared" si="182"/>
        <v/>
      </c>
      <c r="BB381" s="178"/>
      <c r="BC381" s="178">
        <v>2</v>
      </c>
      <c r="BD381" s="178"/>
      <c r="BE381" s="178"/>
      <c r="BF381" s="178"/>
      <c r="BG381" s="178"/>
      <c r="BH381" s="178"/>
      <c r="BI381" s="33"/>
      <c r="BK381" s="48">
        <f>$G381/5280*VLOOKUP($AC381,'Cost and Score'!$B$27:$O$40,6,0)</f>
        <v>2.2542613636363638</v>
      </c>
      <c r="BL381" s="48">
        <f>$G381/5280*VLOOKUP($AC381,'Cost and Score'!$B$27:$O$40,7,0)</f>
        <v>210.39772727272728</v>
      </c>
      <c r="BM381" s="48">
        <f>$G381/5280*VLOOKUP($AC381,'Cost and Score'!$B$27:$O$40,8,0)</f>
        <v>350.66287878787881</v>
      </c>
      <c r="BN381" s="48">
        <f>$G381/5280*VLOOKUP($AC381,'Cost and Score'!$B$27:$O$40,9,0)</f>
        <v>0</v>
      </c>
      <c r="BO381" s="48">
        <f>$G381/5280*VLOOKUP($AC381,'Cost and Score'!$B$27:$O$40,10,0)</f>
        <v>0</v>
      </c>
      <c r="BP381" s="48">
        <f>$G381/5280*VLOOKUP($AC381,'Cost and Score'!$B$27:$O$40,11,0)</f>
        <v>200.37878787878788</v>
      </c>
      <c r="BQ381" s="48">
        <f>$G381/5280*VLOOKUP($AC381,'Cost and Score'!$B$27:$O$40,12,0)</f>
        <v>1703.219696969697</v>
      </c>
      <c r="BR381" s="48">
        <f>$G381/5280*VLOOKUP($AC381,'Cost and Score'!$B$27:$O$40,13,0)</f>
        <v>0</v>
      </c>
      <c r="BS381" s="48">
        <f>$G381/5280*VLOOKUP($AC381,'Cost and Score'!$B$27:$O$40,14,0)</f>
        <v>0</v>
      </c>
      <c r="BT381" s="220">
        <f t="shared" si="183"/>
        <v>1.0018939393939394</v>
      </c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</row>
    <row r="382" spans="1:103" s="2" customFormat="1" ht="14.45" hidden="1" customHeight="1" x14ac:dyDescent="0.25">
      <c r="A382" s="15" t="s">
        <v>866</v>
      </c>
      <c r="B382" s="34" t="s">
        <v>865</v>
      </c>
      <c r="C382" s="26" t="s">
        <v>865</v>
      </c>
      <c r="D382" s="82"/>
      <c r="E382" s="82" t="s">
        <v>140</v>
      </c>
      <c r="F382" s="82" t="s">
        <v>147</v>
      </c>
      <c r="G382" s="29">
        <v>5420</v>
      </c>
      <c r="H382" s="29">
        <f t="shared" si="196"/>
        <v>20</v>
      </c>
      <c r="I382" s="26" t="s">
        <v>8</v>
      </c>
      <c r="J382" s="26" t="s">
        <v>26</v>
      </c>
      <c r="K382" s="26">
        <f t="shared" si="199"/>
        <v>0</v>
      </c>
      <c r="L382" s="42">
        <v>7</v>
      </c>
      <c r="M382" s="42">
        <v>7</v>
      </c>
      <c r="N382" s="42">
        <v>7</v>
      </c>
      <c r="O382" s="83">
        <v>7</v>
      </c>
      <c r="P382" s="83">
        <v>7</v>
      </c>
      <c r="Q382" s="83">
        <v>7</v>
      </c>
      <c r="R382" s="83">
        <v>7</v>
      </c>
      <c r="S382" s="83">
        <v>7</v>
      </c>
      <c r="T382" s="83">
        <v>7</v>
      </c>
      <c r="U382" s="83">
        <v>7</v>
      </c>
      <c r="V382" s="42"/>
      <c r="W382" s="42"/>
      <c r="X382" s="42"/>
      <c r="Y382" s="26">
        <v>50</v>
      </c>
      <c r="Z382" s="26">
        <f t="shared" si="197"/>
        <v>0</v>
      </c>
      <c r="AA382" s="82" t="s">
        <v>28</v>
      </c>
      <c r="AB382" s="111">
        <f t="shared" si="174"/>
        <v>3</v>
      </c>
      <c r="AC382" s="85" t="s">
        <v>13</v>
      </c>
      <c r="AD382" s="84">
        <f t="shared" si="201"/>
        <v>21556.81818181818</v>
      </c>
      <c r="AE382" s="140"/>
      <c r="AF382" s="113">
        <f t="shared" si="198"/>
        <v>0</v>
      </c>
      <c r="AG382" s="26">
        <v>2027</v>
      </c>
      <c r="AH382" s="26" t="str">
        <f t="shared" si="195"/>
        <v/>
      </c>
      <c r="AI382" s="26" t="str">
        <f t="shared" si="194"/>
        <v/>
      </c>
      <c r="AJ382" s="26" t="str">
        <f t="shared" si="194"/>
        <v/>
      </c>
      <c r="AK382" s="26" t="str">
        <f t="shared" si="200"/>
        <v/>
      </c>
      <c r="AL382" s="26" t="str">
        <f t="shared" si="185"/>
        <v/>
      </c>
      <c r="AM382" s="26" t="str">
        <f t="shared" si="184"/>
        <v>Chip Seal and Fog</v>
      </c>
      <c r="AN382" s="26" t="str">
        <f t="shared" si="175"/>
        <v>Chip Seal and Fog</v>
      </c>
      <c r="AO382" s="26" t="str">
        <f t="shared" si="186"/>
        <v>Chip Seal and Fog</v>
      </c>
      <c r="AP382" s="26" t="str">
        <f t="shared" si="176"/>
        <v/>
      </c>
      <c r="AQ382" s="68">
        <f t="shared" si="202"/>
        <v>10</v>
      </c>
      <c r="AR382" s="68">
        <f t="shared" si="203"/>
        <v>6</v>
      </c>
      <c r="AS382" s="68">
        <f t="shared" si="177"/>
        <v>1.05</v>
      </c>
      <c r="AT382" s="68">
        <f t="shared" si="178"/>
        <v>1.05</v>
      </c>
      <c r="AU382" s="68">
        <f t="shared" si="179"/>
        <v>1.05</v>
      </c>
      <c r="AV382" s="68">
        <f t="shared" si="180"/>
        <v>1.05</v>
      </c>
      <c r="AW382" s="68">
        <f t="shared" si="181"/>
        <v>1.05</v>
      </c>
      <c r="AX382" s="68">
        <f t="shared" ca="1" si="204"/>
        <v>3.1500000000000004</v>
      </c>
      <c r="AY382" s="68">
        <v>2021</v>
      </c>
      <c r="AZ382" s="68" t="s">
        <v>13</v>
      </c>
      <c r="BA382" s="106" t="str">
        <f t="shared" si="182"/>
        <v/>
      </c>
      <c r="BB382" s="178">
        <v>33</v>
      </c>
      <c r="BC382" s="178">
        <v>5</v>
      </c>
      <c r="BD382" s="178"/>
      <c r="BE382" s="178"/>
      <c r="BF382" s="178"/>
      <c r="BG382" s="178"/>
      <c r="BH382" s="178"/>
      <c r="BI382" s="33"/>
      <c r="BK382" s="48">
        <f>$G382/5280*VLOOKUP($AC382,'Cost and Score'!$B$27:$O$40,6,0)</f>
        <v>0.20530303030303032</v>
      </c>
      <c r="BL382" s="48">
        <f>$G382/5280*VLOOKUP($AC382,'Cost and Score'!$B$27:$O$40,7,0)</f>
        <v>22.583333333333336</v>
      </c>
      <c r="BM382" s="48">
        <f>$G382/5280*VLOOKUP($AC382,'Cost and Score'!$B$27:$O$40,8,0)</f>
        <v>0</v>
      </c>
      <c r="BN382" s="48">
        <f>$G382/5280*VLOOKUP($AC382,'Cost and Score'!$B$27:$O$40,9,0)</f>
        <v>4619.318181818182</v>
      </c>
      <c r="BO382" s="48">
        <f>$G382/5280*VLOOKUP($AC382,'Cost and Score'!$B$27:$O$40,10,0)</f>
        <v>1026.5151515151515</v>
      </c>
      <c r="BP382" s="48">
        <f>$G382/5280*VLOOKUP($AC382,'Cost and Score'!$B$27:$O$40,11,0)</f>
        <v>0</v>
      </c>
      <c r="BQ382" s="48">
        <f>$G382/5280*VLOOKUP($AC382,'Cost and Score'!$B$27:$O$40,12,0)</f>
        <v>102.65151515151516</v>
      </c>
      <c r="BR382" s="48">
        <f>$G382/5280*VLOOKUP($AC382,'Cost and Score'!$B$27:$O$40,13,0)</f>
        <v>123.18181818181819</v>
      </c>
      <c r="BS382" s="48">
        <f>$G382/5280*VLOOKUP($AC382,'Cost and Score'!$B$27:$O$40,14,0)</f>
        <v>0</v>
      </c>
      <c r="BT382" s="220">
        <f t="shared" si="183"/>
        <v>1.0265151515151516</v>
      </c>
      <c r="CW382" s="112"/>
      <c r="CX382" s="112"/>
      <c r="CY382" s="112"/>
    </row>
    <row r="383" spans="1:103" s="2" customFormat="1" ht="14.45" hidden="1" customHeight="1" x14ac:dyDescent="0.25">
      <c r="A383" s="15" t="s">
        <v>868</v>
      </c>
      <c r="B383" s="34" t="s">
        <v>867</v>
      </c>
      <c r="C383" s="26" t="s">
        <v>867</v>
      </c>
      <c r="D383" s="26"/>
      <c r="E383" s="26" t="s">
        <v>147</v>
      </c>
      <c r="F383" s="26" t="s">
        <v>149</v>
      </c>
      <c r="G383" s="29">
        <v>2710</v>
      </c>
      <c r="H383" s="29">
        <f t="shared" si="196"/>
        <v>20</v>
      </c>
      <c r="I383" s="26" t="s">
        <v>8</v>
      </c>
      <c r="J383" s="26" t="s">
        <v>26</v>
      </c>
      <c r="K383" s="26">
        <f t="shared" si="199"/>
        <v>0</v>
      </c>
      <c r="L383" s="42">
        <v>9</v>
      </c>
      <c r="M383" s="42">
        <v>7</v>
      </c>
      <c r="N383" s="42">
        <v>7</v>
      </c>
      <c r="O383" s="42">
        <v>7</v>
      </c>
      <c r="P383" s="42">
        <v>7</v>
      </c>
      <c r="Q383" s="42">
        <v>7</v>
      </c>
      <c r="R383" s="42">
        <v>7</v>
      </c>
      <c r="S383" s="42">
        <v>7</v>
      </c>
      <c r="T383" s="42">
        <v>7</v>
      </c>
      <c r="U383" s="42">
        <v>7</v>
      </c>
      <c r="V383" s="42"/>
      <c r="W383" s="42"/>
      <c r="X383" s="42"/>
      <c r="Y383" s="26">
        <v>50</v>
      </c>
      <c r="Z383" s="26">
        <f t="shared" si="197"/>
        <v>0</v>
      </c>
      <c r="AA383" s="26" t="s">
        <v>28</v>
      </c>
      <c r="AB383" s="111">
        <f t="shared" si="174"/>
        <v>3</v>
      </c>
      <c r="AC383" s="106" t="s">
        <v>13</v>
      </c>
      <c r="AD383" s="47">
        <f t="shared" si="201"/>
        <v>10778.40909090909</v>
      </c>
      <c r="AE383" s="140"/>
      <c r="AF383" s="113">
        <f t="shared" si="198"/>
        <v>0</v>
      </c>
      <c r="AG383" s="85">
        <v>2026</v>
      </c>
      <c r="AH383" s="26" t="str">
        <f t="shared" si="195"/>
        <v/>
      </c>
      <c r="AI383" s="26" t="str">
        <f t="shared" si="194"/>
        <v/>
      </c>
      <c r="AJ383" s="26" t="str">
        <f t="shared" si="194"/>
        <v/>
      </c>
      <c r="AK383" s="26" t="str">
        <f t="shared" si="200"/>
        <v/>
      </c>
      <c r="AL383" s="26" t="str">
        <f t="shared" si="185"/>
        <v>Chip Seal and Fog</v>
      </c>
      <c r="AM383" s="26" t="str">
        <f t="shared" si="184"/>
        <v/>
      </c>
      <c r="AN383" s="26" t="str">
        <f t="shared" si="175"/>
        <v>Chip Seal and Fog</v>
      </c>
      <c r="AO383" s="26" t="str">
        <f t="shared" si="186"/>
        <v/>
      </c>
      <c r="AP383" s="26" t="str">
        <f t="shared" si="176"/>
        <v/>
      </c>
      <c r="AQ383" s="68">
        <f t="shared" si="202"/>
        <v>10</v>
      </c>
      <c r="AR383" s="68">
        <f t="shared" si="203"/>
        <v>6</v>
      </c>
      <c r="AS383" s="68">
        <f t="shared" si="177"/>
        <v>1</v>
      </c>
      <c r="AT383" s="68">
        <f t="shared" si="178"/>
        <v>1.05</v>
      </c>
      <c r="AU383" s="68">
        <f t="shared" si="179"/>
        <v>1.05</v>
      </c>
      <c r="AV383" s="68">
        <f t="shared" si="180"/>
        <v>1.05</v>
      </c>
      <c r="AW383" s="68">
        <f t="shared" si="181"/>
        <v>1.05</v>
      </c>
      <c r="AX383" s="68">
        <f t="shared" ca="1" si="204"/>
        <v>2.1</v>
      </c>
      <c r="AY383" s="68">
        <v>2020</v>
      </c>
      <c r="AZ383" s="68" t="s">
        <v>13</v>
      </c>
      <c r="BA383" s="106" t="str">
        <f t="shared" si="182"/>
        <v/>
      </c>
      <c r="BB383" s="178"/>
      <c r="BC383" s="178">
        <v>5</v>
      </c>
      <c r="BD383" s="178"/>
      <c r="BE383" s="178"/>
      <c r="BF383" s="178"/>
      <c r="BG383" s="178"/>
      <c r="BH383" s="178"/>
      <c r="BI383" s="33"/>
      <c r="BK383" s="48">
        <f>$G383/5280*VLOOKUP($AC383,'Cost and Score'!$B$27:$O$40,6,0)</f>
        <v>0.10265151515151516</v>
      </c>
      <c r="BL383" s="48">
        <f>$G383/5280*VLOOKUP($AC383,'Cost and Score'!$B$27:$O$40,7,0)</f>
        <v>11.291666666666668</v>
      </c>
      <c r="BM383" s="48">
        <f>$G383/5280*VLOOKUP($AC383,'Cost and Score'!$B$27:$O$40,8,0)</f>
        <v>0</v>
      </c>
      <c r="BN383" s="48">
        <f>$G383/5280*VLOOKUP($AC383,'Cost and Score'!$B$27:$O$40,9,0)</f>
        <v>2309.659090909091</v>
      </c>
      <c r="BO383" s="48">
        <f>$G383/5280*VLOOKUP($AC383,'Cost and Score'!$B$27:$O$40,10,0)</f>
        <v>513.25757575757575</v>
      </c>
      <c r="BP383" s="48">
        <f>$G383/5280*VLOOKUP($AC383,'Cost and Score'!$B$27:$O$40,11,0)</f>
        <v>0</v>
      </c>
      <c r="BQ383" s="48">
        <f>$G383/5280*VLOOKUP($AC383,'Cost and Score'!$B$27:$O$40,12,0)</f>
        <v>51.325757575757578</v>
      </c>
      <c r="BR383" s="48">
        <f>$G383/5280*VLOOKUP($AC383,'Cost and Score'!$B$27:$O$40,13,0)</f>
        <v>61.590909090909093</v>
      </c>
      <c r="BS383" s="48">
        <f>$G383/5280*VLOOKUP($AC383,'Cost and Score'!$B$27:$O$40,14,0)</f>
        <v>0</v>
      </c>
      <c r="BT383" s="220">
        <f t="shared" si="183"/>
        <v>0.5132575757575758</v>
      </c>
    </row>
    <row r="384" spans="1:103" s="2" customFormat="1" ht="14.45" hidden="1" customHeight="1" x14ac:dyDescent="0.25">
      <c r="A384" s="15" t="s">
        <v>870</v>
      </c>
      <c r="B384" s="34" t="s">
        <v>869</v>
      </c>
      <c r="C384" s="26" t="s">
        <v>869</v>
      </c>
      <c r="D384" s="26"/>
      <c r="E384" s="26" t="s">
        <v>149</v>
      </c>
      <c r="F384" s="26" t="s">
        <v>297</v>
      </c>
      <c r="G384" s="29">
        <v>2745</v>
      </c>
      <c r="H384" s="29">
        <f t="shared" si="196"/>
        <v>20</v>
      </c>
      <c r="I384" s="26" t="s">
        <v>8</v>
      </c>
      <c r="J384" s="26" t="s">
        <v>26</v>
      </c>
      <c r="K384" s="26">
        <f t="shared" si="199"/>
        <v>0</v>
      </c>
      <c r="L384" s="42">
        <v>9</v>
      </c>
      <c r="M384" s="42">
        <v>7</v>
      </c>
      <c r="N384" s="42">
        <v>7</v>
      </c>
      <c r="O384" s="42">
        <v>7</v>
      </c>
      <c r="P384" s="42">
        <v>7</v>
      </c>
      <c r="Q384" s="42">
        <v>7</v>
      </c>
      <c r="R384" s="42">
        <v>7</v>
      </c>
      <c r="S384" s="42">
        <v>7</v>
      </c>
      <c r="T384" s="42">
        <v>7</v>
      </c>
      <c r="U384" s="42">
        <v>7</v>
      </c>
      <c r="V384" s="42"/>
      <c r="W384" s="42"/>
      <c r="X384" s="42"/>
      <c r="Y384" s="26">
        <v>50</v>
      </c>
      <c r="Z384" s="26">
        <f t="shared" si="197"/>
        <v>0</v>
      </c>
      <c r="AA384" s="26" t="s">
        <v>28</v>
      </c>
      <c r="AB384" s="111">
        <f t="shared" si="174"/>
        <v>3</v>
      </c>
      <c r="AC384" s="106" t="s">
        <v>13</v>
      </c>
      <c r="AD384" s="47">
        <f t="shared" si="201"/>
        <v>10917.613636363636</v>
      </c>
      <c r="AE384" s="140"/>
      <c r="AF384" s="113">
        <f t="shared" si="198"/>
        <v>0</v>
      </c>
      <c r="AG384" s="85">
        <v>2026</v>
      </c>
      <c r="AH384" s="26" t="str">
        <f t="shared" si="195"/>
        <v/>
      </c>
      <c r="AI384" s="26" t="str">
        <f t="shared" si="194"/>
        <v/>
      </c>
      <c r="AJ384" s="26" t="str">
        <f t="shared" si="194"/>
        <v/>
      </c>
      <c r="AK384" s="26" t="str">
        <f t="shared" si="200"/>
        <v/>
      </c>
      <c r="AL384" s="26" t="str">
        <f t="shared" si="185"/>
        <v>Chip Seal and Fog</v>
      </c>
      <c r="AM384" s="26" t="str">
        <f t="shared" si="184"/>
        <v/>
      </c>
      <c r="AN384" s="26" t="str">
        <f t="shared" si="175"/>
        <v>Chip Seal and Fog</v>
      </c>
      <c r="AO384" s="26" t="str">
        <f t="shared" si="186"/>
        <v/>
      </c>
      <c r="AP384" s="26" t="str">
        <f t="shared" si="176"/>
        <v/>
      </c>
      <c r="AQ384" s="68">
        <f t="shared" si="202"/>
        <v>10</v>
      </c>
      <c r="AR384" s="68">
        <f t="shared" si="203"/>
        <v>6</v>
      </c>
      <c r="AS384" s="68">
        <f t="shared" si="177"/>
        <v>1</v>
      </c>
      <c r="AT384" s="68">
        <f t="shared" si="178"/>
        <v>1.05</v>
      </c>
      <c r="AU384" s="68">
        <f t="shared" si="179"/>
        <v>1.05</v>
      </c>
      <c r="AV384" s="68">
        <f t="shared" si="180"/>
        <v>1.05</v>
      </c>
      <c r="AW384" s="68">
        <f t="shared" si="181"/>
        <v>1.05</v>
      </c>
      <c r="AX384" s="68">
        <f t="shared" ca="1" si="204"/>
        <v>2.1</v>
      </c>
      <c r="AY384" s="68">
        <v>2020</v>
      </c>
      <c r="AZ384" s="68" t="s">
        <v>13</v>
      </c>
      <c r="BA384" s="106" t="str">
        <f t="shared" si="182"/>
        <v/>
      </c>
      <c r="BB384" s="178"/>
      <c r="BC384" s="178">
        <v>5</v>
      </c>
      <c r="BD384" s="178"/>
      <c r="BE384" s="178"/>
      <c r="BF384" s="178"/>
      <c r="BG384" s="178"/>
      <c r="BH384" s="178"/>
      <c r="BI384" s="33"/>
      <c r="BK384" s="48">
        <f>$G384/5280*VLOOKUP($AC384,'Cost and Score'!$B$27:$O$40,6,0)</f>
        <v>0.10397727272727274</v>
      </c>
      <c r="BL384" s="48">
        <f>$G384/5280*VLOOKUP($AC384,'Cost and Score'!$B$27:$O$40,7,0)</f>
        <v>11.4375</v>
      </c>
      <c r="BM384" s="48">
        <f>$G384/5280*VLOOKUP($AC384,'Cost and Score'!$B$27:$O$40,8,0)</f>
        <v>0</v>
      </c>
      <c r="BN384" s="48">
        <f>$G384/5280*VLOOKUP($AC384,'Cost and Score'!$B$27:$O$40,9,0)</f>
        <v>2339.4886363636365</v>
      </c>
      <c r="BO384" s="48">
        <f>$G384/5280*VLOOKUP($AC384,'Cost and Score'!$B$27:$O$40,10,0)</f>
        <v>519.88636363636363</v>
      </c>
      <c r="BP384" s="48">
        <f>$G384/5280*VLOOKUP($AC384,'Cost and Score'!$B$27:$O$40,11,0)</f>
        <v>0</v>
      </c>
      <c r="BQ384" s="48">
        <f>$G384/5280*VLOOKUP($AC384,'Cost and Score'!$B$27:$O$40,12,0)</f>
        <v>51.988636363636367</v>
      </c>
      <c r="BR384" s="48">
        <f>$G384/5280*VLOOKUP($AC384,'Cost and Score'!$B$27:$O$40,13,0)</f>
        <v>62.38636363636364</v>
      </c>
      <c r="BS384" s="48">
        <f>$G384/5280*VLOOKUP($AC384,'Cost and Score'!$B$27:$O$40,14,0)</f>
        <v>0</v>
      </c>
      <c r="BT384" s="220">
        <f t="shared" si="183"/>
        <v>0.51988636363636365</v>
      </c>
      <c r="CW384" s="112"/>
      <c r="CX384" s="112"/>
      <c r="CY384" s="112"/>
    </row>
    <row r="385" spans="1:103" s="2" customFormat="1" ht="14.45" hidden="1" customHeight="1" x14ac:dyDescent="0.25">
      <c r="A385" s="36" t="s">
        <v>872</v>
      </c>
      <c r="B385" s="34" t="s">
        <v>871</v>
      </c>
      <c r="C385" s="26" t="s">
        <v>871</v>
      </c>
      <c r="D385" s="26"/>
      <c r="E385" s="26" t="s">
        <v>121</v>
      </c>
      <c r="F385" s="26" t="s">
        <v>406</v>
      </c>
      <c r="G385" s="29">
        <v>4530</v>
      </c>
      <c r="H385" s="29">
        <f t="shared" si="196"/>
        <v>20</v>
      </c>
      <c r="I385" s="26" t="s">
        <v>8</v>
      </c>
      <c r="J385" s="26" t="s">
        <v>101</v>
      </c>
      <c r="K385" s="26">
        <v>0</v>
      </c>
      <c r="L385" s="42">
        <v>5</v>
      </c>
      <c r="M385" s="42">
        <v>5</v>
      </c>
      <c r="N385" s="42">
        <v>8</v>
      </c>
      <c r="O385" s="42">
        <v>7</v>
      </c>
      <c r="P385" s="42">
        <v>7</v>
      </c>
      <c r="Q385" s="42">
        <v>7</v>
      </c>
      <c r="R385" s="42">
        <v>7</v>
      </c>
      <c r="S385" s="42">
        <v>7</v>
      </c>
      <c r="T385" s="42">
        <v>7</v>
      </c>
      <c r="U385" s="42">
        <v>7</v>
      </c>
      <c r="V385" s="42"/>
      <c r="W385" s="42"/>
      <c r="X385" s="42"/>
      <c r="Y385" s="26">
        <v>560</v>
      </c>
      <c r="Z385" s="26">
        <f t="shared" si="197"/>
        <v>0.5</v>
      </c>
      <c r="AA385" s="26" t="s">
        <v>28</v>
      </c>
      <c r="AB385" s="111">
        <f t="shared" si="174"/>
        <v>3.5</v>
      </c>
      <c r="AC385" s="26" t="s">
        <v>13</v>
      </c>
      <c r="AD385" s="47">
        <f t="shared" si="201"/>
        <v>18017.045454545456</v>
      </c>
      <c r="AE385" s="140"/>
      <c r="AF385" s="113">
        <f t="shared" si="198"/>
        <v>0</v>
      </c>
      <c r="AG385" s="85">
        <v>2026</v>
      </c>
      <c r="AH385" s="26" t="str">
        <f t="shared" si="195"/>
        <v/>
      </c>
      <c r="AI385" s="26" t="str">
        <f t="shared" si="194"/>
        <v/>
      </c>
      <c r="AJ385" s="26" t="str">
        <f t="shared" si="194"/>
        <v/>
      </c>
      <c r="AK385" s="26" t="str">
        <f t="shared" si="200"/>
        <v/>
      </c>
      <c r="AL385" s="26" t="str">
        <f t="shared" si="185"/>
        <v>Chip Seal and Fog</v>
      </c>
      <c r="AM385" s="26" t="str">
        <f t="shared" si="184"/>
        <v/>
      </c>
      <c r="AN385" s="26" t="str">
        <f t="shared" si="175"/>
        <v>Chip Seal and Fog</v>
      </c>
      <c r="AO385" s="26" t="str">
        <f t="shared" si="186"/>
        <v/>
      </c>
      <c r="AP385" s="26" t="str">
        <f t="shared" si="176"/>
        <v/>
      </c>
      <c r="AQ385" s="68">
        <f t="shared" si="202"/>
        <v>10</v>
      </c>
      <c r="AR385" s="68">
        <f t="shared" si="203"/>
        <v>6</v>
      </c>
      <c r="AS385" s="68">
        <f t="shared" si="177"/>
        <v>1.25</v>
      </c>
      <c r="AT385" s="68">
        <f t="shared" si="178"/>
        <v>1.25</v>
      </c>
      <c r="AU385" s="68">
        <f t="shared" si="179"/>
        <v>1</v>
      </c>
      <c r="AV385" s="68">
        <f t="shared" si="180"/>
        <v>1.05</v>
      </c>
      <c r="AW385" s="68">
        <f t="shared" si="181"/>
        <v>1.05</v>
      </c>
      <c r="AX385" s="68">
        <f t="shared" ca="1" si="204"/>
        <v>2</v>
      </c>
      <c r="AY385" s="68">
        <v>2020</v>
      </c>
      <c r="AZ385" s="68" t="s">
        <v>13</v>
      </c>
      <c r="BA385" s="106" t="str">
        <f t="shared" si="182"/>
        <v/>
      </c>
      <c r="BB385" s="178"/>
      <c r="BC385" s="178">
        <v>4</v>
      </c>
      <c r="BD385" s="178"/>
      <c r="BE385" s="178"/>
      <c r="BF385" s="178"/>
      <c r="BG385" s="178"/>
      <c r="BH385" s="178"/>
      <c r="BI385" s="33"/>
      <c r="BK385" s="48">
        <f>$G385/5280*VLOOKUP($AC385,'Cost and Score'!$B$27:$O$40,6,0)</f>
        <v>0.1715909090909091</v>
      </c>
      <c r="BL385" s="48">
        <f>$G385/5280*VLOOKUP($AC385,'Cost and Score'!$B$27:$O$40,7,0)</f>
        <v>18.875</v>
      </c>
      <c r="BM385" s="48">
        <f>$G385/5280*VLOOKUP($AC385,'Cost and Score'!$B$27:$O$40,8,0)</f>
        <v>0</v>
      </c>
      <c r="BN385" s="48">
        <f>$G385/5280*VLOOKUP($AC385,'Cost and Score'!$B$27:$O$40,9,0)</f>
        <v>3860.7954545454545</v>
      </c>
      <c r="BO385" s="48">
        <f>$G385/5280*VLOOKUP($AC385,'Cost and Score'!$B$27:$O$40,10,0)</f>
        <v>857.95454545454538</v>
      </c>
      <c r="BP385" s="48">
        <f>$G385/5280*VLOOKUP($AC385,'Cost and Score'!$B$27:$O$40,11,0)</f>
        <v>0</v>
      </c>
      <c r="BQ385" s="48">
        <f>$G385/5280*VLOOKUP($AC385,'Cost and Score'!$B$27:$O$40,12,0)</f>
        <v>85.795454545454547</v>
      </c>
      <c r="BR385" s="48">
        <f>$G385/5280*VLOOKUP($AC385,'Cost and Score'!$B$27:$O$40,13,0)</f>
        <v>102.95454545454545</v>
      </c>
      <c r="BS385" s="48">
        <f>$G385/5280*VLOOKUP($AC385,'Cost and Score'!$B$27:$O$40,14,0)</f>
        <v>0</v>
      </c>
      <c r="BT385" s="220">
        <f t="shared" si="183"/>
        <v>0.85795454545454541</v>
      </c>
      <c r="CW385" s="112"/>
      <c r="CX385" s="112"/>
      <c r="CY385" s="112"/>
    </row>
    <row r="386" spans="1:103" s="112" customFormat="1" ht="14.45" hidden="1" customHeight="1" x14ac:dyDescent="0.25">
      <c r="A386" s="15" t="s">
        <v>874</v>
      </c>
      <c r="B386" s="108" t="s">
        <v>873</v>
      </c>
      <c r="C386" s="106" t="s">
        <v>873</v>
      </c>
      <c r="D386" s="106"/>
      <c r="E386" s="106" t="s">
        <v>504</v>
      </c>
      <c r="F386" s="106" t="s">
        <v>86</v>
      </c>
      <c r="G386" s="109">
        <v>5914</v>
      </c>
      <c r="H386" s="109">
        <f t="shared" si="196"/>
        <v>20</v>
      </c>
      <c r="I386" s="106" t="s">
        <v>13</v>
      </c>
      <c r="J386" s="106" t="s">
        <v>101</v>
      </c>
      <c r="K386" s="106">
        <v>0</v>
      </c>
      <c r="L386" s="110">
        <v>5</v>
      </c>
      <c r="M386" s="110">
        <v>7</v>
      </c>
      <c r="N386" s="110">
        <v>7</v>
      </c>
      <c r="O386" s="110">
        <v>7</v>
      </c>
      <c r="P386" s="110">
        <v>7</v>
      </c>
      <c r="Q386" s="110">
        <v>7</v>
      </c>
      <c r="R386" s="110">
        <v>7</v>
      </c>
      <c r="S386" s="110">
        <v>7</v>
      </c>
      <c r="T386" s="110">
        <v>7</v>
      </c>
      <c r="U386" s="110">
        <v>7</v>
      </c>
      <c r="V386" s="110"/>
      <c r="W386" s="110"/>
      <c r="X386" s="110"/>
      <c r="Y386" s="106">
        <v>280</v>
      </c>
      <c r="Z386" s="106">
        <f t="shared" si="197"/>
        <v>0</v>
      </c>
      <c r="AA386" s="106" t="s">
        <v>28</v>
      </c>
      <c r="AB386" s="111">
        <f t="shared" ref="AB386:AB398" si="205">(10-P386)+Z386+K386</f>
        <v>3</v>
      </c>
      <c r="AC386" s="26" t="s">
        <v>13</v>
      </c>
      <c r="AD386" s="107">
        <f t="shared" si="201"/>
        <v>23521.590909090908</v>
      </c>
      <c r="AE386" s="198">
        <v>1</v>
      </c>
      <c r="AF386" s="113">
        <f t="shared" si="198"/>
        <v>23521.590909090908</v>
      </c>
      <c r="AG386" s="106">
        <v>2023</v>
      </c>
      <c r="AH386" s="26" t="str">
        <f t="shared" si="195"/>
        <v/>
      </c>
      <c r="AI386" s="26" t="str">
        <f t="shared" si="194"/>
        <v>Chip Seal and Fog</v>
      </c>
      <c r="AJ386" s="26" t="str">
        <f t="shared" si="194"/>
        <v/>
      </c>
      <c r="AK386" s="26" t="str">
        <f t="shared" si="200"/>
        <v/>
      </c>
      <c r="AL386" s="26" t="str">
        <f t="shared" si="185"/>
        <v/>
      </c>
      <c r="AM386" s="26" t="str">
        <f t="shared" si="184"/>
        <v/>
      </c>
      <c r="AN386" s="26" t="str">
        <f t="shared" ref="AN386:AN398" si="206">VLOOKUP($AC386,RSL,3,FALSE)</f>
        <v>Chip Seal and Fog</v>
      </c>
      <c r="AO386" s="26" t="str">
        <f t="shared" si="186"/>
        <v/>
      </c>
      <c r="AP386" s="26" t="str">
        <f t="shared" ref="AP386:AP398" si="207">IF(AY386=AP$1,VLOOKUP(AZ386,RSL,3,FALSE),"")</f>
        <v/>
      </c>
      <c r="AQ386" s="68">
        <f t="shared" si="202"/>
        <v>10</v>
      </c>
      <c r="AR386" s="68">
        <f t="shared" si="203"/>
        <v>6</v>
      </c>
      <c r="AS386" s="68">
        <f t="shared" ref="AS386:AS398" si="208">IF(L386 &lt;&gt; "",VLOOKUP(L386,RSLloss,3,FALSE),0)</f>
        <v>1.25</v>
      </c>
      <c r="AT386" s="68">
        <f t="shared" ref="AT386:AT398" si="209">IF(M386 &lt;&gt; "",VLOOKUP(M386,RSLloss,3,FALSE),0)</f>
        <v>1.05</v>
      </c>
      <c r="AU386" s="68">
        <f t="shared" ref="AU386:AU398" si="210">IF(N386 &lt;&gt; "",VLOOKUP(N386,RSLloss,3,FALSE),0)</f>
        <v>1.05</v>
      </c>
      <c r="AV386" s="68">
        <f t="shared" ref="AV386:AV398" si="211">IF(O386 &lt;&gt; "",VLOOKUP(O386,RSLloss,3,FALSE),0)</f>
        <v>1.05</v>
      </c>
      <c r="AW386" s="68">
        <f t="shared" ref="AW386:AW398" si="212">IF(P386 &lt;&gt; "",VLOOKUP(P386,RSLloss,3,FALSE),0)</f>
        <v>1.05</v>
      </c>
      <c r="AX386" s="68">
        <f t="shared" ca="1" si="204"/>
        <v>-1.05</v>
      </c>
      <c r="AY386" s="106">
        <v>2023</v>
      </c>
      <c r="AZ386" s="106" t="s">
        <v>13</v>
      </c>
      <c r="BA386" s="106" t="str">
        <f t="shared" ref="BA386:BA449" si="213">IF(AY386=2018,AZ386,"")</f>
        <v/>
      </c>
      <c r="BB386" s="177"/>
      <c r="BC386" s="177">
        <v>4</v>
      </c>
      <c r="BD386" s="177"/>
      <c r="BE386" s="177"/>
      <c r="BF386" s="177"/>
      <c r="BG386" s="177"/>
      <c r="BH386" s="177"/>
      <c r="BI386" s="33"/>
      <c r="BJ386" s="2"/>
      <c r="BK386" s="48">
        <f>$G386/5280*VLOOKUP($AC386,'Cost and Score'!$B$27:$O$40,6,0)</f>
        <v>0.22401515151515153</v>
      </c>
      <c r="BL386" s="48">
        <f>$G386/5280*VLOOKUP($AC386,'Cost and Score'!$B$27:$O$40,7,0)</f>
        <v>24.641666666666666</v>
      </c>
      <c r="BM386" s="48">
        <f>$G386/5280*VLOOKUP($AC386,'Cost and Score'!$B$27:$O$40,8,0)</f>
        <v>0</v>
      </c>
      <c r="BN386" s="48">
        <f>$G386/5280*VLOOKUP($AC386,'Cost and Score'!$B$27:$O$40,9,0)</f>
        <v>5040.340909090909</v>
      </c>
      <c r="BO386" s="48">
        <f>$G386/5280*VLOOKUP($AC386,'Cost and Score'!$B$27:$O$40,10,0)</f>
        <v>1120.0757575757575</v>
      </c>
      <c r="BP386" s="48">
        <f>$G386/5280*VLOOKUP($AC386,'Cost and Score'!$B$27:$O$40,11,0)</f>
        <v>0</v>
      </c>
      <c r="BQ386" s="48">
        <f>$G386/5280*VLOOKUP($AC386,'Cost and Score'!$B$27:$O$40,12,0)</f>
        <v>112.00757575757576</v>
      </c>
      <c r="BR386" s="48">
        <f>$G386/5280*VLOOKUP($AC386,'Cost and Score'!$B$27:$O$40,13,0)</f>
        <v>134.40909090909091</v>
      </c>
      <c r="BS386" s="48">
        <f>$G386/5280*VLOOKUP($AC386,'Cost and Score'!$B$27:$O$40,14,0)</f>
        <v>0</v>
      </c>
      <c r="BT386" s="220">
        <f t="shared" ref="BT386:BT449" si="214">G386/5280</f>
        <v>1.1200757575757576</v>
      </c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</row>
    <row r="387" spans="1:103" s="112" customFormat="1" ht="14.45" hidden="1" customHeight="1" x14ac:dyDescent="0.25">
      <c r="A387" s="15" t="s">
        <v>2145</v>
      </c>
      <c r="B387" s="108" t="s">
        <v>875</v>
      </c>
      <c r="C387" s="106" t="s">
        <v>875</v>
      </c>
      <c r="D387" s="106"/>
      <c r="E387" s="106" t="s">
        <v>155</v>
      </c>
      <c r="F387" s="106" t="s">
        <v>102</v>
      </c>
      <c r="G387" s="109">
        <v>5100</v>
      </c>
      <c r="H387" s="109">
        <f t="shared" si="196"/>
        <v>20</v>
      </c>
      <c r="I387" s="106" t="s">
        <v>13</v>
      </c>
      <c r="J387" s="106" t="s">
        <v>6</v>
      </c>
      <c r="K387" s="106">
        <f t="shared" ref="K387:K398" si="215">VLOOKUP(J387,TOWNSHIPS,2,FALSE)</f>
        <v>0</v>
      </c>
      <c r="L387" s="110">
        <v>7</v>
      </c>
      <c r="M387" s="110">
        <v>7</v>
      </c>
      <c r="N387" s="110">
        <v>7</v>
      </c>
      <c r="O387" s="110">
        <v>7</v>
      </c>
      <c r="P387" s="110">
        <v>7</v>
      </c>
      <c r="Q387" s="110">
        <v>7</v>
      </c>
      <c r="R387" s="110">
        <v>7</v>
      </c>
      <c r="S387" s="110">
        <v>7</v>
      </c>
      <c r="T387" s="110">
        <v>7</v>
      </c>
      <c r="U387" s="110">
        <v>7</v>
      </c>
      <c r="V387" s="110"/>
      <c r="W387" s="110"/>
      <c r="X387" s="110"/>
      <c r="Y387" s="106">
        <v>470</v>
      </c>
      <c r="Z387" s="106">
        <f t="shared" si="197"/>
        <v>0</v>
      </c>
      <c r="AA387" s="106" t="s">
        <v>110</v>
      </c>
      <c r="AB387" s="111">
        <f t="shared" si="205"/>
        <v>3</v>
      </c>
      <c r="AC387" s="106" t="s">
        <v>13</v>
      </c>
      <c r="AD387" s="107">
        <f t="shared" si="201"/>
        <v>20284.090909090908</v>
      </c>
      <c r="AE387" s="198"/>
      <c r="AF387" s="113">
        <f t="shared" si="198"/>
        <v>0</v>
      </c>
      <c r="AG387" s="106">
        <v>2024</v>
      </c>
      <c r="AH387" s="26" t="str">
        <f t="shared" si="195"/>
        <v/>
      </c>
      <c r="AI387" s="26" t="str">
        <f t="shared" si="194"/>
        <v/>
      </c>
      <c r="AJ387" s="26" t="str">
        <f t="shared" si="194"/>
        <v>Chip Seal and Fog</v>
      </c>
      <c r="AK387" s="26" t="str">
        <f t="shared" si="200"/>
        <v/>
      </c>
      <c r="AL387" s="26" t="str">
        <f t="shared" si="185"/>
        <v/>
      </c>
      <c r="AM387" s="26" t="str">
        <f t="shared" ref="AM387:AM398" si="216">IF($AG387=AM$1,VLOOKUP($AC387,RSL,3,FALSE),"")</f>
        <v/>
      </c>
      <c r="AN387" s="26" t="str">
        <f t="shared" si="206"/>
        <v>Chip Seal and Fog</v>
      </c>
      <c r="AO387" s="26" t="str">
        <f t="shared" si="186"/>
        <v/>
      </c>
      <c r="AP387" s="26" t="str">
        <f t="shared" si="207"/>
        <v/>
      </c>
      <c r="AQ387" s="68">
        <f t="shared" si="202"/>
        <v>10</v>
      </c>
      <c r="AR387" s="68">
        <f t="shared" si="203"/>
        <v>6</v>
      </c>
      <c r="AS387" s="68">
        <f t="shared" si="208"/>
        <v>1.05</v>
      </c>
      <c r="AT387" s="68">
        <f t="shared" si="209"/>
        <v>1.05</v>
      </c>
      <c r="AU387" s="68">
        <f t="shared" si="210"/>
        <v>1.05</v>
      </c>
      <c r="AV387" s="68">
        <f t="shared" si="211"/>
        <v>1.05</v>
      </c>
      <c r="AW387" s="68">
        <f t="shared" si="212"/>
        <v>1.05</v>
      </c>
      <c r="AX387" s="68">
        <f t="shared" ca="1" si="204"/>
        <v>0</v>
      </c>
      <c r="AY387" s="106">
        <v>2017</v>
      </c>
      <c r="AZ387" s="106" t="s">
        <v>13</v>
      </c>
      <c r="BA387" s="106" t="str">
        <f t="shared" si="213"/>
        <v/>
      </c>
      <c r="BB387" s="177"/>
      <c r="BC387" s="177">
        <v>8</v>
      </c>
      <c r="BD387" s="177"/>
      <c r="BE387" s="177"/>
      <c r="BF387" s="177"/>
      <c r="BG387" s="177"/>
      <c r="BH387" s="177"/>
      <c r="BI387" s="33"/>
      <c r="BJ387" s="2"/>
      <c r="BK387" s="48">
        <f>$G387/5280*VLOOKUP($AC387,'Cost and Score'!$B$27:$O$40,6,0)</f>
        <v>0.1931818181818182</v>
      </c>
      <c r="BL387" s="48">
        <f>$G387/5280*VLOOKUP($AC387,'Cost and Score'!$B$27:$O$40,7,0)</f>
        <v>21.25</v>
      </c>
      <c r="BM387" s="48">
        <f>$G387/5280*VLOOKUP($AC387,'Cost and Score'!$B$27:$O$40,8,0)</f>
        <v>0</v>
      </c>
      <c r="BN387" s="48">
        <f>$G387/5280*VLOOKUP($AC387,'Cost and Score'!$B$27:$O$40,9,0)</f>
        <v>4346.590909090909</v>
      </c>
      <c r="BO387" s="48">
        <f>$G387/5280*VLOOKUP($AC387,'Cost and Score'!$B$27:$O$40,10,0)</f>
        <v>965.90909090909099</v>
      </c>
      <c r="BP387" s="48">
        <f>$G387/5280*VLOOKUP($AC387,'Cost and Score'!$B$27:$O$40,11,0)</f>
        <v>0</v>
      </c>
      <c r="BQ387" s="48">
        <f>$G387/5280*VLOOKUP($AC387,'Cost and Score'!$B$27:$O$40,12,0)</f>
        <v>96.590909090909093</v>
      </c>
      <c r="BR387" s="48">
        <f>$G387/5280*VLOOKUP($AC387,'Cost and Score'!$B$27:$O$40,13,0)</f>
        <v>115.90909090909091</v>
      </c>
      <c r="BS387" s="48">
        <f>$G387/5280*VLOOKUP($AC387,'Cost and Score'!$B$27:$O$40,14,0)</f>
        <v>0</v>
      </c>
      <c r="BT387" s="220">
        <f t="shared" si="214"/>
        <v>0.96590909090909094</v>
      </c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W387" s="2"/>
      <c r="CX387" s="2"/>
      <c r="CY387" s="2"/>
    </row>
    <row r="388" spans="1:103" s="2" customFormat="1" ht="14.45" hidden="1" customHeight="1" x14ac:dyDescent="0.25">
      <c r="A388" s="15" t="s">
        <v>2147</v>
      </c>
      <c r="B388" s="34" t="s">
        <v>876</v>
      </c>
      <c r="C388" s="26" t="s">
        <v>876</v>
      </c>
      <c r="D388" s="26"/>
      <c r="E388" s="26" t="s">
        <v>4</v>
      </c>
      <c r="F388" s="26" t="s">
        <v>313</v>
      </c>
      <c r="G388" s="29">
        <v>2470</v>
      </c>
      <c r="H388" s="29">
        <f t="shared" si="196"/>
        <v>20</v>
      </c>
      <c r="I388" s="26" t="s">
        <v>8</v>
      </c>
      <c r="J388" s="26" t="s">
        <v>6</v>
      </c>
      <c r="K388" s="26">
        <f t="shared" si="215"/>
        <v>0</v>
      </c>
      <c r="L388" s="42">
        <v>9</v>
      </c>
      <c r="M388" s="42">
        <v>8</v>
      </c>
      <c r="N388" s="42">
        <v>6</v>
      </c>
      <c r="O388" s="42">
        <v>8</v>
      </c>
      <c r="P388" s="42">
        <v>8</v>
      </c>
      <c r="Q388" s="42">
        <v>8</v>
      </c>
      <c r="R388" s="42">
        <v>8</v>
      </c>
      <c r="S388" s="42">
        <v>8</v>
      </c>
      <c r="T388" s="42">
        <v>8</v>
      </c>
      <c r="U388" s="42">
        <v>8</v>
      </c>
      <c r="V388" s="42"/>
      <c r="W388" s="42"/>
      <c r="X388" s="42"/>
      <c r="Y388" s="26">
        <v>565</v>
      </c>
      <c r="Z388" s="26">
        <f t="shared" si="197"/>
        <v>0.5</v>
      </c>
      <c r="AA388" s="26" t="s">
        <v>110</v>
      </c>
      <c r="AB388" s="111">
        <f t="shared" si="205"/>
        <v>2.5</v>
      </c>
      <c r="AC388" s="106" t="s">
        <v>13</v>
      </c>
      <c r="AD388" s="47">
        <f t="shared" si="201"/>
        <v>9823.863636363636</v>
      </c>
      <c r="AE388" s="140"/>
      <c r="AF388" s="113">
        <f t="shared" si="198"/>
        <v>0</v>
      </c>
      <c r="AG388" s="85">
        <v>2026</v>
      </c>
      <c r="AH388" s="26" t="str">
        <f t="shared" si="195"/>
        <v/>
      </c>
      <c r="AI388" s="26" t="str">
        <f t="shared" si="194"/>
        <v/>
      </c>
      <c r="AJ388" s="26" t="str">
        <f t="shared" si="194"/>
        <v/>
      </c>
      <c r="AK388" s="26" t="str">
        <f t="shared" si="200"/>
        <v/>
      </c>
      <c r="AL388" s="26" t="str">
        <f t="shared" ref="AL388:AL398" si="217">IF($AG388=AL$1,VLOOKUP($AC388,RSL,3,FALSE),"")</f>
        <v>Chip Seal and Fog</v>
      </c>
      <c r="AM388" s="26" t="str">
        <f t="shared" si="216"/>
        <v/>
      </c>
      <c r="AN388" s="26" t="str">
        <f t="shared" si="206"/>
        <v>Chip Seal and Fog</v>
      </c>
      <c r="AO388" s="26" t="str">
        <f t="shared" ref="AO388:AO398" si="218">IF(AY388=AO$1,VLOOKUP(AZ388,RSL,3,FALSE),"")</f>
        <v/>
      </c>
      <c r="AP388" s="26" t="str">
        <f t="shared" si="207"/>
        <v/>
      </c>
      <c r="AQ388" s="68">
        <f t="shared" si="202"/>
        <v>12</v>
      </c>
      <c r="AR388" s="68">
        <f t="shared" si="203"/>
        <v>6</v>
      </c>
      <c r="AS388" s="68">
        <f t="shared" si="208"/>
        <v>1</v>
      </c>
      <c r="AT388" s="68">
        <f t="shared" si="209"/>
        <v>1</v>
      </c>
      <c r="AU388" s="68">
        <f t="shared" si="210"/>
        <v>1.1000000000000001</v>
      </c>
      <c r="AV388" s="68">
        <f t="shared" si="211"/>
        <v>1</v>
      </c>
      <c r="AW388" s="68">
        <f t="shared" si="212"/>
        <v>1</v>
      </c>
      <c r="AX388" s="68">
        <f t="shared" ca="1" si="204"/>
        <v>2.2000000000000002</v>
      </c>
      <c r="AY388" s="68">
        <v>2020</v>
      </c>
      <c r="AZ388" s="68" t="s">
        <v>13</v>
      </c>
      <c r="BA388" s="106" t="str">
        <f t="shared" si="213"/>
        <v/>
      </c>
      <c r="BB388" s="178"/>
      <c r="BC388" s="178">
        <v>9</v>
      </c>
      <c r="BD388" s="178"/>
      <c r="BE388" s="178"/>
      <c r="BF388" s="178"/>
      <c r="BG388" s="178"/>
      <c r="BH388" s="178"/>
      <c r="BI388" s="33"/>
      <c r="BK388" s="48">
        <f>$G388/5280*VLOOKUP($AC388,'Cost and Score'!$B$27:$O$40,6,0)</f>
        <v>9.3560606060606066E-2</v>
      </c>
      <c r="BL388" s="48">
        <f>$G388/5280*VLOOKUP($AC388,'Cost and Score'!$B$27:$O$40,7,0)</f>
        <v>10.291666666666666</v>
      </c>
      <c r="BM388" s="48">
        <f>$G388/5280*VLOOKUP($AC388,'Cost and Score'!$B$27:$O$40,8,0)</f>
        <v>0</v>
      </c>
      <c r="BN388" s="48">
        <f>$G388/5280*VLOOKUP($AC388,'Cost and Score'!$B$27:$O$40,9,0)</f>
        <v>2105.113636363636</v>
      </c>
      <c r="BO388" s="48">
        <f>$G388/5280*VLOOKUP($AC388,'Cost and Score'!$B$27:$O$40,10,0)</f>
        <v>467.80303030303025</v>
      </c>
      <c r="BP388" s="48">
        <f>$G388/5280*VLOOKUP($AC388,'Cost and Score'!$B$27:$O$40,11,0)</f>
        <v>0</v>
      </c>
      <c r="BQ388" s="48">
        <f>$G388/5280*VLOOKUP($AC388,'Cost and Score'!$B$27:$O$40,12,0)</f>
        <v>46.780303030303031</v>
      </c>
      <c r="BR388" s="48">
        <f>$G388/5280*VLOOKUP($AC388,'Cost and Score'!$B$27:$O$40,13,0)</f>
        <v>56.136363636363633</v>
      </c>
      <c r="BS388" s="48">
        <f>$G388/5280*VLOOKUP($AC388,'Cost and Score'!$B$27:$O$40,14,0)</f>
        <v>0</v>
      </c>
      <c r="BT388" s="220">
        <f t="shared" si="214"/>
        <v>0.46780303030303028</v>
      </c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</row>
    <row r="389" spans="1:103" s="2" customFormat="1" ht="14.45" hidden="1" customHeight="1" x14ac:dyDescent="0.25">
      <c r="A389" s="15" t="s">
        <v>878</v>
      </c>
      <c r="B389" s="34" t="s">
        <v>877</v>
      </c>
      <c r="C389" s="26" t="s">
        <v>877</v>
      </c>
      <c r="D389" s="82"/>
      <c r="E389" s="82" t="s">
        <v>313</v>
      </c>
      <c r="F389" s="82" t="s">
        <v>461</v>
      </c>
      <c r="G389" s="29">
        <v>5325</v>
      </c>
      <c r="H389" s="29">
        <f t="shared" si="196"/>
        <v>20</v>
      </c>
      <c r="I389" s="26" t="s">
        <v>8</v>
      </c>
      <c r="J389" s="26" t="s">
        <v>6</v>
      </c>
      <c r="K389" s="26">
        <f t="shared" si="215"/>
        <v>0</v>
      </c>
      <c r="L389" s="42">
        <v>7</v>
      </c>
      <c r="M389" s="42">
        <v>7</v>
      </c>
      <c r="N389" s="42">
        <v>7</v>
      </c>
      <c r="O389" s="83">
        <v>7</v>
      </c>
      <c r="P389" s="83">
        <v>6</v>
      </c>
      <c r="Q389" s="83">
        <v>6</v>
      </c>
      <c r="R389" s="83">
        <v>6</v>
      </c>
      <c r="S389" s="83">
        <v>7</v>
      </c>
      <c r="T389" s="83">
        <v>7</v>
      </c>
      <c r="U389" s="83">
        <v>7</v>
      </c>
      <c r="V389" s="42"/>
      <c r="W389" s="42"/>
      <c r="X389" s="42"/>
      <c r="Y389" s="26">
        <v>402</v>
      </c>
      <c r="Z389" s="26">
        <f t="shared" si="197"/>
        <v>0</v>
      </c>
      <c r="AA389" s="82" t="s">
        <v>110</v>
      </c>
      <c r="AB389" s="111">
        <f t="shared" si="205"/>
        <v>4</v>
      </c>
      <c r="AC389" s="82" t="s">
        <v>13</v>
      </c>
      <c r="AD389" s="84">
        <f t="shared" si="201"/>
        <v>21178.977272727272</v>
      </c>
      <c r="AE389" s="140"/>
      <c r="AF389" s="113">
        <f t="shared" si="198"/>
        <v>0</v>
      </c>
      <c r="AG389" s="85">
        <v>2026</v>
      </c>
      <c r="AH389" s="26" t="str">
        <f t="shared" si="195"/>
        <v/>
      </c>
      <c r="AI389" s="26" t="str">
        <f t="shared" si="194"/>
        <v/>
      </c>
      <c r="AJ389" s="26" t="str">
        <f t="shared" si="194"/>
        <v/>
      </c>
      <c r="AK389" s="26" t="str">
        <f t="shared" si="200"/>
        <v/>
      </c>
      <c r="AL389" s="26" t="str">
        <f t="shared" si="217"/>
        <v>Chip Seal and Fog</v>
      </c>
      <c r="AM389" s="26" t="str">
        <f t="shared" si="216"/>
        <v/>
      </c>
      <c r="AN389" s="26" t="str">
        <f t="shared" si="206"/>
        <v>Chip Seal and Fog</v>
      </c>
      <c r="AO389" s="26" t="str">
        <f t="shared" si="218"/>
        <v/>
      </c>
      <c r="AP389" s="26" t="str">
        <f t="shared" si="207"/>
        <v/>
      </c>
      <c r="AQ389" s="68">
        <f t="shared" si="202"/>
        <v>10</v>
      </c>
      <c r="AR389" s="68">
        <f t="shared" si="203"/>
        <v>6</v>
      </c>
      <c r="AS389" s="68">
        <f t="shared" si="208"/>
        <v>1.05</v>
      </c>
      <c r="AT389" s="68">
        <f t="shared" si="209"/>
        <v>1.05</v>
      </c>
      <c r="AU389" s="68">
        <f t="shared" si="210"/>
        <v>1.05</v>
      </c>
      <c r="AV389" s="68">
        <f t="shared" si="211"/>
        <v>1.05</v>
      </c>
      <c r="AW389" s="68">
        <f t="shared" si="212"/>
        <v>1.1000000000000001</v>
      </c>
      <c r="AX389" s="68">
        <f t="shared" ca="1" si="204"/>
        <v>2.1</v>
      </c>
      <c r="AY389" s="68">
        <v>2020</v>
      </c>
      <c r="AZ389" s="68" t="s">
        <v>13</v>
      </c>
      <c r="BA389" s="106" t="str">
        <f t="shared" si="213"/>
        <v/>
      </c>
      <c r="BB389" s="178"/>
      <c r="BC389" s="178">
        <v>9</v>
      </c>
      <c r="BD389" s="178"/>
      <c r="BE389" s="178"/>
      <c r="BF389" s="178"/>
      <c r="BG389" s="178"/>
      <c r="BH389" s="178"/>
      <c r="BI389" s="33"/>
      <c r="BK389" s="48">
        <f>$G389/5280*VLOOKUP($AC389,'Cost and Score'!$B$27:$O$40,6,0)</f>
        <v>0.20170454545454547</v>
      </c>
      <c r="BL389" s="48">
        <f>$G389/5280*VLOOKUP($AC389,'Cost and Score'!$B$27:$O$40,7,0)</f>
        <v>22.1875</v>
      </c>
      <c r="BM389" s="48">
        <f>$G389/5280*VLOOKUP($AC389,'Cost and Score'!$B$27:$O$40,8,0)</f>
        <v>0</v>
      </c>
      <c r="BN389" s="48">
        <f>$G389/5280*VLOOKUP($AC389,'Cost and Score'!$B$27:$O$40,9,0)</f>
        <v>4538.352272727273</v>
      </c>
      <c r="BO389" s="48">
        <f>$G389/5280*VLOOKUP($AC389,'Cost and Score'!$B$27:$O$40,10,0)</f>
        <v>1008.5227272727273</v>
      </c>
      <c r="BP389" s="48">
        <f>$G389/5280*VLOOKUP($AC389,'Cost and Score'!$B$27:$O$40,11,0)</f>
        <v>0</v>
      </c>
      <c r="BQ389" s="48">
        <f>$G389/5280*VLOOKUP($AC389,'Cost and Score'!$B$27:$O$40,12,0)</f>
        <v>100.85227272727273</v>
      </c>
      <c r="BR389" s="48">
        <f>$G389/5280*VLOOKUP($AC389,'Cost and Score'!$B$27:$O$40,13,0)</f>
        <v>121.02272727272728</v>
      </c>
      <c r="BS389" s="48">
        <f>$G389/5280*VLOOKUP($AC389,'Cost and Score'!$B$27:$O$40,14,0)</f>
        <v>0</v>
      </c>
      <c r="BT389" s="220">
        <f t="shared" si="214"/>
        <v>1.0085227272727273</v>
      </c>
      <c r="CW389" s="112"/>
      <c r="CX389" s="112"/>
      <c r="CY389" s="112"/>
    </row>
    <row r="390" spans="1:103" s="2" customFormat="1" ht="14.45" hidden="1" customHeight="1" x14ac:dyDescent="0.25">
      <c r="A390" s="15" t="s">
        <v>880</v>
      </c>
      <c r="B390" s="34" t="s">
        <v>879</v>
      </c>
      <c r="C390" s="26" t="s">
        <v>879</v>
      </c>
      <c r="D390" s="82"/>
      <c r="E390" s="82" t="s">
        <v>461</v>
      </c>
      <c r="F390" s="82" t="s">
        <v>59</v>
      </c>
      <c r="G390" s="29">
        <v>5350</v>
      </c>
      <c r="H390" s="29">
        <f t="shared" si="196"/>
        <v>20</v>
      </c>
      <c r="I390" s="26" t="s">
        <v>13</v>
      </c>
      <c r="J390" s="26" t="s">
        <v>6</v>
      </c>
      <c r="K390" s="26">
        <f t="shared" si="215"/>
        <v>0</v>
      </c>
      <c r="L390" s="42">
        <v>8</v>
      </c>
      <c r="M390" s="42">
        <v>8</v>
      </c>
      <c r="N390" s="42">
        <v>8</v>
      </c>
      <c r="O390" s="83">
        <v>7</v>
      </c>
      <c r="P390" s="83">
        <v>6</v>
      </c>
      <c r="Q390" s="83">
        <v>6</v>
      </c>
      <c r="R390" s="83">
        <v>6</v>
      </c>
      <c r="S390" s="83">
        <v>7</v>
      </c>
      <c r="T390" s="83">
        <v>7</v>
      </c>
      <c r="U390" s="83">
        <v>7</v>
      </c>
      <c r="V390" s="42"/>
      <c r="W390" s="42"/>
      <c r="X390" s="42"/>
      <c r="Y390" s="26">
        <v>355</v>
      </c>
      <c r="Z390" s="26">
        <f t="shared" si="197"/>
        <v>0</v>
      </c>
      <c r="AA390" s="82" t="s">
        <v>110</v>
      </c>
      <c r="AB390" s="111">
        <f t="shared" si="205"/>
        <v>4</v>
      </c>
      <c r="AC390" s="82" t="s">
        <v>13</v>
      </c>
      <c r="AD390" s="84">
        <f t="shared" si="201"/>
        <v>21278.409090909092</v>
      </c>
      <c r="AE390" s="140"/>
      <c r="AF390" s="113">
        <f t="shared" si="198"/>
        <v>0</v>
      </c>
      <c r="AG390" s="85">
        <v>2026</v>
      </c>
      <c r="AH390" s="26" t="str">
        <f t="shared" si="195"/>
        <v/>
      </c>
      <c r="AI390" s="26" t="str">
        <f t="shared" si="194"/>
        <v/>
      </c>
      <c r="AJ390" s="26" t="str">
        <f t="shared" si="194"/>
        <v/>
      </c>
      <c r="AK390" s="26" t="str">
        <f t="shared" si="200"/>
        <v/>
      </c>
      <c r="AL390" s="26" t="str">
        <f t="shared" si="217"/>
        <v>Chip Seal and Fog</v>
      </c>
      <c r="AM390" s="26" t="str">
        <f t="shared" si="216"/>
        <v/>
      </c>
      <c r="AN390" s="26" t="str">
        <f t="shared" si="206"/>
        <v>Chip Seal and Fog</v>
      </c>
      <c r="AO390" s="26" t="str">
        <f t="shared" si="218"/>
        <v/>
      </c>
      <c r="AP390" s="26" t="str">
        <f t="shared" si="207"/>
        <v/>
      </c>
      <c r="AQ390" s="68">
        <f t="shared" si="202"/>
        <v>10</v>
      </c>
      <c r="AR390" s="68">
        <f t="shared" si="203"/>
        <v>6</v>
      </c>
      <c r="AS390" s="68">
        <f t="shared" si="208"/>
        <v>1</v>
      </c>
      <c r="AT390" s="68">
        <f t="shared" si="209"/>
        <v>1</v>
      </c>
      <c r="AU390" s="68">
        <f t="shared" si="210"/>
        <v>1</v>
      </c>
      <c r="AV390" s="68">
        <f t="shared" si="211"/>
        <v>1.05</v>
      </c>
      <c r="AW390" s="68">
        <f t="shared" si="212"/>
        <v>1.1000000000000001</v>
      </c>
      <c r="AX390" s="68">
        <f t="shared" ca="1" si="204"/>
        <v>2</v>
      </c>
      <c r="AY390" s="68">
        <v>2020</v>
      </c>
      <c r="AZ390" s="68" t="s">
        <v>13</v>
      </c>
      <c r="BA390" s="106" t="str">
        <f t="shared" si="213"/>
        <v/>
      </c>
      <c r="BB390" s="178"/>
      <c r="BC390" s="178">
        <v>9</v>
      </c>
      <c r="BD390" s="178"/>
      <c r="BE390" s="178"/>
      <c r="BF390" s="178"/>
      <c r="BG390" s="178"/>
      <c r="BH390" s="178"/>
      <c r="BI390" s="33"/>
      <c r="BK390" s="48">
        <f>$G390/5280*VLOOKUP($AC390,'Cost and Score'!$B$27:$O$40,6,0)</f>
        <v>0.20265151515151514</v>
      </c>
      <c r="BL390" s="48">
        <f>$G390/5280*VLOOKUP($AC390,'Cost and Score'!$B$27:$O$40,7,0)</f>
        <v>22.291666666666664</v>
      </c>
      <c r="BM390" s="48">
        <f>$G390/5280*VLOOKUP($AC390,'Cost and Score'!$B$27:$O$40,8,0)</f>
        <v>0</v>
      </c>
      <c r="BN390" s="48">
        <f>$G390/5280*VLOOKUP($AC390,'Cost and Score'!$B$27:$O$40,9,0)</f>
        <v>4559.659090909091</v>
      </c>
      <c r="BO390" s="48">
        <f>$G390/5280*VLOOKUP($AC390,'Cost and Score'!$B$27:$O$40,10,0)</f>
        <v>1013.2575757575756</v>
      </c>
      <c r="BP390" s="48">
        <f>$G390/5280*VLOOKUP($AC390,'Cost and Score'!$B$27:$O$40,11,0)</f>
        <v>0</v>
      </c>
      <c r="BQ390" s="48">
        <f>$G390/5280*VLOOKUP($AC390,'Cost and Score'!$B$27:$O$40,12,0)</f>
        <v>101.32575757575756</v>
      </c>
      <c r="BR390" s="48">
        <f>$G390/5280*VLOOKUP($AC390,'Cost and Score'!$B$27:$O$40,13,0)</f>
        <v>121.59090909090908</v>
      </c>
      <c r="BS390" s="48">
        <f>$G390/5280*VLOOKUP($AC390,'Cost and Score'!$B$27:$O$40,14,0)</f>
        <v>0</v>
      </c>
      <c r="BT390" s="220">
        <f t="shared" si="214"/>
        <v>1.0132575757575757</v>
      </c>
    </row>
    <row r="391" spans="1:103" s="2" customFormat="1" ht="14.45" hidden="1" customHeight="1" x14ac:dyDescent="0.25">
      <c r="A391" s="15" t="s">
        <v>2142</v>
      </c>
      <c r="B391" s="34" t="s">
        <v>881</v>
      </c>
      <c r="C391" s="26" t="s">
        <v>881</v>
      </c>
      <c r="D391" s="26"/>
      <c r="E391" s="26" t="s">
        <v>59</v>
      </c>
      <c r="F391" s="26" t="s">
        <v>64</v>
      </c>
      <c r="G391" s="29">
        <v>4689</v>
      </c>
      <c r="H391" s="29">
        <f t="shared" si="196"/>
        <v>20</v>
      </c>
      <c r="I391" s="26" t="s">
        <v>13</v>
      </c>
      <c r="J391" s="26" t="s">
        <v>172</v>
      </c>
      <c r="K391" s="26">
        <f t="shared" si="215"/>
        <v>0</v>
      </c>
      <c r="L391" s="42">
        <v>7</v>
      </c>
      <c r="M391" s="42">
        <v>7</v>
      </c>
      <c r="N391" s="42">
        <v>7</v>
      </c>
      <c r="O391" s="42">
        <v>7</v>
      </c>
      <c r="P391" s="42">
        <v>7</v>
      </c>
      <c r="Q391" s="42">
        <v>7</v>
      </c>
      <c r="R391" s="42">
        <v>7</v>
      </c>
      <c r="S391" s="42">
        <v>7</v>
      </c>
      <c r="T391" s="42">
        <v>7</v>
      </c>
      <c r="U391" s="42">
        <v>7</v>
      </c>
      <c r="V391" s="42"/>
      <c r="W391" s="42"/>
      <c r="X391" s="42"/>
      <c r="Y391" s="26">
        <v>652</v>
      </c>
      <c r="Z391" s="26">
        <f t="shared" si="197"/>
        <v>0.5</v>
      </c>
      <c r="AA391" s="26" t="s">
        <v>110</v>
      </c>
      <c r="AB391" s="111">
        <f t="shared" si="205"/>
        <v>3.5</v>
      </c>
      <c r="AC391" s="26" t="s">
        <v>2075</v>
      </c>
      <c r="AD391" s="47">
        <f t="shared" si="201"/>
        <v>4795.568181818182</v>
      </c>
      <c r="AE391" s="140"/>
      <c r="AF391" s="113">
        <f t="shared" si="198"/>
        <v>0</v>
      </c>
      <c r="AG391" s="26">
        <v>2022</v>
      </c>
      <c r="AH391" s="26" t="str">
        <f t="shared" si="195"/>
        <v>Crack Seal</v>
      </c>
      <c r="AI391" s="26" t="str">
        <f t="shared" si="194"/>
        <v/>
      </c>
      <c r="AJ391" s="26" t="str">
        <f t="shared" si="194"/>
        <v/>
      </c>
      <c r="AK391" s="26" t="str">
        <f t="shared" si="200"/>
        <v/>
      </c>
      <c r="AL391" s="26" t="str">
        <f t="shared" si="217"/>
        <v/>
      </c>
      <c r="AM391" s="26" t="str">
        <f t="shared" si="216"/>
        <v/>
      </c>
      <c r="AN391" s="26" t="str">
        <f t="shared" si="206"/>
        <v>Crack Seal</v>
      </c>
      <c r="AO391" s="26" t="str">
        <f t="shared" si="218"/>
        <v/>
      </c>
      <c r="AP391" s="26" t="str">
        <f t="shared" si="207"/>
        <v/>
      </c>
      <c r="AQ391" s="68">
        <f t="shared" si="202"/>
        <v>10</v>
      </c>
      <c r="AR391" s="68">
        <f t="shared" si="203"/>
        <v>3</v>
      </c>
      <c r="AS391" s="68">
        <f t="shared" si="208"/>
        <v>1.05</v>
      </c>
      <c r="AT391" s="68">
        <f t="shared" si="209"/>
        <v>1.05</v>
      </c>
      <c r="AU391" s="68">
        <f t="shared" si="210"/>
        <v>1.05</v>
      </c>
      <c r="AV391" s="68">
        <f t="shared" si="211"/>
        <v>1.05</v>
      </c>
      <c r="AW391" s="68">
        <f t="shared" si="212"/>
        <v>1.05</v>
      </c>
      <c r="AX391" s="68">
        <f t="shared" ca="1" si="204"/>
        <v>-2.1</v>
      </c>
      <c r="AY391" s="68">
        <v>2016</v>
      </c>
      <c r="AZ391" s="68" t="s">
        <v>2075</v>
      </c>
      <c r="BA391" s="106" t="str">
        <f t="shared" si="213"/>
        <v/>
      </c>
      <c r="BB391" s="178"/>
      <c r="BC391" s="178">
        <v>9</v>
      </c>
      <c r="BD391" s="178"/>
      <c r="BE391" s="178"/>
      <c r="BF391" s="178"/>
      <c r="BG391" s="178"/>
      <c r="BH391" s="178"/>
      <c r="BI391" s="33"/>
      <c r="BK391" s="48">
        <f>$G391/5280*VLOOKUP($AC391,'Cost and Score'!$B$27:$O$40,6,0)</f>
        <v>0.88806818181818181</v>
      </c>
      <c r="BL391" s="48">
        <f>$G391/5280*VLOOKUP($AC391,'Cost and Score'!$B$27:$O$40,7,0)</f>
        <v>0</v>
      </c>
      <c r="BM391" s="48">
        <f>$G391/5280*VLOOKUP($AC391,'Cost and Score'!$B$27:$O$40,8,0)</f>
        <v>0</v>
      </c>
      <c r="BN391" s="48">
        <f>$G391/5280*VLOOKUP($AC391,'Cost and Score'!$B$27:$O$40,9,0)</f>
        <v>0</v>
      </c>
      <c r="BO391" s="48">
        <f>$G391/5280*VLOOKUP($AC391,'Cost and Score'!$B$27:$O$40,10,0)</f>
        <v>0</v>
      </c>
      <c r="BP391" s="48">
        <f>$G391/5280*VLOOKUP($AC391,'Cost and Score'!$B$27:$O$40,11,0)</f>
        <v>0</v>
      </c>
      <c r="BQ391" s="48">
        <f>$G391/5280*VLOOKUP($AC391,'Cost and Score'!$B$27:$O$40,12,0)</f>
        <v>0</v>
      </c>
      <c r="BR391" s="48">
        <f>$G391/5280*VLOOKUP($AC391,'Cost and Score'!$B$27:$O$40,13,0)</f>
        <v>0</v>
      </c>
      <c r="BS391" s="48">
        <f>$G391/5280*VLOOKUP($AC391,'Cost and Score'!$B$27:$O$40,14,0)</f>
        <v>0</v>
      </c>
      <c r="BT391" s="220">
        <f t="shared" si="214"/>
        <v>0.88806818181818181</v>
      </c>
    </row>
    <row r="392" spans="1:103" s="2" customFormat="1" ht="14.45" customHeight="1" x14ac:dyDescent="0.25">
      <c r="A392" s="38" t="s">
        <v>1365</v>
      </c>
      <c r="B392" s="34" t="s">
        <v>1364</v>
      </c>
      <c r="C392" s="26" t="s">
        <v>1364</v>
      </c>
      <c r="D392" s="82"/>
      <c r="E392" s="82" t="s">
        <v>70</v>
      </c>
      <c r="F392" s="82" t="s">
        <v>64</v>
      </c>
      <c r="G392" s="29">
        <v>2692</v>
      </c>
      <c r="H392" s="29">
        <f t="shared" si="196"/>
        <v>20</v>
      </c>
      <c r="I392" s="26" t="s">
        <v>8</v>
      </c>
      <c r="J392" s="26" t="s">
        <v>62</v>
      </c>
      <c r="K392" s="26">
        <f t="shared" si="215"/>
        <v>0</v>
      </c>
      <c r="L392" s="42">
        <v>6</v>
      </c>
      <c r="M392" s="42">
        <v>5</v>
      </c>
      <c r="N392" s="42">
        <v>5</v>
      </c>
      <c r="O392" s="83">
        <v>5</v>
      </c>
      <c r="P392" s="83">
        <v>5</v>
      </c>
      <c r="Q392" s="83">
        <v>5</v>
      </c>
      <c r="R392" s="83">
        <v>9</v>
      </c>
      <c r="S392" s="83">
        <v>8</v>
      </c>
      <c r="T392" s="83">
        <v>8</v>
      </c>
      <c r="U392" s="83">
        <v>8</v>
      </c>
      <c r="V392" s="42"/>
      <c r="W392" s="42"/>
      <c r="X392" s="42"/>
      <c r="Y392" s="26">
        <v>137</v>
      </c>
      <c r="Z392" s="26">
        <f t="shared" si="197"/>
        <v>0</v>
      </c>
      <c r="AA392" s="82" t="s">
        <v>38</v>
      </c>
      <c r="AB392" s="111">
        <f t="shared" si="205"/>
        <v>5</v>
      </c>
      <c r="AC392" s="85" t="s">
        <v>13</v>
      </c>
      <c r="AD392" s="84">
        <f t="shared" si="201"/>
        <v>10706.818181818182</v>
      </c>
      <c r="AE392" s="140"/>
      <c r="AF392" s="113">
        <f t="shared" si="198"/>
        <v>0</v>
      </c>
      <c r="AG392" s="106">
        <v>2025</v>
      </c>
      <c r="AH392" s="26" t="str">
        <f t="shared" si="195"/>
        <v/>
      </c>
      <c r="AI392" s="26" t="str">
        <f t="shared" ref="AI392:AJ398" si="219">IF($AG392=AI$1,VLOOKUP($AC392,RSL,3,FALSE),"")</f>
        <v/>
      </c>
      <c r="AJ392" s="26" t="str">
        <f t="shared" si="219"/>
        <v/>
      </c>
      <c r="AK392" s="26" t="str">
        <f t="shared" si="200"/>
        <v>Chip Seal and Fog</v>
      </c>
      <c r="AL392" s="26" t="str">
        <f t="shared" si="217"/>
        <v/>
      </c>
      <c r="AM392" s="26" t="str">
        <f t="shared" si="216"/>
        <v/>
      </c>
      <c r="AN392" s="26" t="str">
        <f t="shared" si="206"/>
        <v>Chip Seal and Fog</v>
      </c>
      <c r="AO392" s="26" t="str">
        <f t="shared" si="218"/>
        <v/>
      </c>
      <c r="AP392" s="26" t="str">
        <f t="shared" si="207"/>
        <v/>
      </c>
      <c r="AQ392" s="68">
        <f t="shared" si="202"/>
        <v>6</v>
      </c>
      <c r="AR392" s="68">
        <f t="shared" si="203"/>
        <v>6</v>
      </c>
      <c r="AS392" s="68">
        <f t="shared" si="208"/>
        <v>1.1000000000000001</v>
      </c>
      <c r="AT392" s="68">
        <f t="shared" si="209"/>
        <v>1.25</v>
      </c>
      <c r="AU392" s="68">
        <f t="shared" si="210"/>
        <v>1.25</v>
      </c>
      <c r="AV392" s="68">
        <f t="shared" si="211"/>
        <v>1.25</v>
      </c>
      <c r="AW392" s="68">
        <f t="shared" si="212"/>
        <v>1.25</v>
      </c>
      <c r="AX392" s="68">
        <f t="shared" ca="1" si="204"/>
        <v>1.25</v>
      </c>
      <c r="AY392" s="68">
        <v>2019</v>
      </c>
      <c r="AZ392" s="68" t="s">
        <v>751</v>
      </c>
      <c r="BA392" s="106" t="str">
        <f t="shared" si="213"/>
        <v/>
      </c>
      <c r="BB392" s="178"/>
      <c r="BC392" s="178">
        <v>1</v>
      </c>
      <c r="BD392" s="178"/>
      <c r="BE392" s="178"/>
      <c r="BF392" s="178"/>
      <c r="BG392" s="178"/>
      <c r="BH392" s="178"/>
      <c r="BI392" s="33"/>
      <c r="BK392" s="48">
        <f>$G392/5280*VLOOKUP($AC392,'Cost and Score'!$B$27:$O$40,6,0)</f>
        <v>0.10196969696969699</v>
      </c>
      <c r="BL392" s="48">
        <f>$G392/5280*VLOOKUP($AC392,'Cost and Score'!$B$27:$O$40,7,0)</f>
        <v>11.216666666666667</v>
      </c>
      <c r="BM392" s="48">
        <f>$G392/5280*VLOOKUP($AC392,'Cost and Score'!$B$27:$O$40,8,0)</f>
        <v>0</v>
      </c>
      <c r="BN392" s="48">
        <f>$G392/5280*VLOOKUP($AC392,'Cost and Score'!$B$27:$O$40,9,0)</f>
        <v>2294.318181818182</v>
      </c>
      <c r="BO392" s="48">
        <f>$G392/5280*VLOOKUP($AC392,'Cost and Score'!$B$27:$O$40,10,0)</f>
        <v>509.84848484848487</v>
      </c>
      <c r="BP392" s="48">
        <f>$G392/5280*VLOOKUP($AC392,'Cost and Score'!$B$27:$O$40,11,0)</f>
        <v>0</v>
      </c>
      <c r="BQ392" s="48">
        <f>$G392/5280*VLOOKUP($AC392,'Cost and Score'!$B$27:$O$40,12,0)</f>
        <v>50.984848484848492</v>
      </c>
      <c r="BR392" s="48">
        <f>$G392/5280*VLOOKUP($AC392,'Cost and Score'!$B$27:$O$40,13,0)</f>
        <v>61.181818181818187</v>
      </c>
      <c r="BS392" s="48">
        <f>$G392/5280*VLOOKUP($AC392,'Cost and Score'!$B$27:$O$40,14,0)</f>
        <v>0</v>
      </c>
      <c r="BT392" s="220">
        <f t="shared" si="214"/>
        <v>0.50984848484848488</v>
      </c>
      <c r="CN392" s="112"/>
      <c r="CO392" s="112"/>
      <c r="CP392" s="112"/>
      <c r="CQ392" s="112"/>
      <c r="CV392" s="112"/>
    </row>
    <row r="393" spans="1:103" s="2" customFormat="1" ht="14.45" customHeight="1" x14ac:dyDescent="0.25">
      <c r="A393" s="38" t="s">
        <v>1367</v>
      </c>
      <c r="B393" s="34" t="s">
        <v>1366</v>
      </c>
      <c r="C393" s="26" t="s">
        <v>1366</v>
      </c>
      <c r="D393" s="82"/>
      <c r="E393" s="82" t="s">
        <v>73</v>
      </c>
      <c r="F393" s="82" t="s">
        <v>70</v>
      </c>
      <c r="G393" s="29">
        <v>2663</v>
      </c>
      <c r="H393" s="29">
        <f t="shared" si="196"/>
        <v>20</v>
      </c>
      <c r="I393" s="26" t="s">
        <v>8</v>
      </c>
      <c r="J393" s="26" t="s">
        <v>62</v>
      </c>
      <c r="K393" s="26">
        <f t="shared" si="215"/>
        <v>0</v>
      </c>
      <c r="L393" s="42">
        <v>6</v>
      </c>
      <c r="M393" s="42">
        <v>6</v>
      </c>
      <c r="N393" s="42">
        <v>5</v>
      </c>
      <c r="O393" s="83">
        <v>5</v>
      </c>
      <c r="P393" s="83">
        <v>5</v>
      </c>
      <c r="Q393" s="83">
        <v>5</v>
      </c>
      <c r="R393" s="83">
        <v>9</v>
      </c>
      <c r="S393" s="83">
        <v>8</v>
      </c>
      <c r="T393" s="83">
        <v>8</v>
      </c>
      <c r="U393" s="83">
        <v>8</v>
      </c>
      <c r="V393" s="42"/>
      <c r="W393" s="42"/>
      <c r="X393" s="42"/>
      <c r="Y393" s="26">
        <v>137</v>
      </c>
      <c r="Z393" s="26">
        <f t="shared" si="197"/>
        <v>0</v>
      </c>
      <c r="AA393" s="82" t="s">
        <v>38</v>
      </c>
      <c r="AB393" s="111">
        <f t="shared" si="205"/>
        <v>5</v>
      </c>
      <c r="AC393" s="85" t="s">
        <v>13</v>
      </c>
      <c r="AD393" s="84">
        <f t="shared" si="201"/>
        <v>10591.477272727272</v>
      </c>
      <c r="AE393" s="140"/>
      <c r="AF393" s="113">
        <f t="shared" si="198"/>
        <v>0</v>
      </c>
      <c r="AG393" s="106">
        <v>2025</v>
      </c>
      <c r="AH393" s="26" t="str">
        <f t="shared" si="195"/>
        <v/>
      </c>
      <c r="AI393" s="26" t="str">
        <f t="shared" si="219"/>
        <v/>
      </c>
      <c r="AJ393" s="26" t="str">
        <f t="shared" si="219"/>
        <v/>
      </c>
      <c r="AK393" s="26" t="str">
        <f t="shared" si="200"/>
        <v>Chip Seal and Fog</v>
      </c>
      <c r="AL393" s="26" t="str">
        <f t="shared" si="217"/>
        <v/>
      </c>
      <c r="AM393" s="26" t="str">
        <f t="shared" si="216"/>
        <v/>
      </c>
      <c r="AN393" s="26" t="str">
        <f t="shared" si="206"/>
        <v>Chip Seal and Fog</v>
      </c>
      <c r="AO393" s="26" t="str">
        <f t="shared" si="218"/>
        <v/>
      </c>
      <c r="AP393" s="26" t="str">
        <f t="shared" si="207"/>
        <v/>
      </c>
      <c r="AQ393" s="68">
        <f t="shared" si="202"/>
        <v>6</v>
      </c>
      <c r="AR393" s="68">
        <f t="shared" si="203"/>
        <v>6</v>
      </c>
      <c r="AS393" s="68">
        <f t="shared" si="208"/>
        <v>1.1000000000000001</v>
      </c>
      <c r="AT393" s="68">
        <f t="shared" si="209"/>
        <v>1.1000000000000001</v>
      </c>
      <c r="AU393" s="68">
        <f t="shared" si="210"/>
        <v>1.25</v>
      </c>
      <c r="AV393" s="68">
        <f t="shared" si="211"/>
        <v>1.25</v>
      </c>
      <c r="AW393" s="68">
        <f t="shared" si="212"/>
        <v>1.25</v>
      </c>
      <c r="AX393" s="68">
        <f t="shared" ca="1" si="204"/>
        <v>1.25</v>
      </c>
      <c r="AY393" s="68">
        <v>2019</v>
      </c>
      <c r="AZ393" s="68" t="s">
        <v>751</v>
      </c>
      <c r="BA393" s="106" t="str">
        <f t="shared" si="213"/>
        <v/>
      </c>
      <c r="BB393" s="178"/>
      <c r="BC393" s="178">
        <v>1</v>
      </c>
      <c r="BD393" s="178"/>
      <c r="BE393" s="178"/>
      <c r="BF393" s="178"/>
      <c r="BG393" s="178"/>
      <c r="BH393" s="178"/>
      <c r="BI393" s="33"/>
      <c r="BK393" s="48">
        <f>$G393/5280*VLOOKUP($AC393,'Cost and Score'!$B$27:$O$40,6,0)</f>
        <v>0.10087121212121214</v>
      </c>
      <c r="BL393" s="48">
        <f>$G393/5280*VLOOKUP($AC393,'Cost and Score'!$B$27:$O$40,7,0)</f>
        <v>11.095833333333335</v>
      </c>
      <c r="BM393" s="48">
        <f>$G393/5280*VLOOKUP($AC393,'Cost and Score'!$B$27:$O$40,8,0)</f>
        <v>0</v>
      </c>
      <c r="BN393" s="48">
        <f>$G393/5280*VLOOKUP($AC393,'Cost and Score'!$B$27:$O$40,9,0)</f>
        <v>2269.602272727273</v>
      </c>
      <c r="BO393" s="48">
        <f>$G393/5280*VLOOKUP($AC393,'Cost and Score'!$B$27:$O$40,10,0)</f>
        <v>504.35606060606062</v>
      </c>
      <c r="BP393" s="48">
        <f>$G393/5280*VLOOKUP($AC393,'Cost and Score'!$B$27:$O$40,11,0)</f>
        <v>0</v>
      </c>
      <c r="BQ393" s="48">
        <f>$G393/5280*VLOOKUP($AC393,'Cost and Score'!$B$27:$O$40,12,0)</f>
        <v>50.435606060606062</v>
      </c>
      <c r="BR393" s="48">
        <f>$G393/5280*VLOOKUP($AC393,'Cost and Score'!$B$27:$O$40,13,0)</f>
        <v>60.52272727272728</v>
      </c>
      <c r="BS393" s="48">
        <f>$G393/5280*VLOOKUP($AC393,'Cost and Score'!$B$27:$O$40,14,0)</f>
        <v>0</v>
      </c>
      <c r="BT393" s="220">
        <f t="shared" si="214"/>
        <v>0.50435606060606064</v>
      </c>
    </row>
    <row r="394" spans="1:103" s="2" customFormat="1" ht="14.45" hidden="1" customHeight="1" x14ac:dyDescent="0.25">
      <c r="A394" s="15" t="s">
        <v>2143</v>
      </c>
      <c r="B394" s="34" t="s">
        <v>884</v>
      </c>
      <c r="C394" s="26" t="s">
        <v>884</v>
      </c>
      <c r="D394" s="26"/>
      <c r="E394" s="26" t="s">
        <v>64</v>
      </c>
      <c r="F394" s="26" t="s">
        <v>885</v>
      </c>
      <c r="G394" s="29">
        <v>4005</v>
      </c>
      <c r="H394" s="29">
        <f t="shared" si="196"/>
        <v>20</v>
      </c>
      <c r="I394" s="26" t="s">
        <v>13</v>
      </c>
      <c r="J394" s="26" t="s">
        <v>172</v>
      </c>
      <c r="K394" s="26">
        <f t="shared" si="215"/>
        <v>0</v>
      </c>
      <c r="L394" s="42">
        <v>7</v>
      </c>
      <c r="M394" s="42">
        <v>7</v>
      </c>
      <c r="N394" s="42">
        <v>7</v>
      </c>
      <c r="O394" s="42">
        <v>8</v>
      </c>
      <c r="P394" s="42">
        <v>8</v>
      </c>
      <c r="Q394" s="42">
        <v>8</v>
      </c>
      <c r="R394" s="42">
        <v>7</v>
      </c>
      <c r="S394" s="42">
        <v>7</v>
      </c>
      <c r="T394" s="42">
        <v>7</v>
      </c>
      <c r="U394" s="42">
        <v>7</v>
      </c>
      <c r="V394" s="42">
        <v>2023</v>
      </c>
      <c r="W394" s="42">
        <v>2023</v>
      </c>
      <c r="X394" s="42" t="s">
        <v>2612</v>
      </c>
      <c r="Y394" s="26">
        <v>710</v>
      </c>
      <c r="Z394" s="26">
        <f t="shared" si="197"/>
        <v>0.5</v>
      </c>
      <c r="AA394" s="26" t="s">
        <v>110</v>
      </c>
      <c r="AB394" s="111">
        <f t="shared" si="205"/>
        <v>2.5</v>
      </c>
      <c r="AC394" s="26" t="s">
        <v>13</v>
      </c>
      <c r="AD394" s="47">
        <f t="shared" si="201"/>
        <v>15928.977272727272</v>
      </c>
      <c r="AE394" s="140"/>
      <c r="AF394" s="113">
        <f t="shared" si="198"/>
        <v>0</v>
      </c>
      <c r="AG394" s="26">
        <v>2022</v>
      </c>
      <c r="AH394" s="26" t="str">
        <f t="shared" si="195"/>
        <v>Chip Seal and Fog</v>
      </c>
      <c r="AI394" s="26" t="str">
        <f t="shared" si="219"/>
        <v/>
      </c>
      <c r="AJ394" s="26" t="str">
        <f t="shared" si="219"/>
        <v/>
      </c>
      <c r="AK394" s="26" t="str">
        <f t="shared" si="200"/>
        <v/>
      </c>
      <c r="AL394" s="26" t="str">
        <f t="shared" si="217"/>
        <v/>
      </c>
      <c r="AM394" s="26" t="str">
        <f t="shared" si="216"/>
        <v/>
      </c>
      <c r="AN394" s="26" t="str">
        <f t="shared" si="206"/>
        <v>Chip Seal and Fog</v>
      </c>
      <c r="AO394" s="26" t="str">
        <f t="shared" si="218"/>
        <v/>
      </c>
      <c r="AP394" s="26" t="str">
        <f t="shared" si="207"/>
        <v/>
      </c>
      <c r="AQ394" s="68">
        <f t="shared" si="202"/>
        <v>12</v>
      </c>
      <c r="AR394" s="68">
        <f t="shared" si="203"/>
        <v>6</v>
      </c>
      <c r="AS394" s="68">
        <f t="shared" si="208"/>
        <v>1.05</v>
      </c>
      <c r="AT394" s="68">
        <f t="shared" si="209"/>
        <v>1.05</v>
      </c>
      <c r="AU394" s="68">
        <f t="shared" si="210"/>
        <v>1.05</v>
      </c>
      <c r="AV394" s="68">
        <f t="shared" si="211"/>
        <v>1</v>
      </c>
      <c r="AW394" s="68">
        <f t="shared" si="212"/>
        <v>1</v>
      </c>
      <c r="AX394" s="68">
        <f t="shared" ca="1" si="204"/>
        <v>-2.1</v>
      </c>
      <c r="AY394" s="68">
        <v>2016</v>
      </c>
      <c r="AZ394" s="68" t="s">
        <v>13</v>
      </c>
      <c r="BA394" s="106" t="str">
        <f t="shared" si="213"/>
        <v/>
      </c>
      <c r="BB394" s="178"/>
      <c r="BC394" s="178">
        <v>9</v>
      </c>
      <c r="BD394" s="178"/>
      <c r="BE394" s="178"/>
      <c r="BF394" s="178"/>
      <c r="BG394" s="178"/>
      <c r="BH394" s="178"/>
      <c r="BI394" s="33"/>
      <c r="BK394" s="48">
        <f>$G394/5280*VLOOKUP($AC394,'Cost and Score'!$B$27:$O$40,6,0)</f>
        <v>0.15170454545454548</v>
      </c>
      <c r="BL394" s="48">
        <f>$G394/5280*VLOOKUP($AC394,'Cost and Score'!$B$27:$O$40,7,0)</f>
        <v>16.6875</v>
      </c>
      <c r="BM394" s="48">
        <f>$G394/5280*VLOOKUP($AC394,'Cost and Score'!$B$27:$O$40,8,0)</f>
        <v>0</v>
      </c>
      <c r="BN394" s="48">
        <f>$G394/5280*VLOOKUP($AC394,'Cost and Score'!$B$27:$O$40,9,0)</f>
        <v>3413.352272727273</v>
      </c>
      <c r="BO394" s="48">
        <f>$G394/5280*VLOOKUP($AC394,'Cost and Score'!$B$27:$O$40,10,0)</f>
        <v>758.52272727272725</v>
      </c>
      <c r="BP394" s="48">
        <f>$G394/5280*VLOOKUP($AC394,'Cost and Score'!$B$27:$O$40,11,0)</f>
        <v>0</v>
      </c>
      <c r="BQ394" s="48">
        <f>$G394/5280*VLOOKUP($AC394,'Cost and Score'!$B$27:$O$40,12,0)</f>
        <v>75.852272727272734</v>
      </c>
      <c r="BR394" s="48">
        <f>$G394/5280*VLOOKUP($AC394,'Cost and Score'!$B$27:$O$40,13,0)</f>
        <v>91.02272727272728</v>
      </c>
      <c r="BS394" s="48">
        <f>$G394/5280*VLOOKUP($AC394,'Cost and Score'!$B$27:$O$40,14,0)</f>
        <v>0</v>
      </c>
      <c r="BT394" s="220">
        <f t="shared" si="214"/>
        <v>0.75852272727272729</v>
      </c>
      <c r="CS394" s="112"/>
      <c r="CT394" s="112"/>
      <c r="CU394" s="112"/>
    </row>
    <row r="395" spans="1:103" s="2" customFormat="1" ht="14.45" hidden="1" customHeight="1" x14ac:dyDescent="0.25">
      <c r="A395" s="15" t="s">
        <v>887</v>
      </c>
      <c r="B395" s="34" t="s">
        <v>886</v>
      </c>
      <c r="C395" s="26" t="s">
        <v>886</v>
      </c>
      <c r="D395" s="26"/>
      <c r="E395" s="26" t="s">
        <v>885</v>
      </c>
      <c r="F395" s="26" t="s">
        <v>73</v>
      </c>
      <c r="G395" s="29">
        <v>1342</v>
      </c>
      <c r="H395" s="29">
        <f t="shared" si="196"/>
        <v>20</v>
      </c>
      <c r="I395" s="26" t="s">
        <v>13</v>
      </c>
      <c r="J395" s="26" t="s">
        <v>172</v>
      </c>
      <c r="K395" s="26">
        <f t="shared" si="215"/>
        <v>0</v>
      </c>
      <c r="L395" s="42">
        <v>8</v>
      </c>
      <c r="M395" s="42">
        <v>8</v>
      </c>
      <c r="N395" s="42">
        <v>8</v>
      </c>
      <c r="O395" s="42">
        <v>8</v>
      </c>
      <c r="P395" s="42">
        <v>8</v>
      </c>
      <c r="Q395" s="42">
        <v>8</v>
      </c>
      <c r="R395" s="42">
        <v>8</v>
      </c>
      <c r="S395" s="42">
        <v>8</v>
      </c>
      <c r="T395" s="42">
        <v>7</v>
      </c>
      <c r="U395" s="42">
        <v>7</v>
      </c>
      <c r="V395" s="42"/>
      <c r="W395" s="42">
        <v>2021</v>
      </c>
      <c r="X395" s="42" t="s">
        <v>2612</v>
      </c>
      <c r="Y395" s="26">
        <v>710</v>
      </c>
      <c r="Z395" s="26">
        <f t="shared" si="197"/>
        <v>0.5</v>
      </c>
      <c r="AA395" s="26" t="s">
        <v>110</v>
      </c>
      <c r="AB395" s="111">
        <f t="shared" si="205"/>
        <v>2.5</v>
      </c>
      <c r="AC395" s="106" t="s">
        <v>13</v>
      </c>
      <c r="AD395" s="47">
        <f t="shared" si="201"/>
        <v>5337.5</v>
      </c>
      <c r="AE395" s="140"/>
      <c r="AF395" s="113">
        <f t="shared" si="198"/>
        <v>0</v>
      </c>
      <c r="AG395" s="85">
        <v>2026</v>
      </c>
      <c r="AH395" s="26" t="str">
        <f t="shared" si="195"/>
        <v/>
      </c>
      <c r="AI395" s="26" t="str">
        <f t="shared" si="219"/>
        <v/>
      </c>
      <c r="AJ395" s="26" t="str">
        <f t="shared" si="219"/>
        <v/>
      </c>
      <c r="AK395" s="26" t="str">
        <f t="shared" si="200"/>
        <v/>
      </c>
      <c r="AL395" s="26" t="str">
        <f t="shared" si="217"/>
        <v>Chip Seal and Fog</v>
      </c>
      <c r="AM395" s="26" t="str">
        <f t="shared" si="216"/>
        <v/>
      </c>
      <c r="AN395" s="26" t="str">
        <f t="shared" si="206"/>
        <v>Chip Seal and Fog</v>
      </c>
      <c r="AO395" s="26" t="str">
        <f t="shared" si="218"/>
        <v/>
      </c>
      <c r="AP395" s="26" t="str">
        <f t="shared" si="207"/>
        <v/>
      </c>
      <c r="AQ395" s="68">
        <f t="shared" si="202"/>
        <v>12</v>
      </c>
      <c r="AR395" s="68">
        <f t="shared" si="203"/>
        <v>6</v>
      </c>
      <c r="AS395" s="68">
        <f t="shared" si="208"/>
        <v>1</v>
      </c>
      <c r="AT395" s="68">
        <f t="shared" si="209"/>
        <v>1</v>
      </c>
      <c r="AU395" s="68">
        <f t="shared" si="210"/>
        <v>1</v>
      </c>
      <c r="AV395" s="68">
        <f t="shared" si="211"/>
        <v>1</v>
      </c>
      <c r="AW395" s="68">
        <f t="shared" si="212"/>
        <v>1</v>
      </c>
      <c r="AX395" s="68">
        <f t="shared" ca="1" si="204"/>
        <v>2</v>
      </c>
      <c r="AY395" s="68">
        <v>2020</v>
      </c>
      <c r="AZ395" s="68" t="s">
        <v>13</v>
      </c>
      <c r="BA395" s="106" t="str">
        <f t="shared" si="213"/>
        <v/>
      </c>
      <c r="BB395" s="178"/>
      <c r="BC395" s="178">
        <v>9</v>
      </c>
      <c r="BD395" s="178"/>
      <c r="BE395" s="178"/>
      <c r="BF395" s="178"/>
      <c r="BG395" s="178"/>
      <c r="BH395" s="178"/>
      <c r="BI395" s="33"/>
      <c r="BK395" s="48">
        <f>$G395/5280*VLOOKUP($AC395,'Cost and Score'!$B$27:$O$40,6,0)</f>
        <v>5.0833333333333335E-2</v>
      </c>
      <c r="BL395" s="48">
        <f>$G395/5280*VLOOKUP($AC395,'Cost and Score'!$B$27:$O$40,7,0)</f>
        <v>5.5916666666666668</v>
      </c>
      <c r="BM395" s="48">
        <f>$G395/5280*VLOOKUP($AC395,'Cost and Score'!$B$27:$O$40,8,0)</f>
        <v>0</v>
      </c>
      <c r="BN395" s="48">
        <f>$G395/5280*VLOOKUP($AC395,'Cost and Score'!$B$27:$O$40,9,0)</f>
        <v>1143.75</v>
      </c>
      <c r="BO395" s="48">
        <f>$G395/5280*VLOOKUP($AC395,'Cost and Score'!$B$27:$O$40,10,0)</f>
        <v>254.16666666666666</v>
      </c>
      <c r="BP395" s="48">
        <f>$G395/5280*VLOOKUP($AC395,'Cost and Score'!$B$27:$O$40,11,0)</f>
        <v>0</v>
      </c>
      <c r="BQ395" s="48">
        <f>$G395/5280*VLOOKUP($AC395,'Cost and Score'!$B$27:$O$40,12,0)</f>
        <v>25.416666666666664</v>
      </c>
      <c r="BR395" s="48">
        <f>$G395/5280*VLOOKUP($AC395,'Cost and Score'!$B$27:$O$40,13,0)</f>
        <v>30.5</v>
      </c>
      <c r="BS395" s="48">
        <f>$G395/5280*VLOOKUP($AC395,'Cost and Score'!$B$27:$O$40,14,0)</f>
        <v>0</v>
      </c>
      <c r="BT395" s="220">
        <f t="shared" si="214"/>
        <v>0.25416666666666665</v>
      </c>
      <c r="CW395" s="112"/>
      <c r="CX395" s="112"/>
      <c r="CY395" s="112"/>
    </row>
    <row r="396" spans="1:103" s="2" customFormat="1" ht="14.45" hidden="1" customHeight="1" x14ac:dyDescent="0.25">
      <c r="A396" s="36" t="s">
        <v>889</v>
      </c>
      <c r="B396" s="34" t="s">
        <v>888</v>
      </c>
      <c r="C396" s="26" t="s">
        <v>888</v>
      </c>
      <c r="D396" s="26"/>
      <c r="E396" s="26" t="s">
        <v>297</v>
      </c>
      <c r="F396" s="26" t="s">
        <v>147</v>
      </c>
      <c r="G396" s="29">
        <v>5375</v>
      </c>
      <c r="H396" s="29">
        <f t="shared" si="196"/>
        <v>20</v>
      </c>
      <c r="I396" s="106" t="s">
        <v>751</v>
      </c>
      <c r="J396" s="26" t="s">
        <v>172</v>
      </c>
      <c r="K396" s="26">
        <f t="shared" si="215"/>
        <v>0</v>
      </c>
      <c r="L396" s="42">
        <v>2</v>
      </c>
      <c r="M396" s="42">
        <v>4</v>
      </c>
      <c r="N396" s="42">
        <v>10</v>
      </c>
      <c r="O396" s="42">
        <v>9</v>
      </c>
      <c r="P396" s="42">
        <v>9</v>
      </c>
      <c r="Q396" s="42">
        <v>8</v>
      </c>
      <c r="R396" s="42">
        <v>8</v>
      </c>
      <c r="S396" s="42">
        <v>7</v>
      </c>
      <c r="T396" s="42">
        <v>7</v>
      </c>
      <c r="U396" s="42">
        <v>7</v>
      </c>
      <c r="V396" s="42"/>
      <c r="W396" s="42"/>
      <c r="X396" s="42"/>
      <c r="Y396" s="26">
        <v>50</v>
      </c>
      <c r="Z396" s="26">
        <f t="shared" si="197"/>
        <v>0</v>
      </c>
      <c r="AA396" s="26" t="s">
        <v>110</v>
      </c>
      <c r="AB396" s="111">
        <f t="shared" si="205"/>
        <v>1</v>
      </c>
      <c r="AC396" s="85" t="s">
        <v>2073</v>
      </c>
      <c r="AD396" s="47">
        <f t="shared" si="201"/>
        <v>32575.757575757576</v>
      </c>
      <c r="AE396" s="140"/>
      <c r="AF396" s="113">
        <f t="shared" si="198"/>
        <v>0</v>
      </c>
      <c r="AG396" s="26">
        <v>2027</v>
      </c>
      <c r="AH396" s="26" t="str">
        <f t="shared" si="195"/>
        <v/>
      </c>
      <c r="AI396" s="26" t="str">
        <f t="shared" si="219"/>
        <v/>
      </c>
      <c r="AJ396" s="26" t="str">
        <f t="shared" si="219"/>
        <v/>
      </c>
      <c r="AK396" s="26" t="str">
        <f t="shared" si="200"/>
        <v/>
      </c>
      <c r="AL396" s="26" t="str">
        <f t="shared" si="217"/>
        <v/>
      </c>
      <c r="AM396" s="26" t="str">
        <f t="shared" si="216"/>
        <v>Chip Seal - Double and Fog</v>
      </c>
      <c r="AN396" s="26" t="str">
        <f t="shared" si="206"/>
        <v>Chip Seal - Double and Fog</v>
      </c>
      <c r="AO396" s="26" t="str">
        <f t="shared" si="218"/>
        <v/>
      </c>
      <c r="AP396" s="26" t="str">
        <f t="shared" si="207"/>
        <v/>
      </c>
      <c r="AQ396" s="68">
        <f t="shared" si="202"/>
        <v>14</v>
      </c>
      <c r="AR396" s="68">
        <f t="shared" si="203"/>
        <v>6</v>
      </c>
      <c r="AS396" s="68">
        <f t="shared" si="208"/>
        <v>2</v>
      </c>
      <c r="AT396" s="68">
        <f t="shared" si="209"/>
        <v>1.5</v>
      </c>
      <c r="AU396" s="68">
        <f t="shared" si="210"/>
        <v>1</v>
      </c>
      <c r="AV396" s="68">
        <f t="shared" si="211"/>
        <v>1</v>
      </c>
      <c r="AW396" s="68">
        <f t="shared" si="212"/>
        <v>1</v>
      </c>
      <c r="AX396" s="68">
        <f t="shared" ca="1" si="204"/>
        <v>3</v>
      </c>
      <c r="AY396" s="68">
        <v>2016</v>
      </c>
      <c r="AZ396" s="68" t="s">
        <v>751</v>
      </c>
      <c r="BA396" s="106" t="str">
        <f t="shared" si="213"/>
        <v/>
      </c>
      <c r="BB396" s="178"/>
      <c r="BC396" s="178">
        <v>7</v>
      </c>
      <c r="BD396" s="178"/>
      <c r="BE396" s="178"/>
      <c r="BF396" s="178"/>
      <c r="BG396" s="178"/>
      <c r="BH396" s="178"/>
      <c r="BI396" s="33" t="s">
        <v>2192</v>
      </c>
      <c r="BK396" s="48">
        <f>$G396/5280*VLOOKUP($AC396,'Cost and Score'!$B$27:$O$40,6,0)</f>
        <v>0.50899621212121215</v>
      </c>
      <c r="BL396" s="48">
        <f>$G396/5280*VLOOKUP($AC396,'Cost and Score'!$B$27:$O$40,7,0)</f>
        <v>50.899621212121218</v>
      </c>
      <c r="BM396" s="48">
        <f>$G396/5280*VLOOKUP($AC396,'Cost and Score'!$B$27:$O$40,8,0)</f>
        <v>0</v>
      </c>
      <c r="BN396" s="48">
        <f>$G396/5280*VLOOKUP($AC396,'Cost and Score'!$B$27:$O$40,9,0)</f>
        <v>9670.9280303030318</v>
      </c>
      <c r="BO396" s="48">
        <f>$G396/5280*VLOOKUP($AC396,'Cost and Score'!$B$27:$O$40,10,0)</f>
        <v>1017.9924242424244</v>
      </c>
      <c r="BP396" s="48">
        <f>$G396/5280*VLOOKUP($AC396,'Cost and Score'!$B$27:$O$40,11,0)</f>
        <v>0</v>
      </c>
      <c r="BQ396" s="48">
        <f>$G396/5280*VLOOKUP($AC396,'Cost and Score'!$B$27:$O$40,12,0)</f>
        <v>203.59848484848487</v>
      </c>
      <c r="BR396" s="48">
        <f>$G396/5280*VLOOKUP($AC396,'Cost and Score'!$B$27:$O$40,13,0)</f>
        <v>183.23863636363637</v>
      </c>
      <c r="BS396" s="48">
        <f>$G396/5280*VLOOKUP($AC396,'Cost and Score'!$B$27:$O$40,14,0)</f>
        <v>244.31818181818184</v>
      </c>
      <c r="BT396" s="220">
        <f t="shared" si="214"/>
        <v>1.0179924242424243</v>
      </c>
      <c r="CW396" s="112"/>
      <c r="CX396" s="112"/>
      <c r="CY396" s="112"/>
    </row>
    <row r="397" spans="1:103" s="2" customFormat="1" ht="14.45" customHeight="1" x14ac:dyDescent="0.25">
      <c r="A397" s="15" t="s">
        <v>270</v>
      </c>
      <c r="B397" s="34" t="s">
        <v>269</v>
      </c>
      <c r="C397" s="26" t="s">
        <v>269</v>
      </c>
      <c r="D397" s="82"/>
      <c r="E397" s="82" t="s">
        <v>20</v>
      </c>
      <c r="F397" s="82" t="s">
        <v>21</v>
      </c>
      <c r="G397" s="29">
        <v>5250</v>
      </c>
      <c r="H397" s="29">
        <f t="shared" si="196"/>
        <v>20</v>
      </c>
      <c r="I397" s="26" t="s">
        <v>8</v>
      </c>
      <c r="J397" s="26" t="s">
        <v>17</v>
      </c>
      <c r="K397" s="26">
        <f t="shared" si="215"/>
        <v>0</v>
      </c>
      <c r="L397" s="42">
        <v>6</v>
      </c>
      <c r="M397" s="42">
        <v>6</v>
      </c>
      <c r="N397" s="42">
        <v>6</v>
      </c>
      <c r="O397" s="83">
        <v>6</v>
      </c>
      <c r="P397" s="83">
        <v>5</v>
      </c>
      <c r="Q397" s="83">
        <v>5</v>
      </c>
      <c r="R397" s="83">
        <v>9</v>
      </c>
      <c r="S397" s="83">
        <v>8</v>
      </c>
      <c r="T397" s="83">
        <v>8</v>
      </c>
      <c r="U397" s="83">
        <v>8</v>
      </c>
      <c r="V397" s="42"/>
      <c r="W397" s="42"/>
      <c r="X397" s="42"/>
      <c r="Y397" s="26">
        <v>126</v>
      </c>
      <c r="Z397" s="26">
        <f t="shared" si="197"/>
        <v>0</v>
      </c>
      <c r="AA397" s="82" t="s">
        <v>52</v>
      </c>
      <c r="AB397" s="111">
        <f t="shared" si="205"/>
        <v>5</v>
      </c>
      <c r="AC397" s="85" t="s">
        <v>13</v>
      </c>
      <c r="AD397" s="84">
        <f t="shared" si="201"/>
        <v>20880.68181818182</v>
      </c>
      <c r="AE397" s="140"/>
      <c r="AF397" s="113">
        <f t="shared" si="198"/>
        <v>0</v>
      </c>
      <c r="AG397" s="106">
        <v>2025</v>
      </c>
      <c r="AH397" s="26" t="str">
        <f t="shared" si="195"/>
        <v/>
      </c>
      <c r="AI397" s="26" t="str">
        <f t="shared" si="219"/>
        <v/>
      </c>
      <c r="AJ397" s="26" t="str">
        <f t="shared" si="219"/>
        <v/>
      </c>
      <c r="AK397" s="26" t="str">
        <f t="shared" si="200"/>
        <v>Chip Seal and Fog</v>
      </c>
      <c r="AL397" s="26" t="str">
        <f t="shared" si="217"/>
        <v/>
      </c>
      <c r="AM397" s="26" t="str">
        <f t="shared" si="216"/>
        <v/>
      </c>
      <c r="AN397" s="26" t="str">
        <f t="shared" si="206"/>
        <v>Chip Seal and Fog</v>
      </c>
      <c r="AO397" s="26" t="str">
        <f t="shared" si="218"/>
        <v/>
      </c>
      <c r="AP397" s="26" t="str">
        <f t="shared" si="207"/>
        <v/>
      </c>
      <c r="AQ397" s="68">
        <f t="shared" si="202"/>
        <v>8</v>
      </c>
      <c r="AR397" s="68">
        <f t="shared" si="203"/>
        <v>6</v>
      </c>
      <c r="AS397" s="68">
        <f t="shared" si="208"/>
        <v>1.1000000000000001</v>
      </c>
      <c r="AT397" s="68">
        <f t="shared" si="209"/>
        <v>1.1000000000000001</v>
      </c>
      <c r="AU397" s="68">
        <f t="shared" si="210"/>
        <v>1.1000000000000001</v>
      </c>
      <c r="AV397" s="68">
        <f t="shared" si="211"/>
        <v>1.1000000000000001</v>
      </c>
      <c r="AW397" s="68">
        <f t="shared" si="212"/>
        <v>1.25</v>
      </c>
      <c r="AX397" s="68">
        <f t="shared" ca="1" si="204"/>
        <v>1.1000000000000001</v>
      </c>
      <c r="AY397" s="106">
        <v>2019</v>
      </c>
      <c r="AZ397" s="106" t="s">
        <v>751</v>
      </c>
      <c r="BA397" s="106" t="str">
        <f t="shared" si="213"/>
        <v/>
      </c>
      <c r="BB397" s="177"/>
      <c r="BC397" s="177">
        <v>1</v>
      </c>
      <c r="BD397" s="177"/>
      <c r="BE397" s="177"/>
      <c r="BF397" s="177"/>
      <c r="BG397" s="177"/>
      <c r="BH397" s="177"/>
      <c r="BI397" s="33"/>
      <c r="BK397" s="48">
        <f>$G397/5280*VLOOKUP($AC397,'Cost and Score'!$B$27:$O$40,6,0)</f>
        <v>0.19886363636363635</v>
      </c>
      <c r="BL397" s="48">
        <f>$G397/5280*VLOOKUP($AC397,'Cost and Score'!$B$27:$O$40,7,0)</f>
        <v>21.875</v>
      </c>
      <c r="BM397" s="48">
        <f>$G397/5280*VLOOKUP($AC397,'Cost and Score'!$B$27:$O$40,8,0)</f>
        <v>0</v>
      </c>
      <c r="BN397" s="48">
        <f>$G397/5280*VLOOKUP($AC397,'Cost and Score'!$B$27:$O$40,9,0)</f>
        <v>4474.431818181818</v>
      </c>
      <c r="BO397" s="48">
        <f>$G397/5280*VLOOKUP($AC397,'Cost and Score'!$B$27:$O$40,10,0)</f>
        <v>994.31818181818176</v>
      </c>
      <c r="BP397" s="48">
        <f>$G397/5280*VLOOKUP($AC397,'Cost and Score'!$B$27:$O$40,11,0)</f>
        <v>0</v>
      </c>
      <c r="BQ397" s="48">
        <f>$G397/5280*VLOOKUP($AC397,'Cost and Score'!$B$27:$O$40,12,0)</f>
        <v>99.431818181818173</v>
      </c>
      <c r="BR397" s="48">
        <f>$G397/5280*VLOOKUP($AC397,'Cost and Score'!$B$27:$O$40,13,0)</f>
        <v>119.31818181818181</v>
      </c>
      <c r="BS397" s="48">
        <f>$G397/5280*VLOOKUP($AC397,'Cost and Score'!$B$27:$O$40,14,0)</f>
        <v>0</v>
      </c>
      <c r="BT397" s="220">
        <f t="shared" si="214"/>
        <v>0.99431818181818177</v>
      </c>
    </row>
    <row r="398" spans="1:103" s="2" customFormat="1" ht="14.45" hidden="1" customHeight="1" x14ac:dyDescent="0.25">
      <c r="A398" s="15" t="s">
        <v>2140</v>
      </c>
      <c r="B398" s="34" t="s">
        <v>891</v>
      </c>
      <c r="C398" s="26" t="s">
        <v>891</v>
      </c>
      <c r="D398" s="82"/>
      <c r="E398" s="82" t="s">
        <v>102</v>
      </c>
      <c r="F398" s="82" t="s">
        <v>4</v>
      </c>
      <c r="G398" s="29">
        <v>2790</v>
      </c>
      <c r="H398" s="29">
        <f t="shared" si="196"/>
        <v>20</v>
      </c>
      <c r="I398" s="26" t="s">
        <v>8</v>
      </c>
      <c r="J398" s="26" t="s">
        <v>6</v>
      </c>
      <c r="K398" s="26">
        <f t="shared" si="215"/>
        <v>0</v>
      </c>
      <c r="L398" s="42">
        <v>7</v>
      </c>
      <c r="M398" s="42">
        <v>6</v>
      </c>
      <c r="N398" s="42">
        <v>6</v>
      </c>
      <c r="O398" s="83">
        <v>6</v>
      </c>
      <c r="P398" s="83">
        <v>6</v>
      </c>
      <c r="Q398" s="83">
        <v>5</v>
      </c>
      <c r="R398" s="83">
        <v>5</v>
      </c>
      <c r="S398" s="83">
        <v>5</v>
      </c>
      <c r="T398" s="83">
        <v>5</v>
      </c>
      <c r="U398" s="83">
        <v>7</v>
      </c>
      <c r="V398" s="42"/>
      <c r="W398" s="42"/>
      <c r="X398" s="42"/>
      <c r="Y398" s="26">
        <v>502</v>
      </c>
      <c r="Z398" s="26">
        <f t="shared" si="197"/>
        <v>0.5</v>
      </c>
      <c r="AA398" s="82" t="s">
        <v>110</v>
      </c>
      <c r="AB398" s="111">
        <f t="shared" si="205"/>
        <v>4.5</v>
      </c>
      <c r="AC398" s="82" t="s">
        <v>13</v>
      </c>
      <c r="AD398" s="84">
        <f t="shared" si="201"/>
        <v>11096.59090909091</v>
      </c>
      <c r="AE398" s="140"/>
      <c r="AF398" s="113">
        <f t="shared" si="198"/>
        <v>0</v>
      </c>
      <c r="AG398" s="82">
        <v>2022</v>
      </c>
      <c r="AH398" s="26" t="str">
        <f t="shared" si="195"/>
        <v>Chip Seal and Fog</v>
      </c>
      <c r="AI398" s="26" t="str">
        <f t="shared" si="219"/>
        <v/>
      </c>
      <c r="AJ398" s="26" t="str">
        <f t="shared" si="219"/>
        <v/>
      </c>
      <c r="AK398" s="26" t="str">
        <f t="shared" si="200"/>
        <v/>
      </c>
      <c r="AL398" s="26" t="str">
        <f t="shared" si="217"/>
        <v/>
      </c>
      <c r="AM398" s="26" t="str">
        <f t="shared" si="216"/>
        <v/>
      </c>
      <c r="AN398" s="26" t="str">
        <f t="shared" si="206"/>
        <v>Chip Seal and Fog</v>
      </c>
      <c r="AO398" s="26" t="str">
        <f t="shared" si="218"/>
        <v/>
      </c>
      <c r="AP398" s="26" t="str">
        <f t="shared" si="207"/>
        <v/>
      </c>
      <c r="AQ398" s="68">
        <f t="shared" si="202"/>
        <v>8</v>
      </c>
      <c r="AR398" s="68">
        <f t="shared" si="203"/>
        <v>6</v>
      </c>
      <c r="AS398" s="68">
        <f t="shared" si="208"/>
        <v>1.05</v>
      </c>
      <c r="AT398" s="68">
        <f t="shared" si="209"/>
        <v>1.1000000000000001</v>
      </c>
      <c r="AU398" s="68">
        <f t="shared" si="210"/>
        <v>1.1000000000000001</v>
      </c>
      <c r="AV398" s="68">
        <f t="shared" si="211"/>
        <v>1.1000000000000001</v>
      </c>
      <c r="AW398" s="68">
        <f t="shared" si="212"/>
        <v>1.1000000000000001</v>
      </c>
      <c r="AX398" s="68">
        <f t="shared" ca="1" si="204"/>
        <v>-2.2000000000000002</v>
      </c>
      <c r="AY398" s="68"/>
      <c r="AZ398" s="68"/>
      <c r="BA398" s="106" t="str">
        <f t="shared" si="213"/>
        <v/>
      </c>
      <c r="BB398" s="178"/>
      <c r="BC398" s="178">
        <v>8</v>
      </c>
      <c r="BD398" s="178"/>
      <c r="BE398" s="178"/>
      <c r="BF398" s="178"/>
      <c r="BG398" s="178"/>
      <c r="BH398" s="178"/>
      <c r="BI398" s="33"/>
      <c r="BK398" s="48">
        <f>$G398/5280*VLOOKUP($AC398,'Cost and Score'!$B$27:$O$40,6,0)</f>
        <v>0.1056818181818182</v>
      </c>
      <c r="BL398" s="48">
        <f>$G398/5280*VLOOKUP($AC398,'Cost and Score'!$B$27:$O$40,7,0)</f>
        <v>11.625</v>
      </c>
      <c r="BM398" s="48">
        <f>$G398/5280*VLOOKUP($AC398,'Cost and Score'!$B$27:$O$40,8,0)</f>
        <v>0</v>
      </c>
      <c r="BN398" s="48">
        <f>$G398/5280*VLOOKUP($AC398,'Cost and Score'!$B$27:$O$40,9,0)</f>
        <v>2377.840909090909</v>
      </c>
      <c r="BO398" s="48">
        <f>$G398/5280*VLOOKUP($AC398,'Cost and Score'!$B$27:$O$40,10,0)</f>
        <v>528.40909090909099</v>
      </c>
      <c r="BP398" s="48">
        <f>$G398/5280*VLOOKUP($AC398,'Cost and Score'!$B$27:$O$40,11,0)</f>
        <v>0</v>
      </c>
      <c r="BQ398" s="48">
        <f>$G398/5280*VLOOKUP($AC398,'Cost and Score'!$B$27:$O$40,12,0)</f>
        <v>52.840909090909093</v>
      </c>
      <c r="BR398" s="48">
        <f>$G398/5280*VLOOKUP($AC398,'Cost and Score'!$B$27:$O$40,13,0)</f>
        <v>63.409090909090914</v>
      </c>
      <c r="BS398" s="48">
        <f>$G398/5280*VLOOKUP($AC398,'Cost and Score'!$B$27:$O$40,14,0)</f>
        <v>0</v>
      </c>
      <c r="BT398" s="220">
        <f t="shared" si="214"/>
        <v>0.52840909090909094</v>
      </c>
      <c r="CR398" s="112"/>
      <c r="CW398" s="112"/>
      <c r="CX398" s="112"/>
      <c r="CY398" s="112"/>
    </row>
    <row r="399" spans="1:103" s="2" customFormat="1" ht="14.45" hidden="1" customHeight="1" x14ac:dyDescent="0.25">
      <c r="A399" s="15"/>
      <c r="B399" s="34" t="s">
        <v>168</v>
      </c>
      <c r="C399" s="85" t="s">
        <v>168</v>
      </c>
      <c r="D399" s="85"/>
      <c r="E399" s="85" t="s">
        <v>28</v>
      </c>
      <c r="F399" s="85" t="s">
        <v>2622</v>
      </c>
      <c r="G399" s="29">
        <v>4166</v>
      </c>
      <c r="H399" s="29">
        <v>20</v>
      </c>
      <c r="I399" s="85"/>
      <c r="J399" s="85" t="s">
        <v>125</v>
      </c>
      <c r="K399" s="85">
        <v>0</v>
      </c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5"/>
      <c r="Z399" s="85"/>
      <c r="AA399" s="85" t="s">
        <v>168</v>
      </c>
      <c r="AB399" s="111"/>
      <c r="AC399" s="85" t="s">
        <v>751</v>
      </c>
      <c r="AD399" s="84">
        <f t="shared" si="201"/>
        <v>86791.666666666672</v>
      </c>
      <c r="AE399" s="140">
        <v>1</v>
      </c>
      <c r="AF399" s="113"/>
      <c r="AG399" s="26">
        <v>2023</v>
      </c>
      <c r="AH399" s="26"/>
      <c r="AI399" s="26"/>
      <c r="AJ399" s="26"/>
      <c r="AK399" s="26"/>
      <c r="AL399" s="26"/>
      <c r="AM399" s="26"/>
      <c r="AN399" s="26"/>
      <c r="AO399" s="26"/>
      <c r="AP399" s="26"/>
      <c r="AQ399" s="68"/>
      <c r="AR399" s="68"/>
      <c r="AS399" s="68"/>
      <c r="AT399" s="68"/>
      <c r="AU399" s="68"/>
      <c r="AV399" s="68"/>
      <c r="AW399" s="68"/>
      <c r="AX399" s="68"/>
      <c r="AY399" s="68">
        <v>2023</v>
      </c>
      <c r="AZ399" s="68" t="s">
        <v>751</v>
      </c>
      <c r="BA399" s="106" t="str">
        <f t="shared" si="213"/>
        <v/>
      </c>
      <c r="BB399" s="178"/>
      <c r="BC399" s="178"/>
      <c r="BD399" s="178"/>
      <c r="BE399" s="178"/>
      <c r="BF399" s="178"/>
      <c r="BG399" s="178"/>
      <c r="BH399" s="178"/>
      <c r="BI399" s="33"/>
      <c r="BK399" s="48"/>
      <c r="BL399" s="48"/>
      <c r="BM399" s="48"/>
      <c r="BN399" s="48"/>
      <c r="BO399" s="48"/>
      <c r="BP399" s="48"/>
      <c r="BQ399" s="48"/>
      <c r="BR399" s="48"/>
      <c r="BS399" s="48"/>
      <c r="BT399" s="220">
        <f t="shared" si="214"/>
        <v>0.78901515151515156</v>
      </c>
    </row>
    <row r="400" spans="1:103" s="2" customFormat="1" ht="14.45" hidden="1" customHeight="1" x14ac:dyDescent="0.25">
      <c r="A400" s="15" t="s">
        <v>896</v>
      </c>
      <c r="B400" s="34" t="s">
        <v>894</v>
      </c>
      <c r="C400" s="26" t="s">
        <v>894</v>
      </c>
      <c r="D400" s="82"/>
      <c r="E400" s="82" t="s">
        <v>895</v>
      </c>
      <c r="F400" s="82" t="s">
        <v>20</v>
      </c>
      <c r="G400" s="29">
        <v>1308</v>
      </c>
      <c r="H400" s="29">
        <f t="shared" ref="H400:H408" si="220">IF(I400="NC",26,20)</f>
        <v>20</v>
      </c>
      <c r="I400" s="26" t="s">
        <v>8</v>
      </c>
      <c r="J400" s="26" t="s">
        <v>11</v>
      </c>
      <c r="K400" s="26">
        <f t="shared" ref="K400:K408" si="221">VLOOKUP(J400,TOWNSHIPS,2,FALSE)</f>
        <v>0</v>
      </c>
      <c r="L400" s="42">
        <v>7</v>
      </c>
      <c r="M400" s="42">
        <v>7</v>
      </c>
      <c r="N400" s="42">
        <v>7</v>
      </c>
      <c r="O400" s="83">
        <v>7</v>
      </c>
      <c r="P400" s="83">
        <v>7</v>
      </c>
      <c r="Q400" s="83">
        <v>7</v>
      </c>
      <c r="R400" s="83">
        <v>7</v>
      </c>
      <c r="S400" s="83">
        <v>7</v>
      </c>
      <c r="T400" s="83">
        <v>7</v>
      </c>
      <c r="U400" s="83">
        <v>7</v>
      </c>
      <c r="V400" s="42"/>
      <c r="W400" s="42"/>
      <c r="X400" s="42"/>
      <c r="Y400" s="26">
        <v>1172</v>
      </c>
      <c r="Z400" s="26">
        <f t="shared" ref="Z400:Z408" si="222">VLOOKUP(Y400,AADT,2)</f>
        <v>0.5</v>
      </c>
      <c r="AA400" s="82" t="s">
        <v>168</v>
      </c>
      <c r="AB400" s="111">
        <f t="shared" ref="AB400:AB408" si="223">(10-P400)+Z400+K400</f>
        <v>3.5</v>
      </c>
      <c r="AC400" s="85" t="s">
        <v>13</v>
      </c>
      <c r="AD400" s="84">
        <f t="shared" si="201"/>
        <v>5202.272727272727</v>
      </c>
      <c r="AE400" s="140"/>
      <c r="AF400" s="113">
        <f t="shared" ref="AF400:AF406" si="224">AD400*AE400</f>
        <v>0</v>
      </c>
      <c r="AG400" s="85">
        <v>2024</v>
      </c>
      <c r="AH400" s="26" t="str">
        <f t="shared" ref="AH400:AM409" si="225">IF($AG400=AH$1,VLOOKUP($AC400,RSL,3,FALSE),"")</f>
        <v/>
      </c>
      <c r="AI400" s="26" t="str">
        <f t="shared" si="225"/>
        <v/>
      </c>
      <c r="AJ400" s="26" t="str">
        <f t="shared" si="225"/>
        <v>Chip Seal and Fog</v>
      </c>
      <c r="AK400" s="26" t="str">
        <f t="shared" si="225"/>
        <v/>
      </c>
      <c r="AL400" s="26" t="str">
        <f t="shared" si="225"/>
        <v/>
      </c>
      <c r="AM400" s="26" t="str">
        <f t="shared" si="225"/>
        <v/>
      </c>
      <c r="AN400" s="26" t="str">
        <f t="shared" ref="AN400:AN431" si="226">VLOOKUP($AC400,RSL,3,FALSE)</f>
        <v>Chip Seal and Fog</v>
      </c>
      <c r="AO400" s="26" t="str">
        <f t="shared" ref="AO400:AO431" si="227">IF(AY400=AO$1,VLOOKUP(AZ400,RSL,3,FALSE),"")</f>
        <v/>
      </c>
      <c r="AP400" s="26" t="str">
        <f t="shared" ref="AP400:AP463" si="228">IF(AY400=AP$1,VLOOKUP(AZ400,RSL,3,FALSE),"")</f>
        <v/>
      </c>
      <c r="AQ400" s="68">
        <f t="shared" ref="AQ400:AQ408" si="229">VLOOKUP(O400,RSLrem,2,FALSE)</f>
        <v>10</v>
      </c>
      <c r="AR400" s="68">
        <f t="shared" ref="AR400:AR408" si="230">VLOOKUP(AC400,RSL,5,FALSE)</f>
        <v>6</v>
      </c>
      <c r="AS400" s="68">
        <f t="shared" ref="AS400:AS463" si="231">IF(L400 &lt;&gt; "",VLOOKUP(L400,RSLloss,3,FALSE),0)</f>
        <v>1.05</v>
      </c>
      <c r="AT400" s="68">
        <f t="shared" ref="AT400:AT463" si="232">IF(M400 &lt;&gt; "",VLOOKUP(M400,RSLloss,3,FALSE),0)</f>
        <v>1.05</v>
      </c>
      <c r="AU400" s="68">
        <f t="shared" ref="AU400:AU463" si="233">IF(N400 &lt;&gt; "",VLOOKUP(N400,RSLloss,3,FALSE),0)</f>
        <v>1.05</v>
      </c>
      <c r="AV400" s="68">
        <f t="shared" ref="AV400:AV463" si="234">IF(O400 &lt;&gt; "",VLOOKUP(O400,RSLloss,3,FALSE),0)</f>
        <v>1.05</v>
      </c>
      <c r="AW400" s="68">
        <f t="shared" ref="AW400:AW463" si="235">IF(P400 &lt;&gt; "",VLOOKUP(P400,RSLloss,3,FALSE),0)</f>
        <v>1.05</v>
      </c>
      <c r="AX400" s="68">
        <f t="shared" ref="AX400:AX463" ca="1" si="236">AU400*(AG400-YEAR(TODAY()))</f>
        <v>0</v>
      </c>
      <c r="AY400" s="68">
        <v>2018</v>
      </c>
      <c r="AZ400" s="68" t="s">
        <v>2075</v>
      </c>
      <c r="BA400" s="106" t="str">
        <f t="shared" si="213"/>
        <v>CRACK</v>
      </c>
      <c r="BB400" s="178"/>
      <c r="BC400" s="178">
        <v>2</v>
      </c>
      <c r="BD400" s="178"/>
      <c r="BE400" s="178"/>
      <c r="BF400" s="178"/>
      <c r="BG400" s="178"/>
      <c r="BH400" s="178"/>
      <c r="BI400" s="33" t="s">
        <v>2473</v>
      </c>
      <c r="BK400" s="48">
        <f>$G400/5280*VLOOKUP($AC400,'Cost and Score'!$B$27:$O$40,6,0)</f>
        <v>4.9545454545454552E-2</v>
      </c>
      <c r="BL400" s="48">
        <f>$G400/5280*VLOOKUP($AC400,'Cost and Score'!$B$27:$O$40,7,0)</f>
        <v>5.45</v>
      </c>
      <c r="BM400" s="48">
        <f>$G400/5280*VLOOKUP($AC400,'Cost and Score'!$B$27:$O$40,8,0)</f>
        <v>0</v>
      </c>
      <c r="BN400" s="48">
        <f>$G400/5280*VLOOKUP($AC400,'Cost and Score'!$B$27:$O$40,9,0)</f>
        <v>1114.7727272727273</v>
      </c>
      <c r="BO400" s="48">
        <f>$G400/5280*VLOOKUP($AC400,'Cost and Score'!$B$27:$O$40,10,0)</f>
        <v>247.72727272727275</v>
      </c>
      <c r="BP400" s="48">
        <f>$G400/5280*VLOOKUP($AC400,'Cost and Score'!$B$27:$O$40,11,0)</f>
        <v>0</v>
      </c>
      <c r="BQ400" s="48">
        <f>$G400/5280*VLOOKUP($AC400,'Cost and Score'!$B$27:$O$40,12,0)</f>
        <v>24.772727272727273</v>
      </c>
      <c r="BR400" s="48">
        <f>$G400/5280*VLOOKUP($AC400,'Cost and Score'!$B$27:$O$40,13,0)</f>
        <v>29.72727272727273</v>
      </c>
      <c r="BS400" s="48">
        <f>$G400/5280*VLOOKUP($AC400,'Cost and Score'!$B$27:$O$40,14,0)</f>
        <v>0</v>
      </c>
      <c r="BT400" s="220">
        <f t="shared" si="214"/>
        <v>0.24772727272727274</v>
      </c>
    </row>
    <row r="401" spans="1:103" s="2" customFormat="1" ht="14.45" hidden="1" customHeight="1" x14ac:dyDescent="0.25">
      <c r="A401" s="15" t="s">
        <v>898</v>
      </c>
      <c r="B401" s="34" t="s">
        <v>897</v>
      </c>
      <c r="C401" s="26" t="s">
        <v>897</v>
      </c>
      <c r="D401" s="26"/>
      <c r="E401" s="26" t="s">
        <v>100</v>
      </c>
      <c r="F401" s="26" t="s">
        <v>99</v>
      </c>
      <c r="G401" s="29">
        <v>5275</v>
      </c>
      <c r="H401" s="29">
        <f t="shared" si="220"/>
        <v>20</v>
      </c>
      <c r="I401" s="106" t="s">
        <v>13</v>
      </c>
      <c r="J401" s="26" t="s">
        <v>160</v>
      </c>
      <c r="K401" s="26">
        <f t="shared" si="221"/>
        <v>0</v>
      </c>
      <c r="L401" s="42">
        <v>7</v>
      </c>
      <c r="M401" s="42">
        <v>7</v>
      </c>
      <c r="N401" s="42">
        <v>7</v>
      </c>
      <c r="O401" s="42">
        <v>7</v>
      </c>
      <c r="P401" s="42">
        <v>7</v>
      </c>
      <c r="Q401" s="42">
        <v>7</v>
      </c>
      <c r="R401" s="42">
        <v>7</v>
      </c>
      <c r="S401" s="42">
        <v>7</v>
      </c>
      <c r="T401" s="42">
        <v>7</v>
      </c>
      <c r="U401" s="42">
        <v>7</v>
      </c>
      <c r="V401" s="42">
        <v>2022</v>
      </c>
      <c r="W401" s="42">
        <v>2022</v>
      </c>
      <c r="X401" s="42" t="s">
        <v>2612</v>
      </c>
      <c r="Y401" s="26">
        <v>5368</v>
      </c>
      <c r="Z401" s="26">
        <f t="shared" si="222"/>
        <v>1.5</v>
      </c>
      <c r="AA401" s="26" t="s">
        <v>168</v>
      </c>
      <c r="AB401" s="111">
        <f t="shared" si="223"/>
        <v>4.5</v>
      </c>
      <c r="AC401" s="85" t="s">
        <v>2371</v>
      </c>
      <c r="AD401" s="47">
        <f t="shared" si="201"/>
        <v>79924.242424242431</v>
      </c>
      <c r="AE401" s="140">
        <v>1</v>
      </c>
      <c r="AF401" s="113">
        <f t="shared" si="224"/>
        <v>79924.242424242431</v>
      </c>
      <c r="AG401" s="26">
        <v>2024</v>
      </c>
      <c r="AH401" s="26" t="str">
        <f t="shared" si="225"/>
        <v/>
      </c>
      <c r="AI401" s="26" t="str">
        <f t="shared" si="225"/>
        <v/>
      </c>
      <c r="AJ401" s="26" t="str">
        <f t="shared" si="225"/>
        <v>Microsurface double</v>
      </c>
      <c r="AK401" s="26" t="str">
        <f t="shared" si="225"/>
        <v/>
      </c>
      <c r="AL401" s="26" t="str">
        <f t="shared" si="225"/>
        <v/>
      </c>
      <c r="AM401" s="26" t="str">
        <f t="shared" si="225"/>
        <v/>
      </c>
      <c r="AN401" s="26" t="str">
        <f t="shared" si="226"/>
        <v>Microsurface double</v>
      </c>
      <c r="AO401" s="26" t="str">
        <f t="shared" si="227"/>
        <v/>
      </c>
      <c r="AP401" s="26" t="str">
        <f t="shared" si="228"/>
        <v/>
      </c>
      <c r="AQ401" s="68">
        <f t="shared" si="229"/>
        <v>10</v>
      </c>
      <c r="AR401" s="68">
        <f t="shared" si="230"/>
        <v>10</v>
      </c>
      <c r="AS401" s="68">
        <f t="shared" si="231"/>
        <v>1.05</v>
      </c>
      <c r="AT401" s="68">
        <f t="shared" si="232"/>
        <v>1.05</v>
      </c>
      <c r="AU401" s="68">
        <f t="shared" si="233"/>
        <v>1.05</v>
      </c>
      <c r="AV401" s="68">
        <f t="shared" si="234"/>
        <v>1.05</v>
      </c>
      <c r="AW401" s="68">
        <f t="shared" si="235"/>
        <v>1.05</v>
      </c>
      <c r="AX401" s="68">
        <f t="shared" ca="1" si="236"/>
        <v>0</v>
      </c>
      <c r="AY401" s="68">
        <v>2020</v>
      </c>
      <c r="AZ401" s="68" t="s">
        <v>2075</v>
      </c>
      <c r="BA401" s="106" t="str">
        <f t="shared" si="213"/>
        <v/>
      </c>
      <c r="BB401" s="178"/>
      <c r="BC401" s="178">
        <v>8</v>
      </c>
      <c r="BD401" s="178"/>
      <c r="BE401" s="178"/>
      <c r="BF401" s="178"/>
      <c r="BG401" s="178"/>
      <c r="BH401" s="178"/>
      <c r="BI401" s="33"/>
      <c r="BK401" s="48">
        <f>$G401/5280*VLOOKUP($AC401,'Cost and Score'!$B$27:$O$40,6,0)</f>
        <v>0.49952651515151514</v>
      </c>
      <c r="BL401" s="48">
        <f>$G401/5280*VLOOKUP($AC401,'Cost and Score'!$B$27:$O$40,7,0)</f>
        <v>0</v>
      </c>
      <c r="BM401" s="48">
        <f>$G401/5280*VLOOKUP($AC401,'Cost and Score'!$B$27:$O$40,8,0)</f>
        <v>0</v>
      </c>
      <c r="BN401" s="48">
        <f>$G401/5280*VLOOKUP($AC401,'Cost and Score'!$B$27:$O$40,9,0)</f>
        <v>0</v>
      </c>
      <c r="BO401" s="48">
        <f>$G401/5280*VLOOKUP($AC401,'Cost and Score'!$B$27:$O$40,10,0)</f>
        <v>0</v>
      </c>
      <c r="BP401" s="48">
        <f>$G401/5280*VLOOKUP($AC401,'Cost and Score'!$B$27:$O$40,11,0)</f>
        <v>0</v>
      </c>
      <c r="BQ401" s="48">
        <f>$G401/5280*VLOOKUP($AC401,'Cost and Score'!$B$27:$O$40,12,0)</f>
        <v>0</v>
      </c>
      <c r="BR401" s="48">
        <f>$G401/5280*VLOOKUP($AC401,'Cost and Score'!$B$27:$O$40,13,0)</f>
        <v>0</v>
      </c>
      <c r="BS401" s="48">
        <f>$G401/5280*VLOOKUP($AC401,'Cost and Score'!$B$27:$O$40,14,0)</f>
        <v>0</v>
      </c>
      <c r="BT401" s="220">
        <f t="shared" si="214"/>
        <v>0.99905303030303028</v>
      </c>
      <c r="CW401" s="114"/>
      <c r="CX401" s="114"/>
      <c r="CY401" s="114"/>
    </row>
    <row r="402" spans="1:103" s="2" customFormat="1" hidden="1" x14ac:dyDescent="0.25">
      <c r="A402" s="15" t="s">
        <v>900</v>
      </c>
      <c r="B402" s="34" t="s">
        <v>899</v>
      </c>
      <c r="C402" s="85" t="s">
        <v>899</v>
      </c>
      <c r="D402" s="85"/>
      <c r="E402" s="85" t="s">
        <v>99</v>
      </c>
      <c r="F402" s="85" t="s">
        <v>104</v>
      </c>
      <c r="G402" s="29">
        <v>5310</v>
      </c>
      <c r="H402" s="29">
        <f t="shared" si="220"/>
        <v>20</v>
      </c>
      <c r="I402" s="85" t="s">
        <v>8</v>
      </c>
      <c r="J402" s="85" t="s">
        <v>160</v>
      </c>
      <c r="K402" s="85">
        <f t="shared" si="221"/>
        <v>0</v>
      </c>
      <c r="L402" s="74">
        <v>7</v>
      </c>
      <c r="M402" s="74">
        <v>7</v>
      </c>
      <c r="N402" s="74">
        <v>7</v>
      </c>
      <c r="O402" s="74">
        <v>7</v>
      </c>
      <c r="P402" s="74">
        <v>7</v>
      </c>
      <c r="Q402" s="74">
        <v>6</v>
      </c>
      <c r="R402" s="74">
        <v>6</v>
      </c>
      <c r="S402" s="74">
        <v>6</v>
      </c>
      <c r="T402" s="74">
        <v>7</v>
      </c>
      <c r="U402" s="74">
        <v>7</v>
      </c>
      <c r="V402" s="74">
        <v>2022</v>
      </c>
      <c r="W402" s="74">
        <v>2022</v>
      </c>
      <c r="X402" s="74" t="s">
        <v>2612</v>
      </c>
      <c r="Y402" s="85">
        <v>5316</v>
      </c>
      <c r="Z402" s="85">
        <f t="shared" si="222"/>
        <v>1.5</v>
      </c>
      <c r="AA402" s="85" t="s">
        <v>168</v>
      </c>
      <c r="AB402" s="111">
        <f t="shared" si="223"/>
        <v>4.5</v>
      </c>
      <c r="AC402" s="85" t="s">
        <v>2371</v>
      </c>
      <c r="AD402" s="47">
        <f t="shared" si="201"/>
        <v>80454.545454545456</v>
      </c>
      <c r="AE402" s="140">
        <v>1</v>
      </c>
      <c r="AF402" s="113">
        <f t="shared" si="224"/>
        <v>80454.545454545456</v>
      </c>
      <c r="AG402" s="26">
        <v>2024</v>
      </c>
      <c r="AH402" s="26" t="str">
        <f t="shared" si="225"/>
        <v/>
      </c>
      <c r="AI402" s="26" t="str">
        <f t="shared" si="225"/>
        <v/>
      </c>
      <c r="AJ402" s="26" t="str">
        <f t="shared" si="225"/>
        <v>Microsurface double</v>
      </c>
      <c r="AK402" s="26" t="str">
        <f t="shared" si="225"/>
        <v/>
      </c>
      <c r="AL402" s="26" t="str">
        <f t="shared" si="225"/>
        <v/>
      </c>
      <c r="AM402" s="26" t="str">
        <f t="shared" si="225"/>
        <v/>
      </c>
      <c r="AN402" s="26" t="str">
        <f t="shared" si="226"/>
        <v>Microsurface double</v>
      </c>
      <c r="AO402" s="26" t="str">
        <f t="shared" si="227"/>
        <v/>
      </c>
      <c r="AP402" s="26" t="str">
        <f t="shared" si="228"/>
        <v/>
      </c>
      <c r="AQ402" s="68">
        <f t="shared" si="229"/>
        <v>10</v>
      </c>
      <c r="AR402" s="68">
        <f t="shared" si="230"/>
        <v>10</v>
      </c>
      <c r="AS402" s="68">
        <f t="shared" si="231"/>
        <v>1.05</v>
      </c>
      <c r="AT402" s="68">
        <f t="shared" si="232"/>
        <v>1.05</v>
      </c>
      <c r="AU402" s="68">
        <f t="shared" si="233"/>
        <v>1.05</v>
      </c>
      <c r="AV402" s="68">
        <f t="shared" si="234"/>
        <v>1.05</v>
      </c>
      <c r="AW402" s="68">
        <f t="shared" si="235"/>
        <v>1.05</v>
      </c>
      <c r="AX402" s="68">
        <f t="shared" ca="1" si="236"/>
        <v>0</v>
      </c>
      <c r="AY402" s="68">
        <v>2020</v>
      </c>
      <c r="AZ402" s="68" t="s">
        <v>2075</v>
      </c>
      <c r="BA402" s="106" t="str">
        <f t="shared" si="213"/>
        <v/>
      </c>
      <c r="BB402" s="178"/>
      <c r="BC402" s="178">
        <v>8</v>
      </c>
      <c r="BD402" s="178"/>
      <c r="BE402" s="178"/>
      <c r="BF402" s="178"/>
      <c r="BG402" s="178"/>
      <c r="BH402" s="178"/>
      <c r="BI402" s="33"/>
      <c r="BK402" s="48">
        <f>$G402/5280*VLOOKUP($AC402,'Cost and Score'!$B$27:$O$40,6,0)</f>
        <v>0.50284090909090906</v>
      </c>
      <c r="BL402" s="48">
        <f>$G402/5280*VLOOKUP($AC402,'Cost and Score'!$B$27:$O$40,7,0)</f>
        <v>0</v>
      </c>
      <c r="BM402" s="48">
        <f>$G402/5280*VLOOKUP($AC402,'Cost and Score'!$B$27:$O$40,8,0)</f>
        <v>0</v>
      </c>
      <c r="BN402" s="48">
        <f>$G402/5280*VLOOKUP($AC402,'Cost and Score'!$B$27:$O$40,9,0)</f>
        <v>0</v>
      </c>
      <c r="BO402" s="48">
        <f>$G402/5280*VLOOKUP($AC402,'Cost and Score'!$B$27:$O$40,10,0)</f>
        <v>0</v>
      </c>
      <c r="BP402" s="48">
        <f>$G402/5280*VLOOKUP($AC402,'Cost and Score'!$B$27:$O$40,11,0)</f>
        <v>0</v>
      </c>
      <c r="BQ402" s="48">
        <f>$G402/5280*VLOOKUP($AC402,'Cost and Score'!$B$27:$O$40,12,0)</f>
        <v>0</v>
      </c>
      <c r="BR402" s="48">
        <f>$G402/5280*VLOOKUP($AC402,'Cost and Score'!$B$27:$O$40,13,0)</f>
        <v>0</v>
      </c>
      <c r="BS402" s="48">
        <f>$G402/5280*VLOOKUP($AC402,'Cost and Score'!$B$27:$O$40,14,0)</f>
        <v>0</v>
      </c>
      <c r="BT402" s="220">
        <f t="shared" si="214"/>
        <v>1.0056818181818181</v>
      </c>
    </row>
    <row r="403" spans="1:103" s="2" customFormat="1" ht="14.45" customHeight="1" x14ac:dyDescent="0.25">
      <c r="A403" s="15" t="s">
        <v>277</v>
      </c>
      <c r="B403" s="34" t="s">
        <v>276</v>
      </c>
      <c r="C403" s="26" t="s">
        <v>276</v>
      </c>
      <c r="D403" s="82"/>
      <c r="E403" s="82" t="s">
        <v>39</v>
      </c>
      <c r="F403" s="82" t="s">
        <v>38</v>
      </c>
      <c r="G403" s="29">
        <v>5490</v>
      </c>
      <c r="H403" s="29">
        <f t="shared" si="220"/>
        <v>20</v>
      </c>
      <c r="I403" s="26" t="s">
        <v>8</v>
      </c>
      <c r="J403" s="26" t="s">
        <v>17</v>
      </c>
      <c r="K403" s="26">
        <f t="shared" si="221"/>
        <v>0</v>
      </c>
      <c r="L403" s="42">
        <v>6</v>
      </c>
      <c r="M403" s="42">
        <v>6</v>
      </c>
      <c r="N403" s="42">
        <v>6</v>
      </c>
      <c r="O403" s="83">
        <v>5</v>
      </c>
      <c r="P403" s="83">
        <v>5</v>
      </c>
      <c r="Q403" s="83">
        <v>5</v>
      </c>
      <c r="R403" s="83">
        <v>9</v>
      </c>
      <c r="S403" s="83">
        <v>8</v>
      </c>
      <c r="T403" s="83">
        <v>8</v>
      </c>
      <c r="U403" s="83">
        <v>8</v>
      </c>
      <c r="V403" s="42"/>
      <c r="W403" s="42"/>
      <c r="X403" s="42"/>
      <c r="Y403" s="26">
        <v>126</v>
      </c>
      <c r="Z403" s="26">
        <f t="shared" si="222"/>
        <v>0</v>
      </c>
      <c r="AA403" s="82" t="s">
        <v>52</v>
      </c>
      <c r="AB403" s="111">
        <f t="shared" si="223"/>
        <v>5</v>
      </c>
      <c r="AC403" s="85" t="s">
        <v>13</v>
      </c>
      <c r="AD403" s="84">
        <f t="shared" si="201"/>
        <v>21835.227272727272</v>
      </c>
      <c r="AE403" s="140"/>
      <c r="AF403" s="113">
        <f t="shared" si="224"/>
        <v>0</v>
      </c>
      <c r="AG403" s="106">
        <v>2025</v>
      </c>
      <c r="AH403" s="26" t="str">
        <f t="shared" si="225"/>
        <v/>
      </c>
      <c r="AI403" s="26" t="str">
        <f t="shared" si="225"/>
        <v/>
      </c>
      <c r="AJ403" s="26" t="str">
        <f t="shared" si="225"/>
        <v/>
      </c>
      <c r="AK403" s="26" t="str">
        <f t="shared" si="225"/>
        <v>Chip Seal and Fog</v>
      </c>
      <c r="AL403" s="26" t="str">
        <f t="shared" si="225"/>
        <v/>
      </c>
      <c r="AM403" s="26" t="str">
        <f t="shared" si="225"/>
        <v/>
      </c>
      <c r="AN403" s="26" t="str">
        <f t="shared" si="226"/>
        <v>Chip Seal and Fog</v>
      </c>
      <c r="AO403" s="26" t="str">
        <f t="shared" si="227"/>
        <v/>
      </c>
      <c r="AP403" s="26" t="str">
        <f t="shared" si="228"/>
        <v/>
      </c>
      <c r="AQ403" s="68">
        <f t="shared" si="229"/>
        <v>6</v>
      </c>
      <c r="AR403" s="68">
        <f t="shared" si="230"/>
        <v>6</v>
      </c>
      <c r="AS403" s="68">
        <f t="shared" si="231"/>
        <v>1.1000000000000001</v>
      </c>
      <c r="AT403" s="68">
        <f t="shared" si="232"/>
        <v>1.1000000000000001</v>
      </c>
      <c r="AU403" s="68">
        <f t="shared" si="233"/>
        <v>1.1000000000000001</v>
      </c>
      <c r="AV403" s="68">
        <f t="shared" si="234"/>
        <v>1.25</v>
      </c>
      <c r="AW403" s="68">
        <f t="shared" si="235"/>
        <v>1.25</v>
      </c>
      <c r="AX403" s="68">
        <f t="shared" ca="1" si="236"/>
        <v>1.1000000000000001</v>
      </c>
      <c r="AY403" s="106">
        <v>2019</v>
      </c>
      <c r="AZ403" s="106" t="s">
        <v>751</v>
      </c>
      <c r="BA403" s="106" t="str">
        <f t="shared" si="213"/>
        <v/>
      </c>
      <c r="BB403" s="177"/>
      <c r="BC403" s="177">
        <v>1</v>
      </c>
      <c r="BD403" s="177"/>
      <c r="BE403" s="177"/>
      <c r="BF403" s="177"/>
      <c r="BG403" s="177"/>
      <c r="BH403" s="177"/>
      <c r="BI403" s="33"/>
      <c r="BK403" s="48">
        <f>$G403/5280*VLOOKUP($AC403,'Cost and Score'!$B$27:$O$40,6,0)</f>
        <v>0.20795454545454548</v>
      </c>
      <c r="BL403" s="48">
        <f>$G403/5280*VLOOKUP($AC403,'Cost and Score'!$B$27:$O$40,7,0)</f>
        <v>22.875</v>
      </c>
      <c r="BM403" s="48">
        <f>$G403/5280*VLOOKUP($AC403,'Cost and Score'!$B$27:$O$40,8,0)</f>
        <v>0</v>
      </c>
      <c r="BN403" s="48">
        <f>$G403/5280*VLOOKUP($AC403,'Cost and Score'!$B$27:$O$40,9,0)</f>
        <v>4678.977272727273</v>
      </c>
      <c r="BO403" s="48">
        <f>$G403/5280*VLOOKUP($AC403,'Cost and Score'!$B$27:$O$40,10,0)</f>
        <v>1039.7727272727273</v>
      </c>
      <c r="BP403" s="48">
        <f>$G403/5280*VLOOKUP($AC403,'Cost and Score'!$B$27:$O$40,11,0)</f>
        <v>0</v>
      </c>
      <c r="BQ403" s="48">
        <f>$G403/5280*VLOOKUP($AC403,'Cost and Score'!$B$27:$O$40,12,0)</f>
        <v>103.97727272727273</v>
      </c>
      <c r="BR403" s="48">
        <f>$G403/5280*VLOOKUP($AC403,'Cost and Score'!$B$27:$O$40,13,0)</f>
        <v>124.77272727272728</v>
      </c>
      <c r="BS403" s="48">
        <f>$G403/5280*VLOOKUP($AC403,'Cost and Score'!$B$27:$O$40,14,0)</f>
        <v>0</v>
      </c>
      <c r="BT403" s="220">
        <f t="shared" si="214"/>
        <v>1.0397727272727273</v>
      </c>
    </row>
    <row r="404" spans="1:103" s="2" customFormat="1" ht="14.45" hidden="1" customHeight="1" x14ac:dyDescent="0.25">
      <c r="A404" s="15" t="s">
        <v>904</v>
      </c>
      <c r="B404" s="34" t="s">
        <v>903</v>
      </c>
      <c r="C404" s="85" t="s">
        <v>903</v>
      </c>
      <c r="D404" s="85"/>
      <c r="E404" s="85" t="s">
        <v>104</v>
      </c>
      <c r="F404" s="85" t="s">
        <v>791</v>
      </c>
      <c r="G404" s="29">
        <v>3683</v>
      </c>
      <c r="H404" s="29">
        <f t="shared" si="220"/>
        <v>20</v>
      </c>
      <c r="I404" s="85" t="s">
        <v>13</v>
      </c>
      <c r="J404" s="85" t="s">
        <v>160</v>
      </c>
      <c r="K404" s="85">
        <f t="shared" si="221"/>
        <v>0</v>
      </c>
      <c r="L404" s="74">
        <v>7</v>
      </c>
      <c r="M404" s="74">
        <v>7</v>
      </c>
      <c r="N404" s="74">
        <v>7</v>
      </c>
      <c r="O404" s="74">
        <v>7</v>
      </c>
      <c r="P404" s="74">
        <v>7</v>
      </c>
      <c r="Q404" s="74">
        <v>6</v>
      </c>
      <c r="R404" s="74">
        <v>6</v>
      </c>
      <c r="S404" s="74">
        <v>6</v>
      </c>
      <c r="T404" s="74">
        <v>7</v>
      </c>
      <c r="U404" s="74">
        <v>7</v>
      </c>
      <c r="V404" s="74">
        <v>2022</v>
      </c>
      <c r="W404" s="74">
        <v>2022</v>
      </c>
      <c r="X404" s="74" t="s">
        <v>2612</v>
      </c>
      <c r="Y404" s="85">
        <v>4705</v>
      </c>
      <c r="Z404" s="85">
        <f t="shared" si="222"/>
        <v>1.5</v>
      </c>
      <c r="AA404" s="85" t="s">
        <v>168</v>
      </c>
      <c r="AB404" s="111">
        <f t="shared" si="223"/>
        <v>4.5</v>
      </c>
      <c r="AC404" s="85" t="s">
        <v>2371</v>
      </c>
      <c r="AD404" s="47">
        <f t="shared" si="201"/>
        <v>55803.030303030304</v>
      </c>
      <c r="AE404" s="140">
        <v>1</v>
      </c>
      <c r="AF404" s="113">
        <f t="shared" si="224"/>
        <v>55803.030303030304</v>
      </c>
      <c r="AG404" s="26">
        <v>2024</v>
      </c>
      <c r="AH404" s="26" t="str">
        <f t="shared" si="225"/>
        <v/>
      </c>
      <c r="AI404" s="26" t="str">
        <f t="shared" si="225"/>
        <v/>
      </c>
      <c r="AJ404" s="26" t="str">
        <f t="shared" si="225"/>
        <v>Microsurface double</v>
      </c>
      <c r="AK404" s="26" t="str">
        <f t="shared" si="225"/>
        <v/>
      </c>
      <c r="AL404" s="26" t="str">
        <f t="shared" si="225"/>
        <v/>
      </c>
      <c r="AM404" s="26" t="str">
        <f t="shared" si="225"/>
        <v/>
      </c>
      <c r="AN404" s="26" t="str">
        <f t="shared" si="226"/>
        <v>Microsurface double</v>
      </c>
      <c r="AO404" s="26" t="str">
        <f t="shared" si="227"/>
        <v/>
      </c>
      <c r="AP404" s="26" t="str">
        <f t="shared" si="228"/>
        <v/>
      </c>
      <c r="AQ404" s="68">
        <f t="shared" si="229"/>
        <v>10</v>
      </c>
      <c r="AR404" s="68">
        <f t="shared" si="230"/>
        <v>10</v>
      </c>
      <c r="AS404" s="68">
        <f t="shared" si="231"/>
        <v>1.05</v>
      </c>
      <c r="AT404" s="68">
        <f t="shared" si="232"/>
        <v>1.05</v>
      </c>
      <c r="AU404" s="68">
        <f t="shared" si="233"/>
        <v>1.05</v>
      </c>
      <c r="AV404" s="68">
        <f t="shared" si="234"/>
        <v>1.05</v>
      </c>
      <c r="AW404" s="68">
        <f t="shared" si="235"/>
        <v>1.05</v>
      </c>
      <c r="AX404" s="68">
        <f t="shared" ca="1" si="236"/>
        <v>0</v>
      </c>
      <c r="AY404" s="68">
        <v>2020</v>
      </c>
      <c r="AZ404" s="68" t="s">
        <v>2075</v>
      </c>
      <c r="BA404" s="106" t="str">
        <f t="shared" si="213"/>
        <v/>
      </c>
      <c r="BB404" s="178"/>
      <c r="BC404" s="178">
        <v>8</v>
      </c>
      <c r="BD404" s="178"/>
      <c r="BE404" s="178"/>
      <c r="BF404" s="178"/>
      <c r="BG404" s="178"/>
      <c r="BH404" s="178"/>
      <c r="BI404" s="33"/>
      <c r="BK404" s="48">
        <f>$G404/5280*VLOOKUP($AC404,'Cost and Score'!$B$27:$O$40,6,0)</f>
        <v>0.34876893939393938</v>
      </c>
      <c r="BL404" s="48">
        <f>$G404/5280*VLOOKUP($AC404,'Cost and Score'!$B$27:$O$40,7,0)</f>
        <v>0</v>
      </c>
      <c r="BM404" s="48">
        <f>$G404/5280*VLOOKUP($AC404,'Cost and Score'!$B$27:$O$40,8,0)</f>
        <v>0</v>
      </c>
      <c r="BN404" s="48">
        <f>$G404/5280*VLOOKUP($AC404,'Cost and Score'!$B$27:$O$40,9,0)</f>
        <v>0</v>
      </c>
      <c r="BO404" s="48">
        <f>$G404/5280*VLOOKUP($AC404,'Cost and Score'!$B$27:$O$40,10,0)</f>
        <v>0</v>
      </c>
      <c r="BP404" s="48">
        <f>$G404/5280*VLOOKUP($AC404,'Cost and Score'!$B$27:$O$40,11,0)</f>
        <v>0</v>
      </c>
      <c r="BQ404" s="48">
        <f>$G404/5280*VLOOKUP($AC404,'Cost and Score'!$B$27:$O$40,12,0)</f>
        <v>0</v>
      </c>
      <c r="BR404" s="48">
        <f>$G404/5280*VLOOKUP($AC404,'Cost and Score'!$B$27:$O$40,13,0)</f>
        <v>0</v>
      </c>
      <c r="BS404" s="48">
        <f>$G404/5280*VLOOKUP($AC404,'Cost and Score'!$B$27:$O$40,14,0)</f>
        <v>0</v>
      </c>
      <c r="BT404" s="220">
        <f t="shared" si="214"/>
        <v>0.69753787878787876</v>
      </c>
    </row>
    <row r="405" spans="1:103" s="2" customFormat="1" hidden="1" x14ac:dyDescent="0.25">
      <c r="A405" s="15" t="s">
        <v>906</v>
      </c>
      <c r="B405" s="108" t="s">
        <v>905</v>
      </c>
      <c r="C405" s="106" t="s">
        <v>905</v>
      </c>
      <c r="D405" s="106"/>
      <c r="E405" s="106" t="s">
        <v>28</v>
      </c>
      <c r="F405" s="106" t="s">
        <v>9</v>
      </c>
      <c r="G405" s="109">
        <v>5020</v>
      </c>
      <c r="H405" s="109">
        <f t="shared" si="220"/>
        <v>20</v>
      </c>
      <c r="I405" s="106" t="s">
        <v>8</v>
      </c>
      <c r="J405" s="106" t="s">
        <v>125</v>
      </c>
      <c r="K405" s="106">
        <f t="shared" si="221"/>
        <v>0</v>
      </c>
      <c r="L405" s="110">
        <v>5</v>
      </c>
      <c r="M405" s="110">
        <v>5</v>
      </c>
      <c r="N405" s="110">
        <v>5</v>
      </c>
      <c r="O405" s="110">
        <v>5</v>
      </c>
      <c r="P405" s="110">
        <v>9</v>
      </c>
      <c r="Q405" s="110">
        <v>8</v>
      </c>
      <c r="R405" s="110">
        <v>7</v>
      </c>
      <c r="S405" s="110">
        <v>5</v>
      </c>
      <c r="T405" s="110">
        <v>7</v>
      </c>
      <c r="U405" s="110">
        <v>7</v>
      </c>
      <c r="V405" s="110"/>
      <c r="W405" s="110"/>
      <c r="X405" s="110"/>
      <c r="Y405" s="106">
        <v>141</v>
      </c>
      <c r="Z405" s="106">
        <f t="shared" si="222"/>
        <v>0</v>
      </c>
      <c r="AA405" s="106" t="s">
        <v>168</v>
      </c>
      <c r="AB405" s="111">
        <f t="shared" si="223"/>
        <v>1</v>
      </c>
      <c r="AC405" s="85" t="s">
        <v>13</v>
      </c>
      <c r="AD405" s="107">
        <f t="shared" si="201"/>
        <v>19965.909090909092</v>
      </c>
      <c r="AE405" s="198"/>
      <c r="AF405" s="113">
        <f t="shared" si="224"/>
        <v>0</v>
      </c>
      <c r="AG405" s="26">
        <v>2027</v>
      </c>
      <c r="AH405" s="26" t="str">
        <f t="shared" si="225"/>
        <v/>
      </c>
      <c r="AI405" s="26" t="str">
        <f t="shared" si="225"/>
        <v/>
      </c>
      <c r="AJ405" s="26" t="str">
        <f t="shared" si="225"/>
        <v/>
      </c>
      <c r="AK405" s="26" t="str">
        <f t="shared" si="225"/>
        <v/>
      </c>
      <c r="AL405" s="26" t="str">
        <f t="shared" si="225"/>
        <v/>
      </c>
      <c r="AM405" s="26" t="str">
        <f t="shared" si="225"/>
        <v>Chip Seal and Fog</v>
      </c>
      <c r="AN405" s="26" t="str">
        <f t="shared" si="226"/>
        <v>Chip Seal and Fog</v>
      </c>
      <c r="AO405" s="26" t="str">
        <f t="shared" si="227"/>
        <v>Overlay - 2"</v>
      </c>
      <c r="AP405" s="26" t="str">
        <f t="shared" si="228"/>
        <v/>
      </c>
      <c r="AQ405" s="68">
        <f t="shared" si="229"/>
        <v>6</v>
      </c>
      <c r="AR405" s="68">
        <f t="shared" si="230"/>
        <v>6</v>
      </c>
      <c r="AS405" s="68">
        <f t="shared" si="231"/>
        <v>1.25</v>
      </c>
      <c r="AT405" s="68">
        <f t="shared" si="232"/>
        <v>1.25</v>
      </c>
      <c r="AU405" s="68">
        <f t="shared" si="233"/>
        <v>1.25</v>
      </c>
      <c r="AV405" s="68">
        <f t="shared" si="234"/>
        <v>1.25</v>
      </c>
      <c r="AW405" s="68">
        <f t="shared" si="235"/>
        <v>1</v>
      </c>
      <c r="AX405" s="68">
        <f t="shared" ca="1" si="236"/>
        <v>3.75</v>
      </c>
      <c r="AY405" s="106">
        <v>2021</v>
      </c>
      <c r="AZ405" s="106" t="s">
        <v>751</v>
      </c>
      <c r="BA405" s="106" t="str">
        <f t="shared" si="213"/>
        <v/>
      </c>
      <c r="BB405" s="177"/>
      <c r="BC405" s="177">
        <v>2</v>
      </c>
      <c r="BD405" s="177"/>
      <c r="BE405" s="177"/>
      <c r="BF405" s="177"/>
      <c r="BG405" s="177"/>
      <c r="BH405" s="177"/>
      <c r="BI405" s="33"/>
      <c r="BK405" s="48">
        <f>$G405/5280*VLOOKUP($AC405,'Cost and Score'!$B$27:$O$40,6,0)</f>
        <v>0.19015151515151518</v>
      </c>
      <c r="BL405" s="48">
        <f>$G405/5280*VLOOKUP($AC405,'Cost and Score'!$B$27:$O$40,7,0)</f>
        <v>20.916666666666668</v>
      </c>
      <c r="BM405" s="48">
        <f>$G405/5280*VLOOKUP($AC405,'Cost and Score'!$B$27:$O$40,8,0)</f>
        <v>0</v>
      </c>
      <c r="BN405" s="48">
        <f>$G405/5280*VLOOKUP($AC405,'Cost and Score'!$B$27:$O$40,9,0)</f>
        <v>4278.409090909091</v>
      </c>
      <c r="BO405" s="48">
        <f>$G405/5280*VLOOKUP($AC405,'Cost and Score'!$B$27:$O$40,10,0)</f>
        <v>950.75757575757575</v>
      </c>
      <c r="BP405" s="48">
        <f>$G405/5280*VLOOKUP($AC405,'Cost and Score'!$B$27:$O$40,11,0)</f>
        <v>0</v>
      </c>
      <c r="BQ405" s="48">
        <f>$G405/5280*VLOOKUP($AC405,'Cost and Score'!$B$27:$O$40,12,0)</f>
        <v>95.075757575757578</v>
      </c>
      <c r="BR405" s="48">
        <f>$G405/5280*VLOOKUP($AC405,'Cost and Score'!$B$27:$O$40,13,0)</f>
        <v>114.09090909090909</v>
      </c>
      <c r="BS405" s="48">
        <f>$G405/5280*VLOOKUP($AC405,'Cost and Score'!$B$27:$O$40,14,0)</f>
        <v>0</v>
      </c>
      <c r="BT405" s="220">
        <f t="shared" si="214"/>
        <v>0.9507575757575758</v>
      </c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S405" s="112"/>
      <c r="CT405" s="112"/>
      <c r="CU405" s="112"/>
    </row>
    <row r="406" spans="1:103" s="2" customFormat="1" ht="14.45" hidden="1" customHeight="1" x14ac:dyDescent="0.25">
      <c r="A406" s="36" t="s">
        <v>908</v>
      </c>
      <c r="B406" s="34" t="s">
        <v>907</v>
      </c>
      <c r="C406" s="26" t="s">
        <v>907</v>
      </c>
      <c r="D406" s="26"/>
      <c r="E406" s="26" t="s">
        <v>9</v>
      </c>
      <c r="F406" s="26" t="s">
        <v>213</v>
      </c>
      <c r="G406" s="29">
        <v>5371</v>
      </c>
      <c r="H406" s="29">
        <f t="shared" si="220"/>
        <v>20</v>
      </c>
      <c r="I406" s="26" t="s">
        <v>13</v>
      </c>
      <c r="J406" s="26" t="s">
        <v>11</v>
      </c>
      <c r="K406" s="26">
        <f t="shared" si="221"/>
        <v>0</v>
      </c>
      <c r="L406" s="42">
        <v>6</v>
      </c>
      <c r="M406" s="42">
        <v>7</v>
      </c>
      <c r="N406" s="42">
        <v>8</v>
      </c>
      <c r="O406" s="42">
        <v>8</v>
      </c>
      <c r="P406" s="42">
        <v>8</v>
      </c>
      <c r="Q406" s="42">
        <v>8</v>
      </c>
      <c r="R406" s="42">
        <v>8</v>
      </c>
      <c r="S406" s="42">
        <v>7</v>
      </c>
      <c r="T406" s="42">
        <v>7</v>
      </c>
      <c r="U406" s="42">
        <v>8</v>
      </c>
      <c r="V406" s="42"/>
      <c r="W406" s="42"/>
      <c r="X406" s="42"/>
      <c r="Y406" s="26">
        <v>868</v>
      </c>
      <c r="Z406" s="26">
        <f t="shared" si="222"/>
        <v>0.5</v>
      </c>
      <c r="AA406" s="26" t="s">
        <v>168</v>
      </c>
      <c r="AB406" s="111">
        <f t="shared" si="223"/>
        <v>2.5</v>
      </c>
      <c r="AC406" s="26" t="s">
        <v>13</v>
      </c>
      <c r="AD406" s="47">
        <f t="shared" si="201"/>
        <v>21361.93181818182</v>
      </c>
      <c r="AE406" s="140"/>
      <c r="AF406" s="113">
        <f t="shared" si="224"/>
        <v>0</v>
      </c>
      <c r="AG406" s="26">
        <v>2022</v>
      </c>
      <c r="AH406" s="26" t="str">
        <f t="shared" si="225"/>
        <v>Chip Seal and Fog</v>
      </c>
      <c r="AI406" s="26" t="str">
        <f t="shared" si="225"/>
        <v/>
      </c>
      <c r="AJ406" s="26" t="str">
        <f t="shared" si="225"/>
        <v/>
      </c>
      <c r="AK406" s="26" t="str">
        <f t="shared" si="225"/>
        <v/>
      </c>
      <c r="AL406" s="26" t="str">
        <f t="shared" si="225"/>
        <v/>
      </c>
      <c r="AM406" s="26" t="str">
        <f t="shared" si="225"/>
        <v/>
      </c>
      <c r="AN406" s="26" t="str">
        <f t="shared" si="226"/>
        <v>Chip Seal and Fog</v>
      </c>
      <c r="AO406" s="26" t="str">
        <f t="shared" si="227"/>
        <v/>
      </c>
      <c r="AP406" s="26" t="str">
        <f t="shared" si="228"/>
        <v>Chip Seal and Fog</v>
      </c>
      <c r="AQ406" s="68">
        <f t="shared" si="229"/>
        <v>12</v>
      </c>
      <c r="AR406" s="68">
        <f t="shared" si="230"/>
        <v>6</v>
      </c>
      <c r="AS406" s="68">
        <f t="shared" si="231"/>
        <v>1.1000000000000001</v>
      </c>
      <c r="AT406" s="68">
        <f t="shared" si="232"/>
        <v>1.05</v>
      </c>
      <c r="AU406" s="68">
        <f t="shared" si="233"/>
        <v>1</v>
      </c>
      <c r="AV406" s="68">
        <f t="shared" si="234"/>
        <v>1</v>
      </c>
      <c r="AW406" s="68">
        <f t="shared" si="235"/>
        <v>1</v>
      </c>
      <c r="AX406" s="68">
        <f t="shared" ca="1" si="236"/>
        <v>-2</v>
      </c>
      <c r="AY406" s="68">
        <v>2022</v>
      </c>
      <c r="AZ406" s="68" t="s">
        <v>13</v>
      </c>
      <c r="BA406" s="106" t="str">
        <f t="shared" si="213"/>
        <v/>
      </c>
      <c r="BB406" s="178"/>
      <c r="BC406" s="178">
        <v>2</v>
      </c>
      <c r="BD406" s="178"/>
      <c r="BE406" s="178"/>
      <c r="BF406" s="178"/>
      <c r="BG406" s="178"/>
      <c r="BH406" s="178"/>
      <c r="BI406" s="33"/>
      <c r="BK406" s="48">
        <f>$G406/5280*VLOOKUP($AC406,'Cost and Score'!$B$27:$O$40,6,0)</f>
        <v>0.20344696969696974</v>
      </c>
      <c r="BL406" s="48">
        <f>$G406/5280*VLOOKUP($AC406,'Cost and Score'!$B$27:$O$40,7,0)</f>
        <v>22.37916666666667</v>
      </c>
      <c r="BM406" s="48">
        <f>$G406/5280*VLOOKUP($AC406,'Cost and Score'!$B$27:$O$40,8,0)</f>
        <v>0</v>
      </c>
      <c r="BN406" s="48">
        <f>$G406/5280*VLOOKUP($AC406,'Cost and Score'!$B$27:$O$40,9,0)</f>
        <v>4577.5568181818189</v>
      </c>
      <c r="BO406" s="48">
        <f>$G406/5280*VLOOKUP($AC406,'Cost and Score'!$B$27:$O$40,10,0)</f>
        <v>1017.2348484848486</v>
      </c>
      <c r="BP406" s="48">
        <f>$G406/5280*VLOOKUP($AC406,'Cost and Score'!$B$27:$O$40,11,0)</f>
        <v>0</v>
      </c>
      <c r="BQ406" s="48">
        <f>$G406/5280*VLOOKUP($AC406,'Cost and Score'!$B$27:$O$40,12,0)</f>
        <v>101.72348484848486</v>
      </c>
      <c r="BR406" s="48">
        <f>$G406/5280*VLOOKUP($AC406,'Cost and Score'!$B$27:$O$40,13,0)</f>
        <v>122.06818181818183</v>
      </c>
      <c r="BS406" s="48">
        <f>$G406/5280*VLOOKUP($AC406,'Cost and Score'!$B$27:$O$40,14,0)</f>
        <v>0</v>
      </c>
      <c r="BT406" s="220">
        <f t="shared" si="214"/>
        <v>1.0172348484848486</v>
      </c>
      <c r="CG406" s="112"/>
      <c r="CH406" s="112"/>
      <c r="CI406" s="112"/>
      <c r="CJ406" s="112"/>
      <c r="CK406" s="112"/>
      <c r="CL406" s="112"/>
      <c r="CM406" s="112"/>
      <c r="CR406" s="112"/>
    </row>
    <row r="407" spans="1:103" s="112" customFormat="1" ht="14.45" hidden="1" customHeight="1" x14ac:dyDescent="0.25">
      <c r="A407" s="15" t="s">
        <v>911</v>
      </c>
      <c r="B407" s="34" t="s">
        <v>909</v>
      </c>
      <c r="C407" s="26" t="s">
        <v>909</v>
      </c>
      <c r="D407" s="82"/>
      <c r="E407" s="82" t="s">
        <v>213</v>
      </c>
      <c r="F407" s="82" t="s">
        <v>910</v>
      </c>
      <c r="G407" s="29">
        <v>2692</v>
      </c>
      <c r="H407" s="29">
        <f t="shared" si="220"/>
        <v>20</v>
      </c>
      <c r="I407" s="26" t="s">
        <v>8</v>
      </c>
      <c r="J407" s="26" t="s">
        <v>11</v>
      </c>
      <c r="K407" s="26">
        <f t="shared" si="221"/>
        <v>0</v>
      </c>
      <c r="L407" s="42">
        <v>7</v>
      </c>
      <c r="M407" s="42">
        <v>7</v>
      </c>
      <c r="N407" s="42">
        <v>6</v>
      </c>
      <c r="O407" s="83">
        <v>6</v>
      </c>
      <c r="P407" s="83">
        <v>6</v>
      </c>
      <c r="Q407" s="83">
        <v>6</v>
      </c>
      <c r="R407" s="83">
        <v>6</v>
      </c>
      <c r="S407" s="83">
        <v>6</v>
      </c>
      <c r="T407" s="83">
        <v>6</v>
      </c>
      <c r="U407" s="83">
        <v>6</v>
      </c>
      <c r="V407" s="42"/>
      <c r="W407" s="42"/>
      <c r="X407" s="42"/>
      <c r="Y407" s="26">
        <v>828</v>
      </c>
      <c r="Z407" s="26">
        <f t="shared" si="222"/>
        <v>0.5</v>
      </c>
      <c r="AA407" s="82" t="s">
        <v>168</v>
      </c>
      <c r="AB407" s="111">
        <f t="shared" si="223"/>
        <v>4.5</v>
      </c>
      <c r="AC407" s="82" t="s">
        <v>751</v>
      </c>
      <c r="AD407" s="84">
        <f t="shared" si="201"/>
        <v>56083.333333333336</v>
      </c>
      <c r="AE407" s="140">
        <v>1</v>
      </c>
      <c r="AF407" s="113"/>
      <c r="AG407" s="85">
        <v>2023</v>
      </c>
      <c r="AH407" s="26" t="str">
        <f t="shared" si="225"/>
        <v/>
      </c>
      <c r="AI407" s="26" t="str">
        <f t="shared" si="225"/>
        <v>Overlay - 2"</v>
      </c>
      <c r="AJ407" s="26" t="str">
        <f t="shared" si="225"/>
        <v/>
      </c>
      <c r="AK407" s="26" t="str">
        <f t="shared" si="225"/>
        <v/>
      </c>
      <c r="AL407" s="26" t="str">
        <f t="shared" si="225"/>
        <v/>
      </c>
      <c r="AM407" s="26" t="str">
        <f t="shared" si="225"/>
        <v/>
      </c>
      <c r="AN407" s="26" t="str">
        <f t="shared" si="226"/>
        <v>Overlay - 2"</v>
      </c>
      <c r="AO407" s="26" t="str">
        <f t="shared" si="227"/>
        <v/>
      </c>
      <c r="AP407" s="26" t="str">
        <f t="shared" si="228"/>
        <v/>
      </c>
      <c r="AQ407" s="68">
        <f t="shared" si="229"/>
        <v>8</v>
      </c>
      <c r="AR407" s="68">
        <f t="shared" si="230"/>
        <v>12</v>
      </c>
      <c r="AS407" s="68">
        <f t="shared" si="231"/>
        <v>1.05</v>
      </c>
      <c r="AT407" s="68">
        <f t="shared" si="232"/>
        <v>1.05</v>
      </c>
      <c r="AU407" s="68">
        <f t="shared" si="233"/>
        <v>1.1000000000000001</v>
      </c>
      <c r="AV407" s="68">
        <f t="shared" si="234"/>
        <v>1.1000000000000001</v>
      </c>
      <c r="AW407" s="68">
        <f t="shared" si="235"/>
        <v>1.1000000000000001</v>
      </c>
      <c r="AX407" s="68">
        <f t="shared" ca="1" si="236"/>
        <v>-1.1000000000000001</v>
      </c>
      <c r="AY407" s="68">
        <v>2023</v>
      </c>
      <c r="AZ407" s="68" t="s">
        <v>751</v>
      </c>
      <c r="BA407" s="106" t="str">
        <f t="shared" si="213"/>
        <v/>
      </c>
      <c r="BB407" s="178"/>
      <c r="BC407" s="178">
        <v>2</v>
      </c>
      <c r="BD407" s="178"/>
      <c r="BE407" s="178"/>
      <c r="BF407" s="178"/>
      <c r="BG407" s="178"/>
      <c r="BH407" s="178"/>
      <c r="BI407" s="33" t="s">
        <v>2473</v>
      </c>
      <c r="BJ407" s="2"/>
      <c r="BK407" s="48">
        <f>$G407/5280*VLOOKUP($AC407,'Cost and Score'!$B$27:$O$40,6,0)</f>
        <v>1.147159090909091</v>
      </c>
      <c r="BL407" s="48">
        <f>$G407/5280*VLOOKUP($AC407,'Cost and Score'!$B$27:$O$40,7,0)</f>
        <v>107.06818181818183</v>
      </c>
      <c r="BM407" s="48">
        <f>$G407/5280*VLOOKUP($AC407,'Cost and Score'!$B$27:$O$40,8,0)</f>
        <v>178.44696969696972</v>
      </c>
      <c r="BN407" s="48">
        <f>$G407/5280*VLOOKUP($AC407,'Cost and Score'!$B$27:$O$40,9,0)</f>
        <v>0</v>
      </c>
      <c r="BO407" s="48">
        <f>$G407/5280*VLOOKUP($AC407,'Cost and Score'!$B$27:$O$40,10,0)</f>
        <v>0</v>
      </c>
      <c r="BP407" s="48">
        <f>$G407/5280*VLOOKUP($AC407,'Cost and Score'!$B$27:$O$40,11,0)</f>
        <v>101.96969696969698</v>
      </c>
      <c r="BQ407" s="48">
        <f>$G407/5280*VLOOKUP($AC407,'Cost and Score'!$B$27:$O$40,12,0)</f>
        <v>866.74242424242425</v>
      </c>
      <c r="BR407" s="48">
        <f>$G407/5280*VLOOKUP($AC407,'Cost and Score'!$B$27:$O$40,13,0)</f>
        <v>0</v>
      </c>
      <c r="BS407" s="48">
        <f>$G407/5280*VLOOKUP($AC407,'Cost and Score'!$B$27:$O$40,14,0)</f>
        <v>0</v>
      </c>
      <c r="BT407" s="220">
        <f t="shared" si="214"/>
        <v>0.50984848484848488</v>
      </c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V407" s="2"/>
      <c r="CW407" s="2"/>
      <c r="CX407" s="2"/>
      <c r="CY407" s="2"/>
    </row>
    <row r="408" spans="1:103" s="2" customFormat="1" ht="14.45" customHeight="1" x14ac:dyDescent="0.25">
      <c r="A408" s="38" t="s">
        <v>1544</v>
      </c>
      <c r="B408" s="34" t="s">
        <v>1543</v>
      </c>
      <c r="C408" s="26" t="s">
        <v>1543</v>
      </c>
      <c r="D408" s="82"/>
      <c r="E408" s="82" t="s">
        <v>197</v>
      </c>
      <c r="F408" s="82" t="s">
        <v>193</v>
      </c>
      <c r="G408" s="29">
        <v>6650</v>
      </c>
      <c r="H408" s="29">
        <f t="shared" si="220"/>
        <v>20</v>
      </c>
      <c r="I408" s="26" t="s">
        <v>8</v>
      </c>
      <c r="J408" s="26" t="s">
        <v>125</v>
      </c>
      <c r="K408" s="26">
        <f t="shared" si="221"/>
        <v>0</v>
      </c>
      <c r="L408" s="42">
        <v>7</v>
      </c>
      <c r="M408" s="42">
        <v>7</v>
      </c>
      <c r="N408" s="42">
        <v>6</v>
      </c>
      <c r="O408" s="83">
        <v>5</v>
      </c>
      <c r="P408" s="83">
        <v>4</v>
      </c>
      <c r="Q408" s="83">
        <v>4</v>
      </c>
      <c r="R408" s="83">
        <v>8</v>
      </c>
      <c r="S408" s="83">
        <v>7</v>
      </c>
      <c r="T408" s="83">
        <v>6</v>
      </c>
      <c r="U408" s="83">
        <v>7</v>
      </c>
      <c r="V408" s="42"/>
      <c r="W408" s="42"/>
      <c r="X408" s="42"/>
      <c r="Y408" s="26">
        <v>123</v>
      </c>
      <c r="Z408" s="26">
        <f t="shared" si="222"/>
        <v>0</v>
      </c>
      <c r="AA408" s="82" t="s">
        <v>1543</v>
      </c>
      <c r="AB408" s="111">
        <f t="shared" si="223"/>
        <v>6</v>
      </c>
      <c r="AC408" s="82" t="s">
        <v>13</v>
      </c>
      <c r="AD408" s="84">
        <f t="shared" si="201"/>
        <v>26448.863636363636</v>
      </c>
      <c r="AE408" s="140"/>
      <c r="AF408" s="113">
        <f t="shared" ref="AF408:AF471" si="237">AD408*AE408</f>
        <v>0</v>
      </c>
      <c r="AG408" s="106">
        <v>2025</v>
      </c>
      <c r="AH408" s="26" t="str">
        <f t="shared" si="225"/>
        <v/>
      </c>
      <c r="AI408" s="26" t="str">
        <f t="shared" si="225"/>
        <v/>
      </c>
      <c r="AJ408" s="26" t="str">
        <f t="shared" si="225"/>
        <v/>
      </c>
      <c r="AK408" s="26" t="str">
        <f t="shared" si="225"/>
        <v>Chip Seal and Fog</v>
      </c>
      <c r="AL408" s="26" t="str">
        <f t="shared" si="225"/>
        <v/>
      </c>
      <c r="AM408" s="26" t="str">
        <f t="shared" si="225"/>
        <v/>
      </c>
      <c r="AN408" s="26" t="str">
        <f t="shared" si="226"/>
        <v>Chip Seal and Fog</v>
      </c>
      <c r="AO408" s="26" t="str">
        <f t="shared" si="227"/>
        <v/>
      </c>
      <c r="AP408" s="26" t="str">
        <f t="shared" si="228"/>
        <v/>
      </c>
      <c r="AQ408" s="68">
        <f t="shared" si="229"/>
        <v>6</v>
      </c>
      <c r="AR408" s="68">
        <f t="shared" si="230"/>
        <v>6</v>
      </c>
      <c r="AS408" s="68">
        <f t="shared" si="231"/>
        <v>1.05</v>
      </c>
      <c r="AT408" s="68">
        <f t="shared" si="232"/>
        <v>1.05</v>
      </c>
      <c r="AU408" s="68">
        <f t="shared" si="233"/>
        <v>1.1000000000000001</v>
      </c>
      <c r="AV408" s="68">
        <f t="shared" si="234"/>
        <v>1.25</v>
      </c>
      <c r="AW408" s="68">
        <f t="shared" si="235"/>
        <v>1.5</v>
      </c>
      <c r="AX408" s="68">
        <f t="shared" ca="1" si="236"/>
        <v>1.1000000000000001</v>
      </c>
      <c r="AY408" s="68">
        <v>2019</v>
      </c>
      <c r="AZ408" s="68" t="s">
        <v>2072</v>
      </c>
      <c r="BA408" s="106" t="str">
        <f t="shared" si="213"/>
        <v/>
      </c>
      <c r="BB408" s="178"/>
      <c r="BC408" s="178">
        <v>2</v>
      </c>
      <c r="BD408" s="178"/>
      <c r="BE408" s="178"/>
      <c r="BF408" s="178"/>
      <c r="BG408" s="178"/>
      <c r="BH408" s="178"/>
      <c r="BI408" s="33"/>
      <c r="BK408" s="48">
        <f>$G408/5280*VLOOKUP($AC408,'Cost and Score'!$B$27:$O$40,6,0)</f>
        <v>0.25189393939393939</v>
      </c>
      <c r="BL408" s="48">
        <f>$G408/5280*VLOOKUP($AC408,'Cost and Score'!$B$27:$O$40,7,0)</f>
        <v>27.708333333333336</v>
      </c>
      <c r="BM408" s="48">
        <f>$G408/5280*VLOOKUP($AC408,'Cost and Score'!$B$27:$O$40,8,0)</f>
        <v>0</v>
      </c>
      <c r="BN408" s="48">
        <f>$G408/5280*VLOOKUP($AC408,'Cost and Score'!$B$27:$O$40,9,0)</f>
        <v>5667.6136363636369</v>
      </c>
      <c r="BO408" s="48">
        <f>$G408/5280*VLOOKUP($AC408,'Cost and Score'!$B$27:$O$40,10,0)</f>
        <v>1259.469696969697</v>
      </c>
      <c r="BP408" s="48">
        <f>$G408/5280*VLOOKUP($AC408,'Cost and Score'!$B$27:$O$40,11,0)</f>
        <v>0</v>
      </c>
      <c r="BQ408" s="48">
        <f>$G408/5280*VLOOKUP($AC408,'Cost and Score'!$B$27:$O$40,12,0)</f>
        <v>125.9469696969697</v>
      </c>
      <c r="BR408" s="48">
        <f>$G408/5280*VLOOKUP($AC408,'Cost and Score'!$B$27:$O$40,13,0)</f>
        <v>151.13636363636365</v>
      </c>
      <c r="BS408" s="48">
        <f>$G408/5280*VLOOKUP($AC408,'Cost and Score'!$B$27:$O$40,14,0)</f>
        <v>0</v>
      </c>
      <c r="BT408" s="220">
        <f t="shared" si="214"/>
        <v>1.259469696969697</v>
      </c>
    </row>
    <row r="409" spans="1:103" s="2" customFormat="1" ht="14.45" hidden="1" customHeight="1" x14ac:dyDescent="0.25">
      <c r="A409" s="15"/>
      <c r="B409" s="34" t="s">
        <v>2504</v>
      </c>
      <c r="C409" s="85" t="s">
        <v>2504</v>
      </c>
      <c r="D409" s="85"/>
      <c r="E409" s="85" t="s">
        <v>197</v>
      </c>
      <c r="F409" s="85" t="s">
        <v>2505</v>
      </c>
      <c r="G409" s="29">
        <v>1500</v>
      </c>
      <c r="H409" s="29">
        <v>20</v>
      </c>
      <c r="I409" s="85" t="s">
        <v>62</v>
      </c>
      <c r="J409" s="85" t="s">
        <v>125</v>
      </c>
      <c r="K409" s="85">
        <v>0</v>
      </c>
      <c r="L409" s="42">
        <v>6</v>
      </c>
      <c r="M409" s="42">
        <v>5</v>
      </c>
      <c r="N409" s="42">
        <v>5</v>
      </c>
      <c r="O409" s="83">
        <v>5</v>
      </c>
      <c r="P409" s="83">
        <v>4</v>
      </c>
      <c r="Q409" s="83">
        <v>7</v>
      </c>
      <c r="R409" s="83">
        <v>7</v>
      </c>
      <c r="S409" s="83">
        <v>6</v>
      </c>
      <c r="T409" s="83">
        <v>6</v>
      </c>
      <c r="U409" s="83">
        <v>7</v>
      </c>
      <c r="V409" s="74"/>
      <c r="W409" s="74"/>
      <c r="X409" s="74"/>
      <c r="Y409" s="85">
        <v>50</v>
      </c>
      <c r="Z409" s="85">
        <v>0</v>
      </c>
      <c r="AA409" s="85" t="s">
        <v>168</v>
      </c>
      <c r="AB409" s="111">
        <v>5</v>
      </c>
      <c r="AC409" s="106" t="s">
        <v>2076</v>
      </c>
      <c r="AD409" s="107">
        <f t="shared" si="201"/>
        <v>3977.2727272727275</v>
      </c>
      <c r="AE409" s="140"/>
      <c r="AF409" s="113">
        <f t="shared" si="237"/>
        <v>0</v>
      </c>
      <c r="AG409" s="85">
        <v>2026</v>
      </c>
      <c r="AH409" s="26" t="str">
        <f t="shared" si="225"/>
        <v/>
      </c>
      <c r="AI409" s="26" t="str">
        <f t="shared" si="225"/>
        <v/>
      </c>
      <c r="AJ409" s="26" t="str">
        <f t="shared" si="225"/>
        <v/>
      </c>
      <c r="AK409" s="26" t="str">
        <f t="shared" si="225"/>
        <v/>
      </c>
      <c r="AL409" s="26" t="str">
        <f t="shared" si="225"/>
        <v>Dust Control</v>
      </c>
      <c r="AM409" s="26" t="str">
        <f t="shared" si="225"/>
        <v/>
      </c>
      <c r="AN409" s="26" t="str">
        <f t="shared" si="226"/>
        <v>Dust Control</v>
      </c>
      <c r="AO409" s="26" t="str">
        <f t="shared" si="227"/>
        <v/>
      </c>
      <c r="AP409" s="26" t="str">
        <f t="shared" si="228"/>
        <v/>
      </c>
      <c r="AQ409" s="68">
        <v>6</v>
      </c>
      <c r="AR409" s="68">
        <v>6</v>
      </c>
      <c r="AS409" s="68">
        <f t="shared" si="231"/>
        <v>1.1000000000000001</v>
      </c>
      <c r="AT409" s="68">
        <f t="shared" si="232"/>
        <v>1.25</v>
      </c>
      <c r="AU409" s="68">
        <f t="shared" si="233"/>
        <v>1.25</v>
      </c>
      <c r="AV409" s="68">
        <f t="shared" si="234"/>
        <v>1.25</v>
      </c>
      <c r="AW409" s="68">
        <f t="shared" si="235"/>
        <v>1.5</v>
      </c>
      <c r="AX409" s="68">
        <f t="shared" ca="1" si="236"/>
        <v>2.5</v>
      </c>
      <c r="AY409" s="68"/>
      <c r="AZ409" s="68"/>
      <c r="BA409" s="106" t="str">
        <f t="shared" si="213"/>
        <v/>
      </c>
      <c r="BB409" s="178">
        <v>31</v>
      </c>
      <c r="BC409" s="178"/>
      <c r="BD409" s="178"/>
      <c r="BE409" s="178"/>
      <c r="BF409" s="178"/>
      <c r="BG409" s="178"/>
      <c r="BH409" s="178"/>
      <c r="BI409" s="33"/>
      <c r="BK409" s="48"/>
      <c r="BL409" s="48"/>
      <c r="BM409" s="48"/>
      <c r="BN409" s="48"/>
      <c r="BO409" s="48"/>
      <c r="BP409" s="48"/>
      <c r="BQ409" s="48"/>
      <c r="BR409" s="48"/>
      <c r="BS409" s="48"/>
      <c r="BT409" s="220">
        <f t="shared" si="214"/>
        <v>0.28409090909090912</v>
      </c>
      <c r="CW409" s="112"/>
      <c r="CX409" s="112"/>
      <c r="CY409" s="112"/>
    </row>
    <row r="410" spans="1:103" s="2" customFormat="1" ht="14.45" hidden="1" customHeight="1" x14ac:dyDescent="0.25">
      <c r="A410" s="15" t="s">
        <v>915</v>
      </c>
      <c r="B410" s="108" t="s">
        <v>914</v>
      </c>
      <c r="C410" s="106" t="s">
        <v>914</v>
      </c>
      <c r="D410" s="106"/>
      <c r="E410" s="106" t="s">
        <v>193</v>
      </c>
      <c r="F410" s="106" t="s">
        <v>206</v>
      </c>
      <c r="G410" s="109">
        <v>2400</v>
      </c>
      <c r="H410" s="109">
        <f t="shared" ref="H410:H473" si="238">IF(I410="NC",26,20)</f>
        <v>20</v>
      </c>
      <c r="I410" s="106" t="s">
        <v>751</v>
      </c>
      <c r="J410" s="106" t="s">
        <v>125</v>
      </c>
      <c r="K410" s="106">
        <f>VLOOKUP(J410,TOWNSHIPS,2,FALSE)</f>
        <v>0</v>
      </c>
      <c r="L410" s="110">
        <v>3</v>
      </c>
      <c r="M410" s="110">
        <v>7</v>
      </c>
      <c r="N410" s="110">
        <v>6</v>
      </c>
      <c r="O410" s="110">
        <v>4</v>
      </c>
      <c r="P410" s="110">
        <v>8</v>
      </c>
      <c r="Q410" s="110">
        <v>8</v>
      </c>
      <c r="R410" s="110">
        <v>7</v>
      </c>
      <c r="S410" s="110">
        <v>7</v>
      </c>
      <c r="T410" s="110">
        <v>7</v>
      </c>
      <c r="U410" s="110">
        <v>7</v>
      </c>
      <c r="V410" s="110"/>
      <c r="W410" s="110"/>
      <c r="X410" s="110"/>
      <c r="Y410" s="106">
        <v>50</v>
      </c>
      <c r="Z410" s="106">
        <f t="shared" ref="Z410:Z473" si="239">VLOOKUP(Y410,AADT,2)</f>
        <v>0</v>
      </c>
      <c r="AA410" s="106" t="s">
        <v>168</v>
      </c>
      <c r="AB410" s="111">
        <f t="shared" ref="AB410:AB473" si="240">(10-P410)+Z410+K410</f>
        <v>2</v>
      </c>
      <c r="AC410" s="85" t="s">
        <v>2075</v>
      </c>
      <c r="AD410" s="107">
        <f t="shared" si="201"/>
        <v>2454.5454545454545</v>
      </c>
      <c r="AE410" s="198"/>
      <c r="AF410" s="113">
        <f t="shared" si="237"/>
        <v>0</v>
      </c>
      <c r="AG410" s="106">
        <v>2022</v>
      </c>
      <c r="AH410" s="26" t="str">
        <f t="shared" ref="AH410:AM419" si="241">IF($AG410=AH$1,VLOOKUP($AC410,RSL,3,FALSE),"")</f>
        <v>Crack Seal</v>
      </c>
      <c r="AI410" s="26" t="str">
        <f t="shared" si="241"/>
        <v/>
      </c>
      <c r="AJ410" s="26" t="str">
        <f t="shared" si="241"/>
        <v/>
      </c>
      <c r="AK410" s="26" t="str">
        <f t="shared" si="241"/>
        <v/>
      </c>
      <c r="AL410" s="26" t="str">
        <f t="shared" si="241"/>
        <v/>
      </c>
      <c r="AM410" s="26" t="str">
        <f t="shared" si="241"/>
        <v/>
      </c>
      <c r="AN410" s="26" t="str">
        <f t="shared" si="226"/>
        <v>Crack Seal</v>
      </c>
      <c r="AO410" s="26" t="str">
        <f t="shared" si="227"/>
        <v/>
      </c>
      <c r="AP410" s="26" t="str">
        <f t="shared" si="228"/>
        <v/>
      </c>
      <c r="AQ410" s="68">
        <f t="shared" ref="AQ410:AQ473" si="242">VLOOKUP(O410,RSLrem,2,FALSE)</f>
        <v>3</v>
      </c>
      <c r="AR410" s="68">
        <f t="shared" ref="AR410:AR473" si="243">VLOOKUP(AC410,RSL,5,FALSE)</f>
        <v>3</v>
      </c>
      <c r="AS410" s="68">
        <f t="shared" si="231"/>
        <v>1.75</v>
      </c>
      <c r="AT410" s="68">
        <f t="shared" si="232"/>
        <v>1.05</v>
      </c>
      <c r="AU410" s="68">
        <f t="shared" si="233"/>
        <v>1.1000000000000001</v>
      </c>
      <c r="AV410" s="68">
        <f t="shared" si="234"/>
        <v>1.5</v>
      </c>
      <c r="AW410" s="68">
        <f t="shared" si="235"/>
        <v>1</v>
      </c>
      <c r="AX410" s="68">
        <f t="shared" ca="1" si="236"/>
        <v>-2.2000000000000002</v>
      </c>
      <c r="AY410" s="106">
        <v>2017</v>
      </c>
      <c r="AZ410" s="106" t="s">
        <v>751</v>
      </c>
      <c r="BA410" s="106" t="str">
        <f t="shared" si="213"/>
        <v/>
      </c>
      <c r="BB410" s="177"/>
      <c r="BC410" s="177">
        <v>6</v>
      </c>
      <c r="BD410" s="177"/>
      <c r="BE410" s="177"/>
      <c r="BF410" s="177"/>
      <c r="BG410" s="177"/>
      <c r="BH410" s="177"/>
      <c r="BI410" s="33"/>
      <c r="BK410" s="48">
        <f>$G410/5280*VLOOKUP($AC410,'Cost and Score'!$B$27:$O$40,6,0)</f>
        <v>0.45454545454545453</v>
      </c>
      <c r="BL410" s="48">
        <f>$G410/5280*VLOOKUP($AC410,'Cost and Score'!$B$27:$O$40,7,0)</f>
        <v>0</v>
      </c>
      <c r="BM410" s="48">
        <f>$G410/5280*VLOOKUP($AC410,'Cost and Score'!$B$27:$O$40,8,0)</f>
        <v>0</v>
      </c>
      <c r="BN410" s="48">
        <f>$G410/5280*VLOOKUP($AC410,'Cost and Score'!$B$27:$O$40,9,0)</f>
        <v>0</v>
      </c>
      <c r="BO410" s="48">
        <f>$G410/5280*VLOOKUP($AC410,'Cost and Score'!$B$27:$O$40,10,0)</f>
        <v>0</v>
      </c>
      <c r="BP410" s="48">
        <f>$G410/5280*VLOOKUP($AC410,'Cost and Score'!$B$27:$O$40,11,0)</f>
        <v>0</v>
      </c>
      <c r="BQ410" s="48">
        <f>$G410/5280*VLOOKUP($AC410,'Cost and Score'!$B$27:$O$40,12,0)</f>
        <v>0</v>
      </c>
      <c r="BR410" s="48">
        <f>$G410/5280*VLOOKUP($AC410,'Cost and Score'!$B$27:$O$40,13,0)</f>
        <v>0</v>
      </c>
      <c r="BS410" s="48">
        <f>$G410/5280*VLOOKUP($AC410,'Cost and Score'!$B$27:$O$40,14,0)</f>
        <v>0</v>
      </c>
      <c r="BT410" s="220">
        <f t="shared" si="214"/>
        <v>0.45454545454545453</v>
      </c>
      <c r="CF410" s="112"/>
      <c r="CR410" s="112"/>
    </row>
    <row r="411" spans="1:103" s="112" customFormat="1" ht="14.45" customHeight="1" x14ac:dyDescent="0.25">
      <c r="A411" s="15" t="s">
        <v>668</v>
      </c>
      <c r="B411" s="34" t="s">
        <v>667</v>
      </c>
      <c r="C411" s="26" t="s">
        <v>667</v>
      </c>
      <c r="D411" s="82"/>
      <c r="E411" s="82" t="s">
        <v>100</v>
      </c>
      <c r="F411" s="82" t="s">
        <v>307</v>
      </c>
      <c r="G411" s="29">
        <v>4558</v>
      </c>
      <c r="H411" s="29">
        <f t="shared" si="238"/>
        <v>20</v>
      </c>
      <c r="I411" s="26" t="s">
        <v>13</v>
      </c>
      <c r="J411" s="26" t="s">
        <v>101</v>
      </c>
      <c r="K411" s="26">
        <v>0</v>
      </c>
      <c r="L411" s="42">
        <v>6</v>
      </c>
      <c r="M411" s="42">
        <v>6</v>
      </c>
      <c r="N411" s="42">
        <v>6</v>
      </c>
      <c r="O411" s="83">
        <v>6</v>
      </c>
      <c r="P411" s="83">
        <v>6</v>
      </c>
      <c r="Q411" s="83">
        <v>5</v>
      </c>
      <c r="R411" s="83">
        <v>9</v>
      </c>
      <c r="S411" s="83">
        <v>8</v>
      </c>
      <c r="T411" s="83">
        <v>7</v>
      </c>
      <c r="U411" s="83">
        <v>7</v>
      </c>
      <c r="V411" s="42"/>
      <c r="W411" s="42"/>
      <c r="X411" s="42"/>
      <c r="Y411" s="26">
        <v>116</v>
      </c>
      <c r="Z411" s="26">
        <f t="shared" si="239"/>
        <v>0</v>
      </c>
      <c r="AA411" s="82" t="s">
        <v>59</v>
      </c>
      <c r="AB411" s="111">
        <f t="shared" si="240"/>
        <v>4</v>
      </c>
      <c r="AC411" s="85" t="s">
        <v>13</v>
      </c>
      <c r="AD411" s="84">
        <f t="shared" si="201"/>
        <v>18128.409090909092</v>
      </c>
      <c r="AE411" s="140"/>
      <c r="AF411" s="113">
        <f t="shared" si="237"/>
        <v>0</v>
      </c>
      <c r="AG411" s="106">
        <v>2025</v>
      </c>
      <c r="AH411" s="26" t="str">
        <f t="shared" si="241"/>
        <v/>
      </c>
      <c r="AI411" s="26" t="str">
        <f t="shared" si="241"/>
        <v/>
      </c>
      <c r="AJ411" s="26" t="str">
        <f t="shared" si="241"/>
        <v/>
      </c>
      <c r="AK411" s="26" t="str">
        <f t="shared" si="241"/>
        <v>Chip Seal and Fog</v>
      </c>
      <c r="AL411" s="26" t="str">
        <f t="shared" si="241"/>
        <v/>
      </c>
      <c r="AM411" s="26" t="str">
        <f t="shared" si="241"/>
        <v/>
      </c>
      <c r="AN411" s="26" t="str">
        <f t="shared" si="226"/>
        <v>Chip Seal and Fog</v>
      </c>
      <c r="AO411" s="26" t="str">
        <f t="shared" si="227"/>
        <v/>
      </c>
      <c r="AP411" s="26" t="str">
        <f t="shared" si="228"/>
        <v/>
      </c>
      <c r="AQ411" s="68">
        <f t="shared" si="242"/>
        <v>8</v>
      </c>
      <c r="AR411" s="68">
        <f t="shared" si="243"/>
        <v>6</v>
      </c>
      <c r="AS411" s="68">
        <f t="shared" si="231"/>
        <v>1.1000000000000001</v>
      </c>
      <c r="AT411" s="68">
        <f t="shared" si="232"/>
        <v>1.1000000000000001</v>
      </c>
      <c r="AU411" s="68">
        <f t="shared" si="233"/>
        <v>1.1000000000000001</v>
      </c>
      <c r="AV411" s="68">
        <f t="shared" si="234"/>
        <v>1.1000000000000001</v>
      </c>
      <c r="AW411" s="68">
        <f t="shared" si="235"/>
        <v>1.1000000000000001</v>
      </c>
      <c r="AX411" s="68">
        <f t="shared" ca="1" si="236"/>
        <v>1.1000000000000001</v>
      </c>
      <c r="AY411" s="68">
        <v>2019</v>
      </c>
      <c r="AZ411" s="68" t="s">
        <v>751</v>
      </c>
      <c r="BA411" s="106" t="str">
        <f t="shared" si="213"/>
        <v/>
      </c>
      <c r="BB411" s="178"/>
      <c r="BC411" s="178">
        <v>9</v>
      </c>
      <c r="BD411" s="178"/>
      <c r="BE411" s="178"/>
      <c r="BF411" s="178"/>
      <c r="BG411" s="178"/>
      <c r="BH411" s="178"/>
      <c r="BI411" s="33"/>
      <c r="BJ411" s="2"/>
      <c r="BK411" s="48">
        <f>$G411/5280*VLOOKUP($AC411,'Cost and Score'!$B$27:$O$40,6,0)</f>
        <v>0.17265151515151517</v>
      </c>
      <c r="BL411" s="48">
        <f>$G411/5280*VLOOKUP($AC411,'Cost and Score'!$B$27:$O$40,7,0)</f>
        <v>18.991666666666667</v>
      </c>
      <c r="BM411" s="48">
        <f>$G411/5280*VLOOKUP($AC411,'Cost and Score'!$B$27:$O$40,8,0)</f>
        <v>0</v>
      </c>
      <c r="BN411" s="48">
        <f>$G411/5280*VLOOKUP($AC411,'Cost and Score'!$B$27:$O$40,9,0)</f>
        <v>3884.659090909091</v>
      </c>
      <c r="BO411" s="48">
        <f>$G411/5280*VLOOKUP($AC411,'Cost and Score'!$B$27:$O$40,10,0)</f>
        <v>863.25757575757575</v>
      </c>
      <c r="BP411" s="48">
        <f>$G411/5280*VLOOKUP($AC411,'Cost and Score'!$B$27:$O$40,11,0)</f>
        <v>0</v>
      </c>
      <c r="BQ411" s="48">
        <f>$G411/5280*VLOOKUP($AC411,'Cost and Score'!$B$27:$O$40,12,0)</f>
        <v>86.325757575757578</v>
      </c>
      <c r="BR411" s="48">
        <f>$G411/5280*VLOOKUP($AC411,'Cost and Score'!$B$27:$O$40,13,0)</f>
        <v>103.59090909090909</v>
      </c>
      <c r="BS411" s="48">
        <f>$G411/5280*VLOOKUP($AC411,'Cost and Score'!$B$27:$O$40,14,0)</f>
        <v>0</v>
      </c>
      <c r="BT411" s="220">
        <f t="shared" si="214"/>
        <v>0.86325757575757578</v>
      </c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</row>
    <row r="412" spans="1:103" s="2" customFormat="1" ht="14.45" hidden="1" customHeight="1" x14ac:dyDescent="0.25">
      <c r="A412" s="15" t="s">
        <v>919</v>
      </c>
      <c r="B412" s="34" t="s">
        <v>918</v>
      </c>
      <c r="C412" s="26" t="s">
        <v>918</v>
      </c>
      <c r="D412" s="82"/>
      <c r="E412" s="82" t="s">
        <v>791</v>
      </c>
      <c r="F412" s="82" t="s">
        <v>210</v>
      </c>
      <c r="G412" s="29">
        <v>5725</v>
      </c>
      <c r="H412" s="29">
        <f t="shared" si="238"/>
        <v>20</v>
      </c>
      <c r="I412" s="26" t="s">
        <v>8</v>
      </c>
      <c r="J412" s="26" t="s">
        <v>160</v>
      </c>
      <c r="K412" s="26">
        <f>VLOOKUP(J412,TOWNSHIPS,2,FALSE)</f>
        <v>0</v>
      </c>
      <c r="L412" s="42">
        <v>7</v>
      </c>
      <c r="M412" s="42">
        <v>8</v>
      </c>
      <c r="N412" s="42">
        <v>8</v>
      </c>
      <c r="O412" s="83">
        <v>7</v>
      </c>
      <c r="P412" s="83">
        <v>7</v>
      </c>
      <c r="Q412" s="83">
        <v>7</v>
      </c>
      <c r="R412" s="83">
        <v>7</v>
      </c>
      <c r="S412" s="83">
        <v>7</v>
      </c>
      <c r="T412" s="83">
        <v>7</v>
      </c>
      <c r="U412" s="83">
        <v>7</v>
      </c>
      <c r="V412" s="42">
        <v>2024</v>
      </c>
      <c r="W412" s="42">
        <v>2022</v>
      </c>
      <c r="X412" s="42" t="s">
        <v>2612</v>
      </c>
      <c r="Y412" s="26">
        <v>1461</v>
      </c>
      <c r="Z412" s="26">
        <f t="shared" si="239"/>
        <v>0.5</v>
      </c>
      <c r="AA412" s="82" t="s">
        <v>168</v>
      </c>
      <c r="AB412" s="111">
        <f t="shared" si="240"/>
        <v>3.5</v>
      </c>
      <c r="AC412" s="82" t="s">
        <v>13</v>
      </c>
      <c r="AD412" s="84">
        <f t="shared" si="201"/>
        <v>22769.886363636364</v>
      </c>
      <c r="AE412" s="140"/>
      <c r="AF412" s="113">
        <f t="shared" si="237"/>
        <v>0</v>
      </c>
      <c r="AG412" s="82">
        <v>2026</v>
      </c>
      <c r="AH412" s="26" t="str">
        <f t="shared" si="241"/>
        <v/>
      </c>
      <c r="AI412" s="26" t="str">
        <f t="shared" si="241"/>
        <v/>
      </c>
      <c r="AJ412" s="26" t="str">
        <f t="shared" si="241"/>
        <v/>
      </c>
      <c r="AK412" s="26" t="str">
        <f t="shared" si="241"/>
        <v/>
      </c>
      <c r="AL412" s="26" t="str">
        <f t="shared" si="241"/>
        <v>Chip Seal and Fog</v>
      </c>
      <c r="AM412" s="26" t="str">
        <f t="shared" si="241"/>
        <v/>
      </c>
      <c r="AN412" s="26" t="str">
        <f t="shared" si="226"/>
        <v>Chip Seal and Fog</v>
      </c>
      <c r="AO412" s="26" t="str">
        <f t="shared" si="227"/>
        <v/>
      </c>
      <c r="AP412" s="26" t="str">
        <f t="shared" si="228"/>
        <v/>
      </c>
      <c r="AQ412" s="68">
        <f t="shared" si="242"/>
        <v>10</v>
      </c>
      <c r="AR412" s="68">
        <f t="shared" si="243"/>
        <v>6</v>
      </c>
      <c r="AS412" s="68">
        <f t="shared" si="231"/>
        <v>1.05</v>
      </c>
      <c r="AT412" s="68">
        <f t="shared" si="232"/>
        <v>1</v>
      </c>
      <c r="AU412" s="68">
        <f t="shared" si="233"/>
        <v>1</v>
      </c>
      <c r="AV412" s="68">
        <f t="shared" si="234"/>
        <v>1.05</v>
      </c>
      <c r="AW412" s="68">
        <f t="shared" si="235"/>
        <v>1.05</v>
      </c>
      <c r="AX412" s="68">
        <f t="shared" ca="1" si="236"/>
        <v>2</v>
      </c>
      <c r="AY412" s="68">
        <v>2018</v>
      </c>
      <c r="AZ412" s="68" t="s">
        <v>13</v>
      </c>
      <c r="BA412" s="106" t="str">
        <f t="shared" si="213"/>
        <v>CS</v>
      </c>
      <c r="BB412" s="178"/>
      <c r="BC412" s="178">
        <v>8</v>
      </c>
      <c r="BD412" s="178"/>
      <c r="BE412" s="178"/>
      <c r="BF412" s="178"/>
      <c r="BG412" s="178"/>
      <c r="BH412" s="178"/>
      <c r="BI412" s="33"/>
      <c r="BK412" s="48">
        <f>$G412/5280*VLOOKUP($AC412,'Cost and Score'!$B$27:$O$40,6,0)</f>
        <v>0.21685606060606061</v>
      </c>
      <c r="BL412" s="48">
        <f>$G412/5280*VLOOKUP($AC412,'Cost and Score'!$B$27:$O$40,7,0)</f>
        <v>23.854166666666664</v>
      </c>
      <c r="BM412" s="48">
        <f>$G412/5280*VLOOKUP($AC412,'Cost and Score'!$B$27:$O$40,8,0)</f>
        <v>0</v>
      </c>
      <c r="BN412" s="48">
        <f>$G412/5280*VLOOKUP($AC412,'Cost and Score'!$B$27:$O$40,9,0)</f>
        <v>4879.2613636363631</v>
      </c>
      <c r="BO412" s="48">
        <f>$G412/5280*VLOOKUP($AC412,'Cost and Score'!$B$27:$O$40,10,0)</f>
        <v>1084.280303030303</v>
      </c>
      <c r="BP412" s="48">
        <f>$G412/5280*VLOOKUP($AC412,'Cost and Score'!$B$27:$O$40,11,0)</f>
        <v>0</v>
      </c>
      <c r="BQ412" s="48">
        <f>$G412/5280*VLOOKUP($AC412,'Cost and Score'!$B$27:$O$40,12,0)</f>
        <v>108.4280303030303</v>
      </c>
      <c r="BR412" s="48">
        <f>$G412/5280*VLOOKUP($AC412,'Cost and Score'!$B$27:$O$40,13,0)</f>
        <v>130.11363636363635</v>
      </c>
      <c r="BS412" s="48">
        <f>$G412/5280*VLOOKUP($AC412,'Cost and Score'!$B$27:$O$40,14,0)</f>
        <v>0</v>
      </c>
      <c r="BT412" s="220">
        <f t="shared" si="214"/>
        <v>1.084280303030303</v>
      </c>
      <c r="CN412" s="112"/>
      <c r="CO412" s="112"/>
      <c r="CP412" s="112"/>
      <c r="CQ412" s="112"/>
      <c r="CV412" s="112"/>
      <c r="CW412" s="112"/>
      <c r="CX412" s="112"/>
      <c r="CY412" s="112"/>
    </row>
    <row r="413" spans="1:103" s="2" customFormat="1" hidden="1" x14ac:dyDescent="0.25">
      <c r="A413" s="15" t="s">
        <v>921</v>
      </c>
      <c r="B413" s="34" t="s">
        <v>920</v>
      </c>
      <c r="C413" s="85" t="s">
        <v>920</v>
      </c>
      <c r="D413" s="85"/>
      <c r="E413" s="85" t="s">
        <v>910</v>
      </c>
      <c r="F413" s="85" t="s">
        <v>39</v>
      </c>
      <c r="G413" s="29">
        <v>2692</v>
      </c>
      <c r="H413" s="29">
        <f t="shared" si="238"/>
        <v>20</v>
      </c>
      <c r="I413" s="85" t="s">
        <v>8</v>
      </c>
      <c r="J413" s="85" t="s">
        <v>11</v>
      </c>
      <c r="K413" s="85">
        <f>VLOOKUP(J413,TOWNSHIPS,2,FALSE)</f>
        <v>0</v>
      </c>
      <c r="L413" s="74">
        <v>8</v>
      </c>
      <c r="M413" s="74">
        <v>7</v>
      </c>
      <c r="N413" s="74">
        <v>6</v>
      </c>
      <c r="O413" s="74">
        <v>6</v>
      </c>
      <c r="P413" s="74">
        <v>6</v>
      </c>
      <c r="Q413" s="74">
        <v>6</v>
      </c>
      <c r="R413" s="74">
        <v>6</v>
      </c>
      <c r="S413" s="74">
        <v>6</v>
      </c>
      <c r="T413" s="74">
        <v>6</v>
      </c>
      <c r="U413" s="74">
        <v>6</v>
      </c>
      <c r="V413" s="74"/>
      <c r="W413" s="74"/>
      <c r="X413" s="74"/>
      <c r="Y413" s="85">
        <v>811</v>
      </c>
      <c r="Z413" s="85">
        <f t="shared" si="239"/>
        <v>0.5</v>
      </c>
      <c r="AA413" s="85" t="s">
        <v>168</v>
      </c>
      <c r="AB413" s="111">
        <f t="shared" si="240"/>
        <v>4.5</v>
      </c>
      <c r="AC413" s="82" t="s">
        <v>751</v>
      </c>
      <c r="AD413" s="47">
        <f t="shared" si="201"/>
        <v>56083.333333333336</v>
      </c>
      <c r="AE413" s="140">
        <v>1</v>
      </c>
      <c r="AF413" s="113">
        <f t="shared" si="237"/>
        <v>56083.333333333336</v>
      </c>
      <c r="AG413" s="85">
        <v>2023</v>
      </c>
      <c r="AH413" s="26" t="str">
        <f t="shared" si="241"/>
        <v/>
      </c>
      <c r="AI413" s="26" t="str">
        <f t="shared" si="241"/>
        <v>Overlay - 2"</v>
      </c>
      <c r="AJ413" s="26" t="str">
        <f t="shared" si="241"/>
        <v/>
      </c>
      <c r="AK413" s="26" t="str">
        <f t="shared" si="241"/>
        <v/>
      </c>
      <c r="AL413" s="26" t="str">
        <f t="shared" si="241"/>
        <v/>
      </c>
      <c r="AM413" s="26" t="str">
        <f t="shared" si="241"/>
        <v/>
      </c>
      <c r="AN413" s="26" t="str">
        <f t="shared" si="226"/>
        <v>Overlay - 2"</v>
      </c>
      <c r="AO413" s="26" t="str">
        <f t="shared" si="227"/>
        <v/>
      </c>
      <c r="AP413" s="26" t="str">
        <f t="shared" si="228"/>
        <v/>
      </c>
      <c r="AQ413" s="68">
        <f t="shared" si="242"/>
        <v>8</v>
      </c>
      <c r="AR413" s="68">
        <f t="shared" si="243"/>
        <v>12</v>
      </c>
      <c r="AS413" s="68">
        <f t="shared" si="231"/>
        <v>1</v>
      </c>
      <c r="AT413" s="68">
        <f t="shared" si="232"/>
        <v>1.05</v>
      </c>
      <c r="AU413" s="68">
        <f t="shared" si="233"/>
        <v>1.1000000000000001</v>
      </c>
      <c r="AV413" s="68">
        <f t="shared" si="234"/>
        <v>1.1000000000000001</v>
      </c>
      <c r="AW413" s="68">
        <f t="shared" si="235"/>
        <v>1.1000000000000001</v>
      </c>
      <c r="AX413" s="68">
        <f t="shared" ca="1" si="236"/>
        <v>-1.1000000000000001</v>
      </c>
      <c r="AY413" s="68">
        <v>2023</v>
      </c>
      <c r="AZ413" s="68" t="s">
        <v>751</v>
      </c>
      <c r="BA413" s="106" t="str">
        <f t="shared" si="213"/>
        <v/>
      </c>
      <c r="BB413" s="178"/>
      <c r="BC413" s="178">
        <v>2</v>
      </c>
      <c r="BD413" s="178"/>
      <c r="BE413" s="178"/>
      <c r="BF413" s="178"/>
      <c r="BG413" s="178"/>
      <c r="BH413" s="178"/>
      <c r="BI413" s="33"/>
      <c r="BK413" s="48">
        <f>$G413/5280*VLOOKUP($AC413,'Cost and Score'!$B$27:$O$40,6,0)</f>
        <v>1.147159090909091</v>
      </c>
      <c r="BL413" s="48">
        <f>$G413/5280*VLOOKUP($AC413,'Cost and Score'!$B$27:$O$40,7,0)</f>
        <v>107.06818181818183</v>
      </c>
      <c r="BM413" s="48">
        <f>$G413/5280*VLOOKUP($AC413,'Cost and Score'!$B$27:$O$40,8,0)</f>
        <v>178.44696969696972</v>
      </c>
      <c r="BN413" s="48">
        <f>$G413/5280*VLOOKUP($AC413,'Cost and Score'!$B$27:$O$40,9,0)</f>
        <v>0</v>
      </c>
      <c r="BO413" s="48">
        <f>$G413/5280*VLOOKUP($AC413,'Cost and Score'!$B$27:$O$40,10,0)</f>
        <v>0</v>
      </c>
      <c r="BP413" s="48">
        <f>$G413/5280*VLOOKUP($AC413,'Cost and Score'!$B$27:$O$40,11,0)</f>
        <v>101.96969696969698</v>
      </c>
      <c r="BQ413" s="48">
        <f>$G413/5280*VLOOKUP($AC413,'Cost and Score'!$B$27:$O$40,12,0)</f>
        <v>866.74242424242425</v>
      </c>
      <c r="BR413" s="48">
        <f>$G413/5280*VLOOKUP($AC413,'Cost and Score'!$B$27:$O$40,13,0)</f>
        <v>0</v>
      </c>
      <c r="BS413" s="48">
        <f>$G413/5280*VLOOKUP($AC413,'Cost and Score'!$B$27:$O$40,14,0)</f>
        <v>0</v>
      </c>
      <c r="BT413" s="220">
        <f t="shared" si="214"/>
        <v>0.50984848484848488</v>
      </c>
      <c r="CG413" s="112"/>
      <c r="CH413" s="112"/>
      <c r="CI413" s="112"/>
      <c r="CJ413" s="112"/>
      <c r="CK413" s="112"/>
      <c r="CL413" s="112"/>
      <c r="CM413" s="112"/>
    </row>
    <row r="414" spans="1:103" s="2" customFormat="1" ht="14.45" hidden="1" customHeight="1" x14ac:dyDescent="0.25">
      <c r="A414" s="15" t="s">
        <v>923</v>
      </c>
      <c r="B414" s="34" t="s">
        <v>922</v>
      </c>
      <c r="C414" s="26" t="s">
        <v>922</v>
      </c>
      <c r="D414" s="82"/>
      <c r="E414" s="82" t="s">
        <v>39</v>
      </c>
      <c r="F414" s="82" t="s">
        <v>608</v>
      </c>
      <c r="G414" s="29">
        <v>3484</v>
      </c>
      <c r="H414" s="29">
        <f t="shared" si="238"/>
        <v>20</v>
      </c>
      <c r="I414" s="26" t="s">
        <v>8</v>
      </c>
      <c r="J414" s="26" t="s">
        <v>11</v>
      </c>
      <c r="K414" s="26">
        <f>VLOOKUP(J414,TOWNSHIPS,2,FALSE)</f>
        <v>0</v>
      </c>
      <c r="L414" s="42">
        <v>7</v>
      </c>
      <c r="M414" s="42">
        <v>7</v>
      </c>
      <c r="N414" s="42">
        <v>7</v>
      </c>
      <c r="O414" s="83">
        <v>7</v>
      </c>
      <c r="P414" s="83">
        <v>7</v>
      </c>
      <c r="Q414" s="83">
        <v>7</v>
      </c>
      <c r="R414" s="83">
        <v>7</v>
      </c>
      <c r="S414" s="83">
        <v>7</v>
      </c>
      <c r="T414" s="83">
        <v>7</v>
      </c>
      <c r="U414" s="83">
        <v>7</v>
      </c>
      <c r="V414" s="42"/>
      <c r="W414" s="42"/>
      <c r="X414" s="42"/>
      <c r="Y414" s="26">
        <v>984</v>
      </c>
      <c r="Z414" s="26">
        <f t="shared" si="239"/>
        <v>0.5</v>
      </c>
      <c r="AA414" s="82" t="s">
        <v>168</v>
      </c>
      <c r="AB414" s="111">
        <f t="shared" si="240"/>
        <v>3.5</v>
      </c>
      <c r="AC414" s="85" t="s">
        <v>13</v>
      </c>
      <c r="AD414" s="84">
        <f t="shared" si="201"/>
        <v>13856.818181818182</v>
      </c>
      <c r="AE414" s="140"/>
      <c r="AF414" s="113">
        <f t="shared" si="237"/>
        <v>0</v>
      </c>
      <c r="AG414" s="85">
        <v>2024</v>
      </c>
      <c r="AH414" s="26" t="str">
        <f t="shared" si="241"/>
        <v/>
      </c>
      <c r="AI414" s="26" t="str">
        <f t="shared" si="241"/>
        <v/>
      </c>
      <c r="AJ414" s="26" t="str">
        <f t="shared" si="241"/>
        <v>Chip Seal and Fog</v>
      </c>
      <c r="AK414" s="26" t="str">
        <f t="shared" si="241"/>
        <v/>
      </c>
      <c r="AL414" s="26" t="str">
        <f t="shared" si="241"/>
        <v/>
      </c>
      <c r="AM414" s="26" t="str">
        <f t="shared" si="241"/>
        <v/>
      </c>
      <c r="AN414" s="26" t="str">
        <f t="shared" si="226"/>
        <v>Chip Seal and Fog</v>
      </c>
      <c r="AO414" s="26" t="str">
        <f t="shared" si="227"/>
        <v/>
      </c>
      <c r="AP414" s="26" t="str">
        <f t="shared" si="228"/>
        <v/>
      </c>
      <c r="AQ414" s="68">
        <f t="shared" si="242"/>
        <v>10</v>
      </c>
      <c r="AR414" s="68">
        <f t="shared" si="243"/>
        <v>6</v>
      </c>
      <c r="AS414" s="68">
        <f t="shared" si="231"/>
        <v>1.05</v>
      </c>
      <c r="AT414" s="68">
        <f t="shared" si="232"/>
        <v>1.05</v>
      </c>
      <c r="AU414" s="68">
        <f t="shared" si="233"/>
        <v>1.05</v>
      </c>
      <c r="AV414" s="68">
        <f t="shared" si="234"/>
        <v>1.05</v>
      </c>
      <c r="AW414" s="68">
        <f t="shared" si="235"/>
        <v>1.05</v>
      </c>
      <c r="AX414" s="68">
        <f t="shared" ca="1" si="236"/>
        <v>0</v>
      </c>
      <c r="AY414" s="68">
        <v>2018</v>
      </c>
      <c r="AZ414" s="68" t="s">
        <v>2075</v>
      </c>
      <c r="BA414" s="106" t="str">
        <f t="shared" si="213"/>
        <v>CRACK</v>
      </c>
      <c r="BB414" s="178"/>
      <c r="BC414" s="178">
        <v>2</v>
      </c>
      <c r="BD414" s="178"/>
      <c r="BE414" s="178"/>
      <c r="BF414" s="178"/>
      <c r="BG414" s="178"/>
      <c r="BH414" s="178"/>
      <c r="BI414" s="33" t="s">
        <v>2473</v>
      </c>
      <c r="BK414" s="48">
        <f>$G414/5280*VLOOKUP($AC414,'Cost and Score'!$B$27:$O$40,6,0)</f>
        <v>0.13196969696969696</v>
      </c>
      <c r="BL414" s="48">
        <f>$G414/5280*VLOOKUP($AC414,'Cost and Score'!$B$27:$O$40,7,0)</f>
        <v>14.516666666666666</v>
      </c>
      <c r="BM414" s="48">
        <f>$G414/5280*VLOOKUP($AC414,'Cost and Score'!$B$27:$O$40,8,0)</f>
        <v>0</v>
      </c>
      <c r="BN414" s="48">
        <f>$G414/5280*VLOOKUP($AC414,'Cost and Score'!$B$27:$O$40,9,0)</f>
        <v>2969.3181818181815</v>
      </c>
      <c r="BO414" s="48">
        <f>$G414/5280*VLOOKUP($AC414,'Cost and Score'!$B$27:$O$40,10,0)</f>
        <v>659.84848484848476</v>
      </c>
      <c r="BP414" s="48">
        <f>$G414/5280*VLOOKUP($AC414,'Cost and Score'!$B$27:$O$40,11,0)</f>
        <v>0</v>
      </c>
      <c r="BQ414" s="48">
        <f>$G414/5280*VLOOKUP($AC414,'Cost and Score'!$B$27:$O$40,12,0)</f>
        <v>65.984848484848484</v>
      </c>
      <c r="BR414" s="48">
        <f>$G414/5280*VLOOKUP($AC414,'Cost and Score'!$B$27:$O$40,13,0)</f>
        <v>79.181818181818173</v>
      </c>
      <c r="BS414" s="48">
        <f>$G414/5280*VLOOKUP($AC414,'Cost and Score'!$B$27:$O$40,14,0)</f>
        <v>0</v>
      </c>
      <c r="BT414" s="220">
        <f t="shared" si="214"/>
        <v>0.6598484848484848</v>
      </c>
    </row>
    <row r="415" spans="1:103" s="2" customFormat="1" ht="14.45" hidden="1" customHeight="1" x14ac:dyDescent="0.25">
      <c r="A415" s="15" t="s">
        <v>925</v>
      </c>
      <c r="B415" s="34" t="s">
        <v>924</v>
      </c>
      <c r="C415" s="26" t="s">
        <v>924</v>
      </c>
      <c r="D415" s="26"/>
      <c r="E415" s="26" t="s">
        <v>307</v>
      </c>
      <c r="F415" s="26" t="s">
        <v>100</v>
      </c>
      <c r="G415" s="29">
        <v>2790</v>
      </c>
      <c r="H415" s="29">
        <f t="shared" si="238"/>
        <v>20</v>
      </c>
      <c r="I415" s="106" t="s">
        <v>13</v>
      </c>
      <c r="J415" s="26" t="s">
        <v>160</v>
      </c>
      <c r="K415" s="26">
        <f>VLOOKUP(J415,TOWNSHIPS,2,FALSE)</f>
        <v>0</v>
      </c>
      <c r="L415" s="42">
        <v>7</v>
      </c>
      <c r="M415" s="42">
        <v>7</v>
      </c>
      <c r="N415" s="42">
        <v>7</v>
      </c>
      <c r="O415" s="42">
        <v>8</v>
      </c>
      <c r="P415" s="42">
        <v>7</v>
      </c>
      <c r="Q415" s="42">
        <v>7</v>
      </c>
      <c r="R415" s="42">
        <v>7</v>
      </c>
      <c r="S415" s="42">
        <v>7</v>
      </c>
      <c r="T415" s="42">
        <v>7</v>
      </c>
      <c r="U415" s="42"/>
      <c r="V415" s="42">
        <v>2022</v>
      </c>
      <c r="W415" s="42">
        <v>2020</v>
      </c>
      <c r="X415" s="42" t="s">
        <v>2612</v>
      </c>
      <c r="Y415" s="26">
        <v>5944</v>
      </c>
      <c r="Z415" s="26">
        <f t="shared" si="239"/>
        <v>1.5</v>
      </c>
      <c r="AA415" s="26" t="s">
        <v>168</v>
      </c>
      <c r="AB415" s="111">
        <f t="shared" si="240"/>
        <v>4.5</v>
      </c>
      <c r="AC415" s="85" t="s">
        <v>2371</v>
      </c>
      <c r="AD415" s="47">
        <f t="shared" si="201"/>
        <v>42272.727272727272</v>
      </c>
      <c r="AE415" s="140">
        <v>1</v>
      </c>
      <c r="AF415" s="113">
        <f t="shared" si="237"/>
        <v>42272.727272727272</v>
      </c>
      <c r="AG415" s="85">
        <v>2024</v>
      </c>
      <c r="AH415" s="26" t="str">
        <f t="shared" si="241"/>
        <v/>
      </c>
      <c r="AI415" s="26" t="str">
        <f t="shared" si="241"/>
        <v/>
      </c>
      <c r="AJ415" s="26" t="str">
        <f t="shared" si="241"/>
        <v>Microsurface double</v>
      </c>
      <c r="AK415" s="26" t="str">
        <f t="shared" si="241"/>
        <v/>
      </c>
      <c r="AL415" s="26" t="str">
        <f t="shared" si="241"/>
        <v/>
      </c>
      <c r="AM415" s="26" t="str">
        <f t="shared" si="241"/>
        <v/>
      </c>
      <c r="AN415" s="26" t="str">
        <f t="shared" si="226"/>
        <v>Microsurface double</v>
      </c>
      <c r="AO415" s="26" t="str">
        <f t="shared" si="227"/>
        <v/>
      </c>
      <c r="AP415" s="26" t="str">
        <f t="shared" si="228"/>
        <v/>
      </c>
      <c r="AQ415" s="68">
        <f t="shared" si="242"/>
        <v>12</v>
      </c>
      <c r="AR415" s="68">
        <f t="shared" si="243"/>
        <v>10</v>
      </c>
      <c r="AS415" s="68">
        <f t="shared" si="231"/>
        <v>1.05</v>
      </c>
      <c r="AT415" s="68">
        <f t="shared" si="232"/>
        <v>1.05</v>
      </c>
      <c r="AU415" s="68">
        <f t="shared" si="233"/>
        <v>1.05</v>
      </c>
      <c r="AV415" s="68">
        <f t="shared" si="234"/>
        <v>1</v>
      </c>
      <c r="AW415" s="68">
        <f t="shared" si="235"/>
        <v>1.05</v>
      </c>
      <c r="AX415" s="68">
        <f t="shared" ca="1" si="236"/>
        <v>0</v>
      </c>
      <c r="AY415" s="68">
        <v>2020</v>
      </c>
      <c r="AZ415" s="68" t="s">
        <v>2075</v>
      </c>
      <c r="BA415" s="106" t="str">
        <f t="shared" si="213"/>
        <v/>
      </c>
      <c r="BB415" s="178"/>
      <c r="BC415" s="178">
        <v>8</v>
      </c>
      <c r="BD415" s="178"/>
      <c r="BE415" s="178"/>
      <c r="BF415" s="178"/>
      <c r="BG415" s="178"/>
      <c r="BH415" s="178"/>
      <c r="BI415" s="33"/>
      <c r="BK415" s="48">
        <f>$G415/5280*VLOOKUP($AC415,'Cost and Score'!$B$27:$O$40,6,0)</f>
        <v>0.26420454545454547</v>
      </c>
      <c r="BL415" s="48">
        <f>$G415/5280*VLOOKUP($AC415,'Cost and Score'!$B$27:$O$40,7,0)</f>
        <v>0</v>
      </c>
      <c r="BM415" s="48">
        <f>$G415/5280*VLOOKUP($AC415,'Cost and Score'!$B$27:$O$40,8,0)</f>
        <v>0</v>
      </c>
      <c r="BN415" s="48">
        <f>$G415/5280*VLOOKUP($AC415,'Cost and Score'!$B$27:$O$40,9,0)</f>
        <v>0</v>
      </c>
      <c r="BO415" s="48">
        <f>$G415/5280*VLOOKUP($AC415,'Cost and Score'!$B$27:$O$40,10,0)</f>
        <v>0</v>
      </c>
      <c r="BP415" s="48">
        <f>$G415/5280*VLOOKUP($AC415,'Cost and Score'!$B$27:$O$40,11,0)</f>
        <v>0</v>
      </c>
      <c r="BQ415" s="48">
        <f>$G415/5280*VLOOKUP($AC415,'Cost and Score'!$B$27:$O$40,12,0)</f>
        <v>0</v>
      </c>
      <c r="BR415" s="48">
        <f>$G415/5280*VLOOKUP($AC415,'Cost and Score'!$B$27:$O$40,13,0)</f>
        <v>0</v>
      </c>
      <c r="BS415" s="48">
        <f>$G415/5280*VLOOKUP($AC415,'Cost and Score'!$B$27:$O$40,14,0)</f>
        <v>0</v>
      </c>
      <c r="BT415" s="220">
        <f t="shared" si="214"/>
        <v>0.52840909090909094</v>
      </c>
    </row>
    <row r="416" spans="1:103" s="2" customFormat="1" ht="14.45" customHeight="1" x14ac:dyDescent="0.25">
      <c r="A416" s="38" t="s">
        <v>1131</v>
      </c>
      <c r="B416" s="34" t="s">
        <v>1130</v>
      </c>
      <c r="C416" s="26" t="s">
        <v>1130</v>
      </c>
      <c r="D416" s="82"/>
      <c r="E416" s="82" t="s">
        <v>984</v>
      </c>
      <c r="F416" s="82" t="s">
        <v>209</v>
      </c>
      <c r="G416" s="29">
        <v>1800</v>
      </c>
      <c r="H416" s="29">
        <f t="shared" si="238"/>
        <v>20</v>
      </c>
      <c r="I416" s="26" t="s">
        <v>13</v>
      </c>
      <c r="J416" s="26" t="s">
        <v>160</v>
      </c>
      <c r="K416" s="26">
        <f>VLOOKUP(J416,TOWNSHIPS,2,FALSE)</f>
        <v>0</v>
      </c>
      <c r="L416" s="42">
        <v>5</v>
      </c>
      <c r="M416" s="42">
        <v>5</v>
      </c>
      <c r="N416" s="42">
        <v>5</v>
      </c>
      <c r="O416" s="83">
        <v>5</v>
      </c>
      <c r="P416" s="83">
        <v>5</v>
      </c>
      <c r="Q416" s="83">
        <v>5</v>
      </c>
      <c r="R416" s="83">
        <v>7</v>
      </c>
      <c r="S416" s="83">
        <v>7</v>
      </c>
      <c r="T416" s="83">
        <v>7</v>
      </c>
      <c r="U416" s="83">
        <v>7</v>
      </c>
      <c r="V416" s="42"/>
      <c r="W416" s="42"/>
      <c r="X416" s="42"/>
      <c r="Y416" s="26">
        <v>110</v>
      </c>
      <c r="Z416" s="26">
        <f t="shared" si="239"/>
        <v>0</v>
      </c>
      <c r="AA416" s="82" t="s">
        <v>1132</v>
      </c>
      <c r="AB416" s="111">
        <f t="shared" si="240"/>
        <v>5</v>
      </c>
      <c r="AC416" s="82" t="s">
        <v>13</v>
      </c>
      <c r="AD416" s="84">
        <f t="shared" si="201"/>
        <v>7159.090909090909</v>
      </c>
      <c r="AE416" s="140"/>
      <c r="AF416" s="113">
        <f t="shared" si="237"/>
        <v>0</v>
      </c>
      <c r="AG416" s="106">
        <v>2025</v>
      </c>
      <c r="AH416" s="26" t="str">
        <f t="shared" si="241"/>
        <v/>
      </c>
      <c r="AI416" s="26" t="str">
        <f t="shared" si="241"/>
        <v/>
      </c>
      <c r="AJ416" s="26" t="str">
        <f t="shared" si="241"/>
        <v/>
      </c>
      <c r="AK416" s="26" t="str">
        <f t="shared" si="241"/>
        <v>Chip Seal and Fog</v>
      </c>
      <c r="AL416" s="26" t="str">
        <f t="shared" si="241"/>
        <v/>
      </c>
      <c r="AM416" s="26" t="str">
        <f t="shared" si="241"/>
        <v/>
      </c>
      <c r="AN416" s="26" t="str">
        <f t="shared" si="226"/>
        <v>Chip Seal and Fog</v>
      </c>
      <c r="AO416" s="26" t="str">
        <f t="shared" si="227"/>
        <v/>
      </c>
      <c r="AP416" s="26" t="str">
        <f t="shared" si="228"/>
        <v/>
      </c>
      <c r="AQ416" s="68">
        <f t="shared" si="242"/>
        <v>6</v>
      </c>
      <c r="AR416" s="68">
        <f t="shared" si="243"/>
        <v>6</v>
      </c>
      <c r="AS416" s="68">
        <f t="shared" si="231"/>
        <v>1.25</v>
      </c>
      <c r="AT416" s="68">
        <f t="shared" si="232"/>
        <v>1.25</v>
      </c>
      <c r="AU416" s="68">
        <f t="shared" si="233"/>
        <v>1.25</v>
      </c>
      <c r="AV416" s="68">
        <f t="shared" si="234"/>
        <v>1.25</v>
      </c>
      <c r="AW416" s="68">
        <f t="shared" si="235"/>
        <v>1.25</v>
      </c>
      <c r="AX416" s="68">
        <f t="shared" ca="1" si="236"/>
        <v>1.25</v>
      </c>
      <c r="AY416" s="68">
        <v>2019</v>
      </c>
      <c r="AZ416" s="68" t="s">
        <v>2072</v>
      </c>
      <c r="BA416" s="106" t="str">
        <f t="shared" si="213"/>
        <v/>
      </c>
      <c r="BB416" s="178"/>
      <c r="BC416" s="178">
        <v>8</v>
      </c>
      <c r="BD416" s="178"/>
      <c r="BE416" s="178"/>
      <c r="BF416" s="178"/>
      <c r="BG416" s="178"/>
      <c r="BH416" s="178"/>
      <c r="BI416" s="33"/>
      <c r="BK416" s="48">
        <f>$G416/5280*VLOOKUP($AC416,'Cost and Score'!$B$27:$O$40,6,0)</f>
        <v>6.8181818181818177E-2</v>
      </c>
      <c r="BL416" s="48">
        <f>$G416/5280*VLOOKUP($AC416,'Cost and Score'!$B$27:$O$40,7,0)</f>
        <v>7.4999999999999991</v>
      </c>
      <c r="BM416" s="48">
        <f>$G416/5280*VLOOKUP($AC416,'Cost and Score'!$B$27:$O$40,8,0)</f>
        <v>0</v>
      </c>
      <c r="BN416" s="48">
        <f>$G416/5280*VLOOKUP($AC416,'Cost and Score'!$B$27:$O$40,9,0)</f>
        <v>1534.090909090909</v>
      </c>
      <c r="BO416" s="48">
        <f>$G416/5280*VLOOKUP($AC416,'Cost and Score'!$B$27:$O$40,10,0)</f>
        <v>340.90909090909088</v>
      </c>
      <c r="BP416" s="48">
        <f>$G416/5280*VLOOKUP($AC416,'Cost and Score'!$B$27:$O$40,11,0)</f>
        <v>0</v>
      </c>
      <c r="BQ416" s="48">
        <f>$G416/5280*VLOOKUP($AC416,'Cost and Score'!$B$27:$O$40,12,0)</f>
        <v>34.090909090909086</v>
      </c>
      <c r="BR416" s="48">
        <f>$G416/5280*VLOOKUP($AC416,'Cost and Score'!$B$27:$O$40,13,0)</f>
        <v>40.909090909090907</v>
      </c>
      <c r="BS416" s="48">
        <f>$G416/5280*VLOOKUP($AC416,'Cost and Score'!$B$27:$O$40,14,0)</f>
        <v>0</v>
      </c>
      <c r="BT416" s="220">
        <f t="shared" si="214"/>
        <v>0.34090909090909088</v>
      </c>
    </row>
    <row r="417" spans="1:103" s="2" customFormat="1" ht="14.45" hidden="1" customHeight="1" x14ac:dyDescent="0.25">
      <c r="A417" s="15" t="s">
        <v>929</v>
      </c>
      <c r="B417" s="34" t="s">
        <v>928</v>
      </c>
      <c r="C417" s="26" t="s">
        <v>928</v>
      </c>
      <c r="D417" s="26"/>
      <c r="E417" s="26" t="s">
        <v>25</v>
      </c>
      <c r="F417" s="26" t="s">
        <v>28</v>
      </c>
      <c r="G417" s="29">
        <v>5330</v>
      </c>
      <c r="H417" s="29">
        <f t="shared" si="238"/>
        <v>20</v>
      </c>
      <c r="I417" s="26" t="s">
        <v>13</v>
      </c>
      <c r="J417" s="26" t="s">
        <v>101</v>
      </c>
      <c r="K417" s="26">
        <v>0</v>
      </c>
      <c r="L417" s="42">
        <v>7</v>
      </c>
      <c r="M417" s="42">
        <v>7</v>
      </c>
      <c r="N417" s="42">
        <v>7</v>
      </c>
      <c r="O417" s="42">
        <v>7</v>
      </c>
      <c r="P417" s="42">
        <v>7</v>
      </c>
      <c r="Q417" s="42">
        <v>7</v>
      </c>
      <c r="R417" s="42">
        <v>7</v>
      </c>
      <c r="S417" s="42">
        <v>7</v>
      </c>
      <c r="T417" s="42">
        <v>7</v>
      </c>
      <c r="U417" s="42">
        <v>7</v>
      </c>
      <c r="V417" s="42"/>
      <c r="W417" s="42"/>
      <c r="X417" s="42"/>
      <c r="Y417" s="26">
        <v>50</v>
      </c>
      <c r="Z417" s="26">
        <f t="shared" si="239"/>
        <v>0</v>
      </c>
      <c r="AA417" s="26" t="s">
        <v>504</v>
      </c>
      <c r="AB417" s="111">
        <f t="shared" si="240"/>
        <v>3</v>
      </c>
      <c r="AC417" s="26" t="s">
        <v>13</v>
      </c>
      <c r="AD417" s="47">
        <f t="shared" si="201"/>
        <v>21198.863636363636</v>
      </c>
      <c r="AE417" s="140"/>
      <c r="AF417" s="113">
        <f t="shared" si="237"/>
        <v>0</v>
      </c>
      <c r="AG417" s="82">
        <v>2022</v>
      </c>
      <c r="AH417" s="26" t="str">
        <f t="shared" si="241"/>
        <v>Chip Seal and Fog</v>
      </c>
      <c r="AI417" s="26" t="str">
        <f t="shared" si="241"/>
        <v/>
      </c>
      <c r="AJ417" s="26" t="str">
        <f t="shared" si="241"/>
        <v/>
      </c>
      <c r="AK417" s="26" t="str">
        <f t="shared" si="241"/>
        <v/>
      </c>
      <c r="AL417" s="26" t="str">
        <f t="shared" si="241"/>
        <v/>
      </c>
      <c r="AM417" s="26" t="str">
        <f t="shared" si="241"/>
        <v/>
      </c>
      <c r="AN417" s="26" t="str">
        <f t="shared" si="226"/>
        <v>Chip Seal and Fog</v>
      </c>
      <c r="AO417" s="26" t="str">
        <f t="shared" si="227"/>
        <v/>
      </c>
      <c r="AP417" s="26" t="str">
        <f t="shared" si="228"/>
        <v>Chip Seal and Fog</v>
      </c>
      <c r="AQ417" s="68">
        <f t="shared" si="242"/>
        <v>10</v>
      </c>
      <c r="AR417" s="68">
        <f t="shared" si="243"/>
        <v>6</v>
      </c>
      <c r="AS417" s="68">
        <f t="shared" si="231"/>
        <v>1.05</v>
      </c>
      <c r="AT417" s="68">
        <f t="shared" si="232"/>
        <v>1.05</v>
      </c>
      <c r="AU417" s="68">
        <f t="shared" si="233"/>
        <v>1.05</v>
      </c>
      <c r="AV417" s="68">
        <f t="shared" si="234"/>
        <v>1.05</v>
      </c>
      <c r="AW417" s="68">
        <f t="shared" si="235"/>
        <v>1.05</v>
      </c>
      <c r="AX417" s="68">
        <f t="shared" ca="1" si="236"/>
        <v>-2.1</v>
      </c>
      <c r="AY417" s="68">
        <v>2022</v>
      </c>
      <c r="AZ417" s="68" t="s">
        <v>13</v>
      </c>
      <c r="BA417" s="106" t="str">
        <f t="shared" si="213"/>
        <v/>
      </c>
      <c r="BB417" s="178">
        <v>2</v>
      </c>
      <c r="BC417" s="178">
        <v>4</v>
      </c>
      <c r="BD417" s="178"/>
      <c r="BE417" s="178"/>
      <c r="BF417" s="178"/>
      <c r="BG417" s="178"/>
      <c r="BH417" s="178"/>
      <c r="BI417" s="33"/>
      <c r="BK417" s="48">
        <f>$G417/5280*VLOOKUP($AC417,'Cost and Score'!$B$27:$O$40,6,0)</f>
        <v>0.2018939393939394</v>
      </c>
      <c r="BL417" s="48">
        <f>$G417/5280*VLOOKUP($AC417,'Cost and Score'!$B$27:$O$40,7,0)</f>
        <v>22.208333333333336</v>
      </c>
      <c r="BM417" s="48">
        <f>$G417/5280*VLOOKUP($AC417,'Cost and Score'!$B$27:$O$40,8,0)</f>
        <v>0</v>
      </c>
      <c r="BN417" s="48">
        <f>$G417/5280*VLOOKUP($AC417,'Cost and Score'!$B$27:$O$40,9,0)</f>
        <v>4542.6136363636369</v>
      </c>
      <c r="BO417" s="48">
        <f>$G417/5280*VLOOKUP($AC417,'Cost and Score'!$B$27:$O$40,10,0)</f>
        <v>1009.469696969697</v>
      </c>
      <c r="BP417" s="48">
        <f>$G417/5280*VLOOKUP($AC417,'Cost and Score'!$B$27:$O$40,11,0)</f>
        <v>0</v>
      </c>
      <c r="BQ417" s="48">
        <f>$G417/5280*VLOOKUP($AC417,'Cost and Score'!$B$27:$O$40,12,0)</f>
        <v>100.9469696969697</v>
      </c>
      <c r="BR417" s="48">
        <f>$G417/5280*VLOOKUP($AC417,'Cost and Score'!$B$27:$O$40,13,0)</f>
        <v>121.13636363636364</v>
      </c>
      <c r="BS417" s="48">
        <f>$G417/5280*VLOOKUP($AC417,'Cost and Score'!$B$27:$O$40,14,0)</f>
        <v>0</v>
      </c>
      <c r="BT417" s="220">
        <f t="shared" si="214"/>
        <v>1.009469696969697</v>
      </c>
    </row>
    <row r="418" spans="1:103" s="2" customFormat="1" ht="14.45" hidden="1" customHeight="1" x14ac:dyDescent="0.25">
      <c r="A418" s="15" t="s">
        <v>931</v>
      </c>
      <c r="B418" s="34" t="s">
        <v>930</v>
      </c>
      <c r="C418" s="26" t="s">
        <v>930</v>
      </c>
      <c r="D418" s="26"/>
      <c r="E418" s="26" t="s">
        <v>28</v>
      </c>
      <c r="F418" s="26" t="s">
        <v>9</v>
      </c>
      <c r="G418" s="29">
        <v>5230</v>
      </c>
      <c r="H418" s="29">
        <f t="shared" si="238"/>
        <v>20</v>
      </c>
      <c r="I418" s="26" t="s">
        <v>13</v>
      </c>
      <c r="J418" s="26" t="s">
        <v>101</v>
      </c>
      <c r="K418" s="26">
        <v>0</v>
      </c>
      <c r="L418" s="42">
        <v>7</v>
      </c>
      <c r="M418" s="42">
        <v>6</v>
      </c>
      <c r="N418" s="42">
        <v>6</v>
      </c>
      <c r="O418" s="42">
        <v>6</v>
      </c>
      <c r="P418" s="42">
        <v>6</v>
      </c>
      <c r="Q418" s="42">
        <v>6</v>
      </c>
      <c r="R418" s="42">
        <v>6</v>
      </c>
      <c r="S418" s="42">
        <v>6</v>
      </c>
      <c r="T418" s="42">
        <v>6</v>
      </c>
      <c r="U418" s="42">
        <v>8</v>
      </c>
      <c r="V418" s="42"/>
      <c r="W418" s="42"/>
      <c r="X418" s="42"/>
      <c r="Y418" s="26">
        <v>50</v>
      </c>
      <c r="Z418" s="26">
        <f t="shared" si="239"/>
        <v>0</v>
      </c>
      <c r="AA418" s="26" t="s">
        <v>504</v>
      </c>
      <c r="AB418" s="111">
        <f t="shared" si="240"/>
        <v>4</v>
      </c>
      <c r="AC418" s="82" t="s">
        <v>2072</v>
      </c>
      <c r="AD418" s="47">
        <f t="shared" si="201"/>
        <v>45564.393939393936</v>
      </c>
      <c r="AE418" s="140"/>
      <c r="AF418" s="113">
        <f t="shared" si="237"/>
        <v>0</v>
      </c>
      <c r="AG418" s="26">
        <v>2027</v>
      </c>
      <c r="AH418" s="26" t="str">
        <f t="shared" si="241"/>
        <v/>
      </c>
      <c r="AI418" s="26" t="str">
        <f t="shared" si="241"/>
        <v/>
      </c>
      <c r="AJ418" s="26" t="str">
        <f t="shared" si="241"/>
        <v/>
      </c>
      <c r="AK418" s="26" t="str">
        <f t="shared" si="241"/>
        <v/>
      </c>
      <c r="AL418" s="26" t="str">
        <f t="shared" si="241"/>
        <v/>
      </c>
      <c r="AM418" s="26" t="str">
        <f t="shared" si="241"/>
        <v>Chip Seal - Triple</v>
      </c>
      <c r="AN418" s="26" t="str">
        <f t="shared" si="226"/>
        <v>Chip Seal - Triple</v>
      </c>
      <c r="AO418" s="26" t="str">
        <f t="shared" si="227"/>
        <v/>
      </c>
      <c r="AP418" s="26" t="str">
        <f t="shared" si="228"/>
        <v/>
      </c>
      <c r="AQ418" s="68">
        <f t="shared" si="242"/>
        <v>8</v>
      </c>
      <c r="AR418" s="68">
        <f t="shared" si="243"/>
        <v>8</v>
      </c>
      <c r="AS418" s="68">
        <f t="shared" si="231"/>
        <v>1.05</v>
      </c>
      <c r="AT418" s="68">
        <f t="shared" si="232"/>
        <v>1.1000000000000001</v>
      </c>
      <c r="AU418" s="68">
        <f t="shared" si="233"/>
        <v>1.1000000000000001</v>
      </c>
      <c r="AV418" s="68">
        <f t="shared" si="234"/>
        <v>1.1000000000000001</v>
      </c>
      <c r="AW418" s="68">
        <f t="shared" si="235"/>
        <v>1.1000000000000001</v>
      </c>
      <c r="AX418" s="68">
        <f t="shared" ca="1" si="236"/>
        <v>3.3000000000000003</v>
      </c>
      <c r="AY418" s="68">
        <v>2015</v>
      </c>
      <c r="AZ418" s="68" t="s">
        <v>2075</v>
      </c>
      <c r="BA418" s="106" t="str">
        <f t="shared" si="213"/>
        <v/>
      </c>
      <c r="BB418" s="178">
        <v>3</v>
      </c>
      <c r="BC418" s="178">
        <v>4</v>
      </c>
      <c r="BD418" s="178"/>
      <c r="BE418" s="178"/>
      <c r="BF418" s="178"/>
      <c r="BG418" s="178"/>
      <c r="BH418" s="178"/>
      <c r="BI418" s="33"/>
      <c r="BK418" s="48">
        <f>$G418/5280*VLOOKUP($AC418,'Cost and Score'!$B$27:$O$40,6,0)</f>
        <v>0.59431818181818175</v>
      </c>
      <c r="BL418" s="48">
        <f>$G418/5280*VLOOKUP($AC418,'Cost and Score'!$B$27:$O$40,7,0)</f>
        <v>123.81628787878788</v>
      </c>
      <c r="BM418" s="48">
        <f>$G418/5280*VLOOKUP($AC418,'Cost and Score'!$B$27:$O$40,8,0)</f>
        <v>198.10606060606059</v>
      </c>
      <c r="BN418" s="48">
        <f>$G418/5280*VLOOKUP($AC418,'Cost and Score'!$B$27:$O$40,9,0)</f>
        <v>1981.060606060606</v>
      </c>
      <c r="BO418" s="48">
        <f>$G418/5280*VLOOKUP($AC418,'Cost and Score'!$B$27:$O$40,10,0)</f>
        <v>495.2651515151515</v>
      </c>
      <c r="BP418" s="48">
        <f>$G418/5280*VLOOKUP($AC418,'Cost and Score'!$B$27:$O$40,11,0)</f>
        <v>99.053030303030297</v>
      </c>
      <c r="BQ418" s="48">
        <f>$G418/5280*VLOOKUP($AC418,'Cost and Score'!$B$27:$O$40,12,0)</f>
        <v>792.42424242424238</v>
      </c>
      <c r="BR418" s="48">
        <f>$G418/5280*VLOOKUP($AC418,'Cost and Score'!$B$27:$O$40,13,0)</f>
        <v>79.242424242424235</v>
      </c>
      <c r="BS418" s="48">
        <f>$G418/5280*VLOOKUP($AC418,'Cost and Score'!$B$27:$O$40,14,0)</f>
        <v>0</v>
      </c>
      <c r="BT418" s="220">
        <f t="shared" si="214"/>
        <v>0.99053030303030298</v>
      </c>
      <c r="CW418" s="112"/>
      <c r="CX418" s="112"/>
      <c r="CY418" s="112"/>
    </row>
    <row r="419" spans="1:103" s="2" customFormat="1" ht="14.45" hidden="1" customHeight="1" x14ac:dyDescent="0.25">
      <c r="A419" s="15" t="s">
        <v>933</v>
      </c>
      <c r="B419" s="34" t="s">
        <v>932</v>
      </c>
      <c r="C419" s="26" t="s">
        <v>932</v>
      </c>
      <c r="D419" s="82"/>
      <c r="E419" s="82" t="s">
        <v>9</v>
      </c>
      <c r="F419" s="82" t="s">
        <v>213</v>
      </c>
      <c r="G419" s="29">
        <v>5290</v>
      </c>
      <c r="H419" s="29">
        <f t="shared" si="238"/>
        <v>20</v>
      </c>
      <c r="I419" s="26" t="s">
        <v>8</v>
      </c>
      <c r="J419" s="26" t="s">
        <v>62</v>
      </c>
      <c r="K419" s="26">
        <f t="shared" ref="K419:K432" si="244">VLOOKUP(J419,TOWNSHIPS,2,FALSE)</f>
        <v>0</v>
      </c>
      <c r="L419" s="42">
        <v>6</v>
      </c>
      <c r="M419" s="42">
        <v>6</v>
      </c>
      <c r="N419" s="42">
        <v>6</v>
      </c>
      <c r="O419" s="83">
        <v>6</v>
      </c>
      <c r="P419" s="83">
        <v>6</v>
      </c>
      <c r="Q419" s="83">
        <v>6</v>
      </c>
      <c r="R419" s="83">
        <v>6</v>
      </c>
      <c r="S419" s="83">
        <v>6</v>
      </c>
      <c r="T419" s="83">
        <v>8</v>
      </c>
      <c r="U419" s="83">
        <v>8</v>
      </c>
      <c r="V419" s="42"/>
      <c r="W419" s="42"/>
      <c r="X419" s="42"/>
      <c r="Y419" s="26">
        <v>50</v>
      </c>
      <c r="Z419" s="26">
        <f t="shared" si="239"/>
        <v>0</v>
      </c>
      <c r="AA419" s="82" t="s">
        <v>504</v>
      </c>
      <c r="AB419" s="111">
        <f t="shared" si="240"/>
        <v>4</v>
      </c>
      <c r="AC419" s="82" t="s">
        <v>2072</v>
      </c>
      <c r="AD419" s="84">
        <f t="shared" si="201"/>
        <v>46087.121212121216</v>
      </c>
      <c r="AE419" s="140"/>
      <c r="AF419" s="113">
        <f t="shared" si="237"/>
        <v>0</v>
      </c>
      <c r="AG419" s="26">
        <v>2027</v>
      </c>
      <c r="AH419" s="26" t="str">
        <f t="shared" si="241"/>
        <v/>
      </c>
      <c r="AI419" s="26" t="str">
        <f t="shared" si="241"/>
        <v/>
      </c>
      <c r="AJ419" s="26" t="str">
        <f t="shared" si="241"/>
        <v/>
      </c>
      <c r="AK419" s="26" t="str">
        <f t="shared" si="241"/>
        <v/>
      </c>
      <c r="AL419" s="26" t="str">
        <f t="shared" si="241"/>
        <v/>
      </c>
      <c r="AM419" s="26" t="str">
        <f t="shared" si="241"/>
        <v>Chip Seal - Triple</v>
      </c>
      <c r="AN419" s="26" t="str">
        <f t="shared" si="226"/>
        <v>Chip Seal - Triple</v>
      </c>
      <c r="AO419" s="26" t="str">
        <f t="shared" si="227"/>
        <v>Chip Seal - Double and Fog</v>
      </c>
      <c r="AP419" s="26" t="str">
        <f t="shared" si="228"/>
        <v/>
      </c>
      <c r="AQ419" s="68">
        <f t="shared" si="242"/>
        <v>8</v>
      </c>
      <c r="AR419" s="68">
        <f t="shared" si="243"/>
        <v>8</v>
      </c>
      <c r="AS419" s="68">
        <f t="shared" si="231"/>
        <v>1.1000000000000001</v>
      </c>
      <c r="AT419" s="68">
        <f t="shared" si="232"/>
        <v>1.1000000000000001</v>
      </c>
      <c r="AU419" s="68">
        <f t="shared" si="233"/>
        <v>1.1000000000000001</v>
      </c>
      <c r="AV419" s="68">
        <f t="shared" si="234"/>
        <v>1.1000000000000001</v>
      </c>
      <c r="AW419" s="68">
        <f t="shared" si="235"/>
        <v>1.1000000000000001</v>
      </c>
      <c r="AX419" s="68">
        <f t="shared" ca="1" si="236"/>
        <v>3.3000000000000003</v>
      </c>
      <c r="AY419" s="68">
        <v>2021</v>
      </c>
      <c r="AZ419" s="68" t="s">
        <v>2073</v>
      </c>
      <c r="BA419" s="106" t="str">
        <f t="shared" si="213"/>
        <v/>
      </c>
      <c r="BB419" s="178">
        <v>4</v>
      </c>
      <c r="BC419" s="178">
        <v>4</v>
      </c>
      <c r="BD419" s="178"/>
      <c r="BE419" s="178"/>
      <c r="BF419" s="178"/>
      <c r="BG419" s="178"/>
      <c r="BH419" s="178"/>
      <c r="BI419" s="33"/>
      <c r="BK419" s="48">
        <f>$G419/5280*VLOOKUP($AC419,'Cost and Score'!$B$27:$O$40,6,0)</f>
        <v>0.60113636363636369</v>
      </c>
      <c r="BL419" s="48">
        <f>$G419/5280*VLOOKUP($AC419,'Cost and Score'!$B$27:$O$40,7,0)</f>
        <v>125.23674242424244</v>
      </c>
      <c r="BM419" s="48">
        <f>$G419/5280*VLOOKUP($AC419,'Cost and Score'!$B$27:$O$40,8,0)</f>
        <v>200.37878787878788</v>
      </c>
      <c r="BN419" s="48">
        <f>$G419/5280*VLOOKUP($AC419,'Cost and Score'!$B$27:$O$40,9,0)</f>
        <v>2003.787878787879</v>
      </c>
      <c r="BO419" s="48">
        <f>$G419/5280*VLOOKUP($AC419,'Cost and Score'!$B$27:$O$40,10,0)</f>
        <v>500.94696969696975</v>
      </c>
      <c r="BP419" s="48">
        <f>$G419/5280*VLOOKUP($AC419,'Cost and Score'!$B$27:$O$40,11,0)</f>
        <v>100.18939393939394</v>
      </c>
      <c r="BQ419" s="48">
        <f>$G419/5280*VLOOKUP($AC419,'Cost and Score'!$B$27:$O$40,12,0)</f>
        <v>801.5151515151515</v>
      </c>
      <c r="BR419" s="48">
        <f>$G419/5280*VLOOKUP($AC419,'Cost and Score'!$B$27:$O$40,13,0)</f>
        <v>80.151515151515156</v>
      </c>
      <c r="BS419" s="48">
        <f>$G419/5280*VLOOKUP($AC419,'Cost and Score'!$B$27:$O$40,14,0)</f>
        <v>0</v>
      </c>
      <c r="BT419" s="220">
        <f t="shared" si="214"/>
        <v>1.0018939393939394</v>
      </c>
      <c r="CW419" s="112"/>
      <c r="CX419" s="112"/>
      <c r="CY419" s="112"/>
    </row>
    <row r="420" spans="1:103" s="2" customFormat="1" ht="14.45" hidden="1" customHeight="1" x14ac:dyDescent="0.25">
      <c r="A420" s="15" t="s">
        <v>935</v>
      </c>
      <c r="B420" s="34" t="s">
        <v>934</v>
      </c>
      <c r="C420" s="26" t="s">
        <v>934</v>
      </c>
      <c r="D420" s="26"/>
      <c r="E420" s="26" t="s">
        <v>213</v>
      </c>
      <c r="F420" s="26" t="s">
        <v>910</v>
      </c>
      <c r="G420" s="29">
        <v>2640</v>
      </c>
      <c r="H420" s="29">
        <f t="shared" si="238"/>
        <v>20</v>
      </c>
      <c r="I420" s="26" t="s">
        <v>62</v>
      </c>
      <c r="J420" s="26" t="s">
        <v>62</v>
      </c>
      <c r="K420" s="26">
        <f t="shared" si="244"/>
        <v>0</v>
      </c>
      <c r="L420" s="42">
        <v>7</v>
      </c>
      <c r="M420" s="42">
        <v>7</v>
      </c>
      <c r="N420" s="42">
        <v>7</v>
      </c>
      <c r="O420" s="42">
        <v>6</v>
      </c>
      <c r="P420" s="42">
        <v>6</v>
      </c>
      <c r="Q420" s="42">
        <v>6</v>
      </c>
      <c r="R420" s="42">
        <v>6</v>
      </c>
      <c r="S420" s="42">
        <v>6</v>
      </c>
      <c r="T420" s="42">
        <v>8</v>
      </c>
      <c r="U420" s="42">
        <v>8</v>
      </c>
      <c r="V420" s="42"/>
      <c r="W420" s="42"/>
      <c r="X420" s="42"/>
      <c r="Y420" s="26">
        <v>50</v>
      </c>
      <c r="Z420" s="26">
        <f t="shared" si="239"/>
        <v>0</v>
      </c>
      <c r="AA420" s="26" t="s">
        <v>504</v>
      </c>
      <c r="AB420" s="111">
        <f t="shared" si="240"/>
        <v>4</v>
      </c>
      <c r="AC420" s="82" t="s">
        <v>2072</v>
      </c>
      <c r="AD420" s="47">
        <f t="shared" si="201"/>
        <v>23000</v>
      </c>
      <c r="AE420" s="140"/>
      <c r="AF420" s="113">
        <f t="shared" si="237"/>
        <v>0</v>
      </c>
      <c r="AG420" s="26">
        <v>2027</v>
      </c>
      <c r="AH420" s="26" t="str">
        <f t="shared" ref="AH420:AM429" si="245">IF($AG420=AH$1,VLOOKUP($AC420,RSL,3,FALSE),"")</f>
        <v/>
      </c>
      <c r="AI420" s="26" t="str">
        <f t="shared" si="245"/>
        <v/>
      </c>
      <c r="AJ420" s="26" t="str">
        <f t="shared" si="245"/>
        <v/>
      </c>
      <c r="AK420" s="26" t="str">
        <f t="shared" si="245"/>
        <v/>
      </c>
      <c r="AL420" s="26" t="str">
        <f t="shared" si="245"/>
        <v/>
      </c>
      <c r="AM420" s="26" t="str">
        <f t="shared" si="245"/>
        <v>Chip Seal - Triple</v>
      </c>
      <c r="AN420" s="26" t="str">
        <f t="shared" si="226"/>
        <v>Chip Seal - Triple</v>
      </c>
      <c r="AO420" s="26" t="str">
        <f t="shared" si="227"/>
        <v>Chip Seal - Double and Fog</v>
      </c>
      <c r="AP420" s="26" t="str">
        <f t="shared" si="228"/>
        <v/>
      </c>
      <c r="AQ420" s="68">
        <f t="shared" si="242"/>
        <v>8</v>
      </c>
      <c r="AR420" s="68">
        <f t="shared" si="243"/>
        <v>8</v>
      </c>
      <c r="AS420" s="68">
        <f t="shared" si="231"/>
        <v>1.05</v>
      </c>
      <c r="AT420" s="68">
        <f t="shared" si="232"/>
        <v>1.05</v>
      </c>
      <c r="AU420" s="68">
        <f t="shared" si="233"/>
        <v>1.05</v>
      </c>
      <c r="AV420" s="68">
        <f t="shared" si="234"/>
        <v>1.1000000000000001</v>
      </c>
      <c r="AW420" s="68">
        <f t="shared" si="235"/>
        <v>1.1000000000000001</v>
      </c>
      <c r="AX420" s="68">
        <f t="shared" ca="1" si="236"/>
        <v>3.1500000000000004</v>
      </c>
      <c r="AY420" s="68">
        <v>2021</v>
      </c>
      <c r="AZ420" s="68" t="s">
        <v>2073</v>
      </c>
      <c r="BA420" s="106" t="str">
        <f t="shared" si="213"/>
        <v/>
      </c>
      <c r="BB420" s="178">
        <v>5</v>
      </c>
      <c r="BC420" s="178">
        <v>4</v>
      </c>
      <c r="BD420" s="178"/>
      <c r="BE420" s="178"/>
      <c r="BF420" s="178"/>
      <c r="BG420" s="178"/>
      <c r="BH420" s="178"/>
      <c r="BI420" s="33"/>
      <c r="BK420" s="48">
        <f>$G420/5280*VLOOKUP($AC420,'Cost and Score'!$B$27:$O$40,6,0)</f>
        <v>0.3</v>
      </c>
      <c r="BL420" s="48">
        <f>$G420/5280*VLOOKUP($AC420,'Cost and Score'!$B$27:$O$40,7,0)</f>
        <v>62.5</v>
      </c>
      <c r="BM420" s="48">
        <f>$G420/5280*VLOOKUP($AC420,'Cost and Score'!$B$27:$O$40,8,0)</f>
        <v>100</v>
      </c>
      <c r="BN420" s="48">
        <f>$G420/5280*VLOOKUP($AC420,'Cost and Score'!$B$27:$O$40,9,0)</f>
        <v>1000</v>
      </c>
      <c r="BO420" s="48">
        <f>$G420/5280*VLOOKUP($AC420,'Cost and Score'!$B$27:$O$40,10,0)</f>
        <v>250</v>
      </c>
      <c r="BP420" s="48">
        <f>$G420/5280*VLOOKUP($AC420,'Cost and Score'!$B$27:$O$40,11,0)</f>
        <v>50</v>
      </c>
      <c r="BQ420" s="48">
        <f>$G420/5280*VLOOKUP($AC420,'Cost and Score'!$B$27:$O$40,12,0)</f>
        <v>400</v>
      </c>
      <c r="BR420" s="48">
        <f>$G420/5280*VLOOKUP($AC420,'Cost and Score'!$B$27:$O$40,13,0)</f>
        <v>40</v>
      </c>
      <c r="BS420" s="48">
        <f>$G420/5280*VLOOKUP($AC420,'Cost and Score'!$B$27:$O$40,14,0)</f>
        <v>0</v>
      </c>
      <c r="BT420" s="220">
        <f t="shared" si="214"/>
        <v>0.5</v>
      </c>
    </row>
    <row r="421" spans="1:103" s="2" customFormat="1" ht="14.45" customHeight="1" x14ac:dyDescent="0.25">
      <c r="A421" s="15" t="s">
        <v>77</v>
      </c>
      <c r="B421" s="34" t="s">
        <v>75</v>
      </c>
      <c r="C421" s="26" t="s">
        <v>75</v>
      </c>
      <c r="D421" s="82"/>
      <c r="E421" s="82" t="s">
        <v>73</v>
      </c>
      <c r="F421" s="82" t="s">
        <v>76</v>
      </c>
      <c r="G421" s="29">
        <v>1336</v>
      </c>
      <c r="H421" s="29">
        <f t="shared" si="238"/>
        <v>20</v>
      </c>
      <c r="I421" s="26" t="s">
        <v>8</v>
      </c>
      <c r="J421" s="26" t="s">
        <v>17</v>
      </c>
      <c r="K421" s="26">
        <f t="shared" si="244"/>
        <v>0</v>
      </c>
      <c r="L421" s="42">
        <v>6</v>
      </c>
      <c r="M421" s="42">
        <v>6</v>
      </c>
      <c r="N421" s="42">
        <v>6</v>
      </c>
      <c r="O421" s="83">
        <v>6</v>
      </c>
      <c r="P421" s="83">
        <v>5</v>
      </c>
      <c r="Q421" s="83">
        <v>5</v>
      </c>
      <c r="R421" s="83">
        <v>5</v>
      </c>
      <c r="S421" s="83">
        <v>7</v>
      </c>
      <c r="T421" s="83">
        <v>7</v>
      </c>
      <c r="U421" s="83">
        <v>7</v>
      </c>
      <c r="V421" s="42">
        <v>2023</v>
      </c>
      <c r="W421" s="42">
        <v>2023</v>
      </c>
      <c r="X421" s="42" t="s">
        <v>2612</v>
      </c>
      <c r="Y421" s="26">
        <v>100</v>
      </c>
      <c r="Z421" s="26">
        <f t="shared" si="239"/>
        <v>0</v>
      </c>
      <c r="AA421" s="82" t="s">
        <v>20</v>
      </c>
      <c r="AB421" s="111">
        <f t="shared" si="240"/>
        <v>5</v>
      </c>
      <c r="AC421" s="82" t="s">
        <v>13</v>
      </c>
      <c r="AD421" s="84">
        <f t="shared" si="201"/>
        <v>5313.636363636364</v>
      </c>
      <c r="AE421" s="140"/>
      <c r="AF421" s="113">
        <f t="shared" si="237"/>
        <v>0</v>
      </c>
      <c r="AG421" s="106">
        <v>2025</v>
      </c>
      <c r="AH421" s="26" t="str">
        <f t="shared" si="245"/>
        <v/>
      </c>
      <c r="AI421" s="26" t="str">
        <f t="shared" si="245"/>
        <v/>
      </c>
      <c r="AJ421" s="26" t="str">
        <f t="shared" si="245"/>
        <v/>
      </c>
      <c r="AK421" s="26" t="str">
        <f t="shared" si="245"/>
        <v>Chip Seal and Fog</v>
      </c>
      <c r="AL421" s="26" t="str">
        <f t="shared" si="245"/>
        <v/>
      </c>
      <c r="AM421" s="26" t="str">
        <f t="shared" si="245"/>
        <v/>
      </c>
      <c r="AN421" s="26" t="str">
        <f t="shared" si="226"/>
        <v>Chip Seal and Fog</v>
      </c>
      <c r="AO421" s="26" t="str">
        <f t="shared" si="227"/>
        <v/>
      </c>
      <c r="AP421" s="26" t="str">
        <f t="shared" si="228"/>
        <v/>
      </c>
      <c r="AQ421" s="68">
        <f t="shared" si="242"/>
        <v>8</v>
      </c>
      <c r="AR421" s="68">
        <f t="shared" si="243"/>
        <v>6</v>
      </c>
      <c r="AS421" s="68">
        <f t="shared" si="231"/>
        <v>1.1000000000000001</v>
      </c>
      <c r="AT421" s="68">
        <f t="shared" si="232"/>
        <v>1.1000000000000001</v>
      </c>
      <c r="AU421" s="68">
        <f t="shared" si="233"/>
        <v>1.1000000000000001</v>
      </c>
      <c r="AV421" s="68">
        <f t="shared" si="234"/>
        <v>1.1000000000000001</v>
      </c>
      <c r="AW421" s="68">
        <f t="shared" si="235"/>
        <v>1.25</v>
      </c>
      <c r="AX421" s="68">
        <f t="shared" ca="1" si="236"/>
        <v>1.1000000000000001</v>
      </c>
      <c r="AY421" s="106">
        <v>2019</v>
      </c>
      <c r="AZ421" s="106" t="s">
        <v>2073</v>
      </c>
      <c r="BA421" s="106" t="str">
        <f t="shared" si="213"/>
        <v/>
      </c>
      <c r="BB421" s="177"/>
      <c r="BC421" s="177">
        <v>1</v>
      </c>
      <c r="BD421" s="177"/>
      <c r="BE421" s="177"/>
      <c r="BF421" s="177"/>
      <c r="BG421" s="177"/>
      <c r="BH421" s="177"/>
      <c r="BI421" s="33"/>
      <c r="BK421" s="48">
        <f>$G421/5280*VLOOKUP($AC421,'Cost and Score'!$B$27:$O$40,6,0)</f>
        <v>5.0606060606060613E-2</v>
      </c>
      <c r="BL421" s="48">
        <f>$G421/5280*VLOOKUP($AC421,'Cost and Score'!$B$27:$O$40,7,0)</f>
        <v>5.5666666666666673</v>
      </c>
      <c r="BM421" s="48">
        <f>$G421/5280*VLOOKUP($AC421,'Cost and Score'!$B$27:$O$40,8,0)</f>
        <v>0</v>
      </c>
      <c r="BN421" s="48">
        <f>$G421/5280*VLOOKUP($AC421,'Cost and Score'!$B$27:$O$40,9,0)</f>
        <v>1138.6363636363637</v>
      </c>
      <c r="BO421" s="48">
        <f>$G421/5280*VLOOKUP($AC421,'Cost and Score'!$B$27:$O$40,10,0)</f>
        <v>253.03030303030306</v>
      </c>
      <c r="BP421" s="48">
        <f>$G421/5280*VLOOKUP($AC421,'Cost and Score'!$B$27:$O$40,11,0)</f>
        <v>0</v>
      </c>
      <c r="BQ421" s="48">
        <f>$G421/5280*VLOOKUP($AC421,'Cost and Score'!$B$27:$O$40,12,0)</f>
        <v>25.303030303030305</v>
      </c>
      <c r="BR421" s="48">
        <f>$G421/5280*VLOOKUP($AC421,'Cost and Score'!$B$27:$O$40,13,0)</f>
        <v>30.363636363636367</v>
      </c>
      <c r="BS421" s="48">
        <f>$G421/5280*VLOOKUP($AC421,'Cost and Score'!$B$27:$O$40,14,0)</f>
        <v>0</v>
      </c>
      <c r="BT421" s="220">
        <f t="shared" si="214"/>
        <v>0.25303030303030305</v>
      </c>
      <c r="BY421" s="2">
        <v>0</v>
      </c>
      <c r="BZ421" s="2" t="s">
        <v>2079</v>
      </c>
      <c r="CB421" s="2">
        <v>0</v>
      </c>
      <c r="CC421" s="2" t="s">
        <v>2078</v>
      </c>
      <c r="CE421" s="2">
        <v>0</v>
      </c>
      <c r="CF421" s="2" t="s">
        <v>2077</v>
      </c>
    </row>
    <row r="422" spans="1:103" s="2" customFormat="1" ht="14.45" hidden="1" customHeight="1" x14ac:dyDescent="0.25">
      <c r="A422" s="15" t="s">
        <v>939</v>
      </c>
      <c r="B422" s="34" t="s">
        <v>938</v>
      </c>
      <c r="C422" s="26" t="s">
        <v>938</v>
      </c>
      <c r="D422" s="26"/>
      <c r="E422" s="26" t="s">
        <v>94</v>
      </c>
      <c r="F422" s="26" t="s">
        <v>149</v>
      </c>
      <c r="G422" s="29">
        <v>2700</v>
      </c>
      <c r="H422" s="29">
        <f t="shared" si="238"/>
        <v>20</v>
      </c>
      <c r="I422" s="26" t="s">
        <v>13</v>
      </c>
      <c r="J422" s="26" t="s">
        <v>172</v>
      </c>
      <c r="K422" s="26">
        <f t="shared" si="244"/>
        <v>0</v>
      </c>
      <c r="L422" s="42">
        <v>5</v>
      </c>
      <c r="M422" s="42">
        <v>7</v>
      </c>
      <c r="N422" s="42">
        <v>8</v>
      </c>
      <c r="O422" s="42">
        <v>7</v>
      </c>
      <c r="P422" s="42">
        <v>7</v>
      </c>
      <c r="Q422" s="42">
        <v>7</v>
      </c>
      <c r="R422" s="42">
        <v>6</v>
      </c>
      <c r="S422" s="42">
        <v>6</v>
      </c>
      <c r="T422" s="42">
        <v>6</v>
      </c>
      <c r="U422" s="42">
        <v>8</v>
      </c>
      <c r="V422" s="42"/>
      <c r="W422" s="42"/>
      <c r="X422" s="42"/>
      <c r="Y422" s="26">
        <v>50</v>
      </c>
      <c r="Z422" s="26">
        <f t="shared" si="239"/>
        <v>0</v>
      </c>
      <c r="AA422" s="26" t="s">
        <v>940</v>
      </c>
      <c r="AB422" s="111">
        <f t="shared" si="240"/>
        <v>3</v>
      </c>
      <c r="AC422" s="26" t="s">
        <v>13</v>
      </c>
      <c r="AD422" s="47">
        <f t="shared" si="201"/>
        <v>10738.636363636364</v>
      </c>
      <c r="AE422" s="140"/>
      <c r="AF422" s="113">
        <f t="shared" si="237"/>
        <v>0</v>
      </c>
      <c r="AG422" s="26">
        <v>2022</v>
      </c>
      <c r="AH422" s="26" t="str">
        <f t="shared" si="245"/>
        <v>Chip Seal and Fog</v>
      </c>
      <c r="AI422" s="26" t="str">
        <f t="shared" si="245"/>
        <v/>
      </c>
      <c r="AJ422" s="26" t="str">
        <f t="shared" si="245"/>
        <v/>
      </c>
      <c r="AK422" s="26" t="str">
        <f t="shared" si="245"/>
        <v/>
      </c>
      <c r="AL422" s="26" t="str">
        <f t="shared" si="245"/>
        <v/>
      </c>
      <c r="AM422" s="26" t="str">
        <f t="shared" si="245"/>
        <v/>
      </c>
      <c r="AN422" s="26" t="str">
        <f t="shared" si="226"/>
        <v>Chip Seal and Fog</v>
      </c>
      <c r="AO422" s="26" t="str">
        <f t="shared" si="227"/>
        <v/>
      </c>
      <c r="AP422" s="26" t="str">
        <f t="shared" si="228"/>
        <v/>
      </c>
      <c r="AQ422" s="68">
        <f t="shared" si="242"/>
        <v>10</v>
      </c>
      <c r="AR422" s="68">
        <f t="shared" si="243"/>
        <v>6</v>
      </c>
      <c r="AS422" s="68">
        <f t="shared" si="231"/>
        <v>1.25</v>
      </c>
      <c r="AT422" s="68">
        <f t="shared" si="232"/>
        <v>1.05</v>
      </c>
      <c r="AU422" s="68">
        <f t="shared" si="233"/>
        <v>1</v>
      </c>
      <c r="AV422" s="68">
        <f t="shared" si="234"/>
        <v>1.05</v>
      </c>
      <c r="AW422" s="68">
        <f t="shared" si="235"/>
        <v>1.05</v>
      </c>
      <c r="AX422" s="68">
        <f t="shared" ca="1" si="236"/>
        <v>-2</v>
      </c>
      <c r="AY422" s="68">
        <v>2015</v>
      </c>
      <c r="AZ422" s="68" t="s">
        <v>2073</v>
      </c>
      <c r="BA422" s="106" t="str">
        <f t="shared" si="213"/>
        <v/>
      </c>
      <c r="BB422" s="178"/>
      <c r="BC422" s="178">
        <v>7</v>
      </c>
      <c r="BD422" s="178"/>
      <c r="BE422" s="178"/>
      <c r="BF422" s="178"/>
      <c r="BG422" s="178"/>
      <c r="BH422" s="178"/>
      <c r="BI422" s="33" t="s">
        <v>2192</v>
      </c>
      <c r="BK422" s="48">
        <f>$G422/5280*VLOOKUP($AC422,'Cost and Score'!$B$27:$O$40,6,0)</f>
        <v>0.10227272727272728</v>
      </c>
      <c r="BL422" s="48">
        <f>$G422/5280*VLOOKUP($AC422,'Cost and Score'!$B$27:$O$40,7,0)</f>
        <v>11.25</v>
      </c>
      <c r="BM422" s="48">
        <f>$G422/5280*VLOOKUP($AC422,'Cost and Score'!$B$27:$O$40,8,0)</f>
        <v>0</v>
      </c>
      <c r="BN422" s="48">
        <f>$G422/5280*VLOOKUP($AC422,'Cost and Score'!$B$27:$O$40,9,0)</f>
        <v>2301.1363636363635</v>
      </c>
      <c r="BO422" s="48">
        <f>$G422/5280*VLOOKUP($AC422,'Cost and Score'!$B$27:$O$40,10,0)</f>
        <v>511.36363636363637</v>
      </c>
      <c r="BP422" s="48">
        <f>$G422/5280*VLOOKUP($AC422,'Cost and Score'!$B$27:$O$40,11,0)</f>
        <v>0</v>
      </c>
      <c r="BQ422" s="48">
        <f>$G422/5280*VLOOKUP($AC422,'Cost and Score'!$B$27:$O$40,12,0)</f>
        <v>51.136363636363633</v>
      </c>
      <c r="BR422" s="48">
        <f>$G422/5280*VLOOKUP($AC422,'Cost and Score'!$B$27:$O$40,13,0)</f>
        <v>61.36363636363636</v>
      </c>
      <c r="BS422" s="48">
        <f>$G422/5280*VLOOKUP($AC422,'Cost and Score'!$B$27:$O$40,14,0)</f>
        <v>0</v>
      </c>
      <c r="BT422" s="220">
        <f t="shared" si="214"/>
        <v>0.51136363636363635</v>
      </c>
    </row>
    <row r="423" spans="1:103" s="2" customFormat="1" ht="14.45" hidden="1" customHeight="1" x14ac:dyDescent="0.25">
      <c r="A423" s="15" t="s">
        <v>942</v>
      </c>
      <c r="B423" s="34" t="s">
        <v>941</v>
      </c>
      <c r="C423" s="26" t="s">
        <v>941</v>
      </c>
      <c r="D423" s="26"/>
      <c r="E423" s="26" t="s">
        <v>113</v>
      </c>
      <c r="F423" s="26" t="s">
        <v>149</v>
      </c>
      <c r="G423" s="29">
        <v>2740</v>
      </c>
      <c r="H423" s="29">
        <f t="shared" si="238"/>
        <v>20</v>
      </c>
      <c r="I423" s="26" t="s">
        <v>13</v>
      </c>
      <c r="J423" s="26" t="s">
        <v>172</v>
      </c>
      <c r="K423" s="26">
        <f t="shared" si="244"/>
        <v>0</v>
      </c>
      <c r="L423" s="42">
        <v>5</v>
      </c>
      <c r="M423" s="42">
        <v>5</v>
      </c>
      <c r="N423" s="42">
        <v>8</v>
      </c>
      <c r="O423" s="42">
        <v>7</v>
      </c>
      <c r="P423" s="42">
        <v>7</v>
      </c>
      <c r="Q423" s="42">
        <v>7</v>
      </c>
      <c r="R423" s="42">
        <v>6</v>
      </c>
      <c r="S423" s="42">
        <v>6</v>
      </c>
      <c r="T423" s="42">
        <v>6</v>
      </c>
      <c r="U423" s="42">
        <v>8</v>
      </c>
      <c r="V423" s="42"/>
      <c r="W423" s="42"/>
      <c r="X423" s="42"/>
      <c r="Y423" s="26">
        <v>50</v>
      </c>
      <c r="Z423" s="26">
        <f t="shared" si="239"/>
        <v>0</v>
      </c>
      <c r="AA423" s="26" t="s">
        <v>940</v>
      </c>
      <c r="AB423" s="111">
        <f t="shared" si="240"/>
        <v>3</v>
      </c>
      <c r="AC423" s="26" t="s">
        <v>13</v>
      </c>
      <c r="AD423" s="47">
        <f t="shared" si="201"/>
        <v>10897.727272727272</v>
      </c>
      <c r="AE423" s="140"/>
      <c r="AF423" s="113">
        <f t="shared" si="237"/>
        <v>0</v>
      </c>
      <c r="AG423" s="26">
        <v>2022</v>
      </c>
      <c r="AH423" s="26" t="str">
        <f t="shared" si="245"/>
        <v>Chip Seal and Fog</v>
      </c>
      <c r="AI423" s="26" t="str">
        <f t="shared" si="245"/>
        <v/>
      </c>
      <c r="AJ423" s="26" t="str">
        <f t="shared" si="245"/>
        <v/>
      </c>
      <c r="AK423" s="26" t="str">
        <f t="shared" si="245"/>
        <v/>
      </c>
      <c r="AL423" s="26" t="str">
        <f t="shared" si="245"/>
        <v/>
      </c>
      <c r="AM423" s="26" t="str">
        <f t="shared" si="245"/>
        <v/>
      </c>
      <c r="AN423" s="26" t="str">
        <f t="shared" si="226"/>
        <v>Chip Seal and Fog</v>
      </c>
      <c r="AO423" s="26" t="str">
        <f t="shared" si="227"/>
        <v/>
      </c>
      <c r="AP423" s="26" t="str">
        <f t="shared" si="228"/>
        <v/>
      </c>
      <c r="AQ423" s="68">
        <f t="shared" si="242"/>
        <v>10</v>
      </c>
      <c r="AR423" s="68">
        <f t="shared" si="243"/>
        <v>6</v>
      </c>
      <c r="AS423" s="68">
        <f t="shared" si="231"/>
        <v>1.25</v>
      </c>
      <c r="AT423" s="68">
        <f t="shared" si="232"/>
        <v>1.25</v>
      </c>
      <c r="AU423" s="68">
        <f t="shared" si="233"/>
        <v>1</v>
      </c>
      <c r="AV423" s="68">
        <f t="shared" si="234"/>
        <v>1.05</v>
      </c>
      <c r="AW423" s="68">
        <f t="shared" si="235"/>
        <v>1.05</v>
      </c>
      <c r="AX423" s="68">
        <f t="shared" ca="1" si="236"/>
        <v>-2</v>
      </c>
      <c r="AY423" s="68">
        <v>2015</v>
      </c>
      <c r="AZ423" s="68" t="s">
        <v>2073</v>
      </c>
      <c r="BA423" s="106" t="str">
        <f t="shared" si="213"/>
        <v/>
      </c>
      <c r="BB423" s="178"/>
      <c r="BC423" s="178">
        <v>7</v>
      </c>
      <c r="BD423" s="178"/>
      <c r="BE423" s="178"/>
      <c r="BF423" s="178"/>
      <c r="BG423" s="178"/>
      <c r="BH423" s="178"/>
      <c r="BI423" s="33" t="s">
        <v>2192</v>
      </c>
      <c r="BK423" s="48">
        <f>$G423/5280*VLOOKUP($AC423,'Cost and Score'!$B$27:$O$40,6,0)</f>
        <v>0.10378787878787879</v>
      </c>
      <c r="BL423" s="48">
        <f>$G423/5280*VLOOKUP($AC423,'Cost and Score'!$B$27:$O$40,7,0)</f>
        <v>11.416666666666666</v>
      </c>
      <c r="BM423" s="48">
        <f>$G423/5280*VLOOKUP($AC423,'Cost and Score'!$B$27:$O$40,8,0)</f>
        <v>0</v>
      </c>
      <c r="BN423" s="48">
        <f>$G423/5280*VLOOKUP($AC423,'Cost and Score'!$B$27:$O$40,9,0)</f>
        <v>2335.2272727272725</v>
      </c>
      <c r="BO423" s="48">
        <f>$G423/5280*VLOOKUP($AC423,'Cost and Score'!$B$27:$O$40,10,0)</f>
        <v>518.93939393939388</v>
      </c>
      <c r="BP423" s="48">
        <f>$G423/5280*VLOOKUP($AC423,'Cost and Score'!$B$27:$O$40,11,0)</f>
        <v>0</v>
      </c>
      <c r="BQ423" s="48">
        <f>$G423/5280*VLOOKUP($AC423,'Cost and Score'!$B$27:$O$40,12,0)</f>
        <v>51.893939393939391</v>
      </c>
      <c r="BR423" s="48">
        <f>$G423/5280*VLOOKUP($AC423,'Cost and Score'!$B$27:$O$40,13,0)</f>
        <v>62.272727272727273</v>
      </c>
      <c r="BS423" s="48">
        <f>$G423/5280*VLOOKUP($AC423,'Cost and Score'!$B$27:$O$40,14,0)</f>
        <v>0</v>
      </c>
      <c r="BT423" s="220">
        <f t="shared" si="214"/>
        <v>0.51893939393939392</v>
      </c>
    </row>
    <row r="424" spans="1:103" s="2" customFormat="1" ht="14.45" customHeight="1" x14ac:dyDescent="0.25">
      <c r="A424" s="15" t="s">
        <v>2120</v>
      </c>
      <c r="B424" s="34" t="s">
        <v>139</v>
      </c>
      <c r="C424" s="26" t="s">
        <v>139</v>
      </c>
      <c r="D424" s="82"/>
      <c r="E424" s="82" t="s">
        <v>140</v>
      </c>
      <c r="F424" s="82" t="s">
        <v>73</v>
      </c>
      <c r="G424" s="29">
        <v>4360</v>
      </c>
      <c r="H424" s="29">
        <f t="shared" si="238"/>
        <v>20</v>
      </c>
      <c r="I424" s="26" t="s">
        <v>8</v>
      </c>
      <c r="J424" s="26" t="s">
        <v>26</v>
      </c>
      <c r="K424" s="26">
        <f t="shared" si="244"/>
        <v>0</v>
      </c>
      <c r="L424" s="42">
        <v>7</v>
      </c>
      <c r="M424" s="42">
        <v>6</v>
      </c>
      <c r="N424" s="42">
        <v>6</v>
      </c>
      <c r="O424" s="83">
        <v>4</v>
      </c>
      <c r="P424" s="83">
        <v>10</v>
      </c>
      <c r="Q424" s="83">
        <v>9</v>
      </c>
      <c r="R424" s="83">
        <v>8</v>
      </c>
      <c r="S424" s="83">
        <v>7</v>
      </c>
      <c r="T424" s="83">
        <v>7</v>
      </c>
      <c r="U424" s="83">
        <v>7</v>
      </c>
      <c r="V424" s="42"/>
      <c r="W424" s="42"/>
      <c r="X424" s="42"/>
      <c r="Y424" s="26">
        <v>96</v>
      </c>
      <c r="Z424" s="26">
        <f t="shared" si="239"/>
        <v>0</v>
      </c>
      <c r="AA424" s="82" t="s">
        <v>119</v>
      </c>
      <c r="AB424" s="111">
        <f t="shared" si="240"/>
        <v>0</v>
      </c>
      <c r="AC424" s="85" t="s">
        <v>13</v>
      </c>
      <c r="AD424" s="84">
        <f t="shared" si="201"/>
        <v>17340.909090909092</v>
      </c>
      <c r="AE424" s="140"/>
      <c r="AF424" s="113">
        <f t="shared" si="237"/>
        <v>0</v>
      </c>
      <c r="AG424" s="26">
        <v>2025</v>
      </c>
      <c r="AH424" s="26" t="str">
        <f t="shared" si="245"/>
        <v/>
      </c>
      <c r="AI424" s="26" t="str">
        <f t="shared" si="245"/>
        <v/>
      </c>
      <c r="AJ424" s="26" t="str">
        <f t="shared" si="245"/>
        <v/>
      </c>
      <c r="AK424" s="26" t="str">
        <f t="shared" si="245"/>
        <v>Chip Seal and Fog</v>
      </c>
      <c r="AL424" s="26" t="str">
        <f t="shared" si="245"/>
        <v/>
      </c>
      <c r="AM424" s="26" t="str">
        <f t="shared" si="245"/>
        <v/>
      </c>
      <c r="AN424" s="26" t="str">
        <f t="shared" si="226"/>
        <v>Chip Seal and Fog</v>
      </c>
      <c r="AO424" s="26" t="str">
        <f t="shared" si="227"/>
        <v/>
      </c>
      <c r="AP424" s="26" t="str">
        <f t="shared" si="228"/>
        <v/>
      </c>
      <c r="AQ424" s="68">
        <f t="shared" si="242"/>
        <v>3</v>
      </c>
      <c r="AR424" s="68">
        <f t="shared" si="243"/>
        <v>6</v>
      </c>
      <c r="AS424" s="68">
        <f t="shared" si="231"/>
        <v>1.05</v>
      </c>
      <c r="AT424" s="68">
        <f t="shared" si="232"/>
        <v>1.1000000000000001</v>
      </c>
      <c r="AU424" s="68">
        <f t="shared" si="233"/>
        <v>1.1000000000000001</v>
      </c>
      <c r="AV424" s="68">
        <f t="shared" si="234"/>
        <v>1.5</v>
      </c>
      <c r="AW424" s="68">
        <f t="shared" si="235"/>
        <v>1</v>
      </c>
      <c r="AX424" s="68">
        <f t="shared" ca="1" si="236"/>
        <v>1.1000000000000001</v>
      </c>
      <c r="AY424" s="68">
        <v>2018</v>
      </c>
      <c r="AZ424" s="68" t="s">
        <v>751</v>
      </c>
      <c r="BA424" s="106" t="str">
        <f t="shared" si="213"/>
        <v>P</v>
      </c>
      <c r="BB424" s="178"/>
      <c r="BC424" s="178">
        <v>7</v>
      </c>
      <c r="BD424" s="178"/>
      <c r="BE424" s="178"/>
      <c r="BF424" s="178"/>
      <c r="BG424" s="178"/>
      <c r="BH424" s="178"/>
      <c r="BI424" s="33"/>
      <c r="BK424" s="48">
        <f>$G424/5280*VLOOKUP($AC424,'Cost and Score'!$B$27:$O$40,6,0)</f>
        <v>0.16515151515151516</v>
      </c>
      <c r="BL424" s="48">
        <f>$G424/5280*VLOOKUP($AC424,'Cost and Score'!$B$27:$O$40,7,0)</f>
        <v>18.166666666666668</v>
      </c>
      <c r="BM424" s="48">
        <f>$G424/5280*VLOOKUP($AC424,'Cost and Score'!$B$27:$O$40,8,0)</f>
        <v>0</v>
      </c>
      <c r="BN424" s="48">
        <f>$G424/5280*VLOOKUP($AC424,'Cost and Score'!$B$27:$O$40,9,0)</f>
        <v>3715.909090909091</v>
      </c>
      <c r="BO424" s="48">
        <f>$G424/5280*VLOOKUP($AC424,'Cost and Score'!$B$27:$O$40,10,0)</f>
        <v>825.75757575757575</v>
      </c>
      <c r="BP424" s="48">
        <f>$G424/5280*VLOOKUP($AC424,'Cost and Score'!$B$27:$O$40,11,0)</f>
        <v>0</v>
      </c>
      <c r="BQ424" s="48">
        <f>$G424/5280*VLOOKUP($AC424,'Cost and Score'!$B$27:$O$40,12,0)</f>
        <v>82.575757575757578</v>
      </c>
      <c r="BR424" s="48">
        <f>$G424/5280*VLOOKUP($AC424,'Cost and Score'!$B$27:$O$40,13,0)</f>
        <v>99.090909090909093</v>
      </c>
      <c r="BS424" s="48">
        <f>$G424/5280*VLOOKUP($AC424,'Cost and Score'!$B$27:$O$40,14,0)</f>
        <v>0</v>
      </c>
      <c r="BT424" s="220">
        <f t="shared" si="214"/>
        <v>0.8257575757575758</v>
      </c>
      <c r="BY424" s="2" t="s">
        <v>2079</v>
      </c>
      <c r="BZ424" s="27">
        <v>300000</v>
      </c>
      <c r="CA424" s="2" t="s">
        <v>2631</v>
      </c>
    </row>
    <row r="425" spans="1:103" s="112" customFormat="1" ht="14.45" hidden="1" customHeight="1" x14ac:dyDescent="0.25">
      <c r="A425" s="15" t="s">
        <v>946</v>
      </c>
      <c r="B425" s="34" t="s">
        <v>945</v>
      </c>
      <c r="C425" s="26" t="s">
        <v>945</v>
      </c>
      <c r="D425" s="82"/>
      <c r="E425" s="82" t="s">
        <v>20</v>
      </c>
      <c r="F425" s="82" t="s">
        <v>246</v>
      </c>
      <c r="G425" s="29">
        <v>2649</v>
      </c>
      <c r="H425" s="29">
        <f t="shared" si="238"/>
        <v>20</v>
      </c>
      <c r="I425" s="26" t="s">
        <v>8</v>
      </c>
      <c r="J425" s="26" t="s">
        <v>11</v>
      </c>
      <c r="K425" s="26">
        <f t="shared" si="244"/>
        <v>0</v>
      </c>
      <c r="L425" s="42">
        <v>7</v>
      </c>
      <c r="M425" s="42">
        <v>8</v>
      </c>
      <c r="N425" s="42">
        <v>7</v>
      </c>
      <c r="O425" s="83">
        <v>7</v>
      </c>
      <c r="P425" s="83">
        <v>7</v>
      </c>
      <c r="Q425" s="83">
        <v>7</v>
      </c>
      <c r="R425" s="83">
        <v>6</v>
      </c>
      <c r="S425" s="83">
        <v>6</v>
      </c>
      <c r="T425" s="83">
        <v>7</v>
      </c>
      <c r="U425" s="83">
        <v>7</v>
      </c>
      <c r="V425" s="42"/>
      <c r="W425" s="42"/>
      <c r="X425" s="42"/>
      <c r="Y425" s="26">
        <v>648</v>
      </c>
      <c r="Z425" s="26">
        <f t="shared" si="239"/>
        <v>0.5</v>
      </c>
      <c r="AA425" s="82" t="s">
        <v>67</v>
      </c>
      <c r="AB425" s="111">
        <f t="shared" si="240"/>
        <v>3.5</v>
      </c>
      <c r="AC425" s="82" t="s">
        <v>751</v>
      </c>
      <c r="AD425" s="84">
        <f t="shared" si="201"/>
        <v>55187.5</v>
      </c>
      <c r="AE425" s="140">
        <v>1</v>
      </c>
      <c r="AF425" s="113">
        <f t="shared" si="237"/>
        <v>55187.5</v>
      </c>
      <c r="AG425" s="85">
        <v>2023</v>
      </c>
      <c r="AH425" s="26" t="str">
        <f t="shared" si="245"/>
        <v/>
      </c>
      <c r="AI425" s="26" t="str">
        <f t="shared" si="245"/>
        <v>Overlay - 2"</v>
      </c>
      <c r="AJ425" s="26" t="str">
        <f t="shared" si="245"/>
        <v/>
      </c>
      <c r="AK425" s="26" t="str">
        <f t="shared" si="245"/>
        <v/>
      </c>
      <c r="AL425" s="26" t="str">
        <f t="shared" si="245"/>
        <v/>
      </c>
      <c r="AM425" s="26" t="str">
        <f t="shared" si="245"/>
        <v/>
      </c>
      <c r="AN425" s="26" t="str">
        <f t="shared" si="226"/>
        <v>Overlay - 2"</v>
      </c>
      <c r="AO425" s="26" t="str">
        <f t="shared" si="227"/>
        <v/>
      </c>
      <c r="AP425" s="26" t="str">
        <f t="shared" si="228"/>
        <v/>
      </c>
      <c r="AQ425" s="68">
        <f t="shared" si="242"/>
        <v>10</v>
      </c>
      <c r="AR425" s="68">
        <f t="shared" si="243"/>
        <v>12</v>
      </c>
      <c r="AS425" s="68">
        <f t="shared" si="231"/>
        <v>1.05</v>
      </c>
      <c r="AT425" s="68">
        <f t="shared" si="232"/>
        <v>1</v>
      </c>
      <c r="AU425" s="68">
        <f t="shared" si="233"/>
        <v>1.05</v>
      </c>
      <c r="AV425" s="68">
        <f t="shared" si="234"/>
        <v>1.05</v>
      </c>
      <c r="AW425" s="68">
        <f t="shared" si="235"/>
        <v>1.05</v>
      </c>
      <c r="AX425" s="68">
        <f t="shared" ca="1" si="236"/>
        <v>-1.05</v>
      </c>
      <c r="AY425" s="68">
        <v>2023</v>
      </c>
      <c r="AZ425" s="68" t="s">
        <v>751</v>
      </c>
      <c r="BA425" s="106" t="str">
        <f t="shared" si="213"/>
        <v/>
      </c>
      <c r="BB425" s="178"/>
      <c r="BC425" s="178">
        <v>4</v>
      </c>
      <c r="BD425" s="178"/>
      <c r="BE425" s="178"/>
      <c r="BF425" s="178"/>
      <c r="BG425" s="178"/>
      <c r="BH425" s="178"/>
      <c r="BI425" s="33" t="s">
        <v>2473</v>
      </c>
      <c r="BJ425" s="2"/>
      <c r="BK425" s="48">
        <f>$G425/5280*VLOOKUP($AC425,'Cost and Score'!$B$27:$O$40,6,0)</f>
        <v>1.1288352272727273</v>
      </c>
      <c r="BL425" s="48">
        <f>$G425/5280*VLOOKUP($AC425,'Cost and Score'!$B$27:$O$40,7,0)</f>
        <v>105.35795454545455</v>
      </c>
      <c r="BM425" s="48">
        <f>$G425/5280*VLOOKUP($AC425,'Cost and Score'!$B$27:$O$40,8,0)</f>
        <v>175.59659090909091</v>
      </c>
      <c r="BN425" s="48">
        <f>$G425/5280*VLOOKUP($AC425,'Cost and Score'!$B$27:$O$40,9,0)</f>
        <v>0</v>
      </c>
      <c r="BO425" s="48">
        <f>$G425/5280*VLOOKUP($AC425,'Cost and Score'!$B$27:$O$40,10,0)</f>
        <v>0</v>
      </c>
      <c r="BP425" s="48">
        <f>$G425/5280*VLOOKUP($AC425,'Cost and Score'!$B$27:$O$40,11,0)</f>
        <v>100.34090909090909</v>
      </c>
      <c r="BQ425" s="48">
        <f>$G425/5280*VLOOKUP($AC425,'Cost and Score'!$B$27:$O$40,12,0)</f>
        <v>852.89772727272725</v>
      </c>
      <c r="BR425" s="48">
        <f>$G425/5280*VLOOKUP($AC425,'Cost and Score'!$B$27:$O$40,13,0)</f>
        <v>0</v>
      </c>
      <c r="BS425" s="48">
        <f>$G425/5280*VLOOKUP($AC425,'Cost and Score'!$B$27:$O$40,14,0)</f>
        <v>0</v>
      </c>
      <c r="BT425" s="220">
        <f t="shared" si="214"/>
        <v>0.50170454545454546</v>
      </c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N425" s="2"/>
      <c r="CO425" s="2"/>
      <c r="CP425" s="2"/>
      <c r="CQ425" s="2"/>
      <c r="CR425" s="2"/>
      <c r="CV425" s="2"/>
      <c r="CW425" s="2"/>
      <c r="CX425" s="2"/>
      <c r="CY425" s="2"/>
    </row>
    <row r="426" spans="1:103" s="2" customFormat="1" ht="14.45" customHeight="1" x14ac:dyDescent="0.25">
      <c r="A426" s="15" t="s">
        <v>259</v>
      </c>
      <c r="B426" s="34" t="s">
        <v>258</v>
      </c>
      <c r="C426" s="26" t="s">
        <v>258</v>
      </c>
      <c r="D426" s="26"/>
      <c r="E426" s="26" t="s">
        <v>35</v>
      </c>
      <c r="F426" s="26" t="s">
        <v>213</v>
      </c>
      <c r="G426" s="29">
        <v>2655</v>
      </c>
      <c r="H426" s="29">
        <f t="shared" si="238"/>
        <v>20</v>
      </c>
      <c r="I426" s="26" t="s">
        <v>8</v>
      </c>
      <c r="J426" s="26" t="s">
        <v>17</v>
      </c>
      <c r="K426" s="26">
        <f t="shared" si="244"/>
        <v>0</v>
      </c>
      <c r="L426" s="42">
        <v>7</v>
      </c>
      <c r="M426" s="42">
        <v>7</v>
      </c>
      <c r="N426" s="42">
        <v>7</v>
      </c>
      <c r="O426" s="42">
        <v>6</v>
      </c>
      <c r="P426" s="42">
        <v>5</v>
      </c>
      <c r="Q426" s="42">
        <v>4</v>
      </c>
      <c r="R426" s="42">
        <v>9</v>
      </c>
      <c r="S426" s="42">
        <v>8</v>
      </c>
      <c r="T426" s="42">
        <v>7</v>
      </c>
      <c r="U426" s="42">
        <v>7</v>
      </c>
      <c r="V426" s="42"/>
      <c r="W426" s="42"/>
      <c r="X426" s="42"/>
      <c r="Y426" s="26">
        <v>94</v>
      </c>
      <c r="Z426" s="26">
        <f t="shared" si="239"/>
        <v>0</v>
      </c>
      <c r="AA426" s="26" t="s">
        <v>257</v>
      </c>
      <c r="AB426" s="111">
        <f t="shared" si="240"/>
        <v>5</v>
      </c>
      <c r="AC426" s="85" t="s">
        <v>13</v>
      </c>
      <c r="AD426" s="47">
        <f t="shared" si="201"/>
        <v>10559.65909090909</v>
      </c>
      <c r="AE426" s="140"/>
      <c r="AF426" s="113">
        <f t="shared" si="237"/>
        <v>0</v>
      </c>
      <c r="AG426" s="106">
        <v>2025</v>
      </c>
      <c r="AH426" s="26" t="str">
        <f t="shared" si="245"/>
        <v/>
      </c>
      <c r="AI426" s="26" t="str">
        <f t="shared" si="245"/>
        <v/>
      </c>
      <c r="AJ426" s="26" t="str">
        <f t="shared" si="245"/>
        <v/>
      </c>
      <c r="AK426" s="26" t="str">
        <f t="shared" si="245"/>
        <v>Chip Seal and Fog</v>
      </c>
      <c r="AL426" s="26" t="str">
        <f t="shared" si="245"/>
        <v/>
      </c>
      <c r="AM426" s="26" t="str">
        <f t="shared" si="245"/>
        <v/>
      </c>
      <c r="AN426" s="26" t="str">
        <f t="shared" si="226"/>
        <v>Chip Seal and Fog</v>
      </c>
      <c r="AO426" s="26" t="str">
        <f t="shared" si="227"/>
        <v/>
      </c>
      <c r="AP426" s="26" t="str">
        <f t="shared" si="228"/>
        <v/>
      </c>
      <c r="AQ426" s="68">
        <f t="shared" si="242"/>
        <v>8</v>
      </c>
      <c r="AR426" s="68">
        <f t="shared" si="243"/>
        <v>6</v>
      </c>
      <c r="AS426" s="68">
        <f t="shared" si="231"/>
        <v>1.05</v>
      </c>
      <c r="AT426" s="68">
        <f t="shared" si="232"/>
        <v>1.05</v>
      </c>
      <c r="AU426" s="68">
        <f t="shared" si="233"/>
        <v>1.05</v>
      </c>
      <c r="AV426" s="68">
        <f t="shared" si="234"/>
        <v>1.1000000000000001</v>
      </c>
      <c r="AW426" s="68">
        <f t="shared" si="235"/>
        <v>1.25</v>
      </c>
      <c r="AX426" s="68">
        <f t="shared" ca="1" si="236"/>
        <v>1.05</v>
      </c>
      <c r="AY426" s="106">
        <v>2019</v>
      </c>
      <c r="AZ426" s="106" t="s">
        <v>13</v>
      </c>
      <c r="BA426" s="106" t="str">
        <f t="shared" si="213"/>
        <v/>
      </c>
      <c r="BB426" s="177"/>
      <c r="BC426" s="177">
        <v>5</v>
      </c>
      <c r="BD426" s="177"/>
      <c r="BE426" s="177"/>
      <c r="BF426" s="177"/>
      <c r="BG426" s="177"/>
      <c r="BH426" s="177"/>
      <c r="BI426" s="33"/>
      <c r="BK426" s="48">
        <f>$G426/5280*VLOOKUP($AC426,'Cost and Score'!$B$27:$O$40,6,0)</f>
        <v>0.10056818181818182</v>
      </c>
      <c r="BL426" s="48">
        <f>$G426/5280*VLOOKUP($AC426,'Cost and Score'!$B$27:$O$40,7,0)</f>
        <v>11.0625</v>
      </c>
      <c r="BM426" s="48">
        <f>$G426/5280*VLOOKUP($AC426,'Cost and Score'!$B$27:$O$40,8,0)</f>
        <v>0</v>
      </c>
      <c r="BN426" s="48">
        <f>$G426/5280*VLOOKUP($AC426,'Cost and Score'!$B$27:$O$40,9,0)</f>
        <v>2262.784090909091</v>
      </c>
      <c r="BO426" s="48">
        <f>$G426/5280*VLOOKUP($AC426,'Cost and Score'!$B$27:$O$40,10,0)</f>
        <v>502.84090909090907</v>
      </c>
      <c r="BP426" s="48">
        <f>$G426/5280*VLOOKUP($AC426,'Cost and Score'!$B$27:$O$40,11,0)</f>
        <v>0</v>
      </c>
      <c r="BQ426" s="48">
        <f>$G426/5280*VLOOKUP($AC426,'Cost and Score'!$B$27:$O$40,12,0)</f>
        <v>50.284090909090907</v>
      </c>
      <c r="BR426" s="48">
        <f>$G426/5280*VLOOKUP($AC426,'Cost and Score'!$B$27:$O$40,13,0)</f>
        <v>60.340909090909086</v>
      </c>
      <c r="BS426" s="48">
        <f>$G426/5280*VLOOKUP($AC426,'Cost and Score'!$B$27:$O$40,14,0)</f>
        <v>0</v>
      </c>
      <c r="BT426" s="220">
        <f t="shared" si="214"/>
        <v>0.50284090909090906</v>
      </c>
    </row>
    <row r="427" spans="1:103" s="2" customFormat="1" ht="14.45" hidden="1" customHeight="1" x14ac:dyDescent="0.25">
      <c r="A427" s="15" t="s">
        <v>950</v>
      </c>
      <c r="B427" s="34" t="s">
        <v>949</v>
      </c>
      <c r="C427" s="26" t="s">
        <v>949</v>
      </c>
      <c r="D427" s="82"/>
      <c r="E427" s="82" t="s">
        <v>107</v>
      </c>
      <c r="F427" s="82" t="s">
        <v>104</v>
      </c>
      <c r="G427" s="29">
        <v>5340</v>
      </c>
      <c r="H427" s="29">
        <f t="shared" si="238"/>
        <v>20</v>
      </c>
      <c r="I427" s="26" t="s">
        <v>13</v>
      </c>
      <c r="J427" s="26" t="s">
        <v>6</v>
      </c>
      <c r="K427" s="26">
        <f t="shared" si="244"/>
        <v>0</v>
      </c>
      <c r="L427" s="42">
        <v>7</v>
      </c>
      <c r="M427" s="42">
        <v>6</v>
      </c>
      <c r="N427" s="42">
        <v>6</v>
      </c>
      <c r="O427" s="83">
        <v>6</v>
      </c>
      <c r="P427" s="83">
        <v>6</v>
      </c>
      <c r="Q427" s="83">
        <v>6</v>
      </c>
      <c r="R427" s="83">
        <v>6</v>
      </c>
      <c r="S427" s="83">
        <v>6</v>
      </c>
      <c r="T427" s="83">
        <v>6</v>
      </c>
      <c r="U427" s="83">
        <v>8</v>
      </c>
      <c r="V427" s="42"/>
      <c r="W427" s="42"/>
      <c r="X427" s="42"/>
      <c r="Y427" s="26">
        <v>140</v>
      </c>
      <c r="Z427" s="26">
        <f t="shared" si="239"/>
        <v>0</v>
      </c>
      <c r="AA427" s="82" t="s">
        <v>67</v>
      </c>
      <c r="AB427" s="111">
        <f t="shared" si="240"/>
        <v>4</v>
      </c>
      <c r="AC427" s="82" t="s">
        <v>2073</v>
      </c>
      <c r="AD427" s="84">
        <f t="shared" si="201"/>
        <v>32363.636363636364</v>
      </c>
      <c r="AE427" s="140"/>
      <c r="AF427" s="113">
        <f t="shared" si="237"/>
        <v>0</v>
      </c>
      <c r="AG427" s="82">
        <v>2022</v>
      </c>
      <c r="AH427" s="26" t="str">
        <f t="shared" si="245"/>
        <v>Chip Seal - Double and Fog</v>
      </c>
      <c r="AI427" s="26" t="str">
        <f t="shared" si="245"/>
        <v/>
      </c>
      <c r="AJ427" s="26" t="str">
        <f t="shared" si="245"/>
        <v/>
      </c>
      <c r="AK427" s="26" t="str">
        <f t="shared" si="245"/>
        <v/>
      </c>
      <c r="AL427" s="26" t="str">
        <f t="shared" si="245"/>
        <v/>
      </c>
      <c r="AM427" s="26" t="str">
        <f t="shared" si="245"/>
        <v/>
      </c>
      <c r="AN427" s="26" t="str">
        <f t="shared" si="226"/>
        <v>Chip Seal - Double and Fog</v>
      </c>
      <c r="AO427" s="26" t="str">
        <f t="shared" si="227"/>
        <v/>
      </c>
      <c r="AP427" s="26" t="str">
        <f t="shared" si="228"/>
        <v/>
      </c>
      <c r="AQ427" s="68">
        <f t="shared" si="242"/>
        <v>8</v>
      </c>
      <c r="AR427" s="68">
        <f t="shared" si="243"/>
        <v>6</v>
      </c>
      <c r="AS427" s="68">
        <f t="shared" si="231"/>
        <v>1.05</v>
      </c>
      <c r="AT427" s="68">
        <f t="shared" si="232"/>
        <v>1.1000000000000001</v>
      </c>
      <c r="AU427" s="68">
        <f t="shared" si="233"/>
        <v>1.1000000000000001</v>
      </c>
      <c r="AV427" s="68">
        <f t="shared" si="234"/>
        <v>1.1000000000000001</v>
      </c>
      <c r="AW427" s="68">
        <f t="shared" si="235"/>
        <v>1.1000000000000001</v>
      </c>
      <c r="AX427" s="68">
        <f t="shared" ca="1" si="236"/>
        <v>-2.2000000000000002</v>
      </c>
      <c r="AY427" s="68">
        <v>2020</v>
      </c>
      <c r="AZ427" s="68" t="s">
        <v>2073</v>
      </c>
      <c r="BA427" s="106" t="str">
        <f t="shared" si="213"/>
        <v/>
      </c>
      <c r="BB427" s="178"/>
      <c r="BC427" s="178">
        <v>8</v>
      </c>
      <c r="BD427" s="178"/>
      <c r="BE427" s="178"/>
      <c r="BF427" s="178"/>
      <c r="BG427" s="178"/>
      <c r="BH427" s="178"/>
      <c r="BI427" s="33"/>
      <c r="BK427" s="48">
        <f>$G427/5280*VLOOKUP($AC427,'Cost and Score'!$B$27:$O$40,6,0)</f>
        <v>0.50568181818181823</v>
      </c>
      <c r="BL427" s="48">
        <f>$G427/5280*VLOOKUP($AC427,'Cost and Score'!$B$27:$O$40,7,0)</f>
        <v>50.56818181818182</v>
      </c>
      <c r="BM427" s="48">
        <f>$G427/5280*VLOOKUP($AC427,'Cost and Score'!$B$27:$O$40,8,0)</f>
        <v>0</v>
      </c>
      <c r="BN427" s="48">
        <f>$G427/5280*VLOOKUP($AC427,'Cost and Score'!$B$27:$O$40,9,0)</f>
        <v>9607.954545454546</v>
      </c>
      <c r="BO427" s="48">
        <f>$G427/5280*VLOOKUP($AC427,'Cost and Score'!$B$27:$O$40,10,0)</f>
        <v>1011.3636363636365</v>
      </c>
      <c r="BP427" s="48">
        <f>$G427/5280*VLOOKUP($AC427,'Cost and Score'!$B$27:$O$40,11,0)</f>
        <v>0</v>
      </c>
      <c r="BQ427" s="48">
        <f>$G427/5280*VLOOKUP($AC427,'Cost and Score'!$B$27:$O$40,12,0)</f>
        <v>202.27272727272728</v>
      </c>
      <c r="BR427" s="48">
        <f>$G427/5280*VLOOKUP($AC427,'Cost and Score'!$B$27:$O$40,13,0)</f>
        <v>182.04545454545456</v>
      </c>
      <c r="BS427" s="48">
        <f>$G427/5280*VLOOKUP($AC427,'Cost and Score'!$B$27:$O$40,14,0)</f>
        <v>242.72727272727275</v>
      </c>
      <c r="BT427" s="220">
        <f t="shared" si="214"/>
        <v>1.0113636363636365</v>
      </c>
      <c r="CF427" s="112"/>
      <c r="CR427" s="112"/>
      <c r="CW427" s="112"/>
      <c r="CX427" s="112"/>
      <c r="CY427" s="112"/>
    </row>
    <row r="428" spans="1:103" s="2" customFormat="1" ht="14.45" hidden="1" customHeight="1" x14ac:dyDescent="0.25">
      <c r="A428" s="15" t="s">
        <v>952</v>
      </c>
      <c r="B428" s="34" t="s">
        <v>951</v>
      </c>
      <c r="C428" s="26" t="s">
        <v>951</v>
      </c>
      <c r="D428" s="82"/>
      <c r="E428" s="82" t="s">
        <v>110</v>
      </c>
      <c r="F428" s="82" t="s">
        <v>107</v>
      </c>
      <c r="G428" s="29">
        <v>5310</v>
      </c>
      <c r="H428" s="29">
        <f t="shared" si="238"/>
        <v>20</v>
      </c>
      <c r="I428" s="26" t="s">
        <v>13</v>
      </c>
      <c r="J428" s="26" t="s">
        <v>6</v>
      </c>
      <c r="K428" s="26">
        <f t="shared" si="244"/>
        <v>0</v>
      </c>
      <c r="L428" s="42">
        <v>6</v>
      </c>
      <c r="M428" s="42">
        <v>6</v>
      </c>
      <c r="N428" s="42">
        <v>6</v>
      </c>
      <c r="O428" s="83">
        <v>6</v>
      </c>
      <c r="P428" s="83">
        <v>6</v>
      </c>
      <c r="Q428" s="83">
        <v>6</v>
      </c>
      <c r="R428" s="83">
        <v>6</v>
      </c>
      <c r="S428" s="83">
        <v>6</v>
      </c>
      <c r="T428" s="83">
        <v>6</v>
      </c>
      <c r="U428" s="83">
        <v>8</v>
      </c>
      <c r="V428" s="42"/>
      <c r="W428" s="42"/>
      <c r="X428" s="42"/>
      <c r="Y428" s="26">
        <v>80</v>
      </c>
      <c r="Z428" s="26">
        <f t="shared" si="239"/>
        <v>0</v>
      </c>
      <c r="AA428" s="82" t="s">
        <v>67</v>
      </c>
      <c r="AB428" s="111">
        <f t="shared" si="240"/>
        <v>4</v>
      </c>
      <c r="AC428" s="85" t="s">
        <v>13</v>
      </c>
      <c r="AD428" s="221">
        <f t="shared" si="201"/>
        <v>21119.31818181818</v>
      </c>
      <c r="AE428" s="140"/>
      <c r="AF428" s="113">
        <f t="shared" si="237"/>
        <v>0</v>
      </c>
      <c r="AG428" s="82">
        <v>2022</v>
      </c>
      <c r="AH428" s="26" t="str">
        <f t="shared" si="245"/>
        <v>Chip Seal and Fog</v>
      </c>
      <c r="AI428" s="26" t="str">
        <f t="shared" si="245"/>
        <v/>
      </c>
      <c r="AJ428" s="26" t="str">
        <f t="shared" si="245"/>
        <v/>
      </c>
      <c r="AK428" s="26" t="str">
        <f t="shared" si="245"/>
        <v/>
      </c>
      <c r="AL428" s="26" t="str">
        <f t="shared" si="245"/>
        <v/>
      </c>
      <c r="AM428" s="26" t="str">
        <f t="shared" si="245"/>
        <v/>
      </c>
      <c r="AN428" s="26" t="str">
        <f t="shared" si="226"/>
        <v>Chip Seal and Fog</v>
      </c>
      <c r="AO428" s="26" t="str">
        <f t="shared" si="227"/>
        <v/>
      </c>
      <c r="AP428" s="26" t="str">
        <f t="shared" si="228"/>
        <v/>
      </c>
      <c r="AQ428" s="68">
        <f t="shared" si="242"/>
        <v>8</v>
      </c>
      <c r="AR428" s="68">
        <f t="shared" si="243"/>
        <v>6</v>
      </c>
      <c r="AS428" s="68">
        <f t="shared" si="231"/>
        <v>1.1000000000000001</v>
      </c>
      <c r="AT428" s="68">
        <f t="shared" si="232"/>
        <v>1.1000000000000001</v>
      </c>
      <c r="AU428" s="68">
        <f t="shared" si="233"/>
        <v>1.1000000000000001</v>
      </c>
      <c r="AV428" s="68">
        <f t="shared" si="234"/>
        <v>1.1000000000000001</v>
      </c>
      <c r="AW428" s="68">
        <f t="shared" si="235"/>
        <v>1.1000000000000001</v>
      </c>
      <c r="AX428" s="68">
        <f t="shared" ca="1" si="236"/>
        <v>-2.2000000000000002</v>
      </c>
      <c r="AY428" s="68"/>
      <c r="AZ428" s="68"/>
      <c r="BA428" s="106" t="str">
        <f t="shared" si="213"/>
        <v/>
      </c>
      <c r="BB428" s="178"/>
      <c r="BC428" s="178">
        <v>8</v>
      </c>
      <c r="BD428" s="178"/>
      <c r="BE428" s="178"/>
      <c r="BF428" s="178"/>
      <c r="BG428" s="178"/>
      <c r="BH428" s="178"/>
      <c r="BI428" s="33"/>
      <c r="BK428" s="48">
        <f>$G428/5280*VLOOKUP($AC428,'Cost and Score'!$B$27:$O$40,6,0)</f>
        <v>0.20113636363636364</v>
      </c>
      <c r="BL428" s="48">
        <f>$G428/5280*VLOOKUP($AC428,'Cost and Score'!$B$27:$O$40,7,0)</f>
        <v>22.125</v>
      </c>
      <c r="BM428" s="48">
        <f>$G428/5280*VLOOKUP($AC428,'Cost and Score'!$B$27:$O$40,8,0)</f>
        <v>0</v>
      </c>
      <c r="BN428" s="48">
        <f>$G428/5280*VLOOKUP($AC428,'Cost and Score'!$B$27:$O$40,9,0)</f>
        <v>4525.568181818182</v>
      </c>
      <c r="BO428" s="48">
        <f>$G428/5280*VLOOKUP($AC428,'Cost and Score'!$B$27:$O$40,10,0)</f>
        <v>1005.6818181818181</v>
      </c>
      <c r="BP428" s="48">
        <f>$G428/5280*VLOOKUP($AC428,'Cost and Score'!$B$27:$O$40,11,0)</f>
        <v>0</v>
      </c>
      <c r="BQ428" s="48">
        <f>$G428/5280*VLOOKUP($AC428,'Cost and Score'!$B$27:$O$40,12,0)</f>
        <v>100.56818181818181</v>
      </c>
      <c r="BR428" s="48">
        <f>$G428/5280*VLOOKUP($AC428,'Cost and Score'!$B$27:$O$40,13,0)</f>
        <v>120.68181818181817</v>
      </c>
      <c r="BS428" s="48">
        <f>$G428/5280*VLOOKUP($AC428,'Cost and Score'!$B$27:$O$40,14,0)</f>
        <v>0</v>
      </c>
      <c r="BT428" s="220">
        <f t="shared" si="214"/>
        <v>1.0056818181818181</v>
      </c>
    </row>
    <row r="429" spans="1:103" s="2" customFormat="1" ht="14.45" hidden="1" customHeight="1" x14ac:dyDescent="0.25">
      <c r="A429" s="15" t="s">
        <v>954</v>
      </c>
      <c r="B429" s="108" t="s">
        <v>953</v>
      </c>
      <c r="C429" s="106" t="s">
        <v>953</v>
      </c>
      <c r="D429" s="106"/>
      <c r="E429" s="106" t="s">
        <v>110</v>
      </c>
      <c r="F429" s="106" t="s">
        <v>209</v>
      </c>
      <c r="G429" s="109">
        <v>3622</v>
      </c>
      <c r="H429" s="109">
        <f t="shared" si="238"/>
        <v>20</v>
      </c>
      <c r="I429" s="106" t="s">
        <v>13</v>
      </c>
      <c r="J429" s="106" t="s">
        <v>6</v>
      </c>
      <c r="K429" s="106">
        <f t="shared" si="244"/>
        <v>0</v>
      </c>
      <c r="L429" s="110">
        <v>6</v>
      </c>
      <c r="M429" s="110">
        <v>6</v>
      </c>
      <c r="N429" s="110">
        <v>6</v>
      </c>
      <c r="O429" s="110">
        <v>6</v>
      </c>
      <c r="P429" s="110">
        <v>8</v>
      </c>
      <c r="Q429" s="110">
        <v>8</v>
      </c>
      <c r="R429" s="110">
        <v>7</v>
      </c>
      <c r="S429" s="110">
        <v>7</v>
      </c>
      <c r="T429" s="110">
        <v>7</v>
      </c>
      <c r="U429" s="110">
        <v>8</v>
      </c>
      <c r="V429" s="110"/>
      <c r="W429" s="110"/>
      <c r="X429" s="110"/>
      <c r="Y429" s="106">
        <v>90</v>
      </c>
      <c r="Z429" s="106">
        <f t="shared" si="239"/>
        <v>0</v>
      </c>
      <c r="AA429" s="106" t="s">
        <v>67</v>
      </c>
      <c r="AB429" s="111">
        <f t="shared" si="240"/>
        <v>2</v>
      </c>
      <c r="AC429" s="26" t="s">
        <v>13</v>
      </c>
      <c r="AD429" s="107">
        <f t="shared" si="201"/>
        <v>14405.681818181818</v>
      </c>
      <c r="AE429" s="198">
        <v>1</v>
      </c>
      <c r="AF429" s="113">
        <f t="shared" si="237"/>
        <v>14405.681818181818</v>
      </c>
      <c r="AG429" s="106">
        <v>2023</v>
      </c>
      <c r="AH429" s="26" t="str">
        <f t="shared" si="245"/>
        <v/>
      </c>
      <c r="AI429" s="26" t="str">
        <f t="shared" si="245"/>
        <v>Chip Seal and Fog</v>
      </c>
      <c r="AJ429" s="26" t="str">
        <f t="shared" si="245"/>
        <v/>
      </c>
      <c r="AK429" s="26" t="str">
        <f t="shared" si="245"/>
        <v/>
      </c>
      <c r="AL429" s="26" t="str">
        <f t="shared" si="245"/>
        <v/>
      </c>
      <c r="AM429" s="26" t="str">
        <f t="shared" si="245"/>
        <v/>
      </c>
      <c r="AN429" s="26" t="str">
        <f t="shared" si="226"/>
        <v>Chip Seal and Fog</v>
      </c>
      <c r="AO429" s="26" t="str">
        <f t="shared" si="227"/>
        <v/>
      </c>
      <c r="AP429" s="26" t="str">
        <f t="shared" si="228"/>
        <v/>
      </c>
      <c r="AQ429" s="68">
        <f t="shared" si="242"/>
        <v>8</v>
      </c>
      <c r="AR429" s="68">
        <f t="shared" si="243"/>
        <v>6</v>
      </c>
      <c r="AS429" s="68">
        <f t="shared" si="231"/>
        <v>1.1000000000000001</v>
      </c>
      <c r="AT429" s="68">
        <f t="shared" si="232"/>
        <v>1.1000000000000001</v>
      </c>
      <c r="AU429" s="68">
        <f t="shared" si="233"/>
        <v>1.1000000000000001</v>
      </c>
      <c r="AV429" s="68">
        <f t="shared" si="234"/>
        <v>1.1000000000000001</v>
      </c>
      <c r="AW429" s="68">
        <f t="shared" si="235"/>
        <v>1</v>
      </c>
      <c r="AX429" s="68">
        <f t="shared" ca="1" si="236"/>
        <v>-1.1000000000000001</v>
      </c>
      <c r="AY429" s="106">
        <v>2023</v>
      </c>
      <c r="AZ429" s="106" t="s">
        <v>13</v>
      </c>
      <c r="BA429" s="106" t="str">
        <f t="shared" si="213"/>
        <v/>
      </c>
      <c r="BB429" s="177"/>
      <c r="BC429" s="177">
        <v>8</v>
      </c>
      <c r="BD429" s="177"/>
      <c r="BE429" s="177"/>
      <c r="BF429" s="177"/>
      <c r="BG429" s="177"/>
      <c r="BH429" s="177"/>
      <c r="BI429" s="33" t="s">
        <v>2378</v>
      </c>
      <c r="BK429" s="48">
        <f>$G429/5280*VLOOKUP($AC429,'Cost and Score'!$B$27:$O$40,6,0)</f>
        <v>0.13719696969696971</v>
      </c>
      <c r="BL429" s="48">
        <f>$G429/5280*VLOOKUP($AC429,'Cost and Score'!$B$27:$O$40,7,0)</f>
        <v>15.091666666666669</v>
      </c>
      <c r="BM429" s="48">
        <f>$G429/5280*VLOOKUP($AC429,'Cost and Score'!$B$27:$O$40,8,0)</f>
        <v>0</v>
      </c>
      <c r="BN429" s="48">
        <f>$G429/5280*VLOOKUP($AC429,'Cost and Score'!$B$27:$O$40,9,0)</f>
        <v>3086.9318181818185</v>
      </c>
      <c r="BO429" s="48">
        <f>$G429/5280*VLOOKUP($AC429,'Cost and Score'!$B$27:$O$40,10,0)</f>
        <v>685.9848484848485</v>
      </c>
      <c r="BP429" s="48">
        <f>$G429/5280*VLOOKUP($AC429,'Cost and Score'!$B$27:$O$40,11,0)</f>
        <v>0</v>
      </c>
      <c r="BQ429" s="48">
        <f>$G429/5280*VLOOKUP($AC429,'Cost and Score'!$B$27:$O$40,12,0)</f>
        <v>68.598484848484858</v>
      </c>
      <c r="BR429" s="48">
        <f>$G429/5280*VLOOKUP($AC429,'Cost and Score'!$B$27:$O$40,13,0)</f>
        <v>82.318181818181827</v>
      </c>
      <c r="BS429" s="48">
        <f>$G429/5280*VLOOKUP($AC429,'Cost and Score'!$B$27:$O$40,14,0)</f>
        <v>0</v>
      </c>
      <c r="BT429" s="220">
        <f t="shared" si="214"/>
        <v>0.68598484848484853</v>
      </c>
      <c r="CF429" s="112"/>
      <c r="CR429" s="112"/>
    </row>
    <row r="430" spans="1:103" s="112" customFormat="1" ht="14.45" customHeight="1" x14ac:dyDescent="0.25">
      <c r="A430" s="15" t="s">
        <v>263</v>
      </c>
      <c r="B430" s="34" t="s">
        <v>262</v>
      </c>
      <c r="C430" s="26" t="s">
        <v>262</v>
      </c>
      <c r="D430" s="82"/>
      <c r="E430" s="82" t="s">
        <v>213</v>
      </c>
      <c r="F430" s="82" t="s">
        <v>39</v>
      </c>
      <c r="G430" s="29">
        <v>5275</v>
      </c>
      <c r="H430" s="29">
        <f t="shared" si="238"/>
        <v>20</v>
      </c>
      <c r="I430" s="26" t="s">
        <v>8</v>
      </c>
      <c r="J430" s="26" t="s">
        <v>17</v>
      </c>
      <c r="K430" s="26">
        <f t="shared" si="244"/>
        <v>0</v>
      </c>
      <c r="L430" s="42">
        <v>6</v>
      </c>
      <c r="M430" s="42">
        <v>6</v>
      </c>
      <c r="N430" s="42">
        <v>6</v>
      </c>
      <c r="O430" s="83">
        <v>5</v>
      </c>
      <c r="P430" s="83">
        <v>4</v>
      </c>
      <c r="Q430" s="83">
        <v>4</v>
      </c>
      <c r="R430" s="83">
        <v>9</v>
      </c>
      <c r="S430" s="83">
        <v>8</v>
      </c>
      <c r="T430" s="83">
        <v>8</v>
      </c>
      <c r="U430" s="83">
        <v>8</v>
      </c>
      <c r="V430" s="42"/>
      <c r="W430" s="42"/>
      <c r="X430" s="42"/>
      <c r="Y430" s="26">
        <v>94</v>
      </c>
      <c r="Z430" s="26">
        <f t="shared" si="239"/>
        <v>0</v>
      </c>
      <c r="AA430" s="82" t="s">
        <v>257</v>
      </c>
      <c r="AB430" s="111">
        <f t="shared" si="240"/>
        <v>6</v>
      </c>
      <c r="AC430" s="85" t="s">
        <v>13</v>
      </c>
      <c r="AD430" s="84">
        <f t="shared" si="201"/>
        <v>20980.113636363636</v>
      </c>
      <c r="AE430" s="140"/>
      <c r="AF430" s="113">
        <f t="shared" si="237"/>
        <v>0</v>
      </c>
      <c r="AG430" s="106">
        <v>2025</v>
      </c>
      <c r="AH430" s="26" t="str">
        <f t="shared" ref="AH430:AM439" si="246">IF($AG430=AH$1,VLOOKUP($AC430,RSL,3,FALSE),"")</f>
        <v/>
      </c>
      <c r="AI430" s="26" t="str">
        <f t="shared" si="246"/>
        <v/>
      </c>
      <c r="AJ430" s="26" t="str">
        <f t="shared" si="246"/>
        <v/>
      </c>
      <c r="AK430" s="26" t="str">
        <f t="shared" si="246"/>
        <v>Chip Seal and Fog</v>
      </c>
      <c r="AL430" s="26" t="str">
        <f t="shared" si="246"/>
        <v/>
      </c>
      <c r="AM430" s="26" t="str">
        <f t="shared" si="246"/>
        <v/>
      </c>
      <c r="AN430" s="26" t="str">
        <f t="shared" si="226"/>
        <v>Chip Seal and Fog</v>
      </c>
      <c r="AO430" s="26" t="str">
        <f t="shared" si="227"/>
        <v/>
      </c>
      <c r="AP430" s="26" t="str">
        <f t="shared" si="228"/>
        <v/>
      </c>
      <c r="AQ430" s="68">
        <f t="shared" si="242"/>
        <v>6</v>
      </c>
      <c r="AR430" s="68">
        <f t="shared" si="243"/>
        <v>6</v>
      </c>
      <c r="AS430" s="68">
        <f t="shared" si="231"/>
        <v>1.1000000000000001</v>
      </c>
      <c r="AT430" s="68">
        <f t="shared" si="232"/>
        <v>1.1000000000000001</v>
      </c>
      <c r="AU430" s="68">
        <f t="shared" si="233"/>
        <v>1.1000000000000001</v>
      </c>
      <c r="AV430" s="68">
        <f t="shared" si="234"/>
        <v>1.25</v>
      </c>
      <c r="AW430" s="68">
        <f t="shared" si="235"/>
        <v>1.5</v>
      </c>
      <c r="AX430" s="68">
        <f t="shared" ca="1" si="236"/>
        <v>1.1000000000000001</v>
      </c>
      <c r="AY430" s="106">
        <v>2019</v>
      </c>
      <c r="AZ430" s="106" t="s">
        <v>2072</v>
      </c>
      <c r="BA430" s="106" t="str">
        <f t="shared" si="213"/>
        <v/>
      </c>
      <c r="BB430" s="177"/>
      <c r="BC430" s="177">
        <v>5</v>
      </c>
      <c r="BD430" s="177"/>
      <c r="BE430" s="177"/>
      <c r="BF430" s="177"/>
      <c r="BG430" s="177"/>
      <c r="BH430" s="177"/>
      <c r="BI430" s="33"/>
      <c r="BJ430" s="2"/>
      <c r="BK430" s="48">
        <f>$G430/5280*VLOOKUP($AC430,'Cost and Score'!$B$27:$O$40,6,0)</f>
        <v>0.19981060606060608</v>
      </c>
      <c r="BL430" s="48">
        <f>$G430/5280*VLOOKUP($AC430,'Cost and Score'!$B$27:$O$40,7,0)</f>
        <v>21.979166666666664</v>
      </c>
      <c r="BM430" s="48">
        <f>$G430/5280*VLOOKUP($AC430,'Cost and Score'!$B$27:$O$40,8,0)</f>
        <v>0</v>
      </c>
      <c r="BN430" s="48">
        <f>$G430/5280*VLOOKUP($AC430,'Cost and Score'!$B$27:$O$40,9,0)</f>
        <v>4495.738636363636</v>
      </c>
      <c r="BO430" s="48">
        <f>$G430/5280*VLOOKUP($AC430,'Cost and Score'!$B$27:$O$40,10,0)</f>
        <v>999.05303030303025</v>
      </c>
      <c r="BP430" s="48">
        <f>$G430/5280*VLOOKUP($AC430,'Cost and Score'!$B$27:$O$40,11,0)</f>
        <v>0</v>
      </c>
      <c r="BQ430" s="48">
        <f>$G430/5280*VLOOKUP($AC430,'Cost and Score'!$B$27:$O$40,12,0)</f>
        <v>99.905303030303031</v>
      </c>
      <c r="BR430" s="48">
        <f>$G430/5280*VLOOKUP($AC430,'Cost and Score'!$B$27:$O$40,13,0)</f>
        <v>119.88636363636363</v>
      </c>
      <c r="BS430" s="48">
        <f>$G430/5280*VLOOKUP($AC430,'Cost and Score'!$B$27:$O$40,14,0)</f>
        <v>0</v>
      </c>
      <c r="BT430" s="220">
        <f t="shared" si="214"/>
        <v>0.99905303030303028</v>
      </c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</row>
    <row r="431" spans="1:103" s="2" customFormat="1" ht="14.45" customHeight="1" x14ac:dyDescent="0.25">
      <c r="A431" s="38" t="s">
        <v>1337</v>
      </c>
      <c r="B431" s="34" t="s">
        <v>1336</v>
      </c>
      <c r="C431" s="26" t="s">
        <v>1336</v>
      </c>
      <c r="D431" s="26"/>
      <c r="E431" s="26" t="s">
        <v>35</v>
      </c>
      <c r="F431" s="26" t="s">
        <v>213</v>
      </c>
      <c r="G431" s="29">
        <v>2217</v>
      </c>
      <c r="H431" s="29">
        <f t="shared" si="238"/>
        <v>20</v>
      </c>
      <c r="I431" s="26" t="s">
        <v>13</v>
      </c>
      <c r="J431" s="26" t="s">
        <v>17</v>
      </c>
      <c r="K431" s="26">
        <f t="shared" si="244"/>
        <v>0</v>
      </c>
      <c r="L431" s="42">
        <v>4</v>
      </c>
      <c r="M431" s="42">
        <v>3</v>
      </c>
      <c r="N431" s="42">
        <v>10</v>
      </c>
      <c r="O431" s="42">
        <v>9</v>
      </c>
      <c r="P431" s="42">
        <v>8</v>
      </c>
      <c r="Q431" s="42">
        <v>8</v>
      </c>
      <c r="R431" s="42">
        <v>7</v>
      </c>
      <c r="S431" s="42">
        <v>7</v>
      </c>
      <c r="T431" s="42">
        <v>7</v>
      </c>
      <c r="U431" s="42">
        <v>7</v>
      </c>
      <c r="V431" s="42"/>
      <c r="W431" s="42"/>
      <c r="X431" s="42"/>
      <c r="Y431" s="26">
        <v>68</v>
      </c>
      <c r="Z431" s="26">
        <f t="shared" si="239"/>
        <v>0</v>
      </c>
      <c r="AA431" s="26" t="s">
        <v>297</v>
      </c>
      <c r="AB431" s="111">
        <f t="shared" si="240"/>
        <v>2</v>
      </c>
      <c r="AC431" s="26" t="s">
        <v>13</v>
      </c>
      <c r="AD431" s="47">
        <f t="shared" si="201"/>
        <v>8817.613636363636</v>
      </c>
      <c r="AE431" s="140"/>
      <c r="AF431" s="113">
        <f t="shared" si="237"/>
        <v>0</v>
      </c>
      <c r="AG431" s="26">
        <v>2025</v>
      </c>
      <c r="AH431" s="26" t="str">
        <f t="shared" si="246"/>
        <v/>
      </c>
      <c r="AI431" s="26" t="str">
        <f t="shared" si="246"/>
        <v/>
      </c>
      <c r="AJ431" s="26" t="str">
        <f t="shared" si="246"/>
        <v/>
      </c>
      <c r="AK431" s="26" t="str">
        <f t="shared" si="246"/>
        <v>Chip Seal and Fog</v>
      </c>
      <c r="AL431" s="26" t="str">
        <f t="shared" si="246"/>
        <v/>
      </c>
      <c r="AM431" s="26" t="str">
        <f t="shared" si="246"/>
        <v/>
      </c>
      <c r="AN431" s="26" t="str">
        <f t="shared" si="226"/>
        <v>Chip Seal and Fog</v>
      </c>
      <c r="AO431" s="26" t="str">
        <f t="shared" si="227"/>
        <v/>
      </c>
      <c r="AP431" s="26" t="str">
        <f t="shared" si="228"/>
        <v/>
      </c>
      <c r="AQ431" s="68">
        <f t="shared" si="242"/>
        <v>14</v>
      </c>
      <c r="AR431" s="68">
        <f t="shared" si="243"/>
        <v>6</v>
      </c>
      <c r="AS431" s="68">
        <f t="shared" si="231"/>
        <v>1.5</v>
      </c>
      <c r="AT431" s="68">
        <f t="shared" si="232"/>
        <v>1.75</v>
      </c>
      <c r="AU431" s="68">
        <f t="shared" si="233"/>
        <v>1</v>
      </c>
      <c r="AV431" s="68">
        <f t="shared" si="234"/>
        <v>1</v>
      </c>
      <c r="AW431" s="68">
        <f t="shared" si="235"/>
        <v>1</v>
      </c>
      <c r="AX431" s="68">
        <f t="shared" ca="1" si="236"/>
        <v>1</v>
      </c>
      <c r="AY431" s="68"/>
      <c r="AZ431" s="68"/>
      <c r="BA431" s="106" t="str">
        <f t="shared" si="213"/>
        <v/>
      </c>
      <c r="BB431" s="178">
        <v>72</v>
      </c>
      <c r="BC431" s="178">
        <v>5</v>
      </c>
      <c r="BD431" s="178"/>
      <c r="BE431" s="178"/>
      <c r="BF431" s="178"/>
      <c r="BG431" s="178"/>
      <c r="BH431" s="178"/>
      <c r="BI431" s="33" t="s">
        <v>2378</v>
      </c>
      <c r="BK431" s="48">
        <f>$G431/5280*VLOOKUP($AC431,'Cost and Score'!$B$27:$O$40,6,0)</f>
        <v>8.3977272727272734E-2</v>
      </c>
      <c r="BL431" s="48">
        <f>$G431/5280*VLOOKUP($AC431,'Cost and Score'!$B$27:$O$40,7,0)</f>
        <v>9.2374999999999989</v>
      </c>
      <c r="BM431" s="48">
        <f>$G431/5280*VLOOKUP($AC431,'Cost and Score'!$B$27:$O$40,8,0)</f>
        <v>0</v>
      </c>
      <c r="BN431" s="48">
        <f>$G431/5280*VLOOKUP($AC431,'Cost and Score'!$B$27:$O$40,9,0)</f>
        <v>1889.4886363636363</v>
      </c>
      <c r="BO431" s="48">
        <f>$G431/5280*VLOOKUP($AC431,'Cost and Score'!$B$27:$O$40,10,0)</f>
        <v>419.88636363636363</v>
      </c>
      <c r="BP431" s="48">
        <f>$G431/5280*VLOOKUP($AC431,'Cost and Score'!$B$27:$O$40,11,0)</f>
        <v>0</v>
      </c>
      <c r="BQ431" s="48">
        <f>$G431/5280*VLOOKUP($AC431,'Cost and Score'!$B$27:$O$40,12,0)</f>
        <v>41.98863636363636</v>
      </c>
      <c r="BR431" s="48">
        <f>$G431/5280*VLOOKUP($AC431,'Cost and Score'!$B$27:$O$40,13,0)</f>
        <v>50.386363636363633</v>
      </c>
      <c r="BS431" s="48">
        <f>$G431/5280*VLOOKUP($AC431,'Cost and Score'!$B$27:$O$40,14,0)</f>
        <v>0</v>
      </c>
      <c r="BT431" s="220">
        <f t="shared" si="214"/>
        <v>0.41988636363636361</v>
      </c>
      <c r="CW431" s="112"/>
      <c r="CX431" s="112"/>
      <c r="CY431" s="112"/>
    </row>
    <row r="432" spans="1:103" s="2" customFormat="1" ht="14.45" customHeight="1" x14ac:dyDescent="0.25">
      <c r="A432" s="15" t="s">
        <v>584</v>
      </c>
      <c r="B432" s="34" t="s">
        <v>583</v>
      </c>
      <c r="C432" s="26" t="s">
        <v>583</v>
      </c>
      <c r="D432" s="82"/>
      <c r="E432" s="82" t="s">
        <v>99</v>
      </c>
      <c r="F432" s="82" t="s">
        <v>104</v>
      </c>
      <c r="G432" s="29">
        <v>5337</v>
      </c>
      <c r="H432" s="29">
        <f t="shared" si="238"/>
        <v>20</v>
      </c>
      <c r="I432" s="26" t="s">
        <v>62</v>
      </c>
      <c r="J432" s="26" t="s">
        <v>160</v>
      </c>
      <c r="K432" s="26">
        <f t="shared" si="244"/>
        <v>0</v>
      </c>
      <c r="L432" s="42">
        <v>6</v>
      </c>
      <c r="M432" s="42">
        <v>6</v>
      </c>
      <c r="N432" s="42">
        <v>6</v>
      </c>
      <c r="O432" s="83">
        <v>6</v>
      </c>
      <c r="P432" s="83">
        <v>7</v>
      </c>
      <c r="Q432" s="83">
        <v>7</v>
      </c>
      <c r="R432" s="83">
        <v>7</v>
      </c>
      <c r="S432" s="83">
        <v>7</v>
      </c>
      <c r="T432" s="83">
        <v>7</v>
      </c>
      <c r="U432" s="83">
        <v>7</v>
      </c>
      <c r="V432" s="42"/>
      <c r="W432" s="42"/>
      <c r="X432" s="42"/>
      <c r="Y432" s="26">
        <v>56</v>
      </c>
      <c r="Z432" s="26">
        <f t="shared" si="239"/>
        <v>0</v>
      </c>
      <c r="AA432" s="82" t="s">
        <v>124</v>
      </c>
      <c r="AB432" s="111">
        <f t="shared" si="240"/>
        <v>3</v>
      </c>
      <c r="AC432" s="85" t="s">
        <v>13</v>
      </c>
      <c r="AD432" s="84">
        <f t="shared" si="201"/>
        <v>21226.704545454544</v>
      </c>
      <c r="AE432" s="140"/>
      <c r="AF432" s="113">
        <f t="shared" si="237"/>
        <v>0</v>
      </c>
      <c r="AG432" s="106">
        <v>2025</v>
      </c>
      <c r="AH432" s="26" t="str">
        <f t="shared" si="246"/>
        <v/>
      </c>
      <c r="AI432" s="26" t="str">
        <f t="shared" si="246"/>
        <v/>
      </c>
      <c r="AJ432" s="26" t="str">
        <f t="shared" si="246"/>
        <v/>
      </c>
      <c r="AK432" s="26" t="str">
        <f t="shared" si="246"/>
        <v>Chip Seal and Fog</v>
      </c>
      <c r="AL432" s="26" t="str">
        <f t="shared" si="246"/>
        <v/>
      </c>
      <c r="AM432" s="26" t="str">
        <f t="shared" si="246"/>
        <v/>
      </c>
      <c r="AN432" s="26" t="str">
        <f t="shared" ref="AN432:AN467" si="247">VLOOKUP($AC432,RSL,3,FALSE)</f>
        <v>Chip Seal and Fog</v>
      </c>
      <c r="AO432" s="26" t="str">
        <f t="shared" ref="AO432:AO463" si="248">IF(AY432=AO$1,VLOOKUP(AZ432,RSL,3,FALSE),"")</f>
        <v/>
      </c>
      <c r="AP432" s="26" t="str">
        <f t="shared" si="228"/>
        <v/>
      </c>
      <c r="AQ432" s="68">
        <f t="shared" si="242"/>
        <v>8</v>
      </c>
      <c r="AR432" s="68">
        <f t="shared" si="243"/>
        <v>6</v>
      </c>
      <c r="AS432" s="68">
        <f t="shared" si="231"/>
        <v>1.1000000000000001</v>
      </c>
      <c r="AT432" s="68">
        <f t="shared" si="232"/>
        <v>1.1000000000000001</v>
      </c>
      <c r="AU432" s="68">
        <f t="shared" si="233"/>
        <v>1.1000000000000001</v>
      </c>
      <c r="AV432" s="68">
        <f t="shared" si="234"/>
        <v>1.1000000000000001</v>
      </c>
      <c r="AW432" s="68">
        <f t="shared" si="235"/>
        <v>1.05</v>
      </c>
      <c r="AX432" s="68">
        <f t="shared" ca="1" si="236"/>
        <v>1.1000000000000001</v>
      </c>
      <c r="AY432" s="106">
        <v>2019</v>
      </c>
      <c r="AZ432" s="106" t="s">
        <v>2073</v>
      </c>
      <c r="BA432" s="106" t="str">
        <f t="shared" si="213"/>
        <v/>
      </c>
      <c r="BB432" s="177"/>
      <c r="BC432" s="177">
        <v>8</v>
      </c>
      <c r="BD432" s="177"/>
      <c r="BE432" s="177"/>
      <c r="BF432" s="177"/>
      <c r="BG432" s="177"/>
      <c r="BH432" s="177"/>
      <c r="BI432" s="33"/>
      <c r="BK432" s="48">
        <f>$G432/5280*VLOOKUP($AC432,'Cost and Score'!$B$27:$O$40,6,0)</f>
        <v>0.2021590909090909</v>
      </c>
      <c r="BL432" s="48">
        <f>$G432/5280*VLOOKUP($AC432,'Cost and Score'!$B$27:$O$40,7,0)</f>
        <v>22.237499999999997</v>
      </c>
      <c r="BM432" s="48">
        <f>$G432/5280*VLOOKUP($AC432,'Cost and Score'!$B$27:$O$40,8,0)</f>
        <v>0</v>
      </c>
      <c r="BN432" s="48">
        <f>$G432/5280*VLOOKUP($AC432,'Cost and Score'!$B$27:$O$40,9,0)</f>
        <v>4548.579545454545</v>
      </c>
      <c r="BO432" s="48">
        <f>$G432/5280*VLOOKUP($AC432,'Cost and Score'!$B$27:$O$40,10,0)</f>
        <v>1010.7954545454545</v>
      </c>
      <c r="BP432" s="48">
        <f>$G432/5280*VLOOKUP($AC432,'Cost and Score'!$B$27:$O$40,11,0)</f>
        <v>0</v>
      </c>
      <c r="BQ432" s="48">
        <f>$G432/5280*VLOOKUP($AC432,'Cost and Score'!$B$27:$O$40,12,0)</f>
        <v>101.07954545454545</v>
      </c>
      <c r="BR432" s="48">
        <f>$G432/5280*VLOOKUP($AC432,'Cost and Score'!$B$27:$O$40,13,0)</f>
        <v>121.29545454545453</v>
      </c>
      <c r="BS432" s="48">
        <f>$G432/5280*VLOOKUP($AC432,'Cost and Score'!$B$27:$O$40,14,0)</f>
        <v>0</v>
      </c>
      <c r="BT432" s="220">
        <f t="shared" si="214"/>
        <v>1.0107954545454545</v>
      </c>
    </row>
    <row r="433" spans="1:103" s="2" customFormat="1" ht="14.45" customHeight="1" x14ac:dyDescent="0.25">
      <c r="A433" s="37" t="s">
        <v>207</v>
      </c>
      <c r="B433" s="108" t="s">
        <v>195</v>
      </c>
      <c r="C433" s="106" t="s">
        <v>195</v>
      </c>
      <c r="D433" s="106"/>
      <c r="E433" s="106" t="s">
        <v>206</v>
      </c>
      <c r="F433" s="106" t="s">
        <v>197</v>
      </c>
      <c r="G433" s="109">
        <v>2560</v>
      </c>
      <c r="H433" s="109">
        <f t="shared" si="238"/>
        <v>20</v>
      </c>
      <c r="I433" s="106" t="s">
        <v>13</v>
      </c>
      <c r="J433" s="106" t="s">
        <v>101</v>
      </c>
      <c r="K433" s="106">
        <v>0</v>
      </c>
      <c r="L433" s="110">
        <v>5</v>
      </c>
      <c r="M433" s="110">
        <v>3</v>
      </c>
      <c r="N433" s="110">
        <v>5</v>
      </c>
      <c r="O433" s="110">
        <v>5</v>
      </c>
      <c r="P433" s="110">
        <v>7</v>
      </c>
      <c r="Q433" s="110">
        <v>7</v>
      </c>
      <c r="R433" s="110">
        <v>7</v>
      </c>
      <c r="S433" s="110">
        <v>7</v>
      </c>
      <c r="T433" s="110">
        <v>7</v>
      </c>
      <c r="U433" s="110">
        <v>7</v>
      </c>
      <c r="V433" s="110"/>
      <c r="W433" s="110"/>
      <c r="X433" s="110"/>
      <c r="Y433" s="106">
        <v>50</v>
      </c>
      <c r="Z433" s="106">
        <f t="shared" si="239"/>
        <v>0</v>
      </c>
      <c r="AA433" s="106" t="s">
        <v>116</v>
      </c>
      <c r="AB433" s="111">
        <f t="shared" si="240"/>
        <v>3</v>
      </c>
      <c r="AC433" s="26" t="s">
        <v>13</v>
      </c>
      <c r="AD433" s="107">
        <f t="shared" si="201"/>
        <v>10181.818181818182</v>
      </c>
      <c r="AE433" s="198"/>
      <c r="AF433" s="113">
        <f t="shared" si="237"/>
        <v>0</v>
      </c>
      <c r="AG433" s="26">
        <v>2025</v>
      </c>
      <c r="AH433" s="26" t="str">
        <f t="shared" si="246"/>
        <v/>
      </c>
      <c r="AI433" s="26" t="str">
        <f t="shared" si="246"/>
        <v/>
      </c>
      <c r="AJ433" s="26" t="str">
        <f t="shared" si="246"/>
        <v/>
      </c>
      <c r="AK433" s="26" t="str">
        <f t="shared" si="246"/>
        <v>Chip Seal and Fog</v>
      </c>
      <c r="AL433" s="26" t="str">
        <f t="shared" si="246"/>
        <v/>
      </c>
      <c r="AM433" s="26" t="str">
        <f t="shared" si="246"/>
        <v/>
      </c>
      <c r="AN433" s="26" t="str">
        <f t="shared" si="247"/>
        <v>Chip Seal and Fog</v>
      </c>
      <c r="AO433" s="26" t="str">
        <f t="shared" si="248"/>
        <v/>
      </c>
      <c r="AP433" s="26" t="str">
        <f t="shared" si="228"/>
        <v/>
      </c>
      <c r="AQ433" s="68">
        <f t="shared" si="242"/>
        <v>6</v>
      </c>
      <c r="AR433" s="68">
        <f t="shared" si="243"/>
        <v>6</v>
      </c>
      <c r="AS433" s="68">
        <f t="shared" si="231"/>
        <v>1.25</v>
      </c>
      <c r="AT433" s="68">
        <f t="shared" si="232"/>
        <v>1.75</v>
      </c>
      <c r="AU433" s="68">
        <f t="shared" si="233"/>
        <v>1.25</v>
      </c>
      <c r="AV433" s="68">
        <f t="shared" si="234"/>
        <v>1.25</v>
      </c>
      <c r="AW433" s="68">
        <f t="shared" si="235"/>
        <v>1.05</v>
      </c>
      <c r="AX433" s="68">
        <f t="shared" ca="1" si="236"/>
        <v>1.25</v>
      </c>
      <c r="AY433" s="106">
        <v>2017</v>
      </c>
      <c r="AZ433" s="106" t="s">
        <v>2072</v>
      </c>
      <c r="BA433" s="106" t="str">
        <f t="shared" si="213"/>
        <v/>
      </c>
      <c r="BB433" s="177"/>
      <c r="BC433" s="177">
        <v>6</v>
      </c>
      <c r="BD433" s="177"/>
      <c r="BE433" s="177"/>
      <c r="BF433" s="177"/>
      <c r="BG433" s="177"/>
      <c r="BH433" s="177"/>
      <c r="BI433" s="33" t="s">
        <v>2377</v>
      </c>
      <c r="BK433" s="48">
        <f>$G433/5280*VLOOKUP($AC433,'Cost and Score'!$B$27:$O$40,6,0)</f>
        <v>9.6969696969696983E-2</v>
      </c>
      <c r="BL433" s="48">
        <f>$G433/5280*VLOOKUP($AC433,'Cost and Score'!$B$27:$O$40,7,0)</f>
        <v>10.666666666666668</v>
      </c>
      <c r="BM433" s="48">
        <f>$G433/5280*VLOOKUP($AC433,'Cost and Score'!$B$27:$O$40,8,0)</f>
        <v>0</v>
      </c>
      <c r="BN433" s="48">
        <f>$G433/5280*VLOOKUP($AC433,'Cost and Score'!$B$27:$O$40,9,0)</f>
        <v>2181.818181818182</v>
      </c>
      <c r="BO433" s="48">
        <f>$G433/5280*VLOOKUP($AC433,'Cost and Score'!$B$27:$O$40,10,0)</f>
        <v>484.84848484848487</v>
      </c>
      <c r="BP433" s="48">
        <f>$G433/5280*VLOOKUP($AC433,'Cost and Score'!$B$27:$O$40,11,0)</f>
        <v>0</v>
      </c>
      <c r="BQ433" s="48">
        <f>$G433/5280*VLOOKUP($AC433,'Cost and Score'!$B$27:$O$40,12,0)</f>
        <v>48.484848484848484</v>
      </c>
      <c r="BR433" s="48">
        <f>$G433/5280*VLOOKUP($AC433,'Cost and Score'!$B$27:$O$40,13,0)</f>
        <v>58.181818181818187</v>
      </c>
      <c r="BS433" s="48">
        <f>$G433/5280*VLOOKUP($AC433,'Cost and Score'!$B$27:$O$40,14,0)</f>
        <v>0</v>
      </c>
      <c r="BT433" s="220">
        <f t="shared" si="214"/>
        <v>0.48484848484848486</v>
      </c>
    </row>
    <row r="434" spans="1:103" s="2" customFormat="1" ht="14.45" hidden="1" customHeight="1" x14ac:dyDescent="0.25">
      <c r="A434" s="15" t="s">
        <v>965</v>
      </c>
      <c r="B434" s="34" t="s">
        <v>964</v>
      </c>
      <c r="C434" s="26" t="s">
        <v>964</v>
      </c>
      <c r="D434" s="82"/>
      <c r="E434" s="82" t="s">
        <v>39</v>
      </c>
      <c r="F434" s="82" t="s">
        <v>213</v>
      </c>
      <c r="G434" s="29">
        <v>5330</v>
      </c>
      <c r="H434" s="29">
        <f t="shared" si="238"/>
        <v>20</v>
      </c>
      <c r="I434" s="26" t="s">
        <v>13</v>
      </c>
      <c r="J434" s="26" t="s">
        <v>11</v>
      </c>
      <c r="K434" s="26">
        <f t="shared" ref="K434:K440" si="249">VLOOKUP(J434,TOWNSHIPS,2,FALSE)</f>
        <v>0</v>
      </c>
      <c r="L434" s="42">
        <v>7</v>
      </c>
      <c r="M434" s="42">
        <v>7</v>
      </c>
      <c r="N434" s="42">
        <v>6</v>
      </c>
      <c r="O434" s="83">
        <v>6</v>
      </c>
      <c r="P434" s="83">
        <v>6</v>
      </c>
      <c r="Q434" s="83">
        <v>6</v>
      </c>
      <c r="R434" s="83">
        <v>6</v>
      </c>
      <c r="S434" s="83">
        <v>8</v>
      </c>
      <c r="T434" s="83">
        <v>7</v>
      </c>
      <c r="U434" s="83">
        <v>7</v>
      </c>
      <c r="V434" s="42"/>
      <c r="W434" s="42"/>
      <c r="X434" s="42"/>
      <c r="Y434" s="26">
        <v>87</v>
      </c>
      <c r="Z434" s="26">
        <f t="shared" si="239"/>
        <v>0</v>
      </c>
      <c r="AA434" s="82" t="s">
        <v>67</v>
      </c>
      <c r="AB434" s="111">
        <f t="shared" si="240"/>
        <v>4</v>
      </c>
      <c r="AC434" s="82" t="s">
        <v>2073</v>
      </c>
      <c r="AD434" s="84">
        <f t="shared" si="201"/>
        <v>32303.030303030304</v>
      </c>
      <c r="AE434" s="140"/>
      <c r="AF434" s="113">
        <f t="shared" si="237"/>
        <v>0</v>
      </c>
      <c r="AG434" s="85">
        <v>2026</v>
      </c>
      <c r="AH434" s="26" t="str">
        <f t="shared" si="246"/>
        <v/>
      </c>
      <c r="AI434" s="26" t="str">
        <f t="shared" si="246"/>
        <v/>
      </c>
      <c r="AJ434" s="26" t="str">
        <f t="shared" si="246"/>
        <v/>
      </c>
      <c r="AK434" s="26" t="str">
        <f t="shared" si="246"/>
        <v/>
      </c>
      <c r="AL434" s="26" t="str">
        <f t="shared" si="246"/>
        <v>Chip Seal - Double and Fog</v>
      </c>
      <c r="AM434" s="26" t="str">
        <f t="shared" si="246"/>
        <v/>
      </c>
      <c r="AN434" s="26" t="str">
        <f t="shared" si="247"/>
        <v>Chip Seal - Double and Fog</v>
      </c>
      <c r="AO434" s="26" t="str">
        <f t="shared" si="248"/>
        <v/>
      </c>
      <c r="AP434" s="26" t="str">
        <f t="shared" si="228"/>
        <v/>
      </c>
      <c r="AQ434" s="68">
        <f t="shared" si="242"/>
        <v>8</v>
      </c>
      <c r="AR434" s="68">
        <f t="shared" si="243"/>
        <v>6</v>
      </c>
      <c r="AS434" s="68">
        <f t="shared" si="231"/>
        <v>1.05</v>
      </c>
      <c r="AT434" s="68">
        <f t="shared" si="232"/>
        <v>1.05</v>
      </c>
      <c r="AU434" s="68">
        <f t="shared" si="233"/>
        <v>1.1000000000000001</v>
      </c>
      <c r="AV434" s="68">
        <f t="shared" si="234"/>
        <v>1.1000000000000001</v>
      </c>
      <c r="AW434" s="68">
        <f t="shared" si="235"/>
        <v>1.1000000000000001</v>
      </c>
      <c r="AX434" s="68">
        <f t="shared" ca="1" si="236"/>
        <v>2.2000000000000002</v>
      </c>
      <c r="AY434" s="68">
        <v>2020</v>
      </c>
      <c r="AZ434" s="68" t="s">
        <v>2073</v>
      </c>
      <c r="BA434" s="106" t="str">
        <f t="shared" si="213"/>
        <v/>
      </c>
      <c r="BB434" s="178"/>
      <c r="BC434" s="178">
        <v>4</v>
      </c>
      <c r="BD434" s="178"/>
      <c r="BE434" s="178"/>
      <c r="BF434" s="178"/>
      <c r="BG434" s="178"/>
      <c r="BH434" s="178"/>
      <c r="BI434" s="33"/>
      <c r="BK434" s="48">
        <f>$G434/5280*VLOOKUP($AC434,'Cost and Score'!$B$27:$O$40,6,0)</f>
        <v>0.50473484848484851</v>
      </c>
      <c r="BL434" s="48">
        <f>$G434/5280*VLOOKUP($AC434,'Cost and Score'!$B$27:$O$40,7,0)</f>
        <v>50.473484848484851</v>
      </c>
      <c r="BM434" s="48">
        <f>$G434/5280*VLOOKUP($AC434,'Cost and Score'!$B$27:$O$40,8,0)</f>
        <v>0</v>
      </c>
      <c r="BN434" s="48">
        <f>$G434/5280*VLOOKUP($AC434,'Cost and Score'!$B$27:$O$40,9,0)</f>
        <v>9589.9621212121219</v>
      </c>
      <c r="BO434" s="48">
        <f>$G434/5280*VLOOKUP($AC434,'Cost and Score'!$B$27:$O$40,10,0)</f>
        <v>1009.469696969697</v>
      </c>
      <c r="BP434" s="48">
        <f>$G434/5280*VLOOKUP($AC434,'Cost and Score'!$B$27:$O$40,11,0)</f>
        <v>0</v>
      </c>
      <c r="BQ434" s="48">
        <f>$G434/5280*VLOOKUP($AC434,'Cost and Score'!$B$27:$O$40,12,0)</f>
        <v>201.89393939393941</v>
      </c>
      <c r="BR434" s="48">
        <f>$G434/5280*VLOOKUP($AC434,'Cost and Score'!$B$27:$O$40,13,0)</f>
        <v>181.70454545454547</v>
      </c>
      <c r="BS434" s="48">
        <f>$G434/5280*VLOOKUP($AC434,'Cost and Score'!$B$27:$O$40,14,0)</f>
        <v>242.27272727272728</v>
      </c>
      <c r="BT434" s="220">
        <f t="shared" si="214"/>
        <v>1.009469696969697</v>
      </c>
    </row>
    <row r="435" spans="1:103" s="2" customFormat="1" ht="14.45" customHeight="1" x14ac:dyDescent="0.25">
      <c r="A435" s="31" t="s">
        <v>2102</v>
      </c>
      <c r="B435" s="34" t="s">
        <v>212</v>
      </c>
      <c r="C435" s="26" t="s">
        <v>212</v>
      </c>
      <c r="D435" s="82"/>
      <c r="E435" s="85" t="s">
        <v>44</v>
      </c>
      <c r="F435" s="82" t="s">
        <v>35</v>
      </c>
      <c r="G435" s="29">
        <v>2600</v>
      </c>
      <c r="H435" s="29">
        <f t="shared" si="238"/>
        <v>20</v>
      </c>
      <c r="I435" s="26" t="s">
        <v>8</v>
      </c>
      <c r="J435" s="26" t="s">
        <v>17</v>
      </c>
      <c r="K435" s="26">
        <f t="shared" si="249"/>
        <v>0</v>
      </c>
      <c r="L435" s="42">
        <v>6</v>
      </c>
      <c r="M435" s="42">
        <v>6</v>
      </c>
      <c r="N435" s="42">
        <v>6</v>
      </c>
      <c r="O435" s="83">
        <v>5</v>
      </c>
      <c r="P435" s="83">
        <v>5</v>
      </c>
      <c r="Q435" s="83">
        <v>5</v>
      </c>
      <c r="R435" s="83">
        <v>9</v>
      </c>
      <c r="S435" s="83">
        <v>8</v>
      </c>
      <c r="T435" s="83">
        <v>7</v>
      </c>
      <c r="U435" s="83">
        <v>7</v>
      </c>
      <c r="V435" s="42"/>
      <c r="W435" s="42"/>
      <c r="X435" s="42" t="s">
        <v>2612</v>
      </c>
      <c r="Y435" s="26">
        <v>50</v>
      </c>
      <c r="Z435" s="26">
        <f t="shared" si="239"/>
        <v>0</v>
      </c>
      <c r="AA435" s="82" t="s">
        <v>214</v>
      </c>
      <c r="AB435" s="111">
        <f t="shared" si="240"/>
        <v>5</v>
      </c>
      <c r="AC435" s="85" t="s">
        <v>13</v>
      </c>
      <c r="AD435" s="84">
        <f t="shared" si="201"/>
        <v>10340.90909090909</v>
      </c>
      <c r="AE435" s="140"/>
      <c r="AF435" s="113">
        <f t="shared" si="237"/>
        <v>0</v>
      </c>
      <c r="AG435" s="106">
        <v>2025</v>
      </c>
      <c r="AH435" s="26" t="str">
        <f t="shared" si="246"/>
        <v/>
      </c>
      <c r="AI435" s="26" t="str">
        <f t="shared" si="246"/>
        <v/>
      </c>
      <c r="AJ435" s="26" t="str">
        <f t="shared" si="246"/>
        <v/>
      </c>
      <c r="AK435" s="26" t="str">
        <f t="shared" si="246"/>
        <v>Chip Seal and Fog</v>
      </c>
      <c r="AL435" s="26" t="str">
        <f t="shared" si="246"/>
        <v/>
      </c>
      <c r="AM435" s="26" t="str">
        <f t="shared" si="246"/>
        <v/>
      </c>
      <c r="AN435" s="26" t="str">
        <f t="shared" si="247"/>
        <v>Chip Seal and Fog</v>
      </c>
      <c r="AO435" s="26" t="str">
        <f t="shared" si="248"/>
        <v/>
      </c>
      <c r="AP435" s="26" t="str">
        <f t="shared" si="228"/>
        <v/>
      </c>
      <c r="AQ435" s="68">
        <f t="shared" si="242"/>
        <v>6</v>
      </c>
      <c r="AR435" s="68">
        <f t="shared" si="243"/>
        <v>6</v>
      </c>
      <c r="AS435" s="68">
        <f t="shared" si="231"/>
        <v>1.1000000000000001</v>
      </c>
      <c r="AT435" s="68">
        <f t="shared" si="232"/>
        <v>1.1000000000000001</v>
      </c>
      <c r="AU435" s="68">
        <f t="shared" si="233"/>
        <v>1.1000000000000001</v>
      </c>
      <c r="AV435" s="68">
        <f t="shared" si="234"/>
        <v>1.25</v>
      </c>
      <c r="AW435" s="68">
        <f t="shared" si="235"/>
        <v>1.25</v>
      </c>
      <c r="AX435" s="68">
        <f t="shared" ca="1" si="236"/>
        <v>1.1000000000000001</v>
      </c>
      <c r="AY435" s="106">
        <v>2019</v>
      </c>
      <c r="AZ435" s="106" t="s">
        <v>751</v>
      </c>
      <c r="BA435" s="106" t="str">
        <f t="shared" si="213"/>
        <v/>
      </c>
      <c r="BB435" s="177"/>
      <c r="BC435" s="177">
        <v>5</v>
      </c>
      <c r="BD435" s="177"/>
      <c r="BE435" s="177"/>
      <c r="BF435" s="177"/>
      <c r="BG435" s="177"/>
      <c r="BH435" s="177"/>
      <c r="BI435" s="33" t="s">
        <v>2530</v>
      </c>
      <c r="BK435" s="48">
        <f>$G435/5280*VLOOKUP($AC435,'Cost and Score'!$B$27:$O$40,6,0)</f>
        <v>9.8484848484848495E-2</v>
      </c>
      <c r="BL435" s="48">
        <f>$G435/5280*VLOOKUP($AC435,'Cost and Score'!$B$27:$O$40,7,0)</f>
        <v>10.833333333333334</v>
      </c>
      <c r="BM435" s="48">
        <f>$G435/5280*VLOOKUP($AC435,'Cost and Score'!$B$27:$O$40,8,0)</f>
        <v>0</v>
      </c>
      <c r="BN435" s="48">
        <f>$G435/5280*VLOOKUP($AC435,'Cost and Score'!$B$27:$O$40,9,0)</f>
        <v>2215.909090909091</v>
      </c>
      <c r="BO435" s="48">
        <f>$G435/5280*VLOOKUP($AC435,'Cost and Score'!$B$27:$O$40,10,0)</f>
        <v>492.42424242424244</v>
      </c>
      <c r="BP435" s="48">
        <f>$G435/5280*VLOOKUP($AC435,'Cost and Score'!$B$27:$O$40,11,0)</f>
        <v>0</v>
      </c>
      <c r="BQ435" s="48">
        <f>$G435/5280*VLOOKUP($AC435,'Cost and Score'!$B$27:$O$40,12,0)</f>
        <v>49.242424242424242</v>
      </c>
      <c r="BR435" s="48">
        <f>$G435/5280*VLOOKUP($AC435,'Cost and Score'!$B$27:$O$40,13,0)</f>
        <v>59.090909090909093</v>
      </c>
      <c r="BS435" s="48">
        <f>$G435/5280*VLOOKUP($AC435,'Cost and Score'!$B$27:$O$40,14,0)</f>
        <v>0</v>
      </c>
      <c r="BT435" s="220">
        <f t="shared" si="214"/>
        <v>0.49242424242424243</v>
      </c>
    </row>
    <row r="436" spans="1:103" s="2" customFormat="1" ht="14.45" hidden="1" customHeight="1" x14ac:dyDescent="0.25">
      <c r="A436" s="15" t="s">
        <v>969</v>
      </c>
      <c r="B436" s="34" t="s">
        <v>968</v>
      </c>
      <c r="C436" s="26" t="s">
        <v>968</v>
      </c>
      <c r="D436" s="82"/>
      <c r="E436" s="82" t="s">
        <v>240</v>
      </c>
      <c r="F436" s="82" t="s">
        <v>119</v>
      </c>
      <c r="G436" s="29">
        <v>6784</v>
      </c>
      <c r="H436" s="29">
        <f t="shared" si="238"/>
        <v>20</v>
      </c>
      <c r="I436" s="26" t="s">
        <v>8</v>
      </c>
      <c r="J436" s="26" t="s">
        <v>125</v>
      </c>
      <c r="K436" s="26">
        <f t="shared" si="249"/>
        <v>0</v>
      </c>
      <c r="L436" s="42">
        <v>7</v>
      </c>
      <c r="M436" s="42">
        <v>7</v>
      </c>
      <c r="N436" s="42">
        <v>7</v>
      </c>
      <c r="O436" s="83">
        <v>7</v>
      </c>
      <c r="P436" s="83">
        <v>7</v>
      </c>
      <c r="Q436" s="83">
        <v>6</v>
      </c>
      <c r="R436" s="83">
        <v>5</v>
      </c>
      <c r="S436" s="83">
        <v>5</v>
      </c>
      <c r="T436" s="83">
        <v>7</v>
      </c>
      <c r="U436" s="83">
        <v>7</v>
      </c>
      <c r="V436" s="42"/>
      <c r="W436" s="42"/>
      <c r="X436" s="42"/>
      <c r="Y436" s="26">
        <v>252</v>
      </c>
      <c r="Z436" s="26">
        <f t="shared" si="239"/>
        <v>0</v>
      </c>
      <c r="AA436" s="82" t="s">
        <v>131</v>
      </c>
      <c r="AB436" s="111">
        <f t="shared" si="240"/>
        <v>3</v>
      </c>
      <c r="AC436" s="82" t="s">
        <v>13</v>
      </c>
      <c r="AD436" s="84">
        <f t="shared" si="201"/>
        <v>26981.81818181818</v>
      </c>
      <c r="AE436" s="140"/>
      <c r="AF436" s="113">
        <f t="shared" si="237"/>
        <v>0</v>
      </c>
      <c r="AG436" s="26">
        <v>2022</v>
      </c>
      <c r="AH436" s="26" t="str">
        <f t="shared" si="246"/>
        <v>Chip Seal and Fog</v>
      </c>
      <c r="AI436" s="26" t="str">
        <f t="shared" si="246"/>
        <v/>
      </c>
      <c r="AJ436" s="26" t="str">
        <f t="shared" si="246"/>
        <v/>
      </c>
      <c r="AK436" s="26" t="str">
        <f t="shared" si="246"/>
        <v/>
      </c>
      <c r="AL436" s="26" t="str">
        <f t="shared" si="246"/>
        <v/>
      </c>
      <c r="AM436" s="26" t="str">
        <f t="shared" si="246"/>
        <v/>
      </c>
      <c r="AN436" s="26" t="str">
        <f t="shared" si="247"/>
        <v>Chip Seal and Fog</v>
      </c>
      <c r="AO436" s="26" t="str">
        <f t="shared" si="248"/>
        <v>Overlay - 2"</v>
      </c>
      <c r="AP436" s="26" t="str">
        <f t="shared" si="228"/>
        <v/>
      </c>
      <c r="AQ436" s="68">
        <f t="shared" si="242"/>
        <v>10</v>
      </c>
      <c r="AR436" s="68">
        <f t="shared" si="243"/>
        <v>6</v>
      </c>
      <c r="AS436" s="68">
        <f t="shared" si="231"/>
        <v>1.05</v>
      </c>
      <c r="AT436" s="68">
        <f t="shared" si="232"/>
        <v>1.05</v>
      </c>
      <c r="AU436" s="68">
        <f t="shared" si="233"/>
        <v>1.05</v>
      </c>
      <c r="AV436" s="68">
        <f t="shared" si="234"/>
        <v>1.05</v>
      </c>
      <c r="AW436" s="68">
        <f t="shared" si="235"/>
        <v>1.05</v>
      </c>
      <c r="AX436" s="68">
        <f t="shared" ca="1" si="236"/>
        <v>-2.1</v>
      </c>
      <c r="AY436" s="68">
        <v>2021</v>
      </c>
      <c r="AZ436" s="68" t="s">
        <v>751</v>
      </c>
      <c r="BA436" s="106" t="str">
        <f t="shared" si="213"/>
        <v/>
      </c>
      <c r="BB436" s="178">
        <v>35</v>
      </c>
      <c r="BC436" s="178">
        <v>6</v>
      </c>
      <c r="BD436" s="178"/>
      <c r="BE436" s="178"/>
      <c r="BF436" s="178"/>
      <c r="BG436" s="178"/>
      <c r="BH436" s="178"/>
      <c r="BI436" s="33"/>
      <c r="BK436" s="48">
        <f>$G436/5280*VLOOKUP($AC436,'Cost and Score'!$B$27:$O$40,6,0)</f>
        <v>0.25696969696969701</v>
      </c>
      <c r="BL436" s="48">
        <f>$G436/5280*VLOOKUP($AC436,'Cost and Score'!$B$27:$O$40,7,0)</f>
        <v>28.266666666666669</v>
      </c>
      <c r="BM436" s="48">
        <f>$G436/5280*VLOOKUP($AC436,'Cost and Score'!$B$27:$O$40,8,0)</f>
        <v>0</v>
      </c>
      <c r="BN436" s="48">
        <f>$G436/5280*VLOOKUP($AC436,'Cost and Score'!$B$27:$O$40,9,0)</f>
        <v>5781.818181818182</v>
      </c>
      <c r="BO436" s="48">
        <f>$G436/5280*VLOOKUP($AC436,'Cost and Score'!$B$27:$O$40,10,0)</f>
        <v>1284.848484848485</v>
      </c>
      <c r="BP436" s="48">
        <f>$G436/5280*VLOOKUP($AC436,'Cost and Score'!$B$27:$O$40,11,0)</f>
        <v>0</v>
      </c>
      <c r="BQ436" s="48">
        <f>$G436/5280*VLOOKUP($AC436,'Cost and Score'!$B$27:$O$40,12,0)</f>
        <v>128.4848484848485</v>
      </c>
      <c r="BR436" s="48">
        <f>$G436/5280*VLOOKUP($AC436,'Cost and Score'!$B$27:$O$40,13,0)</f>
        <v>154.18181818181819</v>
      </c>
      <c r="BS436" s="48">
        <f>$G436/5280*VLOOKUP($AC436,'Cost and Score'!$B$27:$O$40,14,0)</f>
        <v>0</v>
      </c>
      <c r="BT436" s="220">
        <f t="shared" si="214"/>
        <v>1.2848484848484849</v>
      </c>
    </row>
    <row r="437" spans="1:103" s="2" customFormat="1" ht="14.45" hidden="1" customHeight="1" x14ac:dyDescent="0.25">
      <c r="A437" s="15" t="s">
        <v>971</v>
      </c>
      <c r="B437" s="34" t="s">
        <v>970</v>
      </c>
      <c r="C437" s="26" t="s">
        <v>970</v>
      </c>
      <c r="D437" s="82"/>
      <c r="E437" s="82" t="s">
        <v>119</v>
      </c>
      <c r="F437" s="82" t="s">
        <v>193</v>
      </c>
      <c r="G437" s="29">
        <v>5310</v>
      </c>
      <c r="H437" s="29">
        <f t="shared" si="238"/>
        <v>20</v>
      </c>
      <c r="I437" s="26" t="s">
        <v>8</v>
      </c>
      <c r="J437" s="26" t="s">
        <v>125</v>
      </c>
      <c r="K437" s="26">
        <f t="shared" si="249"/>
        <v>0</v>
      </c>
      <c r="L437" s="42">
        <v>5</v>
      </c>
      <c r="M437" s="42">
        <v>9</v>
      </c>
      <c r="N437" s="42">
        <v>9</v>
      </c>
      <c r="O437" s="83">
        <v>9</v>
      </c>
      <c r="P437" s="83">
        <v>9</v>
      </c>
      <c r="Q437" s="83">
        <v>8</v>
      </c>
      <c r="R437" s="83">
        <v>7</v>
      </c>
      <c r="S437" s="83">
        <v>7</v>
      </c>
      <c r="T437" s="83">
        <v>7</v>
      </c>
      <c r="U437" s="83">
        <v>7</v>
      </c>
      <c r="V437" s="42"/>
      <c r="W437" s="42"/>
      <c r="X437" s="42"/>
      <c r="Y437" s="26">
        <v>252</v>
      </c>
      <c r="Z437" s="26">
        <f t="shared" si="239"/>
        <v>0</v>
      </c>
      <c r="AA437" s="82" t="s">
        <v>131</v>
      </c>
      <c r="AB437" s="111">
        <f t="shared" si="240"/>
        <v>1</v>
      </c>
      <c r="AC437" s="85" t="s">
        <v>13</v>
      </c>
      <c r="AD437" s="84">
        <f t="shared" si="201"/>
        <v>21119.31818181818</v>
      </c>
      <c r="AE437" s="140"/>
      <c r="AF437" s="113">
        <f t="shared" si="237"/>
        <v>0</v>
      </c>
      <c r="AG437" s="85">
        <v>2026</v>
      </c>
      <c r="AH437" s="26" t="str">
        <f t="shared" si="246"/>
        <v/>
      </c>
      <c r="AI437" s="26" t="str">
        <f t="shared" si="246"/>
        <v/>
      </c>
      <c r="AJ437" s="26" t="str">
        <f t="shared" si="246"/>
        <v/>
      </c>
      <c r="AK437" s="26" t="str">
        <f t="shared" si="246"/>
        <v/>
      </c>
      <c r="AL437" s="26" t="str">
        <f t="shared" si="246"/>
        <v>Chip Seal and Fog</v>
      </c>
      <c r="AM437" s="26" t="str">
        <f t="shared" si="246"/>
        <v/>
      </c>
      <c r="AN437" s="26" t="str">
        <f t="shared" si="247"/>
        <v>Chip Seal and Fog</v>
      </c>
      <c r="AO437" s="26" t="str">
        <f t="shared" si="248"/>
        <v/>
      </c>
      <c r="AP437" s="26" t="str">
        <f t="shared" si="228"/>
        <v/>
      </c>
      <c r="AQ437" s="68">
        <f t="shared" si="242"/>
        <v>14</v>
      </c>
      <c r="AR437" s="68">
        <f t="shared" si="243"/>
        <v>6</v>
      </c>
      <c r="AS437" s="68">
        <f t="shared" si="231"/>
        <v>1.25</v>
      </c>
      <c r="AT437" s="68">
        <f t="shared" si="232"/>
        <v>1</v>
      </c>
      <c r="AU437" s="68">
        <f t="shared" si="233"/>
        <v>1</v>
      </c>
      <c r="AV437" s="68">
        <f t="shared" si="234"/>
        <v>1</v>
      </c>
      <c r="AW437" s="68">
        <f t="shared" si="235"/>
        <v>1</v>
      </c>
      <c r="AX437" s="68">
        <f t="shared" ca="1" si="236"/>
        <v>2</v>
      </c>
      <c r="AY437" s="68">
        <v>2020</v>
      </c>
      <c r="AZ437" s="68" t="s">
        <v>2075</v>
      </c>
      <c r="BA437" s="106" t="str">
        <f t="shared" si="213"/>
        <v/>
      </c>
      <c r="BB437" s="178"/>
      <c r="BC437" s="178">
        <v>6</v>
      </c>
      <c r="BD437" s="178"/>
      <c r="BE437" s="178"/>
      <c r="BF437" s="178"/>
      <c r="BG437" s="178"/>
      <c r="BH437" s="178"/>
      <c r="BI437" s="33"/>
      <c r="BK437" s="48">
        <f>$G437/5280*VLOOKUP($AC437,'Cost and Score'!$B$27:$O$40,6,0)</f>
        <v>0.20113636363636364</v>
      </c>
      <c r="BL437" s="48">
        <f>$G437/5280*VLOOKUP($AC437,'Cost and Score'!$B$27:$O$40,7,0)</f>
        <v>22.125</v>
      </c>
      <c r="BM437" s="48">
        <f>$G437/5280*VLOOKUP($AC437,'Cost and Score'!$B$27:$O$40,8,0)</f>
        <v>0</v>
      </c>
      <c r="BN437" s="48">
        <f>$G437/5280*VLOOKUP($AC437,'Cost and Score'!$B$27:$O$40,9,0)</f>
        <v>4525.568181818182</v>
      </c>
      <c r="BO437" s="48">
        <f>$G437/5280*VLOOKUP($AC437,'Cost and Score'!$B$27:$O$40,10,0)</f>
        <v>1005.6818181818181</v>
      </c>
      <c r="BP437" s="48">
        <f>$G437/5280*VLOOKUP($AC437,'Cost and Score'!$B$27:$O$40,11,0)</f>
        <v>0</v>
      </c>
      <c r="BQ437" s="48">
        <f>$G437/5280*VLOOKUP($AC437,'Cost and Score'!$B$27:$O$40,12,0)</f>
        <v>100.56818181818181</v>
      </c>
      <c r="BR437" s="48">
        <f>$G437/5280*VLOOKUP($AC437,'Cost and Score'!$B$27:$O$40,13,0)</f>
        <v>120.68181818181817</v>
      </c>
      <c r="BS437" s="48">
        <f>$G437/5280*VLOOKUP($AC437,'Cost and Score'!$B$27:$O$40,14,0)</f>
        <v>0</v>
      </c>
      <c r="BT437" s="220">
        <f t="shared" si="214"/>
        <v>1.0056818181818181</v>
      </c>
      <c r="BU437" s="26"/>
      <c r="CR437" s="112"/>
    </row>
    <row r="438" spans="1:103" s="2" customFormat="1" ht="14.45" hidden="1" customHeight="1" x14ac:dyDescent="0.25">
      <c r="A438" s="15" t="s">
        <v>973</v>
      </c>
      <c r="B438" s="34" t="s">
        <v>972</v>
      </c>
      <c r="C438" s="26" t="s">
        <v>972</v>
      </c>
      <c r="D438" s="82"/>
      <c r="E438" s="82" t="s">
        <v>20</v>
      </c>
      <c r="F438" s="82" t="s">
        <v>38</v>
      </c>
      <c r="G438" s="29">
        <v>5280</v>
      </c>
      <c r="H438" s="29">
        <f t="shared" si="238"/>
        <v>20</v>
      </c>
      <c r="I438" s="26" t="s">
        <v>2073</v>
      </c>
      <c r="J438" s="26" t="s">
        <v>62</v>
      </c>
      <c r="K438" s="26">
        <f t="shared" si="249"/>
        <v>0</v>
      </c>
      <c r="L438" s="42">
        <v>6</v>
      </c>
      <c r="M438" s="42">
        <v>6</v>
      </c>
      <c r="N438" s="42">
        <v>6</v>
      </c>
      <c r="O438" s="83">
        <v>6</v>
      </c>
      <c r="P438" s="83">
        <v>6</v>
      </c>
      <c r="Q438" s="83">
        <v>6</v>
      </c>
      <c r="R438" s="83">
        <v>6</v>
      </c>
      <c r="S438" s="83">
        <v>6</v>
      </c>
      <c r="T438" s="83">
        <v>7</v>
      </c>
      <c r="U438" s="83">
        <v>7</v>
      </c>
      <c r="V438" s="42"/>
      <c r="W438" s="42"/>
      <c r="X438" s="42"/>
      <c r="Y438" s="26">
        <v>12</v>
      </c>
      <c r="Z438" s="26">
        <f t="shared" si="239"/>
        <v>0</v>
      </c>
      <c r="AA438" s="82" t="s">
        <v>70</v>
      </c>
      <c r="AB438" s="111">
        <f t="shared" si="240"/>
        <v>4</v>
      </c>
      <c r="AC438" s="85" t="s">
        <v>2073</v>
      </c>
      <c r="AD438" s="84">
        <f t="shared" si="201"/>
        <v>32000</v>
      </c>
      <c r="AE438" s="140"/>
      <c r="AF438" s="113">
        <f t="shared" si="237"/>
        <v>0</v>
      </c>
      <c r="AG438" s="26">
        <v>2022</v>
      </c>
      <c r="AH438" s="26" t="str">
        <f t="shared" si="246"/>
        <v>Chip Seal - Double and Fog</v>
      </c>
      <c r="AI438" s="26" t="str">
        <f t="shared" si="246"/>
        <v/>
      </c>
      <c r="AJ438" s="26" t="str">
        <f t="shared" si="246"/>
        <v/>
      </c>
      <c r="AK438" s="26" t="str">
        <f t="shared" si="246"/>
        <v/>
      </c>
      <c r="AL438" s="26" t="str">
        <f t="shared" si="246"/>
        <v/>
      </c>
      <c r="AM438" s="26" t="str">
        <f t="shared" si="246"/>
        <v/>
      </c>
      <c r="AN438" s="26" t="str">
        <f t="shared" si="247"/>
        <v>Chip Seal - Double and Fog</v>
      </c>
      <c r="AO438" s="26" t="str">
        <f t="shared" si="248"/>
        <v/>
      </c>
      <c r="AP438" s="26" t="str">
        <f t="shared" si="228"/>
        <v>Chip Seal - Double and Fog</v>
      </c>
      <c r="AQ438" s="68">
        <f t="shared" si="242"/>
        <v>8</v>
      </c>
      <c r="AR438" s="68">
        <f t="shared" si="243"/>
        <v>6</v>
      </c>
      <c r="AS438" s="68">
        <f t="shared" si="231"/>
        <v>1.1000000000000001</v>
      </c>
      <c r="AT438" s="68">
        <f t="shared" si="232"/>
        <v>1.1000000000000001</v>
      </c>
      <c r="AU438" s="68">
        <f t="shared" si="233"/>
        <v>1.1000000000000001</v>
      </c>
      <c r="AV438" s="68">
        <f t="shared" si="234"/>
        <v>1.1000000000000001</v>
      </c>
      <c r="AW438" s="68">
        <f t="shared" si="235"/>
        <v>1.1000000000000001</v>
      </c>
      <c r="AX438" s="68">
        <f t="shared" ca="1" si="236"/>
        <v>-2.2000000000000002</v>
      </c>
      <c r="AY438" s="68">
        <v>2022</v>
      </c>
      <c r="AZ438" s="68" t="s">
        <v>2073</v>
      </c>
      <c r="BA438" s="106" t="str">
        <f t="shared" si="213"/>
        <v/>
      </c>
      <c r="BB438" s="178">
        <v>38</v>
      </c>
      <c r="BC438" s="178">
        <v>1</v>
      </c>
      <c r="BD438" s="178"/>
      <c r="BE438" s="178"/>
      <c r="BF438" s="178"/>
      <c r="BG438" s="178"/>
      <c r="BH438" s="178"/>
      <c r="BI438" s="33"/>
      <c r="BK438" s="48">
        <f>$G438/5280*VLOOKUP($AC438,'Cost and Score'!$B$27:$O$40,6,0)</f>
        <v>0.5</v>
      </c>
      <c r="BL438" s="48">
        <f>$G438/5280*VLOOKUP($AC438,'Cost and Score'!$B$27:$O$40,7,0)</f>
        <v>50</v>
      </c>
      <c r="BM438" s="48">
        <f>$G438/5280*VLOOKUP($AC438,'Cost and Score'!$B$27:$O$40,8,0)</f>
        <v>0</v>
      </c>
      <c r="BN438" s="48">
        <f>$G438/5280*VLOOKUP($AC438,'Cost and Score'!$B$27:$O$40,9,0)</f>
        <v>9500</v>
      </c>
      <c r="BO438" s="48">
        <f>$G438/5280*VLOOKUP($AC438,'Cost and Score'!$B$27:$O$40,10,0)</f>
        <v>1000</v>
      </c>
      <c r="BP438" s="48">
        <f>$G438/5280*VLOOKUP($AC438,'Cost and Score'!$B$27:$O$40,11,0)</f>
        <v>0</v>
      </c>
      <c r="BQ438" s="48">
        <f>$G438/5280*VLOOKUP($AC438,'Cost and Score'!$B$27:$O$40,12,0)</f>
        <v>200</v>
      </c>
      <c r="BR438" s="48">
        <f>$G438/5280*VLOOKUP($AC438,'Cost and Score'!$B$27:$O$40,13,0)</f>
        <v>180</v>
      </c>
      <c r="BS438" s="48">
        <f>$G438/5280*VLOOKUP($AC438,'Cost and Score'!$B$27:$O$40,14,0)</f>
        <v>240</v>
      </c>
      <c r="BT438" s="220">
        <f t="shared" si="214"/>
        <v>1</v>
      </c>
      <c r="BY438" s="2">
        <v>8</v>
      </c>
      <c r="BZ438" s="2" t="s">
        <v>2074</v>
      </c>
      <c r="CB438" s="2">
        <v>10</v>
      </c>
      <c r="CC438" s="2" t="s">
        <v>2075</v>
      </c>
      <c r="CE438" s="2">
        <v>10</v>
      </c>
      <c r="CF438" s="2" t="s">
        <v>62</v>
      </c>
    </row>
    <row r="439" spans="1:103" s="2" customFormat="1" ht="14.45" hidden="1" customHeight="1" x14ac:dyDescent="0.25">
      <c r="A439" s="15" t="s">
        <v>975</v>
      </c>
      <c r="B439" s="34" t="s">
        <v>974</v>
      </c>
      <c r="C439" s="26" t="s">
        <v>974</v>
      </c>
      <c r="D439" s="26"/>
      <c r="E439" s="26" t="s">
        <v>288</v>
      </c>
      <c r="F439" s="26" t="s">
        <v>18</v>
      </c>
      <c r="G439" s="29">
        <v>2700</v>
      </c>
      <c r="H439" s="29">
        <f t="shared" si="238"/>
        <v>20</v>
      </c>
      <c r="I439" s="26" t="s">
        <v>13</v>
      </c>
      <c r="J439" s="26" t="s">
        <v>26</v>
      </c>
      <c r="K439" s="26">
        <f t="shared" si="249"/>
        <v>0</v>
      </c>
      <c r="L439" s="42">
        <v>6</v>
      </c>
      <c r="M439" s="42">
        <v>3</v>
      </c>
      <c r="N439" s="42">
        <v>10</v>
      </c>
      <c r="O439" s="42">
        <v>9</v>
      </c>
      <c r="P439" s="42">
        <v>8</v>
      </c>
      <c r="Q439" s="42">
        <v>8</v>
      </c>
      <c r="R439" s="42">
        <v>8</v>
      </c>
      <c r="S439" s="42">
        <v>8</v>
      </c>
      <c r="T439" s="42">
        <v>7</v>
      </c>
      <c r="U439" s="42">
        <v>7</v>
      </c>
      <c r="V439" s="42"/>
      <c r="W439" s="42"/>
      <c r="X439" s="42"/>
      <c r="Y439" s="26">
        <v>50</v>
      </c>
      <c r="Z439" s="26">
        <f t="shared" si="239"/>
        <v>0</v>
      </c>
      <c r="AA439" s="26" t="s">
        <v>31</v>
      </c>
      <c r="AB439" s="111">
        <f t="shared" si="240"/>
        <v>2</v>
      </c>
      <c r="AC439" s="26" t="s">
        <v>13</v>
      </c>
      <c r="AD439" s="47">
        <f t="shared" si="201"/>
        <v>10738.636363636364</v>
      </c>
      <c r="AE439" s="140">
        <v>1</v>
      </c>
      <c r="AF439" s="113">
        <f t="shared" si="237"/>
        <v>10738.636363636364</v>
      </c>
      <c r="AG439" s="26">
        <v>2024</v>
      </c>
      <c r="AH439" s="26" t="str">
        <f t="shared" si="246"/>
        <v/>
      </c>
      <c r="AI439" s="26" t="str">
        <f t="shared" si="246"/>
        <v/>
      </c>
      <c r="AJ439" s="26" t="str">
        <f t="shared" si="246"/>
        <v>Chip Seal and Fog</v>
      </c>
      <c r="AK439" s="26" t="str">
        <f t="shared" si="246"/>
        <v/>
      </c>
      <c r="AL439" s="26" t="str">
        <f t="shared" si="246"/>
        <v/>
      </c>
      <c r="AM439" s="26" t="str">
        <f t="shared" si="246"/>
        <v/>
      </c>
      <c r="AN439" s="26" t="str">
        <f t="shared" si="247"/>
        <v>Chip Seal and Fog</v>
      </c>
      <c r="AO439" s="26" t="str">
        <f t="shared" si="248"/>
        <v/>
      </c>
      <c r="AP439" s="26" t="str">
        <f t="shared" si="228"/>
        <v/>
      </c>
      <c r="AQ439" s="68">
        <f t="shared" si="242"/>
        <v>14</v>
      </c>
      <c r="AR439" s="68">
        <f t="shared" si="243"/>
        <v>6</v>
      </c>
      <c r="AS439" s="68">
        <f t="shared" si="231"/>
        <v>1.1000000000000001</v>
      </c>
      <c r="AT439" s="68">
        <f t="shared" si="232"/>
        <v>1.75</v>
      </c>
      <c r="AU439" s="68">
        <f t="shared" si="233"/>
        <v>1</v>
      </c>
      <c r="AV439" s="68">
        <f t="shared" si="234"/>
        <v>1</v>
      </c>
      <c r="AW439" s="68">
        <f t="shared" si="235"/>
        <v>1</v>
      </c>
      <c r="AX439" s="68">
        <f t="shared" ca="1" si="236"/>
        <v>0</v>
      </c>
      <c r="AY439" s="68">
        <v>2016</v>
      </c>
      <c r="AZ439" s="68" t="s">
        <v>2073</v>
      </c>
      <c r="BA439" s="106" t="str">
        <f t="shared" si="213"/>
        <v/>
      </c>
      <c r="BB439" s="178"/>
      <c r="BC439" s="178">
        <v>5</v>
      </c>
      <c r="BD439" s="178"/>
      <c r="BE439" s="178"/>
      <c r="BF439" s="178"/>
      <c r="BG439" s="178"/>
      <c r="BH439" s="178"/>
      <c r="BI439" s="33" t="s">
        <v>2192</v>
      </c>
      <c r="BK439" s="48">
        <f>$G439/5280*VLOOKUP($AC439,'Cost and Score'!$B$27:$O$40,6,0)</f>
        <v>0.10227272727272728</v>
      </c>
      <c r="BL439" s="48">
        <f>$G439/5280*VLOOKUP($AC439,'Cost and Score'!$B$27:$O$40,7,0)</f>
        <v>11.25</v>
      </c>
      <c r="BM439" s="48">
        <f>$G439/5280*VLOOKUP($AC439,'Cost and Score'!$B$27:$O$40,8,0)</f>
        <v>0</v>
      </c>
      <c r="BN439" s="48">
        <f>$G439/5280*VLOOKUP($AC439,'Cost and Score'!$B$27:$O$40,9,0)</f>
        <v>2301.1363636363635</v>
      </c>
      <c r="BO439" s="48">
        <f>$G439/5280*VLOOKUP($AC439,'Cost and Score'!$B$27:$O$40,10,0)</f>
        <v>511.36363636363637</v>
      </c>
      <c r="BP439" s="48">
        <f>$G439/5280*VLOOKUP($AC439,'Cost and Score'!$B$27:$O$40,11,0)</f>
        <v>0</v>
      </c>
      <c r="BQ439" s="48">
        <f>$G439/5280*VLOOKUP($AC439,'Cost and Score'!$B$27:$O$40,12,0)</f>
        <v>51.136363636363633</v>
      </c>
      <c r="BR439" s="48">
        <f>$G439/5280*VLOOKUP($AC439,'Cost and Score'!$B$27:$O$40,13,0)</f>
        <v>61.36363636363636</v>
      </c>
      <c r="BS439" s="48">
        <f>$G439/5280*VLOOKUP($AC439,'Cost and Score'!$B$27:$O$40,14,0)</f>
        <v>0</v>
      </c>
      <c r="BT439" s="220">
        <f t="shared" si="214"/>
        <v>0.51136363636363635</v>
      </c>
    </row>
    <row r="440" spans="1:103" s="2" customFormat="1" ht="14.45" hidden="1" customHeight="1" x14ac:dyDescent="0.25">
      <c r="A440" s="15" t="s">
        <v>977</v>
      </c>
      <c r="B440" s="34" t="s">
        <v>976</v>
      </c>
      <c r="C440" s="26" t="s">
        <v>976</v>
      </c>
      <c r="D440" s="26"/>
      <c r="E440" s="26" t="s">
        <v>288</v>
      </c>
      <c r="F440" s="26" t="s">
        <v>295</v>
      </c>
      <c r="G440" s="29">
        <v>2755</v>
      </c>
      <c r="H440" s="29">
        <f t="shared" si="238"/>
        <v>20</v>
      </c>
      <c r="I440" s="106" t="s">
        <v>13</v>
      </c>
      <c r="J440" s="26" t="s">
        <v>26</v>
      </c>
      <c r="K440" s="26">
        <f t="shared" si="249"/>
        <v>0</v>
      </c>
      <c r="L440" s="42">
        <v>4</v>
      </c>
      <c r="M440" s="42">
        <v>4</v>
      </c>
      <c r="N440" s="42">
        <v>10</v>
      </c>
      <c r="O440" s="42">
        <v>9</v>
      </c>
      <c r="P440" s="42">
        <v>8</v>
      </c>
      <c r="Q440" s="42">
        <v>8</v>
      </c>
      <c r="R440" s="42">
        <v>8</v>
      </c>
      <c r="S440" s="42">
        <v>8</v>
      </c>
      <c r="T440" s="42">
        <v>7</v>
      </c>
      <c r="U440" s="42">
        <v>7</v>
      </c>
      <c r="V440" s="42"/>
      <c r="W440" s="42"/>
      <c r="X440" s="42"/>
      <c r="Y440" s="26">
        <v>50</v>
      </c>
      <c r="Z440" s="26">
        <f t="shared" si="239"/>
        <v>0</v>
      </c>
      <c r="AA440" s="26" t="s">
        <v>31</v>
      </c>
      <c r="AB440" s="111">
        <f t="shared" si="240"/>
        <v>2</v>
      </c>
      <c r="AC440" s="26" t="s">
        <v>13</v>
      </c>
      <c r="AD440" s="47">
        <f t="shared" si="201"/>
        <v>10957.386363636364</v>
      </c>
      <c r="AE440" s="140">
        <v>1</v>
      </c>
      <c r="AF440" s="113">
        <f t="shared" si="237"/>
        <v>10957.386363636364</v>
      </c>
      <c r="AG440" s="26">
        <v>2024</v>
      </c>
      <c r="AH440" s="26" t="str">
        <f t="shared" ref="AH440:AM449" si="250">IF($AG440=AH$1,VLOOKUP($AC440,RSL,3,FALSE),"")</f>
        <v/>
      </c>
      <c r="AI440" s="26" t="str">
        <f t="shared" si="250"/>
        <v/>
      </c>
      <c r="AJ440" s="26" t="str">
        <f t="shared" si="250"/>
        <v>Chip Seal and Fog</v>
      </c>
      <c r="AK440" s="26" t="str">
        <f t="shared" si="250"/>
        <v/>
      </c>
      <c r="AL440" s="26" t="str">
        <f t="shared" si="250"/>
        <v/>
      </c>
      <c r="AM440" s="26" t="str">
        <f t="shared" si="250"/>
        <v/>
      </c>
      <c r="AN440" s="26" t="str">
        <f t="shared" si="247"/>
        <v>Chip Seal and Fog</v>
      </c>
      <c r="AO440" s="26" t="str">
        <f t="shared" si="248"/>
        <v/>
      </c>
      <c r="AP440" s="26" t="str">
        <f t="shared" si="228"/>
        <v/>
      </c>
      <c r="AQ440" s="68">
        <f t="shared" si="242"/>
        <v>14</v>
      </c>
      <c r="AR440" s="68">
        <f t="shared" si="243"/>
        <v>6</v>
      </c>
      <c r="AS440" s="68">
        <f t="shared" si="231"/>
        <v>1.5</v>
      </c>
      <c r="AT440" s="68">
        <f t="shared" si="232"/>
        <v>1.5</v>
      </c>
      <c r="AU440" s="68">
        <f t="shared" si="233"/>
        <v>1</v>
      </c>
      <c r="AV440" s="68">
        <f t="shared" si="234"/>
        <v>1</v>
      </c>
      <c r="AW440" s="68">
        <f t="shared" si="235"/>
        <v>1</v>
      </c>
      <c r="AX440" s="68">
        <f t="shared" ca="1" si="236"/>
        <v>0</v>
      </c>
      <c r="AY440" s="68">
        <v>2016</v>
      </c>
      <c r="AZ440" s="68" t="s">
        <v>2073</v>
      </c>
      <c r="BA440" s="106" t="str">
        <f t="shared" si="213"/>
        <v/>
      </c>
      <c r="BB440" s="178"/>
      <c r="BC440" s="178">
        <v>5</v>
      </c>
      <c r="BD440" s="178"/>
      <c r="BE440" s="178"/>
      <c r="BF440" s="178"/>
      <c r="BG440" s="178"/>
      <c r="BH440" s="178"/>
      <c r="BI440" s="33"/>
      <c r="BK440" s="48">
        <f>$G440/5280*VLOOKUP($AC440,'Cost and Score'!$B$27:$O$40,6,0)</f>
        <v>0.1043560606060606</v>
      </c>
      <c r="BL440" s="48">
        <f>$G440/5280*VLOOKUP($AC440,'Cost and Score'!$B$27:$O$40,7,0)</f>
        <v>11.479166666666666</v>
      </c>
      <c r="BM440" s="48">
        <f>$G440/5280*VLOOKUP($AC440,'Cost and Score'!$B$27:$O$40,8,0)</f>
        <v>0</v>
      </c>
      <c r="BN440" s="48">
        <f>$G440/5280*VLOOKUP($AC440,'Cost and Score'!$B$27:$O$40,9,0)</f>
        <v>2348.0113636363635</v>
      </c>
      <c r="BO440" s="48">
        <f>$G440/5280*VLOOKUP($AC440,'Cost and Score'!$B$27:$O$40,10,0)</f>
        <v>521.780303030303</v>
      </c>
      <c r="BP440" s="48">
        <f>$G440/5280*VLOOKUP($AC440,'Cost and Score'!$B$27:$O$40,11,0)</f>
        <v>0</v>
      </c>
      <c r="BQ440" s="48">
        <f>$G440/5280*VLOOKUP($AC440,'Cost and Score'!$B$27:$O$40,12,0)</f>
        <v>52.178030303030297</v>
      </c>
      <c r="BR440" s="48">
        <f>$G440/5280*VLOOKUP($AC440,'Cost and Score'!$B$27:$O$40,13,0)</f>
        <v>62.61363636363636</v>
      </c>
      <c r="BS440" s="48">
        <f>$G440/5280*VLOOKUP($AC440,'Cost and Score'!$B$27:$O$40,14,0)</f>
        <v>0</v>
      </c>
      <c r="BT440" s="220">
        <f t="shared" si="214"/>
        <v>0.52178030303030298</v>
      </c>
      <c r="CW440" s="112"/>
      <c r="CX440" s="112"/>
      <c r="CY440" s="112"/>
    </row>
    <row r="441" spans="1:103" s="2" customFormat="1" ht="14.45" hidden="1" customHeight="1" x14ac:dyDescent="0.25">
      <c r="A441" s="15" t="s">
        <v>979</v>
      </c>
      <c r="B441" s="108" t="s">
        <v>978</v>
      </c>
      <c r="C441" s="106" t="s">
        <v>978</v>
      </c>
      <c r="D441" s="106"/>
      <c r="E441" s="106" t="s">
        <v>86</v>
      </c>
      <c r="F441" s="106" t="s">
        <v>10</v>
      </c>
      <c r="G441" s="109">
        <v>2792</v>
      </c>
      <c r="H441" s="109">
        <f t="shared" si="238"/>
        <v>20</v>
      </c>
      <c r="I441" s="106" t="s">
        <v>13</v>
      </c>
      <c r="J441" s="106" t="s">
        <v>101</v>
      </c>
      <c r="K441" s="106">
        <v>0</v>
      </c>
      <c r="L441" s="110">
        <v>7</v>
      </c>
      <c r="M441" s="110">
        <v>7</v>
      </c>
      <c r="N441" s="110">
        <v>7</v>
      </c>
      <c r="O441" s="110">
        <v>7</v>
      </c>
      <c r="P441" s="110">
        <v>8</v>
      </c>
      <c r="Q441" s="110">
        <v>7</v>
      </c>
      <c r="R441" s="110">
        <v>7</v>
      </c>
      <c r="S441" s="110">
        <v>7</v>
      </c>
      <c r="T441" s="110">
        <v>7</v>
      </c>
      <c r="U441" s="110">
        <v>7</v>
      </c>
      <c r="V441" s="110"/>
      <c r="W441" s="110"/>
      <c r="X441" s="110"/>
      <c r="Y441" s="106">
        <v>50</v>
      </c>
      <c r="Z441" s="106">
        <f t="shared" si="239"/>
        <v>0</v>
      </c>
      <c r="AA441" s="106" t="s">
        <v>31</v>
      </c>
      <c r="AB441" s="111">
        <f t="shared" si="240"/>
        <v>2</v>
      </c>
      <c r="AC441" s="106" t="s">
        <v>13</v>
      </c>
      <c r="AD441" s="107">
        <f t="shared" si="201"/>
        <v>11104.545454545454</v>
      </c>
      <c r="AE441" s="198"/>
      <c r="AF441" s="113">
        <f t="shared" si="237"/>
        <v>0</v>
      </c>
      <c r="AG441" s="106">
        <v>2024</v>
      </c>
      <c r="AH441" s="26" t="str">
        <f t="shared" si="250"/>
        <v/>
      </c>
      <c r="AI441" s="26" t="str">
        <f t="shared" si="250"/>
        <v/>
      </c>
      <c r="AJ441" s="26" t="str">
        <f t="shared" si="250"/>
        <v>Chip Seal and Fog</v>
      </c>
      <c r="AK441" s="26" t="str">
        <f t="shared" si="250"/>
        <v/>
      </c>
      <c r="AL441" s="26" t="str">
        <f t="shared" si="250"/>
        <v/>
      </c>
      <c r="AM441" s="26" t="str">
        <f t="shared" si="250"/>
        <v/>
      </c>
      <c r="AN441" s="26" t="str">
        <f t="shared" si="247"/>
        <v>Chip Seal and Fog</v>
      </c>
      <c r="AO441" s="26" t="str">
        <f t="shared" si="248"/>
        <v/>
      </c>
      <c r="AP441" s="26" t="str">
        <f t="shared" si="228"/>
        <v/>
      </c>
      <c r="AQ441" s="68">
        <f t="shared" si="242"/>
        <v>10</v>
      </c>
      <c r="AR441" s="68">
        <f t="shared" si="243"/>
        <v>6</v>
      </c>
      <c r="AS441" s="68">
        <f t="shared" si="231"/>
        <v>1.05</v>
      </c>
      <c r="AT441" s="68">
        <f t="shared" si="232"/>
        <v>1.05</v>
      </c>
      <c r="AU441" s="68">
        <f t="shared" si="233"/>
        <v>1.05</v>
      </c>
      <c r="AV441" s="68">
        <f t="shared" si="234"/>
        <v>1.05</v>
      </c>
      <c r="AW441" s="68">
        <f t="shared" si="235"/>
        <v>1</v>
      </c>
      <c r="AX441" s="68">
        <f t="shared" ca="1" si="236"/>
        <v>0</v>
      </c>
      <c r="AY441" s="106">
        <v>2017</v>
      </c>
      <c r="AZ441" s="106" t="s">
        <v>13</v>
      </c>
      <c r="BA441" s="106" t="str">
        <f t="shared" si="213"/>
        <v/>
      </c>
      <c r="BB441" s="177"/>
      <c r="BC441" s="177">
        <v>3</v>
      </c>
      <c r="BD441" s="177"/>
      <c r="BE441" s="177"/>
      <c r="BF441" s="177"/>
      <c r="BG441" s="177"/>
      <c r="BH441" s="177"/>
      <c r="BI441" s="33"/>
      <c r="BK441" s="48">
        <f>$G441/5280*VLOOKUP($AC441,'Cost and Score'!$B$27:$O$40,6,0)</f>
        <v>0.10575757575757577</v>
      </c>
      <c r="BL441" s="48">
        <f>$G441/5280*VLOOKUP($AC441,'Cost and Score'!$B$27:$O$40,7,0)</f>
        <v>11.633333333333333</v>
      </c>
      <c r="BM441" s="48">
        <f>$G441/5280*VLOOKUP($AC441,'Cost and Score'!$B$27:$O$40,8,0)</f>
        <v>0</v>
      </c>
      <c r="BN441" s="48">
        <f>$G441/5280*VLOOKUP($AC441,'Cost and Score'!$B$27:$O$40,9,0)</f>
        <v>2379.5454545454545</v>
      </c>
      <c r="BO441" s="48">
        <f>$G441/5280*VLOOKUP($AC441,'Cost and Score'!$B$27:$O$40,10,0)</f>
        <v>528.78787878787875</v>
      </c>
      <c r="BP441" s="48">
        <f>$G441/5280*VLOOKUP($AC441,'Cost and Score'!$B$27:$O$40,11,0)</f>
        <v>0</v>
      </c>
      <c r="BQ441" s="48">
        <f>$G441/5280*VLOOKUP($AC441,'Cost and Score'!$B$27:$O$40,12,0)</f>
        <v>52.878787878787882</v>
      </c>
      <c r="BR441" s="48">
        <f>$G441/5280*VLOOKUP($AC441,'Cost and Score'!$B$27:$O$40,13,0)</f>
        <v>63.454545454545453</v>
      </c>
      <c r="BS441" s="48">
        <f>$G441/5280*VLOOKUP($AC441,'Cost and Score'!$B$27:$O$40,14,0)</f>
        <v>0</v>
      </c>
      <c r="BT441" s="220">
        <f t="shared" si="214"/>
        <v>0.52878787878787881</v>
      </c>
      <c r="CG441" s="112"/>
      <c r="CH441" s="112"/>
      <c r="CI441" s="112"/>
      <c r="CJ441" s="112"/>
      <c r="CK441" s="112"/>
      <c r="CL441" s="112"/>
      <c r="CM441" s="112"/>
    </row>
    <row r="442" spans="1:103" s="112" customFormat="1" ht="14.45" hidden="1" customHeight="1" x14ac:dyDescent="0.25">
      <c r="A442" s="38" t="s">
        <v>2148</v>
      </c>
      <c r="B442" s="34" t="s">
        <v>980</v>
      </c>
      <c r="C442" s="26" t="s">
        <v>980</v>
      </c>
      <c r="D442" s="82"/>
      <c r="E442" s="82" t="s">
        <v>64</v>
      </c>
      <c r="F442" s="82" t="s">
        <v>59</v>
      </c>
      <c r="G442" s="29">
        <v>4665</v>
      </c>
      <c r="H442" s="29">
        <f t="shared" si="238"/>
        <v>20</v>
      </c>
      <c r="I442" s="26" t="s">
        <v>62</v>
      </c>
      <c r="J442" s="26" t="s">
        <v>172</v>
      </c>
      <c r="K442" s="26">
        <f t="shared" ref="K442:K452" si="251">VLOOKUP(J442,TOWNSHIPS,2,FALSE)</f>
        <v>0</v>
      </c>
      <c r="L442" s="42">
        <v>6</v>
      </c>
      <c r="M442" s="42">
        <v>8</v>
      </c>
      <c r="N442" s="42">
        <v>8</v>
      </c>
      <c r="O442" s="83">
        <v>8</v>
      </c>
      <c r="P442" s="83">
        <v>8</v>
      </c>
      <c r="Q442" s="83">
        <v>8</v>
      </c>
      <c r="R442" s="83">
        <v>7</v>
      </c>
      <c r="S442" s="83">
        <v>7</v>
      </c>
      <c r="T442" s="83">
        <v>7</v>
      </c>
      <c r="U442" s="83">
        <v>7</v>
      </c>
      <c r="V442" s="42"/>
      <c r="W442" s="42"/>
      <c r="X442" s="42"/>
      <c r="Y442" s="26">
        <v>50</v>
      </c>
      <c r="Z442" s="26">
        <f t="shared" si="239"/>
        <v>0</v>
      </c>
      <c r="AA442" s="82" t="s">
        <v>817</v>
      </c>
      <c r="AB442" s="111">
        <f t="shared" si="240"/>
        <v>2</v>
      </c>
      <c r="AC442" s="85" t="s">
        <v>13</v>
      </c>
      <c r="AD442" s="84">
        <f t="shared" si="201"/>
        <v>18553.977272727272</v>
      </c>
      <c r="AE442" s="140"/>
      <c r="AF442" s="113">
        <f t="shared" si="237"/>
        <v>0</v>
      </c>
      <c r="AG442" s="82">
        <v>2022</v>
      </c>
      <c r="AH442" s="26" t="str">
        <f t="shared" si="250"/>
        <v>Chip Seal and Fog</v>
      </c>
      <c r="AI442" s="26" t="str">
        <f t="shared" si="250"/>
        <v/>
      </c>
      <c r="AJ442" s="26" t="str">
        <f t="shared" si="250"/>
        <v/>
      </c>
      <c r="AK442" s="26" t="str">
        <f t="shared" si="250"/>
        <v/>
      </c>
      <c r="AL442" s="26" t="str">
        <f t="shared" si="250"/>
        <v/>
      </c>
      <c r="AM442" s="26" t="str">
        <f t="shared" si="250"/>
        <v/>
      </c>
      <c r="AN442" s="26" t="str">
        <f t="shared" si="247"/>
        <v>Chip Seal and Fog</v>
      </c>
      <c r="AO442" s="26" t="str">
        <f t="shared" si="248"/>
        <v/>
      </c>
      <c r="AP442" s="26" t="str">
        <f t="shared" si="228"/>
        <v/>
      </c>
      <c r="AQ442" s="68">
        <f t="shared" si="242"/>
        <v>12</v>
      </c>
      <c r="AR442" s="68">
        <f t="shared" si="243"/>
        <v>6</v>
      </c>
      <c r="AS442" s="68">
        <f t="shared" si="231"/>
        <v>1.1000000000000001</v>
      </c>
      <c r="AT442" s="68">
        <f t="shared" si="232"/>
        <v>1</v>
      </c>
      <c r="AU442" s="68">
        <f t="shared" si="233"/>
        <v>1</v>
      </c>
      <c r="AV442" s="68">
        <f t="shared" si="234"/>
        <v>1</v>
      </c>
      <c r="AW442" s="68">
        <f t="shared" si="235"/>
        <v>1</v>
      </c>
      <c r="AX442" s="68">
        <f t="shared" ca="1" si="236"/>
        <v>-2</v>
      </c>
      <c r="AY442" s="68"/>
      <c r="AZ442" s="68"/>
      <c r="BA442" s="106" t="str">
        <f t="shared" si="213"/>
        <v/>
      </c>
      <c r="BB442" s="178">
        <v>36</v>
      </c>
      <c r="BC442" s="178"/>
      <c r="BD442" s="178"/>
      <c r="BE442" s="178"/>
      <c r="BF442" s="178"/>
      <c r="BG442" s="178"/>
      <c r="BH442" s="178"/>
      <c r="BI442" s="33"/>
      <c r="BJ442" s="2"/>
      <c r="BK442" s="48">
        <f>$G442/5280*VLOOKUP($AC442,'Cost and Score'!$B$27:$O$40,6,0)</f>
        <v>0.17670454545454548</v>
      </c>
      <c r="BL442" s="48">
        <f>$G442/5280*VLOOKUP($AC442,'Cost and Score'!$B$27:$O$40,7,0)</f>
        <v>19.4375</v>
      </c>
      <c r="BM442" s="48">
        <f>$G442/5280*VLOOKUP($AC442,'Cost and Score'!$B$27:$O$40,8,0)</f>
        <v>0</v>
      </c>
      <c r="BN442" s="48">
        <f>$G442/5280*VLOOKUP($AC442,'Cost and Score'!$B$27:$O$40,9,0)</f>
        <v>3975.852272727273</v>
      </c>
      <c r="BO442" s="48">
        <f>$G442/5280*VLOOKUP($AC442,'Cost and Score'!$B$27:$O$40,10,0)</f>
        <v>883.52272727272725</v>
      </c>
      <c r="BP442" s="48">
        <f>$G442/5280*VLOOKUP($AC442,'Cost and Score'!$B$27:$O$40,11,0)</f>
        <v>0</v>
      </c>
      <c r="BQ442" s="48">
        <f>$G442/5280*VLOOKUP($AC442,'Cost and Score'!$B$27:$O$40,12,0)</f>
        <v>88.352272727272734</v>
      </c>
      <c r="BR442" s="48">
        <f>$G442/5280*VLOOKUP($AC442,'Cost and Score'!$B$27:$O$40,13,0)</f>
        <v>106.02272727272728</v>
      </c>
      <c r="BS442" s="48">
        <f>$G442/5280*VLOOKUP($AC442,'Cost and Score'!$B$27:$O$40,14,0)</f>
        <v>0</v>
      </c>
      <c r="BT442" s="220">
        <f t="shared" si="214"/>
        <v>0.88352272727272729</v>
      </c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S442" s="2"/>
      <c r="CT442" s="2"/>
      <c r="CU442" s="2"/>
      <c r="CV442" s="2"/>
      <c r="CW442" s="2"/>
      <c r="CX442" s="2"/>
      <c r="CY442" s="2"/>
    </row>
    <row r="443" spans="1:103" s="2" customFormat="1" ht="14.45" hidden="1" customHeight="1" x14ac:dyDescent="0.25">
      <c r="A443" s="36" t="s">
        <v>2149</v>
      </c>
      <c r="B443" s="34" t="s">
        <v>981</v>
      </c>
      <c r="C443" s="26" t="s">
        <v>981</v>
      </c>
      <c r="D443" s="26"/>
      <c r="E443" s="26" t="s">
        <v>885</v>
      </c>
      <c r="F443" s="26" t="s">
        <v>147</v>
      </c>
      <c r="G443" s="29">
        <v>11555</v>
      </c>
      <c r="H443" s="29">
        <f t="shared" si="238"/>
        <v>20</v>
      </c>
      <c r="I443" s="26" t="s">
        <v>13</v>
      </c>
      <c r="J443" s="26" t="s">
        <v>172</v>
      </c>
      <c r="K443" s="26">
        <f t="shared" si="251"/>
        <v>0</v>
      </c>
      <c r="L443" s="42">
        <v>4</v>
      </c>
      <c r="M443" s="42">
        <v>4</v>
      </c>
      <c r="N443" s="42">
        <v>9</v>
      </c>
      <c r="O443" s="42">
        <v>9</v>
      </c>
      <c r="P443" s="42">
        <v>8</v>
      </c>
      <c r="Q443" s="42">
        <v>8</v>
      </c>
      <c r="R443" s="42">
        <v>8</v>
      </c>
      <c r="S443" s="42">
        <v>8</v>
      </c>
      <c r="T443" s="42">
        <v>8</v>
      </c>
      <c r="U443" s="42">
        <v>8</v>
      </c>
      <c r="V443" s="42"/>
      <c r="W443" s="42"/>
      <c r="X443" s="42"/>
      <c r="Y443" s="26">
        <v>339</v>
      </c>
      <c r="Z443" s="26">
        <f t="shared" si="239"/>
        <v>0</v>
      </c>
      <c r="AA443" s="26" t="s">
        <v>817</v>
      </c>
      <c r="AB443" s="111">
        <f t="shared" si="240"/>
        <v>2</v>
      </c>
      <c r="AC443" s="26" t="s">
        <v>13</v>
      </c>
      <c r="AD443" s="47">
        <f t="shared" si="201"/>
        <v>45957.38636363636</v>
      </c>
      <c r="AE443" s="140"/>
      <c r="AF443" s="113">
        <f t="shared" si="237"/>
        <v>0</v>
      </c>
      <c r="AG443" s="26">
        <v>2024</v>
      </c>
      <c r="AH443" s="26" t="str">
        <f t="shared" si="250"/>
        <v/>
      </c>
      <c r="AI443" s="26" t="str">
        <f t="shared" si="250"/>
        <v/>
      </c>
      <c r="AJ443" s="26" t="str">
        <f t="shared" si="250"/>
        <v>Chip Seal and Fog</v>
      </c>
      <c r="AK443" s="26" t="str">
        <f t="shared" si="250"/>
        <v/>
      </c>
      <c r="AL443" s="26" t="str">
        <f t="shared" si="250"/>
        <v/>
      </c>
      <c r="AM443" s="26" t="str">
        <f t="shared" si="250"/>
        <v/>
      </c>
      <c r="AN443" s="26" t="str">
        <f t="shared" si="247"/>
        <v>Chip Seal and Fog</v>
      </c>
      <c r="AO443" s="26" t="str">
        <f t="shared" si="248"/>
        <v/>
      </c>
      <c r="AP443" s="26" t="str">
        <f t="shared" si="228"/>
        <v/>
      </c>
      <c r="AQ443" s="68">
        <f t="shared" si="242"/>
        <v>14</v>
      </c>
      <c r="AR443" s="68">
        <f t="shared" si="243"/>
        <v>6</v>
      </c>
      <c r="AS443" s="68">
        <f t="shared" si="231"/>
        <v>1.5</v>
      </c>
      <c r="AT443" s="68">
        <f t="shared" si="232"/>
        <v>1.5</v>
      </c>
      <c r="AU443" s="68">
        <f t="shared" si="233"/>
        <v>1</v>
      </c>
      <c r="AV443" s="68">
        <f t="shared" si="234"/>
        <v>1</v>
      </c>
      <c r="AW443" s="68">
        <f t="shared" si="235"/>
        <v>1</v>
      </c>
      <c r="AX443" s="68">
        <f t="shared" ca="1" si="236"/>
        <v>0</v>
      </c>
      <c r="AY443" s="68">
        <v>2015</v>
      </c>
      <c r="AZ443" s="68" t="s">
        <v>2072</v>
      </c>
      <c r="BA443" s="106" t="str">
        <f t="shared" si="213"/>
        <v/>
      </c>
      <c r="BB443" s="178"/>
      <c r="BC443" s="178">
        <v>7</v>
      </c>
      <c r="BD443" s="178"/>
      <c r="BE443" s="178"/>
      <c r="BF443" s="178"/>
      <c r="BG443" s="178"/>
      <c r="BH443" s="178"/>
      <c r="BI443" s="33"/>
      <c r="BK443" s="48">
        <f>$G443/5280*VLOOKUP($AC443,'Cost and Score'!$B$27:$O$40,6,0)</f>
        <v>0.43768939393939399</v>
      </c>
      <c r="BL443" s="48">
        <f>$G443/5280*VLOOKUP($AC443,'Cost and Score'!$B$27:$O$40,7,0)</f>
        <v>48.145833333333336</v>
      </c>
      <c r="BM443" s="48">
        <f>$G443/5280*VLOOKUP($AC443,'Cost and Score'!$B$27:$O$40,8,0)</f>
        <v>0</v>
      </c>
      <c r="BN443" s="48">
        <f>$G443/5280*VLOOKUP($AC443,'Cost and Score'!$B$27:$O$40,9,0)</f>
        <v>9848.011363636364</v>
      </c>
      <c r="BO443" s="48">
        <f>$G443/5280*VLOOKUP($AC443,'Cost and Score'!$B$27:$O$40,10,0)</f>
        <v>2188.4469696969695</v>
      </c>
      <c r="BP443" s="48">
        <f>$G443/5280*VLOOKUP($AC443,'Cost and Score'!$B$27:$O$40,11,0)</f>
        <v>0</v>
      </c>
      <c r="BQ443" s="48">
        <f>$G443/5280*VLOOKUP($AC443,'Cost and Score'!$B$27:$O$40,12,0)</f>
        <v>218.84469696969697</v>
      </c>
      <c r="BR443" s="48">
        <f>$G443/5280*VLOOKUP($AC443,'Cost and Score'!$B$27:$O$40,13,0)</f>
        <v>262.61363636363637</v>
      </c>
      <c r="BS443" s="48">
        <f>$G443/5280*VLOOKUP($AC443,'Cost and Score'!$B$27:$O$40,14,0)</f>
        <v>0</v>
      </c>
      <c r="BT443" s="220">
        <f t="shared" si="214"/>
        <v>2.1884469696969697</v>
      </c>
      <c r="CV443" s="112"/>
    </row>
    <row r="444" spans="1:103" s="2" customFormat="1" ht="14.45" hidden="1" customHeight="1" x14ac:dyDescent="0.25">
      <c r="A444" s="38" t="s">
        <v>2150</v>
      </c>
      <c r="B444" s="34" t="s">
        <v>982</v>
      </c>
      <c r="C444" s="26" t="s">
        <v>982</v>
      </c>
      <c r="D444" s="82"/>
      <c r="E444" s="82" t="s">
        <v>147</v>
      </c>
      <c r="F444" s="82" t="s">
        <v>297</v>
      </c>
      <c r="G444" s="29">
        <v>5362</v>
      </c>
      <c r="H444" s="29">
        <f t="shared" si="238"/>
        <v>20</v>
      </c>
      <c r="I444" s="26" t="s">
        <v>13</v>
      </c>
      <c r="J444" s="26" t="s">
        <v>172</v>
      </c>
      <c r="K444" s="26">
        <f t="shared" si="251"/>
        <v>0</v>
      </c>
      <c r="L444" s="42">
        <v>8</v>
      </c>
      <c r="M444" s="42">
        <v>5</v>
      </c>
      <c r="N444" s="42">
        <v>8</v>
      </c>
      <c r="O444" s="83">
        <v>9</v>
      </c>
      <c r="P444" s="83">
        <v>8</v>
      </c>
      <c r="Q444" s="83">
        <v>7</v>
      </c>
      <c r="R444" s="83">
        <v>6</v>
      </c>
      <c r="S444" s="83">
        <v>7</v>
      </c>
      <c r="T444" s="83">
        <v>7</v>
      </c>
      <c r="U444" s="83">
        <v>8</v>
      </c>
      <c r="V444" s="42"/>
      <c r="W444" s="42"/>
      <c r="X444" s="42"/>
      <c r="Y444" s="26">
        <v>50</v>
      </c>
      <c r="Z444" s="26">
        <f t="shared" si="239"/>
        <v>0</v>
      </c>
      <c r="AA444" s="82" t="s">
        <v>817</v>
      </c>
      <c r="AB444" s="111">
        <f t="shared" si="240"/>
        <v>2</v>
      </c>
      <c r="AC444" s="85" t="s">
        <v>2073</v>
      </c>
      <c r="AD444" s="84">
        <f t="shared" si="201"/>
        <v>32496.969696969696</v>
      </c>
      <c r="AE444" s="140"/>
      <c r="AF444" s="113">
        <f t="shared" si="237"/>
        <v>0</v>
      </c>
      <c r="AG444" s="26">
        <v>2022</v>
      </c>
      <c r="AH444" s="26" t="str">
        <f t="shared" si="250"/>
        <v>Chip Seal - Double and Fog</v>
      </c>
      <c r="AI444" s="26" t="str">
        <f t="shared" si="250"/>
        <v/>
      </c>
      <c r="AJ444" s="26" t="str">
        <f t="shared" si="250"/>
        <v/>
      </c>
      <c r="AK444" s="26" t="str">
        <f t="shared" si="250"/>
        <v/>
      </c>
      <c r="AL444" s="26" t="str">
        <f t="shared" si="250"/>
        <v/>
      </c>
      <c r="AM444" s="26" t="str">
        <f t="shared" si="250"/>
        <v/>
      </c>
      <c r="AN444" s="26" t="str">
        <f t="shared" si="247"/>
        <v>Chip Seal - Double and Fog</v>
      </c>
      <c r="AO444" s="26" t="str">
        <f t="shared" si="248"/>
        <v/>
      </c>
      <c r="AP444" s="26" t="str">
        <f t="shared" si="228"/>
        <v/>
      </c>
      <c r="AQ444" s="68">
        <f t="shared" si="242"/>
        <v>14</v>
      </c>
      <c r="AR444" s="68">
        <f t="shared" si="243"/>
        <v>6</v>
      </c>
      <c r="AS444" s="68">
        <f t="shared" si="231"/>
        <v>1</v>
      </c>
      <c r="AT444" s="68">
        <f t="shared" si="232"/>
        <v>1.25</v>
      </c>
      <c r="AU444" s="68">
        <f t="shared" si="233"/>
        <v>1</v>
      </c>
      <c r="AV444" s="68">
        <f t="shared" si="234"/>
        <v>1</v>
      </c>
      <c r="AW444" s="68">
        <f t="shared" si="235"/>
        <v>1</v>
      </c>
      <c r="AX444" s="68">
        <f t="shared" ca="1" si="236"/>
        <v>-2</v>
      </c>
      <c r="AY444" s="68"/>
      <c r="AZ444" s="68"/>
      <c r="BA444" s="106" t="str">
        <f t="shared" si="213"/>
        <v/>
      </c>
      <c r="BB444" s="178">
        <v>37</v>
      </c>
      <c r="BC444" s="178">
        <v>7</v>
      </c>
      <c r="BD444" s="178"/>
      <c r="BE444" s="178"/>
      <c r="BF444" s="178"/>
      <c r="BG444" s="178"/>
      <c r="BH444" s="178"/>
      <c r="BI444" s="33"/>
      <c r="BK444" s="48">
        <f>$G444/5280*VLOOKUP($AC444,'Cost and Score'!$B$27:$O$40,6,0)</f>
        <v>0.50776515151515156</v>
      </c>
      <c r="BL444" s="48">
        <f>$G444/5280*VLOOKUP($AC444,'Cost and Score'!$B$27:$O$40,7,0)</f>
        <v>50.776515151515156</v>
      </c>
      <c r="BM444" s="48">
        <f>$G444/5280*VLOOKUP($AC444,'Cost and Score'!$B$27:$O$40,8,0)</f>
        <v>0</v>
      </c>
      <c r="BN444" s="48">
        <f>$G444/5280*VLOOKUP($AC444,'Cost and Score'!$B$27:$O$40,9,0)</f>
        <v>9647.5378787878799</v>
      </c>
      <c r="BO444" s="48">
        <f>$G444/5280*VLOOKUP($AC444,'Cost and Score'!$B$27:$O$40,10,0)</f>
        <v>1015.5303030303031</v>
      </c>
      <c r="BP444" s="48">
        <f>$G444/5280*VLOOKUP($AC444,'Cost and Score'!$B$27:$O$40,11,0)</f>
        <v>0</v>
      </c>
      <c r="BQ444" s="48">
        <f>$G444/5280*VLOOKUP($AC444,'Cost and Score'!$B$27:$O$40,12,0)</f>
        <v>203.10606060606062</v>
      </c>
      <c r="BR444" s="48">
        <f>$G444/5280*VLOOKUP($AC444,'Cost and Score'!$B$27:$O$40,13,0)</f>
        <v>182.79545454545456</v>
      </c>
      <c r="BS444" s="48">
        <f>$G444/5280*VLOOKUP($AC444,'Cost and Score'!$B$27:$O$40,14,0)</f>
        <v>243.72727272727275</v>
      </c>
      <c r="BT444" s="220">
        <f t="shared" si="214"/>
        <v>1.0155303030303031</v>
      </c>
    </row>
    <row r="445" spans="1:103" s="2" customFormat="1" ht="14.45" hidden="1" customHeight="1" x14ac:dyDescent="0.25">
      <c r="A445" s="38" t="s">
        <v>985</v>
      </c>
      <c r="B445" s="108" t="s">
        <v>983</v>
      </c>
      <c r="C445" s="106" t="s">
        <v>983</v>
      </c>
      <c r="D445" s="106"/>
      <c r="E445" s="106" t="s">
        <v>210</v>
      </c>
      <c r="F445" s="106" t="s">
        <v>984</v>
      </c>
      <c r="G445" s="109">
        <v>6100</v>
      </c>
      <c r="H445" s="109">
        <f t="shared" si="238"/>
        <v>20</v>
      </c>
      <c r="I445" s="106" t="s">
        <v>13</v>
      </c>
      <c r="J445" s="106" t="s">
        <v>160</v>
      </c>
      <c r="K445" s="106">
        <f t="shared" si="251"/>
        <v>0</v>
      </c>
      <c r="L445" s="110">
        <v>6</v>
      </c>
      <c r="M445" s="110">
        <v>6</v>
      </c>
      <c r="N445" s="110">
        <v>6</v>
      </c>
      <c r="O445" s="110">
        <v>7</v>
      </c>
      <c r="P445" s="110">
        <v>8</v>
      </c>
      <c r="Q445" s="110">
        <v>8</v>
      </c>
      <c r="R445" s="110">
        <v>7</v>
      </c>
      <c r="S445" s="110">
        <v>7</v>
      </c>
      <c r="T445" s="110">
        <v>7</v>
      </c>
      <c r="U445" s="110">
        <v>7</v>
      </c>
      <c r="V445" s="110"/>
      <c r="W445" s="110"/>
      <c r="X445" s="110"/>
      <c r="Y445" s="106">
        <v>357</v>
      </c>
      <c r="Z445" s="106">
        <f t="shared" si="239"/>
        <v>0</v>
      </c>
      <c r="AA445" s="106" t="s">
        <v>986</v>
      </c>
      <c r="AB445" s="111">
        <f t="shared" si="240"/>
        <v>2</v>
      </c>
      <c r="AC445" s="26" t="s">
        <v>13</v>
      </c>
      <c r="AD445" s="107">
        <f t="shared" ref="AD445:AD508" si="252">VLOOKUP(AC445,Cost,2,FALSE)*G445/5280</f>
        <v>24261.363636363636</v>
      </c>
      <c r="AE445" s="198">
        <v>1</v>
      </c>
      <c r="AF445" s="113">
        <f t="shared" si="237"/>
        <v>24261.363636363636</v>
      </c>
      <c r="AG445" s="106">
        <v>2023</v>
      </c>
      <c r="AH445" s="26" t="str">
        <f t="shared" si="250"/>
        <v/>
      </c>
      <c r="AI445" s="26" t="str">
        <f t="shared" si="250"/>
        <v>Chip Seal and Fog</v>
      </c>
      <c r="AJ445" s="26" t="str">
        <f t="shared" si="250"/>
        <v/>
      </c>
      <c r="AK445" s="26" t="str">
        <f t="shared" si="250"/>
        <v/>
      </c>
      <c r="AL445" s="26" t="str">
        <f t="shared" si="250"/>
        <v/>
      </c>
      <c r="AM445" s="26" t="str">
        <f t="shared" si="250"/>
        <v/>
      </c>
      <c r="AN445" s="26" t="str">
        <f t="shared" si="247"/>
        <v>Chip Seal and Fog</v>
      </c>
      <c r="AO445" s="26" t="str">
        <f t="shared" si="248"/>
        <v/>
      </c>
      <c r="AP445" s="26" t="str">
        <f t="shared" si="228"/>
        <v/>
      </c>
      <c r="AQ445" s="68">
        <f t="shared" si="242"/>
        <v>10</v>
      </c>
      <c r="AR445" s="68">
        <f t="shared" si="243"/>
        <v>6</v>
      </c>
      <c r="AS445" s="68">
        <f t="shared" si="231"/>
        <v>1.1000000000000001</v>
      </c>
      <c r="AT445" s="68">
        <f t="shared" si="232"/>
        <v>1.1000000000000001</v>
      </c>
      <c r="AU445" s="68">
        <f t="shared" si="233"/>
        <v>1.1000000000000001</v>
      </c>
      <c r="AV445" s="68">
        <f t="shared" si="234"/>
        <v>1.05</v>
      </c>
      <c r="AW445" s="68">
        <f t="shared" si="235"/>
        <v>1</v>
      </c>
      <c r="AX445" s="68">
        <f t="shared" ca="1" si="236"/>
        <v>-1.1000000000000001</v>
      </c>
      <c r="AY445" s="106">
        <v>2023</v>
      </c>
      <c r="AZ445" s="106" t="s">
        <v>13</v>
      </c>
      <c r="BA445" s="106" t="str">
        <f t="shared" si="213"/>
        <v/>
      </c>
      <c r="BB445" s="177"/>
      <c r="BC445" s="177">
        <v>8</v>
      </c>
      <c r="BD445" s="177"/>
      <c r="BE445" s="177"/>
      <c r="BF445" s="177"/>
      <c r="BG445" s="177"/>
      <c r="BH445" s="177"/>
      <c r="BI445" s="33"/>
      <c r="BK445" s="48">
        <f>$G445/5280*VLOOKUP($AC445,'Cost and Score'!$B$27:$O$40,6,0)</f>
        <v>0.23106060606060608</v>
      </c>
      <c r="BL445" s="48">
        <f>$G445/5280*VLOOKUP($AC445,'Cost and Score'!$B$27:$O$40,7,0)</f>
        <v>25.416666666666664</v>
      </c>
      <c r="BM445" s="48">
        <f>$G445/5280*VLOOKUP($AC445,'Cost and Score'!$B$27:$O$40,8,0)</f>
        <v>0</v>
      </c>
      <c r="BN445" s="48">
        <f>$G445/5280*VLOOKUP($AC445,'Cost and Score'!$B$27:$O$40,9,0)</f>
        <v>5198.863636363636</v>
      </c>
      <c r="BO445" s="48">
        <f>$G445/5280*VLOOKUP($AC445,'Cost and Score'!$B$27:$O$40,10,0)</f>
        <v>1155.3030303030303</v>
      </c>
      <c r="BP445" s="48">
        <f>$G445/5280*VLOOKUP($AC445,'Cost and Score'!$B$27:$O$40,11,0)</f>
        <v>0</v>
      </c>
      <c r="BQ445" s="48">
        <f>$G445/5280*VLOOKUP($AC445,'Cost and Score'!$B$27:$O$40,12,0)</f>
        <v>115.53030303030303</v>
      </c>
      <c r="BR445" s="48">
        <f>$G445/5280*VLOOKUP($AC445,'Cost and Score'!$B$27:$O$40,13,0)</f>
        <v>138.63636363636363</v>
      </c>
      <c r="BS445" s="48">
        <f>$G445/5280*VLOOKUP($AC445,'Cost and Score'!$B$27:$O$40,14,0)</f>
        <v>0</v>
      </c>
      <c r="BT445" s="220">
        <f t="shared" si="214"/>
        <v>1.1553030303030303</v>
      </c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W445" s="112"/>
      <c r="CX445" s="112"/>
      <c r="CY445" s="112"/>
    </row>
    <row r="446" spans="1:103" s="112" customFormat="1" ht="14.45" hidden="1" customHeight="1" x14ac:dyDescent="0.25">
      <c r="A446" s="32" t="s">
        <v>988</v>
      </c>
      <c r="B446" s="34" t="s">
        <v>987</v>
      </c>
      <c r="C446" s="26" t="s">
        <v>987</v>
      </c>
      <c r="D446" s="26"/>
      <c r="E446" s="26" t="s">
        <v>984</v>
      </c>
      <c r="F446" s="26" t="s">
        <v>209</v>
      </c>
      <c r="G446" s="29">
        <v>2008</v>
      </c>
      <c r="H446" s="29">
        <f t="shared" si="238"/>
        <v>20</v>
      </c>
      <c r="I446" s="26" t="s">
        <v>8</v>
      </c>
      <c r="J446" s="26" t="s">
        <v>160</v>
      </c>
      <c r="K446" s="26">
        <f t="shared" si="251"/>
        <v>0</v>
      </c>
      <c r="L446" s="42">
        <v>6</v>
      </c>
      <c r="M446" s="42">
        <v>6</v>
      </c>
      <c r="N446" s="42">
        <v>8</v>
      </c>
      <c r="O446" s="42">
        <v>6</v>
      </c>
      <c r="P446" s="42">
        <v>6</v>
      </c>
      <c r="Q446" s="42">
        <v>7</v>
      </c>
      <c r="R446" s="42">
        <v>7</v>
      </c>
      <c r="S446" s="42">
        <v>7</v>
      </c>
      <c r="T446" s="42">
        <v>7</v>
      </c>
      <c r="U446" s="42">
        <v>7</v>
      </c>
      <c r="V446" s="42"/>
      <c r="W446" s="42"/>
      <c r="X446" s="42"/>
      <c r="Y446" s="26">
        <v>892</v>
      </c>
      <c r="Z446" s="26">
        <f t="shared" si="239"/>
        <v>0.5</v>
      </c>
      <c r="AA446" s="26" t="s">
        <v>986</v>
      </c>
      <c r="AB446" s="111">
        <f t="shared" si="240"/>
        <v>4.5</v>
      </c>
      <c r="AC446" s="26" t="s">
        <v>13</v>
      </c>
      <c r="AD446" s="47">
        <f t="shared" si="252"/>
        <v>7986.363636363636</v>
      </c>
      <c r="AE446" s="140"/>
      <c r="AF446" s="113">
        <f t="shared" si="237"/>
        <v>0</v>
      </c>
      <c r="AG446" s="26">
        <v>2022</v>
      </c>
      <c r="AH446" s="26" t="str">
        <f t="shared" si="250"/>
        <v>Chip Seal and Fog</v>
      </c>
      <c r="AI446" s="26" t="str">
        <f t="shared" si="250"/>
        <v/>
      </c>
      <c r="AJ446" s="26" t="str">
        <f t="shared" si="250"/>
        <v/>
      </c>
      <c r="AK446" s="26" t="str">
        <f t="shared" si="250"/>
        <v/>
      </c>
      <c r="AL446" s="26" t="str">
        <f t="shared" si="250"/>
        <v/>
      </c>
      <c r="AM446" s="26" t="str">
        <f t="shared" si="250"/>
        <v/>
      </c>
      <c r="AN446" s="26" t="str">
        <f t="shared" si="247"/>
        <v>Chip Seal and Fog</v>
      </c>
      <c r="AO446" s="26" t="str">
        <f t="shared" si="248"/>
        <v/>
      </c>
      <c r="AP446" s="26" t="str">
        <f t="shared" si="228"/>
        <v/>
      </c>
      <c r="AQ446" s="68">
        <f t="shared" si="242"/>
        <v>8</v>
      </c>
      <c r="AR446" s="68">
        <f t="shared" si="243"/>
        <v>6</v>
      </c>
      <c r="AS446" s="68">
        <f t="shared" si="231"/>
        <v>1.1000000000000001</v>
      </c>
      <c r="AT446" s="68">
        <f t="shared" si="232"/>
        <v>1.1000000000000001</v>
      </c>
      <c r="AU446" s="68">
        <f t="shared" si="233"/>
        <v>1</v>
      </c>
      <c r="AV446" s="68">
        <f t="shared" si="234"/>
        <v>1.1000000000000001</v>
      </c>
      <c r="AW446" s="68">
        <f t="shared" si="235"/>
        <v>1.1000000000000001</v>
      </c>
      <c r="AX446" s="68">
        <f t="shared" ca="1" si="236"/>
        <v>-2</v>
      </c>
      <c r="AY446" s="68">
        <v>2015</v>
      </c>
      <c r="AZ446" s="68" t="s">
        <v>13</v>
      </c>
      <c r="BA446" s="106" t="str">
        <f t="shared" si="213"/>
        <v/>
      </c>
      <c r="BB446" s="178"/>
      <c r="BC446" s="178">
        <v>8</v>
      </c>
      <c r="BD446" s="178"/>
      <c r="BE446" s="178"/>
      <c r="BF446" s="178"/>
      <c r="BG446" s="178"/>
      <c r="BH446" s="178"/>
      <c r="BI446" s="39"/>
      <c r="BJ446" s="30"/>
      <c r="BK446" s="48">
        <f>$G446/5280*VLOOKUP($AC446,'Cost and Score'!$B$27:$O$40,6,0)</f>
        <v>7.6060606060606065E-2</v>
      </c>
      <c r="BL446" s="48">
        <f>$G446/5280*VLOOKUP($AC446,'Cost and Score'!$B$27:$O$40,7,0)</f>
        <v>8.3666666666666671</v>
      </c>
      <c r="BM446" s="48">
        <f>$G446/5280*VLOOKUP($AC446,'Cost and Score'!$B$27:$O$40,8,0)</f>
        <v>0</v>
      </c>
      <c r="BN446" s="48">
        <f>$G446/5280*VLOOKUP($AC446,'Cost and Score'!$B$27:$O$40,9,0)</f>
        <v>1711.3636363636365</v>
      </c>
      <c r="BO446" s="48">
        <f>$G446/5280*VLOOKUP($AC446,'Cost and Score'!$B$27:$O$40,10,0)</f>
        <v>380.30303030303031</v>
      </c>
      <c r="BP446" s="48">
        <f>$G446/5280*VLOOKUP($AC446,'Cost and Score'!$B$27:$O$40,11,0)</f>
        <v>0</v>
      </c>
      <c r="BQ446" s="48">
        <f>$G446/5280*VLOOKUP($AC446,'Cost and Score'!$B$27:$O$40,12,0)</f>
        <v>38.030303030303031</v>
      </c>
      <c r="BR446" s="48">
        <f>$G446/5280*VLOOKUP($AC446,'Cost and Score'!$B$27:$O$40,13,0)</f>
        <v>45.63636363636364</v>
      </c>
      <c r="BS446" s="48">
        <f>$G446/5280*VLOOKUP($AC446,'Cost and Score'!$B$27:$O$40,14,0)</f>
        <v>0</v>
      </c>
      <c r="BT446" s="220">
        <f t="shared" si="214"/>
        <v>0.38030303030303031</v>
      </c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N446" s="2"/>
      <c r="CO446" s="2"/>
      <c r="CP446" s="2"/>
      <c r="CQ446" s="2"/>
      <c r="CR446" s="2"/>
      <c r="CV446" s="2"/>
    </row>
    <row r="447" spans="1:103" s="2" customFormat="1" ht="14.45" hidden="1" customHeight="1" x14ac:dyDescent="0.25">
      <c r="A447" s="38" t="s">
        <v>990</v>
      </c>
      <c r="B447" s="34" t="s">
        <v>989</v>
      </c>
      <c r="C447" s="26" t="s">
        <v>989</v>
      </c>
      <c r="D447" s="26"/>
      <c r="E447" s="26" t="s">
        <v>110</v>
      </c>
      <c r="F447" s="26" t="s">
        <v>817</v>
      </c>
      <c r="G447" s="29">
        <v>3907</v>
      </c>
      <c r="H447" s="29">
        <f t="shared" si="238"/>
        <v>20</v>
      </c>
      <c r="I447" s="26" t="s">
        <v>8</v>
      </c>
      <c r="J447" s="26" t="s">
        <v>172</v>
      </c>
      <c r="K447" s="26">
        <f t="shared" si="251"/>
        <v>0</v>
      </c>
      <c r="L447" s="42">
        <v>9</v>
      </c>
      <c r="M447" s="42">
        <v>8</v>
      </c>
      <c r="N447" s="42">
        <v>8</v>
      </c>
      <c r="O447" s="42">
        <v>8</v>
      </c>
      <c r="P447" s="42">
        <v>8</v>
      </c>
      <c r="Q447" s="42">
        <v>8</v>
      </c>
      <c r="R447" s="42">
        <v>7</v>
      </c>
      <c r="S447" s="42">
        <v>7</v>
      </c>
      <c r="T447" s="42">
        <v>7</v>
      </c>
      <c r="U447" s="42">
        <v>7</v>
      </c>
      <c r="V447" s="42"/>
      <c r="W447" s="42">
        <v>2021</v>
      </c>
      <c r="X447" s="42" t="s">
        <v>2612</v>
      </c>
      <c r="Y447" s="26">
        <v>1062</v>
      </c>
      <c r="Z447" s="26">
        <f t="shared" si="239"/>
        <v>0.5</v>
      </c>
      <c r="AA447" s="26" t="s">
        <v>885</v>
      </c>
      <c r="AB447" s="111">
        <f t="shared" si="240"/>
        <v>2.5</v>
      </c>
      <c r="AC447" s="106" t="s">
        <v>13</v>
      </c>
      <c r="AD447" s="47">
        <f t="shared" si="252"/>
        <v>15539.204545454546</v>
      </c>
      <c r="AE447" s="140"/>
      <c r="AF447" s="113">
        <f t="shared" si="237"/>
        <v>0</v>
      </c>
      <c r="AG447" s="85">
        <v>2026</v>
      </c>
      <c r="AH447" s="26" t="str">
        <f t="shared" si="250"/>
        <v/>
      </c>
      <c r="AI447" s="26" t="str">
        <f t="shared" si="250"/>
        <v/>
      </c>
      <c r="AJ447" s="26" t="str">
        <f t="shared" si="250"/>
        <v/>
      </c>
      <c r="AK447" s="26" t="str">
        <f t="shared" si="250"/>
        <v/>
      </c>
      <c r="AL447" s="26" t="str">
        <f t="shared" si="250"/>
        <v>Chip Seal and Fog</v>
      </c>
      <c r="AM447" s="26" t="str">
        <f t="shared" si="250"/>
        <v/>
      </c>
      <c r="AN447" s="26" t="str">
        <f t="shared" si="247"/>
        <v>Chip Seal and Fog</v>
      </c>
      <c r="AO447" s="26" t="str">
        <f t="shared" si="248"/>
        <v/>
      </c>
      <c r="AP447" s="26" t="str">
        <f t="shared" si="228"/>
        <v/>
      </c>
      <c r="AQ447" s="68">
        <f t="shared" si="242"/>
        <v>12</v>
      </c>
      <c r="AR447" s="68">
        <f t="shared" si="243"/>
        <v>6</v>
      </c>
      <c r="AS447" s="68">
        <f t="shared" si="231"/>
        <v>1</v>
      </c>
      <c r="AT447" s="68">
        <f t="shared" si="232"/>
        <v>1</v>
      </c>
      <c r="AU447" s="68">
        <f t="shared" si="233"/>
        <v>1</v>
      </c>
      <c r="AV447" s="68">
        <f t="shared" si="234"/>
        <v>1</v>
      </c>
      <c r="AW447" s="68">
        <f t="shared" si="235"/>
        <v>1</v>
      </c>
      <c r="AX447" s="68">
        <f t="shared" ca="1" si="236"/>
        <v>2</v>
      </c>
      <c r="AY447" s="68">
        <v>2020</v>
      </c>
      <c r="AZ447" s="68" t="s">
        <v>13</v>
      </c>
      <c r="BA447" s="106" t="str">
        <f t="shared" si="213"/>
        <v/>
      </c>
      <c r="BB447" s="178"/>
      <c r="BC447" s="178">
        <v>7</v>
      </c>
      <c r="BD447" s="178"/>
      <c r="BE447" s="178"/>
      <c r="BF447" s="178"/>
      <c r="BG447" s="178"/>
      <c r="BH447" s="178"/>
      <c r="BI447" s="33"/>
      <c r="BK447" s="48">
        <f>$G447/5280*VLOOKUP($AC447,'Cost and Score'!$B$27:$O$40,6,0)</f>
        <v>0.14799242424242426</v>
      </c>
      <c r="BL447" s="48">
        <f>$G447/5280*VLOOKUP($AC447,'Cost and Score'!$B$27:$O$40,7,0)</f>
        <v>16.279166666666669</v>
      </c>
      <c r="BM447" s="48">
        <f>$G447/5280*VLOOKUP($AC447,'Cost and Score'!$B$27:$O$40,8,0)</f>
        <v>0</v>
      </c>
      <c r="BN447" s="48">
        <f>$G447/5280*VLOOKUP($AC447,'Cost and Score'!$B$27:$O$40,9,0)</f>
        <v>3329.8295454545455</v>
      </c>
      <c r="BO447" s="48">
        <f>$G447/5280*VLOOKUP($AC447,'Cost and Score'!$B$27:$O$40,10,0)</f>
        <v>739.96212121212125</v>
      </c>
      <c r="BP447" s="48">
        <f>$G447/5280*VLOOKUP($AC447,'Cost and Score'!$B$27:$O$40,11,0)</f>
        <v>0</v>
      </c>
      <c r="BQ447" s="48">
        <f>$G447/5280*VLOOKUP($AC447,'Cost and Score'!$B$27:$O$40,12,0)</f>
        <v>73.996212121212125</v>
      </c>
      <c r="BR447" s="48">
        <f>$G447/5280*VLOOKUP($AC447,'Cost and Score'!$B$27:$O$40,13,0)</f>
        <v>88.795454545454547</v>
      </c>
      <c r="BS447" s="48">
        <f>$G447/5280*VLOOKUP($AC447,'Cost and Score'!$B$27:$O$40,14,0)</f>
        <v>0</v>
      </c>
      <c r="BT447" s="220">
        <f t="shared" si="214"/>
        <v>0.73996212121212124</v>
      </c>
      <c r="CN447" s="112"/>
      <c r="CO447" s="112"/>
      <c r="CP447" s="112"/>
      <c r="CQ447" s="112"/>
      <c r="CV447" s="112"/>
    </row>
    <row r="448" spans="1:103" s="2" customFormat="1" hidden="1" x14ac:dyDescent="0.25">
      <c r="A448" s="36" t="s">
        <v>992</v>
      </c>
      <c r="B448" s="34" t="s">
        <v>991</v>
      </c>
      <c r="C448" s="26" t="s">
        <v>991</v>
      </c>
      <c r="D448" s="82"/>
      <c r="E448" s="82" t="s">
        <v>817</v>
      </c>
      <c r="F448" s="82" t="s">
        <v>210</v>
      </c>
      <c r="G448" s="29">
        <v>2798</v>
      </c>
      <c r="H448" s="29">
        <f t="shared" si="238"/>
        <v>20</v>
      </c>
      <c r="I448" s="26" t="s">
        <v>8</v>
      </c>
      <c r="J448" s="26" t="s">
        <v>172</v>
      </c>
      <c r="K448" s="26">
        <f t="shared" si="251"/>
        <v>0</v>
      </c>
      <c r="L448" s="42">
        <v>9</v>
      </c>
      <c r="M448" s="42">
        <v>8</v>
      </c>
      <c r="N448" s="42">
        <v>8</v>
      </c>
      <c r="O448" s="83">
        <v>8</v>
      </c>
      <c r="P448" s="83">
        <v>8</v>
      </c>
      <c r="Q448" s="83">
        <v>8</v>
      </c>
      <c r="R448" s="83">
        <v>7</v>
      </c>
      <c r="S448" s="83">
        <v>7</v>
      </c>
      <c r="T448" s="83">
        <v>7</v>
      </c>
      <c r="U448" s="83">
        <v>7</v>
      </c>
      <c r="V448" s="42"/>
      <c r="W448" s="42">
        <v>2021</v>
      </c>
      <c r="X448" s="42" t="s">
        <v>2612</v>
      </c>
      <c r="Y448" s="26">
        <v>1062</v>
      </c>
      <c r="Z448" s="26">
        <f t="shared" si="239"/>
        <v>0.5</v>
      </c>
      <c r="AA448" s="82" t="s">
        <v>885</v>
      </c>
      <c r="AB448" s="111">
        <f t="shared" si="240"/>
        <v>2.5</v>
      </c>
      <c r="AC448" s="85" t="s">
        <v>13</v>
      </c>
      <c r="AD448" s="84">
        <f t="shared" si="252"/>
        <v>11128.40909090909</v>
      </c>
      <c r="AE448" s="140"/>
      <c r="AF448" s="113">
        <f t="shared" si="237"/>
        <v>0</v>
      </c>
      <c r="AG448" s="85">
        <v>2026</v>
      </c>
      <c r="AH448" s="26" t="str">
        <f t="shared" si="250"/>
        <v/>
      </c>
      <c r="AI448" s="26" t="str">
        <f t="shared" si="250"/>
        <v/>
      </c>
      <c r="AJ448" s="26" t="str">
        <f t="shared" si="250"/>
        <v/>
      </c>
      <c r="AK448" s="26" t="str">
        <f t="shared" si="250"/>
        <v/>
      </c>
      <c r="AL448" s="26" t="str">
        <f t="shared" si="250"/>
        <v>Chip Seal and Fog</v>
      </c>
      <c r="AM448" s="26" t="str">
        <f t="shared" si="250"/>
        <v/>
      </c>
      <c r="AN448" s="26" t="str">
        <f t="shared" si="247"/>
        <v>Chip Seal and Fog</v>
      </c>
      <c r="AO448" s="26" t="str">
        <f t="shared" si="248"/>
        <v/>
      </c>
      <c r="AP448" s="26" t="str">
        <f t="shared" si="228"/>
        <v/>
      </c>
      <c r="AQ448" s="68">
        <f t="shared" si="242"/>
        <v>12</v>
      </c>
      <c r="AR448" s="68">
        <f t="shared" si="243"/>
        <v>6</v>
      </c>
      <c r="AS448" s="68">
        <f t="shared" si="231"/>
        <v>1</v>
      </c>
      <c r="AT448" s="68">
        <f t="shared" si="232"/>
        <v>1</v>
      </c>
      <c r="AU448" s="68">
        <f t="shared" si="233"/>
        <v>1</v>
      </c>
      <c r="AV448" s="68">
        <f t="shared" si="234"/>
        <v>1</v>
      </c>
      <c r="AW448" s="68">
        <f t="shared" si="235"/>
        <v>1</v>
      </c>
      <c r="AX448" s="68">
        <f t="shared" ca="1" si="236"/>
        <v>2</v>
      </c>
      <c r="AY448" s="68">
        <v>2020</v>
      </c>
      <c r="AZ448" s="68" t="s">
        <v>2075</v>
      </c>
      <c r="BA448" s="106" t="str">
        <f t="shared" si="213"/>
        <v/>
      </c>
      <c r="BB448" s="178"/>
      <c r="BC448" s="178">
        <v>7</v>
      </c>
      <c r="BD448" s="178"/>
      <c r="BE448" s="178"/>
      <c r="BF448" s="178"/>
      <c r="BG448" s="178"/>
      <c r="BH448" s="178"/>
      <c r="BI448" s="33"/>
      <c r="BK448" s="48">
        <f>$G448/5280*VLOOKUP($AC448,'Cost and Score'!$B$27:$O$40,6,0)</f>
        <v>0.10598484848484849</v>
      </c>
      <c r="BL448" s="48">
        <f>$G448/5280*VLOOKUP($AC448,'Cost and Score'!$B$27:$O$40,7,0)</f>
        <v>11.658333333333333</v>
      </c>
      <c r="BM448" s="48">
        <f>$G448/5280*VLOOKUP($AC448,'Cost and Score'!$B$27:$O$40,8,0)</f>
        <v>0</v>
      </c>
      <c r="BN448" s="48">
        <f>$G448/5280*VLOOKUP($AC448,'Cost and Score'!$B$27:$O$40,9,0)</f>
        <v>2384.659090909091</v>
      </c>
      <c r="BO448" s="48">
        <f>$G448/5280*VLOOKUP($AC448,'Cost and Score'!$B$27:$O$40,10,0)</f>
        <v>529.92424242424238</v>
      </c>
      <c r="BP448" s="48">
        <f>$G448/5280*VLOOKUP($AC448,'Cost and Score'!$B$27:$O$40,11,0)</f>
        <v>0</v>
      </c>
      <c r="BQ448" s="48">
        <f>$G448/5280*VLOOKUP($AC448,'Cost and Score'!$B$27:$O$40,12,0)</f>
        <v>52.992424242424242</v>
      </c>
      <c r="BR448" s="48">
        <f>$G448/5280*VLOOKUP($AC448,'Cost and Score'!$B$27:$O$40,13,0)</f>
        <v>63.590909090909086</v>
      </c>
      <c r="BS448" s="48">
        <f>$G448/5280*VLOOKUP($AC448,'Cost and Score'!$B$27:$O$40,14,0)</f>
        <v>0</v>
      </c>
      <c r="BT448" s="220">
        <f t="shared" si="214"/>
        <v>0.52992424242424241</v>
      </c>
      <c r="CW448" s="112"/>
      <c r="CX448" s="112"/>
      <c r="CY448" s="112"/>
    </row>
    <row r="449" spans="1:103" s="2" customFormat="1" ht="14.45" hidden="1" customHeight="1" x14ac:dyDescent="0.25">
      <c r="A449" s="38" t="s">
        <v>994</v>
      </c>
      <c r="B449" s="34" t="s">
        <v>993</v>
      </c>
      <c r="C449" s="26" t="s">
        <v>993</v>
      </c>
      <c r="D449" s="82"/>
      <c r="E449" s="82" t="s">
        <v>38</v>
      </c>
      <c r="F449" s="82" t="s">
        <v>20</v>
      </c>
      <c r="G449" s="29">
        <v>5438</v>
      </c>
      <c r="H449" s="29">
        <f t="shared" si="238"/>
        <v>20</v>
      </c>
      <c r="I449" s="26" t="s">
        <v>8</v>
      </c>
      <c r="J449" s="26" t="s">
        <v>62</v>
      </c>
      <c r="K449" s="26">
        <f t="shared" si="251"/>
        <v>0</v>
      </c>
      <c r="L449" s="42">
        <v>7</v>
      </c>
      <c r="M449" s="42">
        <v>8</v>
      </c>
      <c r="N449" s="42">
        <v>8</v>
      </c>
      <c r="O449" s="83">
        <v>8</v>
      </c>
      <c r="P449" s="83">
        <v>6</v>
      </c>
      <c r="Q449" s="83">
        <v>6</v>
      </c>
      <c r="R449" s="83">
        <v>7</v>
      </c>
      <c r="S449" s="83">
        <v>7</v>
      </c>
      <c r="T449" s="83">
        <v>7</v>
      </c>
      <c r="U449" s="83">
        <v>7</v>
      </c>
      <c r="V449" s="42">
        <v>2024</v>
      </c>
      <c r="W449" s="42">
        <v>2022</v>
      </c>
      <c r="X449" s="42" t="s">
        <v>2612</v>
      </c>
      <c r="Y449" s="26">
        <v>179</v>
      </c>
      <c r="Z449" s="26">
        <f t="shared" si="239"/>
        <v>0</v>
      </c>
      <c r="AA449" s="82" t="s">
        <v>73</v>
      </c>
      <c r="AB449" s="111">
        <f t="shared" si="240"/>
        <v>4</v>
      </c>
      <c r="AC449" s="82" t="s">
        <v>2073</v>
      </c>
      <c r="AD449" s="84">
        <f t="shared" si="252"/>
        <v>32957.57575757576</v>
      </c>
      <c r="AE449" s="140">
        <v>1</v>
      </c>
      <c r="AF449" s="113">
        <f t="shared" si="237"/>
        <v>32957.57575757576</v>
      </c>
      <c r="AG449" s="26">
        <v>2023</v>
      </c>
      <c r="AH449" s="26" t="str">
        <f t="shared" si="250"/>
        <v/>
      </c>
      <c r="AI449" s="26" t="str">
        <f t="shared" si="250"/>
        <v>Chip Seal - Double and Fog</v>
      </c>
      <c r="AJ449" s="26" t="str">
        <f t="shared" si="250"/>
        <v/>
      </c>
      <c r="AK449" s="26" t="str">
        <f t="shared" si="250"/>
        <v/>
      </c>
      <c r="AL449" s="26" t="str">
        <f t="shared" si="250"/>
        <v/>
      </c>
      <c r="AM449" s="26" t="str">
        <f t="shared" si="250"/>
        <v/>
      </c>
      <c r="AN449" s="26" t="str">
        <f t="shared" si="247"/>
        <v>Chip Seal - Double and Fog</v>
      </c>
      <c r="AO449" s="26" t="str">
        <f t="shared" si="248"/>
        <v/>
      </c>
      <c r="AP449" s="26" t="str">
        <f t="shared" si="228"/>
        <v/>
      </c>
      <c r="AQ449" s="68">
        <f t="shared" si="242"/>
        <v>12</v>
      </c>
      <c r="AR449" s="68">
        <f t="shared" si="243"/>
        <v>6</v>
      </c>
      <c r="AS449" s="68">
        <f t="shared" si="231"/>
        <v>1.05</v>
      </c>
      <c r="AT449" s="68">
        <f t="shared" si="232"/>
        <v>1</v>
      </c>
      <c r="AU449" s="68">
        <f t="shared" si="233"/>
        <v>1</v>
      </c>
      <c r="AV449" s="68">
        <f t="shared" si="234"/>
        <v>1</v>
      </c>
      <c r="AW449" s="68">
        <f t="shared" si="235"/>
        <v>1.1000000000000001</v>
      </c>
      <c r="AX449" s="68">
        <f t="shared" ca="1" si="236"/>
        <v>-1</v>
      </c>
      <c r="AY449" s="68">
        <v>2023</v>
      </c>
      <c r="AZ449" s="68" t="s">
        <v>2073</v>
      </c>
      <c r="BA449" s="106" t="str">
        <f t="shared" si="213"/>
        <v/>
      </c>
      <c r="BB449" s="178">
        <v>39</v>
      </c>
      <c r="BC449" s="178">
        <v>1</v>
      </c>
      <c r="BD449" s="178"/>
      <c r="BE449" s="178"/>
      <c r="BF449" s="178"/>
      <c r="BG449" s="178"/>
      <c r="BH449" s="178"/>
      <c r="BI449" s="33"/>
      <c r="BK449" s="48">
        <f>$G449/5280*VLOOKUP($AC449,'Cost and Score'!$B$27:$O$40,6,0)</f>
        <v>0.51496212121212126</v>
      </c>
      <c r="BL449" s="48">
        <f>$G449/5280*VLOOKUP($AC449,'Cost and Score'!$B$27:$O$40,7,0)</f>
        <v>51.496212121212125</v>
      </c>
      <c r="BM449" s="48">
        <f>$G449/5280*VLOOKUP($AC449,'Cost and Score'!$B$27:$O$40,8,0)</f>
        <v>0</v>
      </c>
      <c r="BN449" s="48">
        <f>$G449/5280*VLOOKUP($AC449,'Cost and Score'!$B$27:$O$40,9,0)</f>
        <v>9784.2803030303039</v>
      </c>
      <c r="BO449" s="48">
        <f>$G449/5280*VLOOKUP($AC449,'Cost and Score'!$B$27:$O$40,10,0)</f>
        <v>1029.9242424242425</v>
      </c>
      <c r="BP449" s="48">
        <f>$G449/5280*VLOOKUP($AC449,'Cost and Score'!$B$27:$O$40,11,0)</f>
        <v>0</v>
      </c>
      <c r="BQ449" s="48">
        <f>$G449/5280*VLOOKUP($AC449,'Cost and Score'!$B$27:$O$40,12,0)</f>
        <v>205.9848484848485</v>
      </c>
      <c r="BR449" s="48">
        <f>$G449/5280*VLOOKUP($AC449,'Cost and Score'!$B$27:$O$40,13,0)</f>
        <v>185.38636363636365</v>
      </c>
      <c r="BS449" s="48">
        <f>$G449/5280*VLOOKUP($AC449,'Cost and Score'!$B$27:$O$40,14,0)</f>
        <v>247.18181818181822</v>
      </c>
      <c r="BT449" s="220">
        <f t="shared" si="214"/>
        <v>1.0299242424242425</v>
      </c>
      <c r="CW449" s="112"/>
      <c r="CX449" s="112"/>
      <c r="CY449" s="112"/>
    </row>
    <row r="450" spans="1:103" s="2" customFormat="1" hidden="1" x14ac:dyDescent="0.25">
      <c r="A450" s="38" t="s">
        <v>996</v>
      </c>
      <c r="B450" s="108" t="s">
        <v>995</v>
      </c>
      <c r="C450" s="106" t="s">
        <v>995</v>
      </c>
      <c r="D450" s="106"/>
      <c r="E450" s="106" t="s">
        <v>307</v>
      </c>
      <c r="F450" s="106" t="s">
        <v>119</v>
      </c>
      <c r="G450" s="109">
        <v>4240</v>
      </c>
      <c r="H450" s="109">
        <f t="shared" si="238"/>
        <v>20</v>
      </c>
      <c r="I450" s="106" t="s">
        <v>8</v>
      </c>
      <c r="J450" s="106" t="s">
        <v>26</v>
      </c>
      <c r="K450" s="106">
        <f t="shared" si="251"/>
        <v>0</v>
      </c>
      <c r="L450" s="110">
        <v>7</v>
      </c>
      <c r="M450" s="110">
        <v>8</v>
      </c>
      <c r="N450" s="110">
        <v>8</v>
      </c>
      <c r="O450" s="110">
        <v>8</v>
      </c>
      <c r="P450" s="110">
        <v>7</v>
      </c>
      <c r="Q450" s="110">
        <v>7</v>
      </c>
      <c r="R450" s="110">
        <v>7</v>
      </c>
      <c r="S450" s="110">
        <v>7</v>
      </c>
      <c r="T450" s="110">
        <v>7</v>
      </c>
      <c r="U450" s="110">
        <v>7</v>
      </c>
      <c r="V450" s="110"/>
      <c r="W450" s="110">
        <v>2021</v>
      </c>
      <c r="X450" s="110" t="s">
        <v>2612</v>
      </c>
      <c r="Y450" s="106">
        <v>2076</v>
      </c>
      <c r="Z450" s="106">
        <f t="shared" si="239"/>
        <v>1</v>
      </c>
      <c r="AA450" s="106" t="s">
        <v>73</v>
      </c>
      <c r="AB450" s="111">
        <f t="shared" si="240"/>
        <v>4</v>
      </c>
      <c r="AC450" s="106" t="s">
        <v>2371</v>
      </c>
      <c r="AD450" s="107">
        <f t="shared" si="252"/>
        <v>64242.42424242424</v>
      </c>
      <c r="AE450" s="198"/>
      <c r="AF450" s="113">
        <f t="shared" si="237"/>
        <v>0</v>
      </c>
      <c r="AG450" s="106">
        <v>2023</v>
      </c>
      <c r="AH450" s="26" t="str">
        <f t="shared" ref="AH450:AM460" si="253">IF($AG450=AH$1,VLOOKUP($AC450,RSL,3,FALSE),"")</f>
        <v/>
      </c>
      <c r="AI450" s="26" t="str">
        <f t="shared" si="253"/>
        <v>Microsurface double</v>
      </c>
      <c r="AJ450" s="26" t="str">
        <f t="shared" si="253"/>
        <v/>
      </c>
      <c r="AK450" s="26" t="str">
        <f t="shared" si="253"/>
        <v/>
      </c>
      <c r="AL450" s="26" t="str">
        <f t="shared" si="253"/>
        <v/>
      </c>
      <c r="AM450" s="26" t="str">
        <f t="shared" si="253"/>
        <v/>
      </c>
      <c r="AN450" s="26" t="str">
        <f t="shared" si="247"/>
        <v>Microsurface double</v>
      </c>
      <c r="AO450" s="26" t="str">
        <f t="shared" si="248"/>
        <v/>
      </c>
      <c r="AP450" s="26" t="str">
        <f t="shared" si="228"/>
        <v/>
      </c>
      <c r="AQ450" s="68">
        <f t="shared" si="242"/>
        <v>12</v>
      </c>
      <c r="AR450" s="68">
        <f t="shared" si="243"/>
        <v>10</v>
      </c>
      <c r="AS450" s="68">
        <f t="shared" si="231"/>
        <v>1.05</v>
      </c>
      <c r="AT450" s="68">
        <f t="shared" si="232"/>
        <v>1</v>
      </c>
      <c r="AU450" s="68">
        <f t="shared" si="233"/>
        <v>1</v>
      </c>
      <c r="AV450" s="68">
        <f t="shared" si="234"/>
        <v>1</v>
      </c>
      <c r="AW450" s="68">
        <f t="shared" si="235"/>
        <v>1.05</v>
      </c>
      <c r="AX450" s="68">
        <f t="shared" ca="1" si="236"/>
        <v>-1</v>
      </c>
      <c r="AY450" s="106">
        <v>2019</v>
      </c>
      <c r="AZ450" s="106" t="s">
        <v>2073</v>
      </c>
      <c r="BA450" s="106" t="str">
        <f t="shared" ref="BA450:BA513" si="254">IF(AY450=2018,AZ450,"")</f>
        <v/>
      </c>
      <c r="BB450" s="177"/>
      <c r="BC450" s="177">
        <v>3</v>
      </c>
      <c r="BD450" s="177"/>
      <c r="BE450" s="177"/>
      <c r="BF450" s="177"/>
      <c r="BG450" s="177"/>
      <c r="BH450" s="177"/>
      <c r="BI450" s="33"/>
      <c r="BK450" s="48">
        <f>$G450/5280*VLOOKUP($AC450,'Cost and Score'!$B$27:$O$40,6,0)</f>
        <v>0.40151515151515149</v>
      </c>
      <c r="BL450" s="48">
        <f>$G450/5280*VLOOKUP($AC450,'Cost and Score'!$B$27:$O$40,7,0)</f>
        <v>0</v>
      </c>
      <c r="BM450" s="48">
        <f>$G450/5280*VLOOKUP($AC450,'Cost and Score'!$B$27:$O$40,8,0)</f>
        <v>0</v>
      </c>
      <c r="BN450" s="48">
        <f>$G450/5280*VLOOKUP($AC450,'Cost and Score'!$B$27:$O$40,9,0)</f>
        <v>0</v>
      </c>
      <c r="BO450" s="48">
        <f>$G450/5280*VLOOKUP($AC450,'Cost and Score'!$B$27:$O$40,10,0)</f>
        <v>0</v>
      </c>
      <c r="BP450" s="48">
        <f>$G450/5280*VLOOKUP($AC450,'Cost and Score'!$B$27:$O$40,11,0)</f>
        <v>0</v>
      </c>
      <c r="BQ450" s="48">
        <f>$G450/5280*VLOOKUP($AC450,'Cost and Score'!$B$27:$O$40,12,0)</f>
        <v>0</v>
      </c>
      <c r="BR450" s="48">
        <f>$G450/5280*VLOOKUP($AC450,'Cost and Score'!$B$27:$O$40,13,0)</f>
        <v>0</v>
      </c>
      <c r="BS450" s="48">
        <f>$G450/5280*VLOOKUP($AC450,'Cost and Score'!$B$27:$O$40,14,0)</f>
        <v>0</v>
      </c>
      <c r="BT450" s="220">
        <f t="shared" ref="BT450:BT513" si="255">G450/5280</f>
        <v>0.80303030303030298</v>
      </c>
      <c r="CF450" s="112"/>
      <c r="CR450" s="112"/>
    </row>
    <row r="451" spans="1:103" s="112" customFormat="1" ht="14.45" hidden="1" customHeight="1" x14ac:dyDescent="0.25">
      <c r="A451" s="38" t="s">
        <v>998</v>
      </c>
      <c r="B451" s="34" t="s">
        <v>997</v>
      </c>
      <c r="C451" s="26" t="s">
        <v>997</v>
      </c>
      <c r="D451" s="26"/>
      <c r="E451" s="26" t="s">
        <v>99</v>
      </c>
      <c r="F451" s="26" t="s">
        <v>100</v>
      </c>
      <c r="G451" s="29">
        <v>5840</v>
      </c>
      <c r="H451" s="29">
        <f t="shared" si="238"/>
        <v>20</v>
      </c>
      <c r="I451" s="26" t="s">
        <v>8</v>
      </c>
      <c r="J451" s="26" t="s">
        <v>172</v>
      </c>
      <c r="K451" s="26">
        <f t="shared" si="251"/>
        <v>0</v>
      </c>
      <c r="L451" s="42">
        <v>7</v>
      </c>
      <c r="M451" s="42">
        <v>7</v>
      </c>
      <c r="N451" s="42">
        <v>7</v>
      </c>
      <c r="O451" s="42">
        <v>7</v>
      </c>
      <c r="P451" s="42">
        <v>7</v>
      </c>
      <c r="Q451" s="42">
        <v>7</v>
      </c>
      <c r="R451" s="42">
        <v>6</v>
      </c>
      <c r="S451" s="42">
        <v>7</v>
      </c>
      <c r="T451" s="42">
        <v>7</v>
      </c>
      <c r="U451" s="42">
        <v>7</v>
      </c>
      <c r="V451" s="42"/>
      <c r="W451" s="42">
        <v>2021</v>
      </c>
      <c r="X451" s="42" t="s">
        <v>2612</v>
      </c>
      <c r="Y451" s="26">
        <v>1727</v>
      </c>
      <c r="Z451" s="26">
        <f t="shared" si="239"/>
        <v>1</v>
      </c>
      <c r="AA451" s="26" t="s">
        <v>73</v>
      </c>
      <c r="AB451" s="111">
        <f t="shared" si="240"/>
        <v>4</v>
      </c>
      <c r="AC451" s="106" t="s">
        <v>13</v>
      </c>
      <c r="AD451" s="47">
        <f t="shared" si="252"/>
        <v>23227.272727272728</v>
      </c>
      <c r="AE451" s="140"/>
      <c r="AF451" s="113">
        <f t="shared" si="237"/>
        <v>0</v>
      </c>
      <c r="AG451" s="85">
        <v>2026</v>
      </c>
      <c r="AH451" s="26" t="str">
        <f t="shared" si="253"/>
        <v/>
      </c>
      <c r="AI451" s="26" t="str">
        <f t="shared" si="253"/>
        <v/>
      </c>
      <c r="AJ451" s="26" t="str">
        <f t="shared" si="253"/>
        <v/>
      </c>
      <c r="AK451" s="26" t="str">
        <f t="shared" si="253"/>
        <v/>
      </c>
      <c r="AL451" s="26" t="str">
        <f t="shared" si="253"/>
        <v>Chip Seal and Fog</v>
      </c>
      <c r="AM451" s="26" t="str">
        <f t="shared" si="253"/>
        <v/>
      </c>
      <c r="AN451" s="26" t="str">
        <f t="shared" si="247"/>
        <v>Chip Seal and Fog</v>
      </c>
      <c r="AO451" s="26" t="str">
        <f t="shared" si="248"/>
        <v/>
      </c>
      <c r="AP451" s="26" t="str">
        <f t="shared" si="228"/>
        <v/>
      </c>
      <c r="AQ451" s="68">
        <f t="shared" si="242"/>
        <v>10</v>
      </c>
      <c r="AR451" s="68">
        <f t="shared" si="243"/>
        <v>6</v>
      </c>
      <c r="AS451" s="68">
        <f t="shared" si="231"/>
        <v>1.05</v>
      </c>
      <c r="AT451" s="68">
        <f t="shared" si="232"/>
        <v>1.05</v>
      </c>
      <c r="AU451" s="68">
        <f t="shared" si="233"/>
        <v>1.05</v>
      </c>
      <c r="AV451" s="68">
        <f t="shared" si="234"/>
        <v>1.05</v>
      </c>
      <c r="AW451" s="68">
        <f t="shared" si="235"/>
        <v>1.05</v>
      </c>
      <c r="AX451" s="68">
        <f t="shared" ca="1" si="236"/>
        <v>2.1</v>
      </c>
      <c r="AY451" s="68">
        <v>2020</v>
      </c>
      <c r="AZ451" s="68" t="s">
        <v>13</v>
      </c>
      <c r="BA451" s="106" t="str">
        <f t="shared" si="254"/>
        <v/>
      </c>
      <c r="BB451" s="178"/>
      <c r="BC451" s="178">
        <v>9</v>
      </c>
      <c r="BD451" s="178"/>
      <c r="BE451" s="178"/>
      <c r="BF451" s="178"/>
      <c r="BG451" s="178"/>
      <c r="BH451" s="178"/>
      <c r="BI451" s="33"/>
      <c r="BJ451" s="2"/>
      <c r="BK451" s="48">
        <f>$G451/5280*VLOOKUP($AC451,'Cost and Score'!$B$27:$O$40,6,0)</f>
        <v>0.22121212121212119</v>
      </c>
      <c r="BL451" s="48">
        <f>$G451/5280*VLOOKUP($AC451,'Cost and Score'!$B$27:$O$40,7,0)</f>
        <v>24.333333333333332</v>
      </c>
      <c r="BM451" s="48">
        <f>$G451/5280*VLOOKUP($AC451,'Cost and Score'!$B$27:$O$40,8,0)</f>
        <v>0</v>
      </c>
      <c r="BN451" s="48">
        <f>$G451/5280*VLOOKUP($AC451,'Cost and Score'!$B$27:$O$40,9,0)</f>
        <v>4977.272727272727</v>
      </c>
      <c r="BO451" s="48">
        <f>$G451/5280*VLOOKUP($AC451,'Cost and Score'!$B$27:$O$40,10,0)</f>
        <v>1106.060606060606</v>
      </c>
      <c r="BP451" s="48">
        <f>$G451/5280*VLOOKUP($AC451,'Cost and Score'!$B$27:$O$40,11,0)</f>
        <v>0</v>
      </c>
      <c r="BQ451" s="48">
        <f>$G451/5280*VLOOKUP($AC451,'Cost and Score'!$B$27:$O$40,12,0)</f>
        <v>110.60606060606059</v>
      </c>
      <c r="BR451" s="48">
        <f>$G451/5280*VLOOKUP($AC451,'Cost and Score'!$B$27:$O$40,13,0)</f>
        <v>132.72727272727272</v>
      </c>
      <c r="BS451" s="48">
        <f>$G451/5280*VLOOKUP($AC451,'Cost and Score'!$B$27:$O$40,14,0)</f>
        <v>0</v>
      </c>
      <c r="BT451" s="220">
        <f t="shared" si="255"/>
        <v>1.106060606060606</v>
      </c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N451" s="2"/>
      <c r="CO451" s="2"/>
      <c r="CP451" s="2"/>
      <c r="CQ451" s="2"/>
      <c r="CR451" s="2"/>
      <c r="CV451" s="2"/>
    </row>
    <row r="452" spans="1:103" s="2" customFormat="1" hidden="1" x14ac:dyDescent="0.25">
      <c r="A452" s="38" t="s">
        <v>1000</v>
      </c>
      <c r="B452" s="108" t="s">
        <v>999</v>
      </c>
      <c r="C452" s="106" t="s">
        <v>999</v>
      </c>
      <c r="D452" s="106"/>
      <c r="E452" s="106" t="s">
        <v>119</v>
      </c>
      <c r="F452" s="106" t="s">
        <v>193</v>
      </c>
      <c r="G452" s="109">
        <v>5385</v>
      </c>
      <c r="H452" s="109">
        <f t="shared" si="238"/>
        <v>20</v>
      </c>
      <c r="I452" s="106" t="s">
        <v>8</v>
      </c>
      <c r="J452" s="106" t="s">
        <v>26</v>
      </c>
      <c r="K452" s="106">
        <f t="shared" si="251"/>
        <v>0</v>
      </c>
      <c r="L452" s="110">
        <v>8</v>
      </c>
      <c r="M452" s="110">
        <v>8</v>
      </c>
      <c r="N452" s="110">
        <v>8</v>
      </c>
      <c r="O452" s="110">
        <v>8</v>
      </c>
      <c r="P452" s="110">
        <v>7</v>
      </c>
      <c r="Q452" s="110">
        <v>7</v>
      </c>
      <c r="R452" s="110">
        <v>7</v>
      </c>
      <c r="S452" s="110">
        <v>7</v>
      </c>
      <c r="T452" s="110">
        <v>7</v>
      </c>
      <c r="U452" s="110">
        <v>7</v>
      </c>
      <c r="V452" s="110"/>
      <c r="W452" s="110">
        <v>2021</v>
      </c>
      <c r="X452" s="110" t="s">
        <v>2612</v>
      </c>
      <c r="Y452" s="106">
        <v>2199</v>
      </c>
      <c r="Z452" s="106">
        <f t="shared" si="239"/>
        <v>1</v>
      </c>
      <c r="AA452" s="106" t="s">
        <v>73</v>
      </c>
      <c r="AB452" s="111">
        <f t="shared" si="240"/>
        <v>4</v>
      </c>
      <c r="AC452" s="106" t="s">
        <v>2371</v>
      </c>
      <c r="AD452" s="107">
        <f t="shared" si="252"/>
        <v>81590.909090909088</v>
      </c>
      <c r="AE452" s="198"/>
      <c r="AF452" s="113">
        <f t="shared" si="237"/>
        <v>0</v>
      </c>
      <c r="AG452" s="106">
        <v>2023</v>
      </c>
      <c r="AH452" s="26" t="str">
        <f t="shared" si="253"/>
        <v/>
      </c>
      <c r="AI452" s="26" t="str">
        <f t="shared" si="253"/>
        <v>Microsurface double</v>
      </c>
      <c r="AJ452" s="26" t="str">
        <f t="shared" si="253"/>
        <v/>
      </c>
      <c r="AK452" s="26" t="str">
        <f t="shared" si="253"/>
        <v/>
      </c>
      <c r="AL452" s="26" t="str">
        <f t="shared" si="253"/>
        <v/>
      </c>
      <c r="AM452" s="26" t="str">
        <f t="shared" si="253"/>
        <v/>
      </c>
      <c r="AN452" s="26" t="str">
        <f t="shared" si="247"/>
        <v>Microsurface double</v>
      </c>
      <c r="AO452" s="26" t="str">
        <f t="shared" si="248"/>
        <v/>
      </c>
      <c r="AP452" s="26" t="str">
        <f t="shared" si="228"/>
        <v/>
      </c>
      <c r="AQ452" s="68">
        <f t="shared" si="242"/>
        <v>12</v>
      </c>
      <c r="AR452" s="68">
        <f t="shared" si="243"/>
        <v>10</v>
      </c>
      <c r="AS452" s="68">
        <f t="shared" si="231"/>
        <v>1</v>
      </c>
      <c r="AT452" s="68">
        <f t="shared" si="232"/>
        <v>1</v>
      </c>
      <c r="AU452" s="68">
        <f t="shared" si="233"/>
        <v>1</v>
      </c>
      <c r="AV452" s="68">
        <f t="shared" si="234"/>
        <v>1</v>
      </c>
      <c r="AW452" s="68">
        <f t="shared" si="235"/>
        <v>1.05</v>
      </c>
      <c r="AX452" s="68">
        <f t="shared" ca="1" si="236"/>
        <v>-1</v>
      </c>
      <c r="AY452" s="106">
        <v>2019</v>
      </c>
      <c r="AZ452" s="106" t="s">
        <v>2073</v>
      </c>
      <c r="BA452" s="106" t="str">
        <f t="shared" si="254"/>
        <v/>
      </c>
      <c r="BB452" s="177"/>
      <c r="BC452" s="177">
        <v>3</v>
      </c>
      <c r="BD452" s="177"/>
      <c r="BE452" s="177"/>
      <c r="BF452" s="177"/>
      <c r="BG452" s="177"/>
      <c r="BH452" s="177"/>
      <c r="BI452" s="33" t="s">
        <v>2202</v>
      </c>
      <c r="BK452" s="48">
        <f>$G452/5280*VLOOKUP($AC452,'Cost and Score'!$B$27:$O$40,6,0)</f>
        <v>0.50994318181818177</v>
      </c>
      <c r="BL452" s="48">
        <f>$G452/5280*VLOOKUP($AC452,'Cost and Score'!$B$27:$O$40,7,0)</f>
        <v>0</v>
      </c>
      <c r="BM452" s="48">
        <f>$G452/5280*VLOOKUP($AC452,'Cost and Score'!$B$27:$O$40,8,0)</f>
        <v>0</v>
      </c>
      <c r="BN452" s="48">
        <f>$G452/5280*VLOOKUP($AC452,'Cost and Score'!$B$27:$O$40,9,0)</f>
        <v>0</v>
      </c>
      <c r="BO452" s="48">
        <f>$G452/5280*VLOOKUP($AC452,'Cost and Score'!$B$27:$O$40,10,0)</f>
        <v>0</v>
      </c>
      <c r="BP452" s="48">
        <f>$G452/5280*VLOOKUP($AC452,'Cost and Score'!$B$27:$O$40,11,0)</f>
        <v>0</v>
      </c>
      <c r="BQ452" s="48">
        <f>$G452/5280*VLOOKUP($AC452,'Cost and Score'!$B$27:$O$40,12,0)</f>
        <v>0</v>
      </c>
      <c r="BR452" s="48">
        <f>$G452/5280*VLOOKUP($AC452,'Cost and Score'!$B$27:$O$40,13,0)</f>
        <v>0</v>
      </c>
      <c r="BS452" s="48">
        <f>$G452/5280*VLOOKUP($AC452,'Cost and Score'!$B$27:$O$40,14,0)</f>
        <v>0</v>
      </c>
      <c r="BT452" s="220">
        <f t="shared" si="255"/>
        <v>1.0198863636363635</v>
      </c>
      <c r="CF452" s="112"/>
      <c r="CN452" s="112"/>
      <c r="CO452" s="112"/>
      <c r="CP452" s="112"/>
      <c r="CQ452" s="112"/>
      <c r="CR452" s="112"/>
      <c r="CV452" s="112"/>
    </row>
    <row r="453" spans="1:103" s="112" customFormat="1" ht="14.45" customHeight="1" x14ac:dyDescent="0.25">
      <c r="A453" s="37"/>
      <c r="B453" s="34" t="s">
        <v>2502</v>
      </c>
      <c r="C453" s="26" t="s">
        <v>2502</v>
      </c>
      <c r="D453" s="82"/>
      <c r="E453" s="82" t="s">
        <v>193</v>
      </c>
      <c r="F453" s="85" t="s">
        <v>206</v>
      </c>
      <c r="G453" s="29">
        <v>1310</v>
      </c>
      <c r="H453" s="29">
        <f t="shared" si="238"/>
        <v>20</v>
      </c>
      <c r="I453" s="26" t="s">
        <v>13</v>
      </c>
      <c r="J453" s="26" t="s">
        <v>101</v>
      </c>
      <c r="K453" s="26">
        <v>0</v>
      </c>
      <c r="L453" s="42">
        <v>5</v>
      </c>
      <c r="M453" s="42">
        <v>5</v>
      </c>
      <c r="N453" s="42">
        <v>5</v>
      </c>
      <c r="O453" s="83">
        <v>5</v>
      </c>
      <c r="P453" s="83">
        <v>5</v>
      </c>
      <c r="Q453" s="83">
        <v>5</v>
      </c>
      <c r="R453" s="83">
        <v>8</v>
      </c>
      <c r="S453" s="83">
        <v>8</v>
      </c>
      <c r="T453" s="83">
        <v>7</v>
      </c>
      <c r="U453" s="83">
        <v>7</v>
      </c>
      <c r="V453" s="42"/>
      <c r="W453" s="42"/>
      <c r="X453" s="42"/>
      <c r="Y453" s="26">
        <v>50</v>
      </c>
      <c r="Z453" s="26">
        <f t="shared" si="239"/>
        <v>0</v>
      </c>
      <c r="AA453" s="82" t="s">
        <v>55</v>
      </c>
      <c r="AB453" s="111">
        <f t="shared" si="240"/>
        <v>5</v>
      </c>
      <c r="AC453" s="85" t="s">
        <v>13</v>
      </c>
      <c r="AD453" s="84">
        <f t="shared" si="252"/>
        <v>5210.227272727273</v>
      </c>
      <c r="AE453" s="140"/>
      <c r="AF453" s="113">
        <f t="shared" si="237"/>
        <v>0</v>
      </c>
      <c r="AG453" s="106">
        <v>2025</v>
      </c>
      <c r="AH453" s="26" t="str">
        <f t="shared" si="253"/>
        <v/>
      </c>
      <c r="AI453" s="26" t="str">
        <f t="shared" si="253"/>
        <v/>
      </c>
      <c r="AJ453" s="26" t="str">
        <f t="shared" si="253"/>
        <v/>
      </c>
      <c r="AK453" s="26" t="str">
        <f t="shared" si="253"/>
        <v>Chip Seal and Fog</v>
      </c>
      <c r="AL453" s="26" t="str">
        <f t="shared" si="253"/>
        <v/>
      </c>
      <c r="AM453" s="26" t="str">
        <f t="shared" si="253"/>
        <v/>
      </c>
      <c r="AN453" s="26" t="str">
        <f t="shared" si="247"/>
        <v>Chip Seal and Fog</v>
      </c>
      <c r="AO453" s="26" t="str">
        <f t="shared" si="248"/>
        <v/>
      </c>
      <c r="AP453" s="26" t="str">
        <f t="shared" si="228"/>
        <v/>
      </c>
      <c r="AQ453" s="68">
        <f t="shared" si="242"/>
        <v>6</v>
      </c>
      <c r="AR453" s="68">
        <f t="shared" si="243"/>
        <v>6</v>
      </c>
      <c r="AS453" s="68">
        <f t="shared" si="231"/>
        <v>1.25</v>
      </c>
      <c r="AT453" s="68">
        <f t="shared" si="232"/>
        <v>1.25</v>
      </c>
      <c r="AU453" s="68">
        <f t="shared" si="233"/>
        <v>1.25</v>
      </c>
      <c r="AV453" s="68">
        <f t="shared" si="234"/>
        <v>1.25</v>
      </c>
      <c r="AW453" s="68">
        <f t="shared" si="235"/>
        <v>1.25</v>
      </c>
      <c r="AX453" s="68">
        <f t="shared" ca="1" si="236"/>
        <v>1.25</v>
      </c>
      <c r="AY453" s="106">
        <v>2019</v>
      </c>
      <c r="AZ453" s="106" t="s">
        <v>751</v>
      </c>
      <c r="BA453" s="106" t="str">
        <f t="shared" si="254"/>
        <v/>
      </c>
      <c r="BB453" s="177"/>
      <c r="BC453" s="177">
        <v>6</v>
      </c>
      <c r="BD453" s="177"/>
      <c r="BE453" s="177"/>
      <c r="BF453" s="177"/>
      <c r="BG453" s="177"/>
      <c r="BH453" s="177"/>
      <c r="BI453" s="33"/>
      <c r="BJ453" s="2"/>
      <c r="BK453" s="48">
        <f>$G453/5280*VLOOKUP($AC453,'Cost and Score'!$B$27:$O$40,6,0)</f>
        <v>4.9621212121212122E-2</v>
      </c>
      <c r="BL453" s="48">
        <f>$G453/5280*VLOOKUP($AC453,'Cost and Score'!$B$27:$O$40,7,0)</f>
        <v>5.458333333333333</v>
      </c>
      <c r="BM453" s="48">
        <f>$G453/5280*VLOOKUP($AC453,'Cost and Score'!$B$27:$O$40,8,0)</f>
        <v>0</v>
      </c>
      <c r="BN453" s="48">
        <f>$G453/5280*VLOOKUP($AC453,'Cost and Score'!$B$27:$O$40,9,0)</f>
        <v>1116.4772727272727</v>
      </c>
      <c r="BO453" s="48">
        <f>$G453/5280*VLOOKUP($AC453,'Cost and Score'!$B$27:$O$40,10,0)</f>
        <v>248.10606060606059</v>
      </c>
      <c r="BP453" s="48">
        <f>$G453/5280*VLOOKUP($AC453,'Cost and Score'!$B$27:$O$40,11,0)</f>
        <v>0</v>
      </c>
      <c r="BQ453" s="48">
        <f>$G453/5280*VLOOKUP($AC453,'Cost and Score'!$B$27:$O$40,12,0)</f>
        <v>24.810606060606062</v>
      </c>
      <c r="BR453" s="48">
        <f>$G453/5280*VLOOKUP($AC453,'Cost and Score'!$B$27:$O$40,13,0)</f>
        <v>29.772727272727273</v>
      </c>
      <c r="BS453" s="48">
        <f>$G453/5280*VLOOKUP($AC453,'Cost and Score'!$B$27:$O$40,14,0)</f>
        <v>0</v>
      </c>
      <c r="BT453" s="220">
        <f t="shared" si="255"/>
        <v>0.24810606060606061</v>
      </c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</row>
    <row r="454" spans="1:103" s="2" customFormat="1" hidden="1" x14ac:dyDescent="0.25">
      <c r="A454" s="38" t="s">
        <v>1004</v>
      </c>
      <c r="B454" s="108" t="s">
        <v>1003</v>
      </c>
      <c r="C454" s="106" t="s">
        <v>1003</v>
      </c>
      <c r="D454" s="106"/>
      <c r="E454" s="106" t="s">
        <v>193</v>
      </c>
      <c r="F454" s="106" t="s">
        <v>222</v>
      </c>
      <c r="G454" s="109">
        <v>2693</v>
      </c>
      <c r="H454" s="109">
        <f t="shared" si="238"/>
        <v>20</v>
      </c>
      <c r="I454" s="106" t="s">
        <v>8</v>
      </c>
      <c r="J454" s="106" t="s">
        <v>26</v>
      </c>
      <c r="K454" s="106">
        <f>VLOOKUP(J454,TOWNSHIPS,2,FALSE)</f>
        <v>0</v>
      </c>
      <c r="L454" s="110">
        <v>8</v>
      </c>
      <c r="M454" s="110">
        <v>8</v>
      </c>
      <c r="N454" s="110">
        <v>8</v>
      </c>
      <c r="O454" s="110">
        <v>8</v>
      </c>
      <c r="P454" s="110">
        <v>7</v>
      </c>
      <c r="Q454" s="110">
        <v>7</v>
      </c>
      <c r="R454" s="110">
        <v>7</v>
      </c>
      <c r="S454" s="110">
        <v>7</v>
      </c>
      <c r="T454" s="110">
        <v>7</v>
      </c>
      <c r="U454" s="110">
        <v>7</v>
      </c>
      <c r="V454" s="110"/>
      <c r="W454" s="110">
        <v>2021</v>
      </c>
      <c r="X454" s="110" t="s">
        <v>2612</v>
      </c>
      <c r="Y454" s="106">
        <v>2252</v>
      </c>
      <c r="Z454" s="106">
        <f t="shared" si="239"/>
        <v>1</v>
      </c>
      <c r="AA454" s="106" t="s">
        <v>73</v>
      </c>
      <c r="AB454" s="111">
        <f t="shared" si="240"/>
        <v>4</v>
      </c>
      <c r="AC454" s="106" t="s">
        <v>2371</v>
      </c>
      <c r="AD454" s="107">
        <f t="shared" si="252"/>
        <v>40803.030303030304</v>
      </c>
      <c r="AE454" s="198"/>
      <c r="AF454" s="113">
        <f t="shared" si="237"/>
        <v>0</v>
      </c>
      <c r="AG454" s="106">
        <v>2023</v>
      </c>
      <c r="AH454" s="26" t="str">
        <f t="shared" si="253"/>
        <v/>
      </c>
      <c r="AI454" s="26" t="str">
        <f t="shared" si="253"/>
        <v>Microsurface double</v>
      </c>
      <c r="AJ454" s="26" t="str">
        <f t="shared" si="253"/>
        <v/>
      </c>
      <c r="AK454" s="26" t="str">
        <f t="shared" si="253"/>
        <v/>
      </c>
      <c r="AL454" s="26" t="str">
        <f t="shared" si="253"/>
        <v/>
      </c>
      <c r="AM454" s="26" t="str">
        <f t="shared" si="253"/>
        <v/>
      </c>
      <c r="AN454" s="26" t="str">
        <f t="shared" si="247"/>
        <v>Microsurface double</v>
      </c>
      <c r="AO454" s="26" t="str">
        <f t="shared" si="248"/>
        <v/>
      </c>
      <c r="AP454" s="26" t="str">
        <f t="shared" si="228"/>
        <v/>
      </c>
      <c r="AQ454" s="68">
        <f t="shared" si="242"/>
        <v>12</v>
      </c>
      <c r="AR454" s="68">
        <f t="shared" si="243"/>
        <v>10</v>
      </c>
      <c r="AS454" s="68">
        <f t="shared" si="231"/>
        <v>1</v>
      </c>
      <c r="AT454" s="68">
        <f t="shared" si="232"/>
        <v>1</v>
      </c>
      <c r="AU454" s="68">
        <f t="shared" si="233"/>
        <v>1</v>
      </c>
      <c r="AV454" s="68">
        <f t="shared" si="234"/>
        <v>1</v>
      </c>
      <c r="AW454" s="68">
        <f t="shared" si="235"/>
        <v>1.05</v>
      </c>
      <c r="AX454" s="68">
        <f t="shared" ca="1" si="236"/>
        <v>-1</v>
      </c>
      <c r="AY454" s="106">
        <v>2019</v>
      </c>
      <c r="AZ454" s="106" t="s">
        <v>2073</v>
      </c>
      <c r="BA454" s="106" t="str">
        <f t="shared" si="254"/>
        <v/>
      </c>
      <c r="BB454" s="177"/>
      <c r="BC454" s="177">
        <v>3</v>
      </c>
      <c r="BD454" s="177"/>
      <c r="BE454" s="177"/>
      <c r="BF454" s="177"/>
      <c r="BG454" s="177"/>
      <c r="BH454" s="177"/>
      <c r="BI454" s="33" t="s">
        <v>2202</v>
      </c>
      <c r="BK454" s="48">
        <f>$G454/5280*VLOOKUP($AC454,'Cost and Score'!$B$27:$O$40,6,0)</f>
        <v>0.25501893939393938</v>
      </c>
      <c r="BL454" s="48">
        <f>$G454/5280*VLOOKUP($AC454,'Cost and Score'!$B$27:$O$40,7,0)</f>
        <v>0</v>
      </c>
      <c r="BM454" s="48">
        <f>$G454/5280*VLOOKUP($AC454,'Cost and Score'!$B$27:$O$40,8,0)</f>
        <v>0</v>
      </c>
      <c r="BN454" s="48">
        <f>$G454/5280*VLOOKUP($AC454,'Cost and Score'!$B$27:$O$40,9,0)</f>
        <v>0</v>
      </c>
      <c r="BO454" s="48">
        <f>$G454/5280*VLOOKUP($AC454,'Cost and Score'!$B$27:$O$40,10,0)</f>
        <v>0</v>
      </c>
      <c r="BP454" s="48">
        <f>$G454/5280*VLOOKUP($AC454,'Cost and Score'!$B$27:$O$40,11,0)</f>
        <v>0</v>
      </c>
      <c r="BQ454" s="48">
        <f>$G454/5280*VLOOKUP($AC454,'Cost and Score'!$B$27:$O$40,12,0)</f>
        <v>0</v>
      </c>
      <c r="BR454" s="48">
        <f>$G454/5280*VLOOKUP($AC454,'Cost and Score'!$B$27:$O$40,13,0)</f>
        <v>0</v>
      </c>
      <c r="BS454" s="48">
        <f>$G454/5280*VLOOKUP($AC454,'Cost and Score'!$B$27:$O$40,14,0)</f>
        <v>0</v>
      </c>
      <c r="BT454" s="220">
        <f t="shared" si="255"/>
        <v>0.51003787878787876</v>
      </c>
      <c r="CF454" s="112"/>
      <c r="CN454" s="112"/>
      <c r="CO454" s="112"/>
      <c r="CP454" s="112"/>
      <c r="CQ454" s="112"/>
      <c r="CR454" s="112"/>
      <c r="CV454" s="112"/>
      <c r="CW454" s="112"/>
      <c r="CX454" s="112"/>
      <c r="CY454" s="112"/>
    </row>
    <row r="455" spans="1:103" s="112" customFormat="1" x14ac:dyDescent="0.25">
      <c r="A455" s="37" t="s">
        <v>286</v>
      </c>
      <c r="B455" s="34" t="s">
        <v>283</v>
      </c>
      <c r="C455" s="26" t="s">
        <v>283</v>
      </c>
      <c r="D455" s="82"/>
      <c r="E455" s="82" t="s">
        <v>197</v>
      </c>
      <c r="F455" s="82" t="s">
        <v>206</v>
      </c>
      <c r="G455" s="29">
        <v>2240</v>
      </c>
      <c r="H455" s="29">
        <f t="shared" si="238"/>
        <v>20</v>
      </c>
      <c r="I455" s="26" t="s">
        <v>13</v>
      </c>
      <c r="J455" s="26" t="s">
        <v>101</v>
      </c>
      <c r="K455" s="26">
        <v>0</v>
      </c>
      <c r="L455" s="42">
        <v>6</v>
      </c>
      <c r="M455" s="42">
        <v>6</v>
      </c>
      <c r="N455" s="42">
        <v>6</v>
      </c>
      <c r="O455" s="83">
        <v>6</v>
      </c>
      <c r="P455" s="83">
        <v>5</v>
      </c>
      <c r="Q455" s="83">
        <v>4</v>
      </c>
      <c r="R455" s="83">
        <v>9</v>
      </c>
      <c r="S455" s="83">
        <v>8</v>
      </c>
      <c r="T455" s="83">
        <v>8</v>
      </c>
      <c r="U455" s="83">
        <v>8</v>
      </c>
      <c r="V455" s="42"/>
      <c r="W455" s="42"/>
      <c r="X455" s="42"/>
      <c r="Y455" s="26">
        <v>50</v>
      </c>
      <c r="Z455" s="26">
        <f t="shared" si="239"/>
        <v>0</v>
      </c>
      <c r="AA455" s="82" t="s">
        <v>55</v>
      </c>
      <c r="AB455" s="111">
        <f t="shared" si="240"/>
        <v>5</v>
      </c>
      <c r="AC455" s="85" t="s">
        <v>13</v>
      </c>
      <c r="AD455" s="84">
        <f t="shared" si="252"/>
        <v>8909.0909090909099</v>
      </c>
      <c r="AE455" s="140"/>
      <c r="AF455" s="113">
        <f t="shared" si="237"/>
        <v>0</v>
      </c>
      <c r="AG455" s="106">
        <v>2025</v>
      </c>
      <c r="AH455" s="26" t="str">
        <f t="shared" si="253"/>
        <v/>
      </c>
      <c r="AI455" s="26" t="str">
        <f t="shared" si="253"/>
        <v/>
      </c>
      <c r="AJ455" s="26" t="str">
        <f t="shared" si="253"/>
        <v/>
      </c>
      <c r="AK455" s="26" t="str">
        <f t="shared" si="253"/>
        <v>Chip Seal and Fog</v>
      </c>
      <c r="AL455" s="26" t="str">
        <f t="shared" si="253"/>
        <v/>
      </c>
      <c r="AM455" s="26" t="str">
        <f t="shared" si="253"/>
        <v/>
      </c>
      <c r="AN455" s="26" t="str">
        <f t="shared" si="247"/>
        <v>Chip Seal and Fog</v>
      </c>
      <c r="AO455" s="26" t="str">
        <f t="shared" si="248"/>
        <v/>
      </c>
      <c r="AP455" s="26" t="str">
        <f t="shared" si="228"/>
        <v/>
      </c>
      <c r="AQ455" s="68">
        <f t="shared" si="242"/>
        <v>8</v>
      </c>
      <c r="AR455" s="68">
        <f t="shared" si="243"/>
        <v>6</v>
      </c>
      <c r="AS455" s="68">
        <f t="shared" si="231"/>
        <v>1.1000000000000001</v>
      </c>
      <c r="AT455" s="68">
        <f t="shared" si="232"/>
        <v>1.1000000000000001</v>
      </c>
      <c r="AU455" s="68">
        <f t="shared" si="233"/>
        <v>1.1000000000000001</v>
      </c>
      <c r="AV455" s="68">
        <f t="shared" si="234"/>
        <v>1.1000000000000001</v>
      </c>
      <c r="AW455" s="68">
        <f t="shared" si="235"/>
        <v>1.25</v>
      </c>
      <c r="AX455" s="68">
        <f t="shared" ca="1" si="236"/>
        <v>1.1000000000000001</v>
      </c>
      <c r="AY455" s="106">
        <v>2019</v>
      </c>
      <c r="AZ455" s="106" t="s">
        <v>751</v>
      </c>
      <c r="BA455" s="106" t="str">
        <f t="shared" si="254"/>
        <v/>
      </c>
      <c r="BB455" s="177"/>
      <c r="BC455" s="177">
        <v>4</v>
      </c>
      <c r="BD455" s="177"/>
      <c r="BE455" s="177"/>
      <c r="BF455" s="177"/>
      <c r="BG455" s="177"/>
      <c r="BH455" s="177"/>
      <c r="BI455" s="33"/>
      <c r="BJ455" s="2"/>
      <c r="BK455" s="48">
        <f>$G455/5280*VLOOKUP($AC455,'Cost and Score'!$B$27:$O$40,6,0)</f>
        <v>8.4848484848484854E-2</v>
      </c>
      <c r="BL455" s="48">
        <f>$G455/5280*VLOOKUP($AC455,'Cost and Score'!$B$27:$O$40,7,0)</f>
        <v>9.3333333333333339</v>
      </c>
      <c r="BM455" s="48">
        <f>$G455/5280*VLOOKUP($AC455,'Cost and Score'!$B$27:$O$40,8,0)</f>
        <v>0</v>
      </c>
      <c r="BN455" s="48">
        <f>$G455/5280*VLOOKUP($AC455,'Cost and Score'!$B$27:$O$40,9,0)</f>
        <v>1909.0909090909092</v>
      </c>
      <c r="BO455" s="48">
        <f>$G455/5280*VLOOKUP($AC455,'Cost and Score'!$B$27:$O$40,10,0)</f>
        <v>424.24242424242425</v>
      </c>
      <c r="BP455" s="48">
        <f>$G455/5280*VLOOKUP($AC455,'Cost and Score'!$B$27:$O$40,11,0)</f>
        <v>0</v>
      </c>
      <c r="BQ455" s="48">
        <f>$G455/5280*VLOOKUP($AC455,'Cost and Score'!$B$27:$O$40,12,0)</f>
        <v>42.424242424242422</v>
      </c>
      <c r="BR455" s="48">
        <f>$G455/5280*VLOOKUP($AC455,'Cost and Score'!$B$27:$O$40,13,0)</f>
        <v>50.909090909090914</v>
      </c>
      <c r="BS455" s="48">
        <f>$G455/5280*VLOOKUP($AC455,'Cost and Score'!$B$27:$O$40,14,0)</f>
        <v>0</v>
      </c>
      <c r="BT455" s="220">
        <f t="shared" si="255"/>
        <v>0.42424242424242425</v>
      </c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</row>
    <row r="456" spans="1:103" s="2" customFormat="1" ht="14.45" hidden="1" customHeight="1" x14ac:dyDescent="0.25">
      <c r="A456" s="36" t="s">
        <v>1008</v>
      </c>
      <c r="B456" s="34" t="s">
        <v>1007</v>
      </c>
      <c r="C456" s="26" t="s">
        <v>1007</v>
      </c>
      <c r="D456" s="82"/>
      <c r="E456" s="82" t="s">
        <v>222</v>
      </c>
      <c r="F456" s="82" t="s">
        <v>197</v>
      </c>
      <c r="G456" s="29">
        <v>2640</v>
      </c>
      <c r="H456" s="29">
        <f t="shared" si="238"/>
        <v>20</v>
      </c>
      <c r="I456" s="26" t="s">
        <v>8</v>
      </c>
      <c r="J456" s="26" t="s">
        <v>26</v>
      </c>
      <c r="K456" s="26">
        <f>VLOOKUP(J456,TOWNSHIPS,2,FALSE)</f>
        <v>0</v>
      </c>
      <c r="L456" s="42">
        <v>8</v>
      </c>
      <c r="M456" s="42">
        <v>8</v>
      </c>
      <c r="N456" s="42">
        <v>8</v>
      </c>
      <c r="O456" s="83">
        <v>8</v>
      </c>
      <c r="P456" s="83">
        <v>7</v>
      </c>
      <c r="Q456" s="83">
        <v>7</v>
      </c>
      <c r="R456" s="83">
        <v>7</v>
      </c>
      <c r="S456" s="83">
        <v>7</v>
      </c>
      <c r="T456" s="83">
        <v>7</v>
      </c>
      <c r="U456" s="83">
        <v>7</v>
      </c>
      <c r="V456" s="42"/>
      <c r="W456" s="42">
        <v>2021</v>
      </c>
      <c r="X456" s="42" t="s">
        <v>2612</v>
      </c>
      <c r="Y456" s="26">
        <v>1714</v>
      </c>
      <c r="Z456" s="26">
        <f t="shared" si="239"/>
        <v>1</v>
      </c>
      <c r="AA456" s="82" t="s">
        <v>73</v>
      </c>
      <c r="AB456" s="111">
        <f t="shared" si="240"/>
        <v>4</v>
      </c>
      <c r="AC456" s="106" t="s">
        <v>2371</v>
      </c>
      <c r="AD456" s="84">
        <f t="shared" si="252"/>
        <v>40000</v>
      </c>
      <c r="AE456" s="140">
        <v>1</v>
      </c>
      <c r="AF456" s="113">
        <f t="shared" si="237"/>
        <v>40000</v>
      </c>
      <c r="AG456" s="106">
        <v>2023</v>
      </c>
      <c r="AH456" s="26" t="str">
        <f t="shared" si="253"/>
        <v/>
      </c>
      <c r="AI456" s="26" t="str">
        <f t="shared" si="253"/>
        <v>Microsurface double</v>
      </c>
      <c r="AJ456" s="26" t="str">
        <f t="shared" si="253"/>
        <v/>
      </c>
      <c r="AK456" s="26" t="str">
        <f t="shared" si="253"/>
        <v/>
      </c>
      <c r="AL456" s="26" t="str">
        <f t="shared" si="253"/>
        <v/>
      </c>
      <c r="AM456" s="26" t="str">
        <f t="shared" si="253"/>
        <v/>
      </c>
      <c r="AN456" s="26" t="str">
        <f t="shared" si="247"/>
        <v>Microsurface double</v>
      </c>
      <c r="AO456" s="26" t="str">
        <f t="shared" si="248"/>
        <v/>
      </c>
      <c r="AP456" s="26" t="str">
        <f t="shared" si="228"/>
        <v/>
      </c>
      <c r="AQ456" s="68">
        <f t="shared" si="242"/>
        <v>12</v>
      </c>
      <c r="AR456" s="68">
        <f t="shared" si="243"/>
        <v>10</v>
      </c>
      <c r="AS456" s="68">
        <f t="shared" si="231"/>
        <v>1</v>
      </c>
      <c r="AT456" s="68">
        <f t="shared" si="232"/>
        <v>1</v>
      </c>
      <c r="AU456" s="68">
        <f t="shared" si="233"/>
        <v>1</v>
      </c>
      <c r="AV456" s="68">
        <f t="shared" si="234"/>
        <v>1</v>
      </c>
      <c r="AW456" s="68">
        <f t="shared" si="235"/>
        <v>1.05</v>
      </c>
      <c r="AX456" s="68">
        <f t="shared" ca="1" si="236"/>
        <v>-1</v>
      </c>
      <c r="AY456" s="68">
        <v>2019</v>
      </c>
      <c r="AZ456" s="68" t="s">
        <v>2073</v>
      </c>
      <c r="BA456" s="106" t="str">
        <f t="shared" si="254"/>
        <v/>
      </c>
      <c r="BB456" s="178"/>
      <c r="BC456" s="178">
        <v>3</v>
      </c>
      <c r="BD456" s="178"/>
      <c r="BE456" s="178"/>
      <c r="BF456" s="178"/>
      <c r="BG456" s="178"/>
      <c r="BH456" s="178"/>
      <c r="BI456" s="33"/>
      <c r="BK456" s="48">
        <f>$G456/5280*VLOOKUP($AC456,'Cost and Score'!$B$27:$O$40,6,0)</f>
        <v>0.25</v>
      </c>
      <c r="BL456" s="48">
        <f>$G456/5280*VLOOKUP($AC456,'Cost and Score'!$B$27:$O$40,7,0)</f>
        <v>0</v>
      </c>
      <c r="BM456" s="48">
        <f>$G456/5280*VLOOKUP($AC456,'Cost and Score'!$B$27:$O$40,8,0)</f>
        <v>0</v>
      </c>
      <c r="BN456" s="48">
        <f>$G456/5280*VLOOKUP($AC456,'Cost and Score'!$B$27:$O$40,9,0)</f>
        <v>0</v>
      </c>
      <c r="BO456" s="48">
        <f>$G456/5280*VLOOKUP($AC456,'Cost and Score'!$B$27:$O$40,10,0)</f>
        <v>0</v>
      </c>
      <c r="BP456" s="48">
        <f>$G456/5280*VLOOKUP($AC456,'Cost and Score'!$B$27:$O$40,11,0)</f>
        <v>0</v>
      </c>
      <c r="BQ456" s="48">
        <f>$G456/5280*VLOOKUP($AC456,'Cost and Score'!$B$27:$O$40,12,0)</f>
        <v>0</v>
      </c>
      <c r="BR456" s="48">
        <f>$G456/5280*VLOOKUP($AC456,'Cost and Score'!$B$27:$O$40,13,0)</f>
        <v>0</v>
      </c>
      <c r="BS456" s="48">
        <f>$G456/5280*VLOOKUP($AC456,'Cost and Score'!$B$27:$O$40,14,0)</f>
        <v>0</v>
      </c>
      <c r="BT456" s="220">
        <f t="shared" si="255"/>
        <v>0.5</v>
      </c>
      <c r="CN456" s="112"/>
      <c r="CO456" s="112"/>
      <c r="CP456" s="112"/>
      <c r="CQ456" s="112"/>
      <c r="CV456" s="112"/>
    </row>
    <row r="457" spans="1:103" s="2" customFormat="1" ht="14.45" customHeight="1" x14ac:dyDescent="0.25">
      <c r="A457" s="15" t="s">
        <v>312</v>
      </c>
      <c r="B457" s="34" t="s">
        <v>311</v>
      </c>
      <c r="C457" s="26" t="s">
        <v>311</v>
      </c>
      <c r="D457" s="82"/>
      <c r="E457" s="82" t="s">
        <v>110</v>
      </c>
      <c r="F457" s="82" t="s">
        <v>210</v>
      </c>
      <c r="G457" s="29">
        <v>5340</v>
      </c>
      <c r="H457" s="29">
        <f t="shared" si="238"/>
        <v>20</v>
      </c>
      <c r="I457" s="26" t="s">
        <v>8</v>
      </c>
      <c r="J457" s="26" t="s">
        <v>6</v>
      </c>
      <c r="K457" s="26">
        <f>VLOOKUP(J457,TOWNSHIPS,2,FALSE)</f>
        <v>0</v>
      </c>
      <c r="L457" s="42">
        <v>4</v>
      </c>
      <c r="M457" s="42">
        <v>5</v>
      </c>
      <c r="N457" s="42">
        <v>5</v>
      </c>
      <c r="O457" s="83">
        <v>5</v>
      </c>
      <c r="P457" s="83">
        <v>5</v>
      </c>
      <c r="Q457" s="83">
        <v>5</v>
      </c>
      <c r="R457" s="83">
        <v>9</v>
      </c>
      <c r="S457" s="83">
        <v>8</v>
      </c>
      <c r="T457" s="83">
        <v>7</v>
      </c>
      <c r="U457" s="83">
        <v>7</v>
      </c>
      <c r="V457" s="42"/>
      <c r="W457" s="42"/>
      <c r="X457" s="42"/>
      <c r="Y457" s="26">
        <v>50</v>
      </c>
      <c r="Z457" s="26">
        <f t="shared" si="239"/>
        <v>0</v>
      </c>
      <c r="AA457" s="82" t="s">
        <v>313</v>
      </c>
      <c r="AB457" s="111">
        <f t="shared" si="240"/>
        <v>5</v>
      </c>
      <c r="AC457" s="85" t="s">
        <v>13</v>
      </c>
      <c r="AD457" s="84">
        <f t="shared" si="252"/>
        <v>21238.636363636364</v>
      </c>
      <c r="AE457" s="140"/>
      <c r="AF457" s="113">
        <f t="shared" si="237"/>
        <v>0</v>
      </c>
      <c r="AG457" s="106">
        <v>2025</v>
      </c>
      <c r="AH457" s="26" t="str">
        <f t="shared" si="253"/>
        <v/>
      </c>
      <c r="AI457" s="26" t="str">
        <f t="shared" si="253"/>
        <v/>
      </c>
      <c r="AJ457" s="26" t="str">
        <f t="shared" si="253"/>
        <v/>
      </c>
      <c r="AK457" s="26" t="str">
        <f t="shared" si="253"/>
        <v>Chip Seal and Fog</v>
      </c>
      <c r="AL457" s="26" t="str">
        <f t="shared" si="253"/>
        <v/>
      </c>
      <c r="AM457" s="26" t="str">
        <f t="shared" si="253"/>
        <v/>
      </c>
      <c r="AN457" s="26" t="str">
        <f t="shared" si="247"/>
        <v>Chip Seal and Fog</v>
      </c>
      <c r="AO457" s="26" t="str">
        <f t="shared" si="248"/>
        <v/>
      </c>
      <c r="AP457" s="26" t="str">
        <f t="shared" si="228"/>
        <v/>
      </c>
      <c r="AQ457" s="68">
        <f t="shared" si="242"/>
        <v>6</v>
      </c>
      <c r="AR457" s="68">
        <f t="shared" si="243"/>
        <v>6</v>
      </c>
      <c r="AS457" s="68">
        <f t="shared" si="231"/>
        <v>1.5</v>
      </c>
      <c r="AT457" s="68">
        <f t="shared" si="232"/>
        <v>1.25</v>
      </c>
      <c r="AU457" s="68">
        <f t="shared" si="233"/>
        <v>1.25</v>
      </c>
      <c r="AV457" s="68">
        <f t="shared" si="234"/>
        <v>1.25</v>
      </c>
      <c r="AW457" s="68">
        <f t="shared" si="235"/>
        <v>1.25</v>
      </c>
      <c r="AX457" s="68">
        <f t="shared" ca="1" si="236"/>
        <v>1.25</v>
      </c>
      <c r="AY457" s="106">
        <v>2019</v>
      </c>
      <c r="AZ457" s="106" t="s">
        <v>751</v>
      </c>
      <c r="BA457" s="106" t="str">
        <f t="shared" si="254"/>
        <v/>
      </c>
      <c r="BB457" s="177"/>
      <c r="BC457" s="177">
        <v>9</v>
      </c>
      <c r="BD457" s="177"/>
      <c r="BE457" s="177"/>
      <c r="BF457" s="177"/>
      <c r="BG457" s="177"/>
      <c r="BH457" s="177"/>
      <c r="BI457" s="33"/>
      <c r="BK457" s="48">
        <f>$G457/5280*VLOOKUP($AC457,'Cost and Score'!$B$27:$O$40,6,0)</f>
        <v>0.2022727272727273</v>
      </c>
      <c r="BL457" s="48">
        <f>$G457/5280*VLOOKUP($AC457,'Cost and Score'!$B$27:$O$40,7,0)</f>
        <v>22.250000000000004</v>
      </c>
      <c r="BM457" s="48">
        <f>$G457/5280*VLOOKUP($AC457,'Cost and Score'!$B$27:$O$40,8,0)</f>
        <v>0</v>
      </c>
      <c r="BN457" s="48">
        <f>$G457/5280*VLOOKUP($AC457,'Cost and Score'!$B$27:$O$40,9,0)</f>
        <v>4551.136363636364</v>
      </c>
      <c r="BO457" s="48">
        <f>$G457/5280*VLOOKUP($AC457,'Cost and Score'!$B$27:$O$40,10,0)</f>
        <v>1011.3636363636365</v>
      </c>
      <c r="BP457" s="48">
        <f>$G457/5280*VLOOKUP($AC457,'Cost and Score'!$B$27:$O$40,11,0)</f>
        <v>0</v>
      </c>
      <c r="BQ457" s="48">
        <f>$G457/5280*VLOOKUP($AC457,'Cost and Score'!$B$27:$O$40,12,0)</f>
        <v>101.13636363636364</v>
      </c>
      <c r="BR457" s="48">
        <f>$G457/5280*VLOOKUP($AC457,'Cost and Score'!$B$27:$O$40,13,0)</f>
        <v>121.36363636363637</v>
      </c>
      <c r="BS457" s="48">
        <f>$G457/5280*VLOOKUP($AC457,'Cost and Score'!$B$27:$O$40,14,0)</f>
        <v>0</v>
      </c>
      <c r="BT457" s="220">
        <f t="shared" si="255"/>
        <v>1.0113636363636365</v>
      </c>
    </row>
    <row r="458" spans="1:103" s="2" customFormat="1" ht="14.45" hidden="1" customHeight="1" x14ac:dyDescent="0.25">
      <c r="A458" s="38" t="s">
        <v>1012</v>
      </c>
      <c r="B458" s="108" t="s">
        <v>1011</v>
      </c>
      <c r="C458" s="106" t="s">
        <v>1011</v>
      </c>
      <c r="D458" s="106"/>
      <c r="E458" s="106" t="s">
        <v>197</v>
      </c>
      <c r="F458" s="106" t="s">
        <v>25</v>
      </c>
      <c r="G458" s="109">
        <v>5370</v>
      </c>
      <c r="H458" s="109">
        <f t="shared" si="238"/>
        <v>20</v>
      </c>
      <c r="I458" s="106" t="s">
        <v>8</v>
      </c>
      <c r="J458" s="106" t="s">
        <v>26</v>
      </c>
      <c r="K458" s="106">
        <f>VLOOKUP(J458,TOWNSHIPS,2,FALSE)</f>
        <v>0</v>
      </c>
      <c r="L458" s="110">
        <v>7</v>
      </c>
      <c r="M458" s="110">
        <v>8</v>
      </c>
      <c r="N458" s="110">
        <v>8</v>
      </c>
      <c r="O458" s="110">
        <v>8</v>
      </c>
      <c r="P458" s="110">
        <v>7</v>
      </c>
      <c r="Q458" s="110">
        <v>7</v>
      </c>
      <c r="R458" s="110">
        <v>7</v>
      </c>
      <c r="S458" s="110">
        <v>7</v>
      </c>
      <c r="T458" s="110">
        <v>7</v>
      </c>
      <c r="U458" s="110">
        <v>7</v>
      </c>
      <c r="V458" s="110"/>
      <c r="W458" s="110">
        <v>2021</v>
      </c>
      <c r="X458" s="110" t="s">
        <v>2612</v>
      </c>
      <c r="Y458" s="106">
        <v>1868</v>
      </c>
      <c r="Z458" s="106">
        <f t="shared" si="239"/>
        <v>1</v>
      </c>
      <c r="AA458" s="106" t="s">
        <v>73</v>
      </c>
      <c r="AB458" s="111">
        <f t="shared" si="240"/>
        <v>4</v>
      </c>
      <c r="AC458" s="106" t="s">
        <v>2371</v>
      </c>
      <c r="AD458" s="107">
        <f t="shared" si="252"/>
        <v>81363.636363636368</v>
      </c>
      <c r="AE458" s="198">
        <v>1</v>
      </c>
      <c r="AF458" s="113">
        <f t="shared" si="237"/>
        <v>81363.636363636368</v>
      </c>
      <c r="AG458" s="106">
        <v>2023</v>
      </c>
      <c r="AH458" s="26" t="str">
        <f t="shared" si="253"/>
        <v/>
      </c>
      <c r="AI458" s="26" t="str">
        <f t="shared" si="253"/>
        <v>Microsurface double</v>
      </c>
      <c r="AJ458" s="26" t="str">
        <f t="shared" si="253"/>
        <v/>
      </c>
      <c r="AK458" s="26" t="str">
        <f t="shared" si="253"/>
        <v/>
      </c>
      <c r="AL458" s="26" t="str">
        <f t="shared" si="253"/>
        <v/>
      </c>
      <c r="AM458" s="26" t="str">
        <f t="shared" si="253"/>
        <v/>
      </c>
      <c r="AN458" s="26" t="str">
        <f t="shared" si="247"/>
        <v>Microsurface double</v>
      </c>
      <c r="AO458" s="26" t="str">
        <f t="shared" si="248"/>
        <v/>
      </c>
      <c r="AP458" s="26" t="str">
        <f t="shared" si="228"/>
        <v/>
      </c>
      <c r="AQ458" s="68">
        <f t="shared" si="242"/>
        <v>12</v>
      </c>
      <c r="AR458" s="68">
        <f t="shared" si="243"/>
        <v>10</v>
      </c>
      <c r="AS458" s="68">
        <f t="shared" si="231"/>
        <v>1.05</v>
      </c>
      <c r="AT458" s="68">
        <f t="shared" si="232"/>
        <v>1</v>
      </c>
      <c r="AU458" s="68">
        <f t="shared" si="233"/>
        <v>1</v>
      </c>
      <c r="AV458" s="68">
        <f t="shared" si="234"/>
        <v>1</v>
      </c>
      <c r="AW458" s="68">
        <f t="shared" si="235"/>
        <v>1.05</v>
      </c>
      <c r="AX458" s="68">
        <f t="shared" ca="1" si="236"/>
        <v>-1</v>
      </c>
      <c r="AY458" s="106">
        <v>2019</v>
      </c>
      <c r="AZ458" s="106" t="s">
        <v>2072</v>
      </c>
      <c r="BA458" s="106" t="str">
        <f t="shared" si="254"/>
        <v/>
      </c>
      <c r="BB458" s="177"/>
      <c r="BC458" s="177">
        <v>3</v>
      </c>
      <c r="BD458" s="177"/>
      <c r="BE458" s="177"/>
      <c r="BF458" s="177"/>
      <c r="BG458" s="177"/>
      <c r="BH458" s="177"/>
      <c r="BI458" s="33" t="s">
        <v>2202</v>
      </c>
      <c r="BK458" s="48">
        <f>$G458/5280*VLOOKUP($AC458,'Cost and Score'!$B$27:$O$40,6,0)</f>
        <v>0.50852272727272729</v>
      </c>
      <c r="BL458" s="48">
        <f>$G458/5280*VLOOKUP($AC458,'Cost and Score'!$B$27:$O$40,7,0)</f>
        <v>0</v>
      </c>
      <c r="BM458" s="48">
        <f>$G458/5280*VLOOKUP($AC458,'Cost and Score'!$B$27:$O$40,8,0)</f>
        <v>0</v>
      </c>
      <c r="BN458" s="48">
        <f>$G458/5280*VLOOKUP($AC458,'Cost and Score'!$B$27:$O$40,9,0)</f>
        <v>0</v>
      </c>
      <c r="BO458" s="48">
        <f>$G458/5280*VLOOKUP($AC458,'Cost and Score'!$B$27:$O$40,10,0)</f>
        <v>0</v>
      </c>
      <c r="BP458" s="48">
        <f>$G458/5280*VLOOKUP($AC458,'Cost and Score'!$B$27:$O$40,11,0)</f>
        <v>0</v>
      </c>
      <c r="BQ458" s="48">
        <f>$G458/5280*VLOOKUP($AC458,'Cost and Score'!$B$27:$O$40,12,0)</f>
        <v>0</v>
      </c>
      <c r="BR458" s="48">
        <f>$G458/5280*VLOOKUP($AC458,'Cost and Score'!$B$27:$O$40,13,0)</f>
        <v>0</v>
      </c>
      <c r="BS458" s="48">
        <f>$G458/5280*VLOOKUP($AC458,'Cost and Score'!$B$27:$O$40,14,0)</f>
        <v>0</v>
      </c>
      <c r="BT458" s="220">
        <f t="shared" si="255"/>
        <v>1.0170454545454546</v>
      </c>
      <c r="CF458" s="112"/>
      <c r="CR458" s="112"/>
      <c r="CW458" s="112"/>
      <c r="CX458" s="112"/>
      <c r="CY458" s="112"/>
    </row>
    <row r="459" spans="1:103" s="112" customFormat="1" ht="14.45" customHeight="1" x14ac:dyDescent="0.25">
      <c r="A459" s="37" t="s">
        <v>449</v>
      </c>
      <c r="B459" s="197" t="s">
        <v>451</v>
      </c>
      <c r="C459" s="194" t="s">
        <v>451</v>
      </c>
      <c r="D459" s="26"/>
      <c r="E459" s="26" t="s">
        <v>9</v>
      </c>
      <c r="F459" s="26" t="s">
        <v>28</v>
      </c>
      <c r="G459" s="29">
        <v>5370</v>
      </c>
      <c r="H459" s="29">
        <f t="shared" si="238"/>
        <v>20</v>
      </c>
      <c r="I459" s="26" t="s">
        <v>8</v>
      </c>
      <c r="J459" s="26" t="s">
        <v>101</v>
      </c>
      <c r="K459" s="26">
        <v>0</v>
      </c>
      <c r="L459" s="42">
        <v>7</v>
      </c>
      <c r="M459" s="42">
        <v>7</v>
      </c>
      <c r="N459" s="42">
        <v>7</v>
      </c>
      <c r="O459" s="42">
        <v>7</v>
      </c>
      <c r="P459" s="42">
        <v>7</v>
      </c>
      <c r="Q459" s="42">
        <v>6</v>
      </c>
      <c r="R459" s="42"/>
      <c r="S459" s="42">
        <v>7</v>
      </c>
      <c r="T459" s="42">
        <v>7</v>
      </c>
      <c r="U459" s="42">
        <v>7</v>
      </c>
      <c r="V459" s="42"/>
      <c r="W459" s="42"/>
      <c r="X459" s="42"/>
      <c r="Y459" s="26">
        <v>50</v>
      </c>
      <c r="Z459" s="26">
        <f t="shared" si="239"/>
        <v>0</v>
      </c>
      <c r="AA459" s="26" t="s">
        <v>450</v>
      </c>
      <c r="AB459" s="111">
        <f t="shared" si="240"/>
        <v>3</v>
      </c>
      <c r="AC459" s="194" t="s">
        <v>13</v>
      </c>
      <c r="AD459" s="195">
        <f t="shared" si="252"/>
        <v>21357.954545454544</v>
      </c>
      <c r="AE459" s="140"/>
      <c r="AF459" s="196">
        <f t="shared" si="237"/>
        <v>0</v>
      </c>
      <c r="AG459" s="106">
        <v>2025</v>
      </c>
      <c r="AH459" s="26" t="str">
        <f t="shared" si="253"/>
        <v/>
      </c>
      <c r="AI459" s="26" t="str">
        <f t="shared" si="253"/>
        <v/>
      </c>
      <c r="AJ459" s="26" t="str">
        <f t="shared" si="253"/>
        <v/>
      </c>
      <c r="AK459" s="26" t="str">
        <f t="shared" si="253"/>
        <v>Chip Seal and Fog</v>
      </c>
      <c r="AL459" s="26" t="str">
        <f t="shared" si="253"/>
        <v/>
      </c>
      <c r="AM459" s="26" t="str">
        <f t="shared" si="253"/>
        <v/>
      </c>
      <c r="AN459" s="26" t="str">
        <f t="shared" si="247"/>
        <v>Chip Seal and Fog</v>
      </c>
      <c r="AO459" s="26" t="str">
        <f t="shared" si="248"/>
        <v/>
      </c>
      <c r="AP459" s="26" t="str">
        <f t="shared" si="228"/>
        <v/>
      </c>
      <c r="AQ459" s="68">
        <f t="shared" si="242"/>
        <v>10</v>
      </c>
      <c r="AR459" s="68">
        <f t="shared" si="243"/>
        <v>6</v>
      </c>
      <c r="AS459" s="68">
        <f t="shared" si="231"/>
        <v>1.05</v>
      </c>
      <c r="AT459" s="68">
        <f t="shared" si="232"/>
        <v>1.05</v>
      </c>
      <c r="AU459" s="68">
        <f t="shared" si="233"/>
        <v>1.05</v>
      </c>
      <c r="AV459" s="68">
        <f t="shared" si="234"/>
        <v>1.05</v>
      </c>
      <c r="AW459" s="68">
        <f t="shared" si="235"/>
        <v>1.05</v>
      </c>
      <c r="AX459" s="68">
        <f t="shared" ca="1" si="236"/>
        <v>1.05</v>
      </c>
      <c r="AY459" s="106">
        <v>2019</v>
      </c>
      <c r="AZ459" s="106" t="s">
        <v>13</v>
      </c>
      <c r="BA459" s="106" t="str">
        <f t="shared" si="254"/>
        <v/>
      </c>
      <c r="BB459" s="177"/>
      <c r="BC459" s="177">
        <v>4</v>
      </c>
      <c r="BD459" s="177"/>
      <c r="BE459" s="177"/>
      <c r="BF459" s="177"/>
      <c r="BG459" s="177"/>
      <c r="BH459" s="177"/>
      <c r="BI459" s="33"/>
      <c r="BJ459" s="2"/>
      <c r="BK459" s="48">
        <f>$G459/5280*VLOOKUP($AC459,'Cost and Score'!$B$27:$O$40,6,0)</f>
        <v>0.20340909090909093</v>
      </c>
      <c r="BL459" s="48">
        <f>$G459/5280*VLOOKUP($AC459,'Cost and Score'!$B$27:$O$40,7,0)</f>
        <v>22.375</v>
      </c>
      <c r="BM459" s="48">
        <f>$G459/5280*VLOOKUP($AC459,'Cost and Score'!$B$27:$O$40,8,0)</f>
        <v>0</v>
      </c>
      <c r="BN459" s="48">
        <f>$G459/5280*VLOOKUP($AC459,'Cost and Score'!$B$27:$O$40,9,0)</f>
        <v>4576.704545454546</v>
      </c>
      <c r="BO459" s="48">
        <f>$G459/5280*VLOOKUP($AC459,'Cost and Score'!$B$27:$O$40,10,0)</f>
        <v>1017.0454545454546</v>
      </c>
      <c r="BP459" s="48">
        <f>$G459/5280*VLOOKUP($AC459,'Cost and Score'!$B$27:$O$40,11,0)</f>
        <v>0</v>
      </c>
      <c r="BQ459" s="48">
        <f>$G459/5280*VLOOKUP($AC459,'Cost and Score'!$B$27:$O$40,12,0)</f>
        <v>101.70454545454545</v>
      </c>
      <c r="BR459" s="48">
        <f>$G459/5280*VLOOKUP($AC459,'Cost and Score'!$B$27:$O$40,13,0)</f>
        <v>122.04545454545455</v>
      </c>
      <c r="BS459" s="48">
        <f>$G459/5280*VLOOKUP($AC459,'Cost and Score'!$B$27:$O$40,14,0)</f>
        <v>0</v>
      </c>
      <c r="BT459" s="220">
        <f t="shared" si="255"/>
        <v>1.0170454545454546</v>
      </c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</row>
    <row r="460" spans="1:103" s="2" customFormat="1" ht="14.25" hidden="1" customHeight="1" x14ac:dyDescent="0.25">
      <c r="A460" s="38" t="s">
        <v>1016</v>
      </c>
      <c r="B460" s="108" t="s">
        <v>1015</v>
      </c>
      <c r="C460" s="106" t="s">
        <v>1015</v>
      </c>
      <c r="D460" s="106"/>
      <c r="E460" s="106" t="s">
        <v>25</v>
      </c>
      <c r="F460" s="106" t="s">
        <v>28</v>
      </c>
      <c r="G460" s="109">
        <v>5385</v>
      </c>
      <c r="H460" s="109">
        <f t="shared" si="238"/>
        <v>20</v>
      </c>
      <c r="I460" s="106" t="s">
        <v>8</v>
      </c>
      <c r="J460" s="106" t="s">
        <v>26</v>
      </c>
      <c r="K460" s="106">
        <f t="shared" ref="K460:K486" si="256">VLOOKUP(J460,TOWNSHIPS,2,FALSE)</f>
        <v>0</v>
      </c>
      <c r="L460" s="110">
        <v>6</v>
      </c>
      <c r="M460" s="110">
        <v>8</v>
      </c>
      <c r="N460" s="110">
        <v>8</v>
      </c>
      <c r="O460" s="110">
        <v>7</v>
      </c>
      <c r="P460" s="110">
        <v>6</v>
      </c>
      <c r="Q460" s="110">
        <v>6</v>
      </c>
      <c r="R460" s="110">
        <v>7</v>
      </c>
      <c r="S460" s="110">
        <v>7</v>
      </c>
      <c r="T460" s="110">
        <v>7</v>
      </c>
      <c r="U460" s="110">
        <v>7</v>
      </c>
      <c r="V460" s="110"/>
      <c r="W460" s="110">
        <v>2021</v>
      </c>
      <c r="X460" s="110" t="s">
        <v>2612</v>
      </c>
      <c r="Y460" s="106">
        <v>1776</v>
      </c>
      <c r="Z460" s="106">
        <f t="shared" si="239"/>
        <v>1</v>
      </c>
      <c r="AA460" s="106" t="s">
        <v>73</v>
      </c>
      <c r="AB460" s="111">
        <f t="shared" si="240"/>
        <v>5</v>
      </c>
      <c r="AC460" s="106" t="s">
        <v>2371</v>
      </c>
      <c r="AD460" s="107">
        <f t="shared" si="252"/>
        <v>81590.909090909088</v>
      </c>
      <c r="AE460" s="198">
        <v>1</v>
      </c>
      <c r="AF460" s="113">
        <f t="shared" si="237"/>
        <v>81590.909090909088</v>
      </c>
      <c r="AG460" s="106">
        <v>2023</v>
      </c>
      <c r="AH460" s="26" t="str">
        <f t="shared" si="253"/>
        <v/>
      </c>
      <c r="AI460" s="26" t="str">
        <f t="shared" si="253"/>
        <v>Microsurface double</v>
      </c>
      <c r="AJ460" s="26" t="str">
        <f t="shared" si="253"/>
        <v/>
      </c>
      <c r="AK460" s="26" t="str">
        <f t="shared" si="253"/>
        <v/>
      </c>
      <c r="AL460" s="26" t="str">
        <f t="shared" si="253"/>
        <v/>
      </c>
      <c r="AM460" s="26" t="str">
        <f t="shared" si="253"/>
        <v/>
      </c>
      <c r="AN460" s="26" t="str">
        <f t="shared" si="247"/>
        <v>Microsurface double</v>
      </c>
      <c r="AO460" s="26" t="str">
        <f t="shared" si="248"/>
        <v/>
      </c>
      <c r="AP460" s="26" t="str">
        <f t="shared" si="228"/>
        <v/>
      </c>
      <c r="AQ460" s="68">
        <f t="shared" si="242"/>
        <v>10</v>
      </c>
      <c r="AR460" s="68">
        <f t="shared" si="243"/>
        <v>10</v>
      </c>
      <c r="AS460" s="68">
        <f t="shared" si="231"/>
        <v>1.1000000000000001</v>
      </c>
      <c r="AT460" s="68">
        <f t="shared" si="232"/>
        <v>1</v>
      </c>
      <c r="AU460" s="68">
        <f t="shared" si="233"/>
        <v>1</v>
      </c>
      <c r="AV460" s="68">
        <f t="shared" si="234"/>
        <v>1.05</v>
      </c>
      <c r="AW460" s="68">
        <f t="shared" si="235"/>
        <v>1.1000000000000001</v>
      </c>
      <c r="AX460" s="68">
        <f t="shared" ca="1" si="236"/>
        <v>-1</v>
      </c>
      <c r="AY460" s="106">
        <v>2019</v>
      </c>
      <c r="AZ460" s="106" t="s">
        <v>2073</v>
      </c>
      <c r="BA460" s="106" t="str">
        <f t="shared" si="254"/>
        <v/>
      </c>
      <c r="BB460" s="177"/>
      <c r="BC460" s="177">
        <v>3</v>
      </c>
      <c r="BD460" s="177"/>
      <c r="BE460" s="177"/>
      <c r="BF460" s="177"/>
      <c r="BG460" s="177"/>
      <c r="BH460" s="177"/>
      <c r="BI460" s="33"/>
      <c r="BK460" s="48">
        <f>$G460/5280*VLOOKUP($AC460,'Cost and Score'!$B$27:$O$40,6,0)</f>
        <v>0.50994318181818177</v>
      </c>
      <c r="BL460" s="48">
        <f>$G460/5280*VLOOKUP($AC460,'Cost and Score'!$B$27:$O$40,7,0)</f>
        <v>0</v>
      </c>
      <c r="BM460" s="48">
        <f>$G460/5280*VLOOKUP($AC460,'Cost and Score'!$B$27:$O$40,8,0)</f>
        <v>0</v>
      </c>
      <c r="BN460" s="48">
        <f>$G460/5280*VLOOKUP($AC460,'Cost and Score'!$B$27:$O$40,9,0)</f>
        <v>0</v>
      </c>
      <c r="BO460" s="48">
        <f>$G460/5280*VLOOKUP($AC460,'Cost and Score'!$B$27:$O$40,10,0)</f>
        <v>0</v>
      </c>
      <c r="BP460" s="48">
        <f>$G460/5280*VLOOKUP($AC460,'Cost and Score'!$B$27:$O$40,11,0)</f>
        <v>0</v>
      </c>
      <c r="BQ460" s="48">
        <f>$G460/5280*VLOOKUP($AC460,'Cost and Score'!$B$27:$O$40,12,0)</f>
        <v>0</v>
      </c>
      <c r="BR460" s="48">
        <f>$G460/5280*VLOOKUP($AC460,'Cost and Score'!$B$27:$O$40,13,0)</f>
        <v>0</v>
      </c>
      <c r="BS460" s="48">
        <f>$G460/5280*VLOOKUP($AC460,'Cost and Score'!$B$27:$O$40,14,0)</f>
        <v>0</v>
      </c>
      <c r="BT460" s="220">
        <f t="shared" si="255"/>
        <v>1.0198863636363635</v>
      </c>
      <c r="CF460" s="112"/>
      <c r="CN460" s="112"/>
      <c r="CO460" s="112"/>
      <c r="CP460" s="112"/>
      <c r="CQ460" s="112"/>
      <c r="CR460" s="112"/>
      <c r="CV460" s="112"/>
    </row>
    <row r="461" spans="1:103" s="112" customFormat="1" ht="14.45" hidden="1" customHeight="1" x14ac:dyDescent="0.25">
      <c r="A461" s="38" t="s">
        <v>1018</v>
      </c>
      <c r="B461" s="108" t="s">
        <v>1017</v>
      </c>
      <c r="C461" s="106" t="s">
        <v>1017</v>
      </c>
      <c r="D461" s="106"/>
      <c r="E461" s="106" t="s">
        <v>9</v>
      </c>
      <c r="F461" s="106" t="s">
        <v>28</v>
      </c>
      <c r="G461" s="109">
        <v>5030</v>
      </c>
      <c r="H461" s="109">
        <f t="shared" si="238"/>
        <v>20</v>
      </c>
      <c r="I461" s="106" t="s">
        <v>8</v>
      </c>
      <c r="J461" s="106" t="s">
        <v>26</v>
      </c>
      <c r="K461" s="106">
        <f t="shared" si="256"/>
        <v>0</v>
      </c>
      <c r="L461" s="110">
        <v>7</v>
      </c>
      <c r="M461" s="110">
        <v>8</v>
      </c>
      <c r="N461" s="110">
        <v>8</v>
      </c>
      <c r="O461" s="110">
        <v>8</v>
      </c>
      <c r="P461" s="110">
        <v>7</v>
      </c>
      <c r="Q461" s="110">
        <v>7</v>
      </c>
      <c r="R461" s="110">
        <v>7</v>
      </c>
      <c r="S461" s="110">
        <v>7</v>
      </c>
      <c r="T461" s="110">
        <v>7</v>
      </c>
      <c r="U461" s="110">
        <v>7</v>
      </c>
      <c r="V461" s="110"/>
      <c r="W461" s="110">
        <v>2021</v>
      </c>
      <c r="X461" s="110" t="s">
        <v>2612</v>
      </c>
      <c r="Y461" s="106">
        <v>2670</v>
      </c>
      <c r="Z461" s="106">
        <f t="shared" si="239"/>
        <v>1.5</v>
      </c>
      <c r="AA461" s="106" t="s">
        <v>73</v>
      </c>
      <c r="AB461" s="111">
        <f t="shared" si="240"/>
        <v>4.5</v>
      </c>
      <c r="AC461" s="106" t="s">
        <v>2371</v>
      </c>
      <c r="AD461" s="107">
        <f t="shared" si="252"/>
        <v>76212.121212121216</v>
      </c>
      <c r="AE461" s="198">
        <v>1</v>
      </c>
      <c r="AF461" s="113">
        <f t="shared" si="237"/>
        <v>76212.121212121216</v>
      </c>
      <c r="AG461" s="106">
        <v>2023</v>
      </c>
      <c r="AH461" s="26" t="str">
        <f t="shared" ref="AH461:AH524" si="257">IF($AG461=AH$1,VLOOKUP($AC461,RSL,3,FALSE),"")</f>
        <v/>
      </c>
      <c r="AI461" s="26" t="str">
        <f>AA483</f>
        <v>600N</v>
      </c>
      <c r="AJ461" s="26" t="str">
        <f t="shared" ref="AJ461:AM467" si="258">IF($AG461=AJ$1,VLOOKUP($AC461,RSL,3,FALSE),"")</f>
        <v/>
      </c>
      <c r="AK461" s="26" t="str">
        <f t="shared" si="258"/>
        <v/>
      </c>
      <c r="AL461" s="26" t="str">
        <f t="shared" si="258"/>
        <v/>
      </c>
      <c r="AM461" s="26" t="str">
        <f t="shared" si="258"/>
        <v/>
      </c>
      <c r="AN461" s="26" t="str">
        <f t="shared" si="247"/>
        <v>Microsurface double</v>
      </c>
      <c r="AO461" s="26" t="str">
        <f t="shared" si="248"/>
        <v/>
      </c>
      <c r="AP461" s="26" t="str">
        <f t="shared" si="228"/>
        <v/>
      </c>
      <c r="AQ461" s="68">
        <f t="shared" si="242"/>
        <v>12</v>
      </c>
      <c r="AR461" s="68">
        <f t="shared" si="243"/>
        <v>10</v>
      </c>
      <c r="AS461" s="68">
        <f t="shared" si="231"/>
        <v>1.05</v>
      </c>
      <c r="AT461" s="68">
        <f t="shared" si="232"/>
        <v>1</v>
      </c>
      <c r="AU461" s="68">
        <f t="shared" si="233"/>
        <v>1</v>
      </c>
      <c r="AV461" s="68">
        <f t="shared" si="234"/>
        <v>1</v>
      </c>
      <c r="AW461" s="68">
        <f t="shared" si="235"/>
        <v>1.05</v>
      </c>
      <c r="AX461" s="68">
        <f t="shared" ca="1" si="236"/>
        <v>-1</v>
      </c>
      <c r="AY461" s="106">
        <v>2019</v>
      </c>
      <c r="AZ461" s="106" t="s">
        <v>2073</v>
      </c>
      <c r="BA461" s="106" t="str">
        <f t="shared" si="254"/>
        <v/>
      </c>
      <c r="BB461" s="177"/>
      <c r="BC461" s="177">
        <v>3</v>
      </c>
      <c r="BD461" s="177"/>
      <c r="BE461" s="177"/>
      <c r="BF461" s="177"/>
      <c r="BG461" s="177"/>
      <c r="BH461" s="177"/>
      <c r="BI461" s="33"/>
      <c r="BJ461" s="2"/>
      <c r="BK461" s="48">
        <f>$G461/5280*VLOOKUP($AC461,'Cost and Score'!$B$27:$O$40,6,0)</f>
        <v>0.47632575757575757</v>
      </c>
      <c r="BL461" s="48">
        <f>$G461/5280*VLOOKUP($AC461,'Cost and Score'!$B$27:$O$40,7,0)</f>
        <v>0</v>
      </c>
      <c r="BM461" s="48">
        <f>$G461/5280*VLOOKUP($AC461,'Cost and Score'!$B$27:$O$40,8,0)</f>
        <v>0</v>
      </c>
      <c r="BN461" s="48">
        <f>$G461/5280*VLOOKUP($AC461,'Cost and Score'!$B$27:$O$40,9,0)</f>
        <v>0</v>
      </c>
      <c r="BO461" s="48">
        <f>$G461/5280*VLOOKUP($AC461,'Cost and Score'!$B$27:$O$40,10,0)</f>
        <v>0</v>
      </c>
      <c r="BP461" s="48">
        <f>$G461/5280*VLOOKUP($AC461,'Cost and Score'!$B$27:$O$40,11,0)</f>
        <v>0</v>
      </c>
      <c r="BQ461" s="48">
        <f>$G461/5280*VLOOKUP($AC461,'Cost and Score'!$B$27:$O$40,12,0)</f>
        <v>0</v>
      </c>
      <c r="BR461" s="48">
        <f>$G461/5280*VLOOKUP($AC461,'Cost and Score'!$B$27:$O$40,13,0)</f>
        <v>0</v>
      </c>
      <c r="BS461" s="48">
        <f>$G461/5280*VLOOKUP($AC461,'Cost and Score'!$B$27:$O$40,14,0)</f>
        <v>0</v>
      </c>
      <c r="BT461" s="220">
        <f t="shared" si="255"/>
        <v>0.95265151515151514</v>
      </c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N461" s="2"/>
      <c r="CO461" s="2"/>
      <c r="CP461" s="2"/>
      <c r="CQ461" s="2"/>
      <c r="CV461" s="2"/>
      <c r="CW461" s="2"/>
      <c r="CX461" s="2"/>
      <c r="CY461" s="2"/>
    </row>
    <row r="462" spans="1:103" s="112" customFormat="1" ht="14.45" hidden="1" customHeight="1" x14ac:dyDescent="0.25">
      <c r="A462" s="38" t="s">
        <v>1020</v>
      </c>
      <c r="B462" s="108" t="s">
        <v>1019</v>
      </c>
      <c r="C462" s="106" t="s">
        <v>1019</v>
      </c>
      <c r="D462" s="106"/>
      <c r="E462" s="106" t="s">
        <v>9</v>
      </c>
      <c r="F462" s="106" t="s">
        <v>35</v>
      </c>
      <c r="G462" s="109">
        <v>2628</v>
      </c>
      <c r="H462" s="109">
        <f t="shared" si="238"/>
        <v>20</v>
      </c>
      <c r="I462" s="106" t="s">
        <v>8</v>
      </c>
      <c r="J462" s="106" t="s">
        <v>62</v>
      </c>
      <c r="K462" s="106">
        <f t="shared" si="256"/>
        <v>0</v>
      </c>
      <c r="L462" s="110">
        <v>7</v>
      </c>
      <c r="M462" s="110">
        <v>8</v>
      </c>
      <c r="N462" s="110">
        <v>7</v>
      </c>
      <c r="O462" s="110">
        <v>7</v>
      </c>
      <c r="P462" s="110">
        <v>6</v>
      </c>
      <c r="Q462" s="110">
        <v>6</v>
      </c>
      <c r="R462" s="110">
        <v>7</v>
      </c>
      <c r="S462" s="110">
        <v>7</v>
      </c>
      <c r="T462" s="110">
        <v>7</v>
      </c>
      <c r="U462" s="110">
        <v>7</v>
      </c>
      <c r="V462" s="110"/>
      <c r="W462" s="110">
        <v>2021</v>
      </c>
      <c r="X462" s="110" t="s">
        <v>2612</v>
      </c>
      <c r="Y462" s="106">
        <v>2566</v>
      </c>
      <c r="Z462" s="106">
        <f t="shared" si="239"/>
        <v>1.5</v>
      </c>
      <c r="AA462" s="106" t="s">
        <v>73</v>
      </c>
      <c r="AB462" s="111">
        <f t="shared" si="240"/>
        <v>5.5</v>
      </c>
      <c r="AC462" s="106" t="s">
        <v>2371</v>
      </c>
      <c r="AD462" s="107">
        <f t="shared" si="252"/>
        <v>39818.181818181816</v>
      </c>
      <c r="AE462" s="140">
        <v>1</v>
      </c>
      <c r="AF462" s="113">
        <f t="shared" si="237"/>
        <v>39818.181818181816</v>
      </c>
      <c r="AG462" s="106">
        <v>2024</v>
      </c>
      <c r="AH462" s="26" t="str">
        <f t="shared" si="257"/>
        <v/>
      </c>
      <c r="AI462" s="26" t="str">
        <f t="shared" ref="AI462:AI467" si="259">IF($AG462=AI$1,VLOOKUP($AC462,RSL,3,FALSE),"")</f>
        <v/>
      </c>
      <c r="AJ462" s="26" t="str">
        <f t="shared" si="258"/>
        <v>Microsurface double</v>
      </c>
      <c r="AK462" s="26" t="str">
        <f t="shared" si="258"/>
        <v/>
      </c>
      <c r="AL462" s="26" t="str">
        <f t="shared" si="258"/>
        <v/>
      </c>
      <c r="AM462" s="26" t="str">
        <f t="shared" si="258"/>
        <v/>
      </c>
      <c r="AN462" s="26" t="str">
        <f t="shared" si="247"/>
        <v>Microsurface double</v>
      </c>
      <c r="AO462" s="26" t="str">
        <f t="shared" si="248"/>
        <v/>
      </c>
      <c r="AP462" s="26" t="str">
        <f t="shared" si="228"/>
        <v/>
      </c>
      <c r="AQ462" s="68">
        <f t="shared" si="242"/>
        <v>10</v>
      </c>
      <c r="AR462" s="68">
        <f t="shared" si="243"/>
        <v>10</v>
      </c>
      <c r="AS462" s="68">
        <f t="shared" si="231"/>
        <v>1.05</v>
      </c>
      <c r="AT462" s="68">
        <f t="shared" si="232"/>
        <v>1</v>
      </c>
      <c r="AU462" s="68">
        <f t="shared" si="233"/>
        <v>1.05</v>
      </c>
      <c r="AV462" s="68">
        <f t="shared" si="234"/>
        <v>1.05</v>
      </c>
      <c r="AW462" s="68">
        <f t="shared" si="235"/>
        <v>1.1000000000000001</v>
      </c>
      <c r="AX462" s="68">
        <f t="shared" ca="1" si="236"/>
        <v>0</v>
      </c>
      <c r="AY462" s="106">
        <v>2019</v>
      </c>
      <c r="AZ462" s="106" t="s">
        <v>2073</v>
      </c>
      <c r="BA462" s="106" t="str">
        <f t="shared" si="254"/>
        <v/>
      </c>
      <c r="BB462" s="177"/>
      <c r="BC462" s="177">
        <v>3</v>
      </c>
      <c r="BD462" s="177"/>
      <c r="BE462" s="177"/>
      <c r="BF462" s="177"/>
      <c r="BG462" s="177"/>
      <c r="BH462" s="177"/>
      <c r="BI462" s="33" t="s">
        <v>2623</v>
      </c>
      <c r="BJ462" s="2"/>
      <c r="BK462" s="48">
        <f>$G462/5280*VLOOKUP($AC462,'Cost and Score'!$B$27:$O$40,6,0)</f>
        <v>0.24886363636363637</v>
      </c>
      <c r="BL462" s="48">
        <f>$G462/5280*VLOOKUP($AC462,'Cost and Score'!$B$27:$O$40,7,0)</f>
        <v>0</v>
      </c>
      <c r="BM462" s="48">
        <f>$G462/5280*VLOOKUP($AC462,'Cost and Score'!$B$27:$O$40,8,0)</f>
        <v>0</v>
      </c>
      <c r="BN462" s="48">
        <f>$G462/5280*VLOOKUP($AC462,'Cost and Score'!$B$27:$O$40,9,0)</f>
        <v>0</v>
      </c>
      <c r="BO462" s="48">
        <f>$G462/5280*VLOOKUP($AC462,'Cost and Score'!$B$27:$O$40,10,0)</f>
        <v>0</v>
      </c>
      <c r="BP462" s="48">
        <f>$G462/5280*VLOOKUP($AC462,'Cost and Score'!$B$27:$O$40,11,0)</f>
        <v>0</v>
      </c>
      <c r="BQ462" s="48">
        <f>$G462/5280*VLOOKUP($AC462,'Cost and Score'!$B$27:$O$40,12,0)</f>
        <v>0</v>
      </c>
      <c r="BR462" s="48">
        <f>$G462/5280*VLOOKUP($AC462,'Cost and Score'!$B$27:$O$40,13,0)</f>
        <v>0</v>
      </c>
      <c r="BS462" s="48">
        <f>$G462/5280*VLOOKUP($AC462,'Cost and Score'!$B$27:$O$40,14,0)</f>
        <v>0</v>
      </c>
      <c r="BT462" s="220">
        <f t="shared" si="255"/>
        <v>0.49772727272727274</v>
      </c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W462" s="2"/>
      <c r="CX462" s="2"/>
      <c r="CY462" s="2"/>
    </row>
    <row r="463" spans="1:103" s="112" customFormat="1" ht="14.45" hidden="1" customHeight="1" x14ac:dyDescent="0.25">
      <c r="A463" s="38" t="s">
        <v>1022</v>
      </c>
      <c r="B463" s="108" t="s">
        <v>1021</v>
      </c>
      <c r="C463" s="106" t="s">
        <v>1021</v>
      </c>
      <c r="D463" s="106"/>
      <c r="E463" s="106" t="s">
        <v>35</v>
      </c>
      <c r="F463" s="106" t="s">
        <v>213</v>
      </c>
      <c r="G463" s="109">
        <v>2692</v>
      </c>
      <c r="H463" s="109">
        <f t="shared" si="238"/>
        <v>20</v>
      </c>
      <c r="I463" s="106" t="s">
        <v>8</v>
      </c>
      <c r="J463" s="106" t="s">
        <v>62</v>
      </c>
      <c r="K463" s="106">
        <f t="shared" si="256"/>
        <v>0</v>
      </c>
      <c r="L463" s="110">
        <v>7</v>
      </c>
      <c r="M463" s="110">
        <v>8</v>
      </c>
      <c r="N463" s="110">
        <v>8</v>
      </c>
      <c r="O463" s="110">
        <v>8</v>
      </c>
      <c r="P463" s="110">
        <v>7</v>
      </c>
      <c r="Q463" s="110">
        <v>7</v>
      </c>
      <c r="R463" s="110">
        <v>7</v>
      </c>
      <c r="S463" s="110">
        <v>7</v>
      </c>
      <c r="T463" s="110">
        <v>7</v>
      </c>
      <c r="U463" s="110">
        <v>7</v>
      </c>
      <c r="V463" s="110"/>
      <c r="W463" s="110">
        <v>2021</v>
      </c>
      <c r="X463" s="110" t="s">
        <v>2612</v>
      </c>
      <c r="Y463" s="106">
        <v>2566</v>
      </c>
      <c r="Z463" s="106">
        <f t="shared" si="239"/>
        <v>1.5</v>
      </c>
      <c r="AA463" s="106" t="s">
        <v>73</v>
      </c>
      <c r="AB463" s="111">
        <f t="shared" si="240"/>
        <v>4.5</v>
      </c>
      <c r="AC463" s="106" t="s">
        <v>2371</v>
      </c>
      <c r="AD463" s="107">
        <f t="shared" si="252"/>
        <v>40787.878787878784</v>
      </c>
      <c r="AE463" s="140">
        <v>1</v>
      </c>
      <c r="AF463" s="113">
        <f t="shared" si="237"/>
        <v>40787.878787878784</v>
      </c>
      <c r="AG463" s="106">
        <v>2024</v>
      </c>
      <c r="AH463" s="26" t="str">
        <f t="shared" si="257"/>
        <v/>
      </c>
      <c r="AI463" s="26" t="str">
        <f t="shared" si="259"/>
        <v/>
      </c>
      <c r="AJ463" s="26" t="str">
        <f t="shared" si="258"/>
        <v>Microsurface double</v>
      </c>
      <c r="AK463" s="26" t="str">
        <f t="shared" si="258"/>
        <v/>
      </c>
      <c r="AL463" s="26" t="str">
        <f t="shared" si="258"/>
        <v/>
      </c>
      <c r="AM463" s="26" t="str">
        <f t="shared" si="258"/>
        <v/>
      </c>
      <c r="AN463" s="26" t="str">
        <f t="shared" si="247"/>
        <v>Microsurface double</v>
      </c>
      <c r="AO463" s="26" t="str">
        <f t="shared" si="248"/>
        <v/>
      </c>
      <c r="AP463" s="26" t="str">
        <f t="shared" si="228"/>
        <v/>
      </c>
      <c r="AQ463" s="68">
        <f t="shared" si="242"/>
        <v>12</v>
      </c>
      <c r="AR463" s="68">
        <f t="shared" si="243"/>
        <v>10</v>
      </c>
      <c r="AS463" s="68">
        <f t="shared" si="231"/>
        <v>1.05</v>
      </c>
      <c r="AT463" s="68">
        <f t="shared" si="232"/>
        <v>1</v>
      </c>
      <c r="AU463" s="68">
        <f t="shared" si="233"/>
        <v>1</v>
      </c>
      <c r="AV463" s="68">
        <f t="shared" si="234"/>
        <v>1</v>
      </c>
      <c r="AW463" s="68">
        <f t="shared" si="235"/>
        <v>1.05</v>
      </c>
      <c r="AX463" s="68">
        <f t="shared" ca="1" si="236"/>
        <v>0</v>
      </c>
      <c r="AY463" s="106">
        <v>2019</v>
      </c>
      <c r="AZ463" s="106" t="s">
        <v>2073</v>
      </c>
      <c r="BA463" s="106" t="str">
        <f t="shared" si="254"/>
        <v/>
      </c>
      <c r="BB463" s="177"/>
      <c r="BC463" s="177">
        <v>3</v>
      </c>
      <c r="BD463" s="177"/>
      <c r="BE463" s="177"/>
      <c r="BF463" s="177"/>
      <c r="BG463" s="177"/>
      <c r="BH463" s="177"/>
      <c r="BI463" s="33" t="s">
        <v>2623</v>
      </c>
      <c r="BJ463" s="2"/>
      <c r="BK463" s="48">
        <f>$G463/5280*VLOOKUP($AC463,'Cost and Score'!$B$27:$O$40,6,0)</f>
        <v>0.25492424242424244</v>
      </c>
      <c r="BL463" s="48">
        <f>$G463/5280*VLOOKUP($AC463,'Cost and Score'!$B$27:$O$40,7,0)</f>
        <v>0</v>
      </c>
      <c r="BM463" s="48">
        <f>$G463/5280*VLOOKUP($AC463,'Cost and Score'!$B$27:$O$40,8,0)</f>
        <v>0</v>
      </c>
      <c r="BN463" s="48">
        <f>$G463/5280*VLOOKUP($AC463,'Cost and Score'!$B$27:$O$40,9,0)</f>
        <v>0</v>
      </c>
      <c r="BO463" s="48">
        <f>$G463/5280*VLOOKUP($AC463,'Cost and Score'!$B$27:$O$40,10,0)</f>
        <v>0</v>
      </c>
      <c r="BP463" s="48">
        <f>$G463/5280*VLOOKUP($AC463,'Cost and Score'!$B$27:$O$40,11,0)</f>
        <v>0</v>
      </c>
      <c r="BQ463" s="48">
        <f>$G463/5280*VLOOKUP($AC463,'Cost and Score'!$B$27:$O$40,12,0)</f>
        <v>0</v>
      </c>
      <c r="BR463" s="48">
        <f>$G463/5280*VLOOKUP($AC463,'Cost and Score'!$B$27:$O$40,13,0)</f>
        <v>0</v>
      </c>
      <c r="BS463" s="48">
        <f>$G463/5280*VLOOKUP($AC463,'Cost and Score'!$B$27:$O$40,14,0)</f>
        <v>0</v>
      </c>
      <c r="BT463" s="220">
        <f t="shared" si="255"/>
        <v>0.50984848484848488</v>
      </c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W463" s="2"/>
      <c r="CX463" s="2"/>
      <c r="CY463" s="2"/>
    </row>
    <row r="464" spans="1:103" s="112" customFormat="1" ht="14.45" hidden="1" customHeight="1" x14ac:dyDescent="0.25">
      <c r="A464" s="38" t="s">
        <v>1024</v>
      </c>
      <c r="B464" s="108" t="s">
        <v>1023</v>
      </c>
      <c r="C464" s="106" t="s">
        <v>1023</v>
      </c>
      <c r="D464" s="106"/>
      <c r="E464" s="106" t="s">
        <v>39</v>
      </c>
      <c r="F464" s="106" t="s">
        <v>38</v>
      </c>
      <c r="G464" s="109">
        <v>4332</v>
      </c>
      <c r="H464" s="109">
        <f t="shared" si="238"/>
        <v>20</v>
      </c>
      <c r="I464" s="106" t="s">
        <v>13</v>
      </c>
      <c r="J464" s="106" t="s">
        <v>62</v>
      </c>
      <c r="K464" s="106">
        <f t="shared" si="256"/>
        <v>0</v>
      </c>
      <c r="L464" s="110">
        <v>5</v>
      </c>
      <c r="M464" s="110">
        <v>8</v>
      </c>
      <c r="N464" s="110">
        <v>8</v>
      </c>
      <c r="O464" s="110">
        <v>8</v>
      </c>
      <c r="P464" s="110">
        <v>8</v>
      </c>
      <c r="Q464" s="110">
        <v>8</v>
      </c>
      <c r="R464" s="110">
        <v>8</v>
      </c>
      <c r="S464" s="110">
        <v>8</v>
      </c>
      <c r="T464" s="110">
        <v>7</v>
      </c>
      <c r="U464" s="110">
        <v>7</v>
      </c>
      <c r="V464" s="110">
        <v>2024</v>
      </c>
      <c r="W464" s="110">
        <v>2018</v>
      </c>
      <c r="X464" s="110" t="s">
        <v>2612</v>
      </c>
      <c r="Y464" s="106">
        <v>271</v>
      </c>
      <c r="Z464" s="106">
        <f t="shared" si="239"/>
        <v>0</v>
      </c>
      <c r="AA464" s="106" t="s">
        <v>73</v>
      </c>
      <c r="AB464" s="111">
        <f t="shared" si="240"/>
        <v>2</v>
      </c>
      <c r="AC464" s="26" t="s">
        <v>751</v>
      </c>
      <c r="AD464" s="107">
        <f t="shared" si="252"/>
        <v>90250</v>
      </c>
      <c r="AE464" s="140">
        <v>1</v>
      </c>
      <c r="AF464" s="113">
        <f t="shared" si="237"/>
        <v>90250</v>
      </c>
      <c r="AG464" s="26">
        <v>2024</v>
      </c>
      <c r="AH464" s="26" t="str">
        <f t="shared" si="257"/>
        <v/>
      </c>
      <c r="AI464" s="26" t="str">
        <f t="shared" si="259"/>
        <v/>
      </c>
      <c r="AJ464" s="26" t="str">
        <f t="shared" si="258"/>
        <v>Overlay - 2"</v>
      </c>
      <c r="AK464" s="26" t="str">
        <f t="shared" si="258"/>
        <v/>
      </c>
      <c r="AL464" s="26" t="str">
        <f t="shared" si="258"/>
        <v/>
      </c>
      <c r="AM464" s="26" t="str">
        <f t="shared" si="258"/>
        <v/>
      </c>
      <c r="AN464" s="26" t="str">
        <f t="shared" si="247"/>
        <v>Overlay - 2"</v>
      </c>
      <c r="AO464" s="26" t="str">
        <f t="shared" ref="AO464:AO471" si="260">IF(AY464=AO$1,VLOOKUP(AZ464,RSL,3,FALSE),"")</f>
        <v/>
      </c>
      <c r="AP464" s="26" t="str">
        <f t="shared" ref="AP464:AP527" si="261">IF(AY464=AP$1,VLOOKUP(AZ464,RSL,3,FALSE),"")</f>
        <v/>
      </c>
      <c r="AQ464" s="68">
        <f t="shared" si="242"/>
        <v>12</v>
      </c>
      <c r="AR464" s="68">
        <f t="shared" si="243"/>
        <v>12</v>
      </c>
      <c r="AS464" s="68">
        <f t="shared" ref="AS464:AS527" si="262">IF(L464 &lt;&gt; "",VLOOKUP(L464,RSLloss,3,FALSE),0)</f>
        <v>1.25</v>
      </c>
      <c r="AT464" s="68">
        <f t="shared" ref="AT464:AT527" si="263">IF(M464 &lt;&gt; "",VLOOKUP(M464,RSLloss,3,FALSE),0)</f>
        <v>1</v>
      </c>
      <c r="AU464" s="68">
        <f t="shared" ref="AU464:AU527" si="264">IF(N464 &lt;&gt; "",VLOOKUP(N464,RSLloss,3,FALSE),0)</f>
        <v>1</v>
      </c>
      <c r="AV464" s="68">
        <f t="shared" ref="AV464:AV527" si="265">IF(O464 &lt;&gt; "",VLOOKUP(O464,RSLloss,3,FALSE),0)</f>
        <v>1</v>
      </c>
      <c r="AW464" s="68">
        <f t="shared" ref="AW464:AW527" si="266">IF(P464 &lt;&gt; "",VLOOKUP(P464,RSLloss,3,FALSE),0)</f>
        <v>1</v>
      </c>
      <c r="AX464" s="68">
        <f t="shared" ref="AX464:AX527" ca="1" si="267">AU464*(AG464-YEAR(TODAY()))</f>
        <v>0</v>
      </c>
      <c r="AY464" s="106">
        <v>2017</v>
      </c>
      <c r="AZ464" s="106" t="s">
        <v>2072</v>
      </c>
      <c r="BA464" s="106" t="str">
        <f t="shared" si="254"/>
        <v/>
      </c>
      <c r="BB464" s="177"/>
      <c r="BC464" s="177">
        <v>1</v>
      </c>
      <c r="BD464" s="177"/>
      <c r="BE464" s="177"/>
      <c r="BF464" s="177"/>
      <c r="BG464" s="177"/>
      <c r="BH464" s="177"/>
      <c r="BI464" s="33"/>
      <c r="BJ464" s="2"/>
      <c r="BK464" s="48">
        <f>$G464/5280*VLOOKUP($AC464,'Cost and Score'!$B$27:$O$40,6,0)</f>
        <v>1.8460227272727272</v>
      </c>
      <c r="BL464" s="48">
        <f>$G464/5280*VLOOKUP($AC464,'Cost and Score'!$B$27:$O$40,7,0)</f>
        <v>172.29545454545453</v>
      </c>
      <c r="BM464" s="48">
        <f>$G464/5280*VLOOKUP($AC464,'Cost and Score'!$B$27:$O$40,8,0)</f>
        <v>287.15909090909088</v>
      </c>
      <c r="BN464" s="48">
        <f>$G464/5280*VLOOKUP($AC464,'Cost and Score'!$B$27:$O$40,9,0)</f>
        <v>0</v>
      </c>
      <c r="BO464" s="48">
        <f>$G464/5280*VLOOKUP($AC464,'Cost and Score'!$B$27:$O$40,10,0)</f>
        <v>0</v>
      </c>
      <c r="BP464" s="48">
        <f>$G464/5280*VLOOKUP($AC464,'Cost and Score'!$B$27:$O$40,11,0)</f>
        <v>164.09090909090909</v>
      </c>
      <c r="BQ464" s="48">
        <f>$G464/5280*VLOOKUP($AC464,'Cost and Score'!$B$27:$O$40,12,0)</f>
        <v>1394.7727272727273</v>
      </c>
      <c r="BR464" s="48">
        <f>$G464/5280*VLOOKUP($AC464,'Cost and Score'!$B$27:$O$40,13,0)</f>
        <v>0</v>
      </c>
      <c r="BS464" s="48">
        <f>$G464/5280*VLOOKUP($AC464,'Cost and Score'!$B$27:$O$40,14,0)</f>
        <v>0</v>
      </c>
      <c r="BT464" s="220">
        <f t="shared" si="255"/>
        <v>0.82045454545454544</v>
      </c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W464" s="2"/>
      <c r="CX464" s="2"/>
      <c r="CY464" s="2"/>
    </row>
    <row r="465" spans="1:103" s="112" customFormat="1" hidden="1" x14ac:dyDescent="0.25">
      <c r="A465" s="38" t="s">
        <v>1026</v>
      </c>
      <c r="B465" s="108" t="s">
        <v>1025</v>
      </c>
      <c r="C465" s="106" t="s">
        <v>1025</v>
      </c>
      <c r="D465" s="106"/>
      <c r="E465" s="106" t="s">
        <v>240</v>
      </c>
      <c r="F465" s="106" t="s">
        <v>100</v>
      </c>
      <c r="G465" s="109">
        <v>5017</v>
      </c>
      <c r="H465" s="109">
        <f t="shared" si="238"/>
        <v>20</v>
      </c>
      <c r="I465" s="106" t="s">
        <v>8</v>
      </c>
      <c r="J465" s="106" t="s">
        <v>172</v>
      </c>
      <c r="K465" s="106">
        <f t="shared" si="256"/>
        <v>0</v>
      </c>
      <c r="L465" s="110">
        <v>7</v>
      </c>
      <c r="M465" s="110">
        <v>7</v>
      </c>
      <c r="N465" s="110">
        <v>7</v>
      </c>
      <c r="O465" s="110">
        <v>7</v>
      </c>
      <c r="P465" s="110">
        <v>7</v>
      </c>
      <c r="Q465" s="110">
        <v>7</v>
      </c>
      <c r="R465" s="110">
        <v>7</v>
      </c>
      <c r="S465" s="110">
        <v>7</v>
      </c>
      <c r="T465" s="110">
        <v>7</v>
      </c>
      <c r="U465" s="110">
        <v>7</v>
      </c>
      <c r="V465" s="110">
        <v>2024</v>
      </c>
      <c r="W465" s="110"/>
      <c r="X465" s="110" t="s">
        <v>2612</v>
      </c>
      <c r="Y465" s="106">
        <v>2222</v>
      </c>
      <c r="Z465" s="106">
        <f t="shared" si="239"/>
        <v>1</v>
      </c>
      <c r="AA465" s="106" t="s">
        <v>73</v>
      </c>
      <c r="AB465" s="111">
        <f t="shared" si="240"/>
        <v>4</v>
      </c>
      <c r="AC465" s="106" t="s">
        <v>751</v>
      </c>
      <c r="AD465" s="107">
        <f t="shared" si="252"/>
        <v>104520.83333333333</v>
      </c>
      <c r="AE465" s="198">
        <v>1</v>
      </c>
      <c r="AF465" s="113">
        <f t="shared" si="237"/>
        <v>104520.83333333333</v>
      </c>
      <c r="AG465" s="106">
        <v>2023</v>
      </c>
      <c r="AH465" s="26" t="str">
        <f t="shared" si="257"/>
        <v/>
      </c>
      <c r="AI465" s="26" t="str">
        <f t="shared" si="259"/>
        <v>Overlay - 2"</v>
      </c>
      <c r="AJ465" s="26" t="str">
        <f t="shared" si="258"/>
        <v/>
      </c>
      <c r="AK465" s="26" t="str">
        <f t="shared" si="258"/>
        <v/>
      </c>
      <c r="AL465" s="26" t="str">
        <f t="shared" si="258"/>
        <v/>
      </c>
      <c r="AM465" s="26" t="str">
        <f t="shared" si="258"/>
        <v/>
      </c>
      <c r="AN465" s="26" t="str">
        <f t="shared" si="247"/>
        <v>Overlay - 2"</v>
      </c>
      <c r="AO465" s="26" t="str">
        <f t="shared" si="260"/>
        <v/>
      </c>
      <c r="AP465" s="26" t="str">
        <f t="shared" si="261"/>
        <v/>
      </c>
      <c r="AQ465" s="68">
        <f t="shared" si="242"/>
        <v>10</v>
      </c>
      <c r="AR465" s="68">
        <f t="shared" si="243"/>
        <v>12</v>
      </c>
      <c r="AS465" s="68">
        <f t="shared" si="262"/>
        <v>1.05</v>
      </c>
      <c r="AT465" s="68">
        <f t="shared" si="263"/>
        <v>1.05</v>
      </c>
      <c r="AU465" s="68">
        <f t="shared" si="264"/>
        <v>1.05</v>
      </c>
      <c r="AV465" s="68">
        <f t="shared" si="265"/>
        <v>1.05</v>
      </c>
      <c r="AW465" s="68">
        <f t="shared" si="266"/>
        <v>1.05</v>
      </c>
      <c r="AX465" s="68">
        <f t="shared" ca="1" si="267"/>
        <v>-1.05</v>
      </c>
      <c r="AY465" s="106">
        <v>2023</v>
      </c>
      <c r="AZ465" s="106" t="s">
        <v>751</v>
      </c>
      <c r="BA465" s="106" t="str">
        <f t="shared" si="254"/>
        <v/>
      </c>
      <c r="BB465" s="177"/>
      <c r="BC465" s="177">
        <v>9</v>
      </c>
      <c r="BD465" s="177"/>
      <c r="BE465" s="177"/>
      <c r="BF465" s="177"/>
      <c r="BG465" s="177"/>
      <c r="BH465" s="177"/>
      <c r="BI465" s="33"/>
      <c r="BJ465" s="2"/>
      <c r="BK465" s="48">
        <f>$G465/5280*VLOOKUP($AC465,'Cost and Score'!$B$27:$O$40,6,0)</f>
        <v>2.1379261363636362</v>
      </c>
      <c r="BL465" s="48">
        <f>$G465/5280*VLOOKUP($AC465,'Cost and Score'!$B$27:$O$40,7,0)</f>
        <v>199.53977272727272</v>
      </c>
      <c r="BM465" s="48">
        <f>$G465/5280*VLOOKUP($AC465,'Cost and Score'!$B$27:$O$40,8,0)</f>
        <v>332.56628787878788</v>
      </c>
      <c r="BN465" s="48">
        <f>$G465/5280*VLOOKUP($AC465,'Cost and Score'!$B$27:$O$40,9,0)</f>
        <v>0</v>
      </c>
      <c r="BO465" s="48">
        <f>$G465/5280*VLOOKUP($AC465,'Cost and Score'!$B$27:$O$40,10,0)</f>
        <v>0</v>
      </c>
      <c r="BP465" s="48">
        <f>$G465/5280*VLOOKUP($AC465,'Cost and Score'!$B$27:$O$40,11,0)</f>
        <v>190.03787878787878</v>
      </c>
      <c r="BQ465" s="48">
        <f>$G465/5280*VLOOKUP($AC465,'Cost and Score'!$B$27:$O$40,12,0)</f>
        <v>1615.3219696969697</v>
      </c>
      <c r="BR465" s="48">
        <f>$G465/5280*VLOOKUP($AC465,'Cost and Score'!$B$27:$O$40,13,0)</f>
        <v>0</v>
      </c>
      <c r="BS465" s="48">
        <f>$G465/5280*VLOOKUP($AC465,'Cost and Score'!$B$27:$O$40,14,0)</f>
        <v>0</v>
      </c>
      <c r="BT465" s="220">
        <f t="shared" si="255"/>
        <v>0.95018939393939394</v>
      </c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R465" s="114"/>
      <c r="CW465" s="2"/>
      <c r="CX465" s="2"/>
      <c r="CY465" s="2"/>
    </row>
    <row r="466" spans="1:103" s="114" customFormat="1" hidden="1" x14ac:dyDescent="0.25">
      <c r="A466" s="36" t="s">
        <v>1028</v>
      </c>
      <c r="B466" s="34" t="s">
        <v>1027</v>
      </c>
      <c r="C466" s="26" t="s">
        <v>1027</v>
      </c>
      <c r="D466" s="82"/>
      <c r="E466" s="82" t="s">
        <v>213</v>
      </c>
      <c r="F466" s="82" t="s">
        <v>39</v>
      </c>
      <c r="G466" s="29">
        <v>5332</v>
      </c>
      <c r="H466" s="29">
        <f t="shared" si="238"/>
        <v>20</v>
      </c>
      <c r="I466" s="26" t="s">
        <v>8</v>
      </c>
      <c r="J466" s="26" t="s">
        <v>62</v>
      </c>
      <c r="K466" s="26">
        <f t="shared" si="256"/>
        <v>0</v>
      </c>
      <c r="L466" s="42">
        <v>8</v>
      </c>
      <c r="M466" s="42">
        <v>8</v>
      </c>
      <c r="N466" s="42">
        <v>8</v>
      </c>
      <c r="O466" s="83">
        <v>8</v>
      </c>
      <c r="P466" s="83">
        <v>7</v>
      </c>
      <c r="Q466" s="83">
        <v>7</v>
      </c>
      <c r="R466" s="83">
        <v>7</v>
      </c>
      <c r="S466" s="83">
        <v>7</v>
      </c>
      <c r="T466" s="83">
        <v>7</v>
      </c>
      <c r="U466" s="83">
        <v>7</v>
      </c>
      <c r="V466" s="42"/>
      <c r="W466" s="42">
        <v>2021</v>
      </c>
      <c r="X466" s="42" t="s">
        <v>2612</v>
      </c>
      <c r="Y466" s="26">
        <v>2242</v>
      </c>
      <c r="Z466" s="26">
        <f t="shared" si="239"/>
        <v>1</v>
      </c>
      <c r="AA466" s="82" t="s">
        <v>73</v>
      </c>
      <c r="AB466" s="111">
        <f t="shared" si="240"/>
        <v>4</v>
      </c>
      <c r="AC466" s="26" t="s">
        <v>2371</v>
      </c>
      <c r="AD466" s="84">
        <f t="shared" si="252"/>
        <v>80787.878787878784</v>
      </c>
      <c r="AE466" s="140">
        <v>1</v>
      </c>
      <c r="AF466" s="113">
        <f t="shared" si="237"/>
        <v>80787.878787878784</v>
      </c>
      <c r="AG466" s="106">
        <v>2024</v>
      </c>
      <c r="AH466" s="26" t="str">
        <f t="shared" si="257"/>
        <v/>
      </c>
      <c r="AI466" s="26" t="str">
        <f t="shared" si="259"/>
        <v/>
      </c>
      <c r="AJ466" s="26" t="str">
        <f t="shared" si="258"/>
        <v>Microsurface double</v>
      </c>
      <c r="AK466" s="26" t="str">
        <f t="shared" si="258"/>
        <v/>
      </c>
      <c r="AL466" s="26" t="str">
        <f t="shared" si="258"/>
        <v/>
      </c>
      <c r="AM466" s="26" t="str">
        <f t="shared" si="258"/>
        <v/>
      </c>
      <c r="AN466" s="26" t="str">
        <f t="shared" si="247"/>
        <v>Microsurface double</v>
      </c>
      <c r="AO466" s="26" t="str">
        <f t="shared" si="260"/>
        <v/>
      </c>
      <c r="AP466" s="26" t="str">
        <f t="shared" si="261"/>
        <v/>
      </c>
      <c r="AQ466" s="68">
        <f t="shared" si="242"/>
        <v>12</v>
      </c>
      <c r="AR466" s="68">
        <f t="shared" si="243"/>
        <v>10</v>
      </c>
      <c r="AS466" s="68">
        <f t="shared" si="262"/>
        <v>1</v>
      </c>
      <c r="AT466" s="68">
        <f t="shared" si="263"/>
        <v>1</v>
      </c>
      <c r="AU466" s="68">
        <f t="shared" si="264"/>
        <v>1</v>
      </c>
      <c r="AV466" s="68">
        <f t="shared" si="265"/>
        <v>1</v>
      </c>
      <c r="AW466" s="68">
        <f t="shared" si="266"/>
        <v>1.05</v>
      </c>
      <c r="AX466" s="68">
        <f t="shared" ca="1" si="267"/>
        <v>0</v>
      </c>
      <c r="AY466" s="68">
        <v>2019</v>
      </c>
      <c r="AZ466" s="68" t="s">
        <v>2073</v>
      </c>
      <c r="BA466" s="106" t="str">
        <f t="shared" si="254"/>
        <v/>
      </c>
      <c r="BB466" s="178"/>
      <c r="BC466" s="178">
        <v>3</v>
      </c>
      <c r="BD466" s="178"/>
      <c r="BE466" s="178"/>
      <c r="BF466" s="178"/>
      <c r="BG466" s="178"/>
      <c r="BH466" s="178"/>
      <c r="BI466" s="33" t="s">
        <v>2623</v>
      </c>
      <c r="BJ466" s="2"/>
      <c r="BK466" s="48">
        <f>$G466/5280*VLOOKUP($AC466,'Cost and Score'!$B$27:$O$40,6,0)</f>
        <v>0.50492424242424239</v>
      </c>
      <c r="BL466" s="48">
        <f>$G466/5280*VLOOKUP($AC466,'Cost and Score'!$B$27:$O$40,7,0)</f>
        <v>0</v>
      </c>
      <c r="BM466" s="48">
        <f>$G466/5280*VLOOKUP($AC466,'Cost and Score'!$B$27:$O$40,8,0)</f>
        <v>0</v>
      </c>
      <c r="BN466" s="48">
        <f>$G466/5280*VLOOKUP($AC466,'Cost and Score'!$B$27:$O$40,9,0)</f>
        <v>0</v>
      </c>
      <c r="BO466" s="48">
        <f>$G466/5280*VLOOKUP($AC466,'Cost and Score'!$B$27:$O$40,10,0)</f>
        <v>0</v>
      </c>
      <c r="BP466" s="48">
        <f>$G466/5280*VLOOKUP($AC466,'Cost and Score'!$B$27:$O$40,11,0)</f>
        <v>0</v>
      </c>
      <c r="BQ466" s="48">
        <f>$G466/5280*VLOOKUP($AC466,'Cost and Score'!$B$27:$O$40,12,0)</f>
        <v>0</v>
      </c>
      <c r="BR466" s="48">
        <f>$G466/5280*VLOOKUP($AC466,'Cost and Score'!$B$27:$O$40,13,0)</f>
        <v>0</v>
      </c>
      <c r="BS466" s="48">
        <f>$G466/5280*VLOOKUP($AC466,'Cost and Score'!$B$27:$O$40,14,0)</f>
        <v>0</v>
      </c>
      <c r="BT466" s="220">
        <f t="shared" si="255"/>
        <v>1.0098484848484848</v>
      </c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112"/>
      <c r="CW466" s="2"/>
      <c r="CX466" s="2"/>
      <c r="CY466" s="2"/>
    </row>
    <row r="467" spans="1:103" s="2" customFormat="1" ht="14.45" hidden="1" customHeight="1" x14ac:dyDescent="0.25">
      <c r="A467" s="36" t="s">
        <v>1030</v>
      </c>
      <c r="B467" s="34" t="s">
        <v>1029</v>
      </c>
      <c r="C467" s="26" t="s">
        <v>1029</v>
      </c>
      <c r="D467" s="26"/>
      <c r="E467" s="26" t="s">
        <v>307</v>
      </c>
      <c r="F467" s="26" t="s">
        <v>240</v>
      </c>
      <c r="G467" s="29">
        <v>988</v>
      </c>
      <c r="H467" s="29">
        <f t="shared" si="238"/>
        <v>20</v>
      </c>
      <c r="I467" s="26" t="s">
        <v>8</v>
      </c>
      <c r="J467" s="26" t="s">
        <v>26</v>
      </c>
      <c r="K467" s="26">
        <f t="shared" si="256"/>
        <v>0</v>
      </c>
      <c r="L467" s="42">
        <v>6</v>
      </c>
      <c r="M467" s="42">
        <v>6</v>
      </c>
      <c r="N467" s="42">
        <v>6</v>
      </c>
      <c r="O467" s="42">
        <v>9</v>
      </c>
      <c r="P467" s="42">
        <v>9</v>
      </c>
      <c r="Q467" s="42">
        <v>8</v>
      </c>
      <c r="R467" s="42">
        <v>7</v>
      </c>
      <c r="S467" s="42">
        <v>7</v>
      </c>
      <c r="T467" s="42">
        <v>7</v>
      </c>
      <c r="U467" s="42">
        <v>7</v>
      </c>
      <c r="V467" s="42">
        <v>2024</v>
      </c>
      <c r="W467" s="42"/>
      <c r="X467" s="42" t="s">
        <v>2612</v>
      </c>
      <c r="Y467" s="26">
        <v>2222</v>
      </c>
      <c r="Z467" s="26">
        <f t="shared" si="239"/>
        <v>1</v>
      </c>
      <c r="AA467" s="26" t="s">
        <v>73</v>
      </c>
      <c r="AB467" s="111">
        <f t="shared" si="240"/>
        <v>2</v>
      </c>
      <c r="AC467" s="26" t="s">
        <v>751</v>
      </c>
      <c r="AD467" s="47">
        <f t="shared" si="252"/>
        <v>20583.333333333332</v>
      </c>
      <c r="AE467" s="140">
        <v>1</v>
      </c>
      <c r="AF467" s="113">
        <f t="shared" si="237"/>
        <v>20583.333333333332</v>
      </c>
      <c r="AG467" s="26">
        <v>2023</v>
      </c>
      <c r="AH467" s="26" t="str">
        <f t="shared" si="257"/>
        <v/>
      </c>
      <c r="AI467" s="26" t="str">
        <f t="shared" si="259"/>
        <v>Overlay - 2"</v>
      </c>
      <c r="AJ467" s="26" t="str">
        <f t="shared" si="258"/>
        <v/>
      </c>
      <c r="AK467" s="26" t="str">
        <f t="shared" si="258"/>
        <v/>
      </c>
      <c r="AL467" s="26" t="str">
        <f t="shared" si="258"/>
        <v/>
      </c>
      <c r="AM467" s="26" t="str">
        <f t="shared" si="258"/>
        <v/>
      </c>
      <c r="AN467" s="26" t="str">
        <f t="shared" si="247"/>
        <v>Overlay - 2"</v>
      </c>
      <c r="AO467" s="26" t="str">
        <f t="shared" si="260"/>
        <v/>
      </c>
      <c r="AP467" s="26" t="str">
        <f t="shared" si="261"/>
        <v/>
      </c>
      <c r="AQ467" s="68">
        <f t="shared" si="242"/>
        <v>14</v>
      </c>
      <c r="AR467" s="68">
        <f t="shared" si="243"/>
        <v>12</v>
      </c>
      <c r="AS467" s="68">
        <f t="shared" si="262"/>
        <v>1.1000000000000001</v>
      </c>
      <c r="AT467" s="68">
        <f t="shared" si="263"/>
        <v>1.1000000000000001</v>
      </c>
      <c r="AU467" s="68">
        <f t="shared" si="264"/>
        <v>1.1000000000000001</v>
      </c>
      <c r="AV467" s="68">
        <f t="shared" si="265"/>
        <v>1</v>
      </c>
      <c r="AW467" s="68">
        <f t="shared" si="266"/>
        <v>1</v>
      </c>
      <c r="AX467" s="68">
        <f t="shared" ca="1" si="267"/>
        <v>-1.1000000000000001</v>
      </c>
      <c r="AY467" s="68">
        <v>2023</v>
      </c>
      <c r="AZ467" s="68" t="s">
        <v>751</v>
      </c>
      <c r="BA467" s="106" t="str">
        <f t="shared" si="254"/>
        <v/>
      </c>
      <c r="BB467" s="178"/>
      <c r="BC467" s="178">
        <v>9</v>
      </c>
      <c r="BD467" s="178"/>
      <c r="BE467" s="178"/>
      <c r="BF467" s="178"/>
      <c r="BG467" s="178"/>
      <c r="BH467" s="178"/>
      <c r="BI467" s="33"/>
      <c r="BK467" s="48">
        <f>$G467/5280*VLOOKUP($AC467,'Cost and Score'!$B$27:$O$40,6,0)</f>
        <v>0.42102272727272727</v>
      </c>
      <c r="BL467" s="48">
        <f>$G467/5280*VLOOKUP($AC467,'Cost and Score'!$B$27:$O$40,7,0)</f>
        <v>39.295454545454547</v>
      </c>
      <c r="BM467" s="48">
        <f>$G467/5280*VLOOKUP($AC467,'Cost and Score'!$B$27:$O$40,8,0)</f>
        <v>65.492424242424249</v>
      </c>
      <c r="BN467" s="48">
        <f>$G467/5280*VLOOKUP($AC467,'Cost and Score'!$B$27:$O$40,9,0)</f>
        <v>0</v>
      </c>
      <c r="BO467" s="48">
        <f>$G467/5280*VLOOKUP($AC467,'Cost and Score'!$B$27:$O$40,10,0)</f>
        <v>0</v>
      </c>
      <c r="BP467" s="48">
        <f>$G467/5280*VLOOKUP($AC467,'Cost and Score'!$B$27:$O$40,11,0)</f>
        <v>37.424242424242429</v>
      </c>
      <c r="BQ467" s="48">
        <f>$G467/5280*VLOOKUP($AC467,'Cost and Score'!$B$27:$O$40,12,0)</f>
        <v>318.10606060606062</v>
      </c>
      <c r="BR467" s="48">
        <f>$G467/5280*VLOOKUP($AC467,'Cost and Score'!$B$27:$O$40,13,0)</f>
        <v>0</v>
      </c>
      <c r="BS467" s="48">
        <f>$G467/5280*VLOOKUP($AC467,'Cost and Score'!$B$27:$O$40,14,0)</f>
        <v>0</v>
      </c>
      <c r="BT467" s="220">
        <f t="shared" si="255"/>
        <v>0.18712121212121213</v>
      </c>
      <c r="CN467" s="114"/>
      <c r="CO467" s="114"/>
      <c r="CP467" s="114"/>
      <c r="CQ467" s="114"/>
      <c r="CV467" s="114"/>
    </row>
    <row r="468" spans="1:103" s="2" customFormat="1" ht="14.45" hidden="1" customHeight="1" x14ac:dyDescent="0.25">
      <c r="A468" s="38" t="s">
        <v>2151</v>
      </c>
      <c r="B468" s="108" t="s">
        <v>1031</v>
      </c>
      <c r="C468" s="120" t="s">
        <v>1031</v>
      </c>
      <c r="D468" s="120" t="s">
        <v>1031</v>
      </c>
      <c r="E468" s="120" t="s">
        <v>121</v>
      </c>
      <c r="F468" s="120" t="s">
        <v>124</v>
      </c>
      <c r="G468" s="120">
        <v>5280</v>
      </c>
      <c r="H468" s="109">
        <f t="shared" si="238"/>
        <v>20</v>
      </c>
      <c r="I468" s="106" t="s">
        <v>13</v>
      </c>
      <c r="J468" s="106" t="s">
        <v>11</v>
      </c>
      <c r="K468" s="106">
        <f t="shared" si="256"/>
        <v>0</v>
      </c>
      <c r="L468" s="110">
        <v>6</v>
      </c>
      <c r="M468" s="110">
        <v>6</v>
      </c>
      <c r="N468" s="110">
        <v>6</v>
      </c>
      <c r="O468" s="110">
        <v>6</v>
      </c>
      <c r="P468" s="110">
        <v>8</v>
      </c>
      <c r="Q468" s="110">
        <v>8</v>
      </c>
      <c r="R468" s="110">
        <v>8</v>
      </c>
      <c r="S468" s="110">
        <v>8</v>
      </c>
      <c r="T468" s="110">
        <v>7</v>
      </c>
      <c r="U468" s="110">
        <v>7</v>
      </c>
      <c r="V468" s="110">
        <v>2024</v>
      </c>
      <c r="W468" s="110">
        <v>2021</v>
      </c>
      <c r="X468" s="110" t="s">
        <v>2612</v>
      </c>
      <c r="Y468" s="106">
        <v>2102</v>
      </c>
      <c r="Z468" s="106">
        <f t="shared" si="239"/>
        <v>1</v>
      </c>
      <c r="AA468" s="106" t="s">
        <v>9</v>
      </c>
      <c r="AB468" s="111">
        <f t="shared" si="240"/>
        <v>3</v>
      </c>
      <c r="AC468" s="85" t="s">
        <v>2371</v>
      </c>
      <c r="AD468" s="84">
        <f t="shared" si="252"/>
        <v>80000</v>
      </c>
      <c r="AE468" s="198">
        <v>1</v>
      </c>
      <c r="AF468" s="113">
        <f t="shared" si="237"/>
        <v>80000</v>
      </c>
      <c r="AG468" s="106">
        <v>2024</v>
      </c>
      <c r="AH468" s="26" t="str">
        <f t="shared" si="257"/>
        <v/>
      </c>
      <c r="AI468" s="26" t="s">
        <v>2575</v>
      </c>
      <c r="AJ468" s="26" t="s">
        <v>2575</v>
      </c>
      <c r="AK468" s="26" t="str">
        <f t="shared" ref="AK468:AM487" si="268">IF($AG468=AK$1,VLOOKUP($AC468,RSL,3,FALSE),"")</f>
        <v/>
      </c>
      <c r="AL468" s="26" t="str">
        <f t="shared" si="268"/>
        <v/>
      </c>
      <c r="AM468" s="26" t="str">
        <f t="shared" si="268"/>
        <v/>
      </c>
      <c r="AN468" s="26" t="s">
        <v>2575</v>
      </c>
      <c r="AO468" s="26" t="str">
        <f t="shared" si="260"/>
        <v/>
      </c>
      <c r="AP468" s="26" t="str">
        <f t="shared" si="261"/>
        <v/>
      </c>
      <c r="AQ468" s="68">
        <f t="shared" si="242"/>
        <v>8</v>
      </c>
      <c r="AR468" s="68">
        <f t="shared" si="243"/>
        <v>10</v>
      </c>
      <c r="AS468" s="68">
        <f t="shared" si="262"/>
        <v>1.1000000000000001</v>
      </c>
      <c r="AT468" s="68">
        <f t="shared" si="263"/>
        <v>1.1000000000000001</v>
      </c>
      <c r="AU468" s="68">
        <f t="shared" si="264"/>
        <v>1.1000000000000001</v>
      </c>
      <c r="AV468" s="68">
        <f t="shared" si="265"/>
        <v>1.1000000000000001</v>
      </c>
      <c r="AW468" s="68">
        <f t="shared" si="266"/>
        <v>1</v>
      </c>
      <c r="AX468" s="68">
        <f t="shared" ca="1" si="267"/>
        <v>0</v>
      </c>
      <c r="AY468" s="106">
        <v>2017</v>
      </c>
      <c r="AZ468" s="106" t="s">
        <v>13</v>
      </c>
      <c r="BA468" s="106" t="str">
        <f t="shared" si="254"/>
        <v/>
      </c>
      <c r="BB468" s="177"/>
      <c r="BC468" s="177">
        <v>4</v>
      </c>
      <c r="BD468" s="177"/>
      <c r="BE468" s="177"/>
      <c r="BF468" s="177"/>
      <c r="BG468" s="177"/>
      <c r="BH468" s="177"/>
      <c r="BI468" s="33" t="s">
        <v>2629</v>
      </c>
      <c r="BK468" s="48">
        <f>$G468/5280*VLOOKUP($AC468,'Cost and Score'!$B$27:$O$40,6,0)</f>
        <v>0.5</v>
      </c>
      <c r="BL468" s="48">
        <f>$G468/5280*VLOOKUP($AC468,'Cost and Score'!$B$27:$O$40,7,0)</f>
        <v>0</v>
      </c>
      <c r="BM468" s="48">
        <f>$G468/5280*VLOOKUP($AC468,'Cost and Score'!$B$27:$O$40,8,0)</f>
        <v>0</v>
      </c>
      <c r="BN468" s="48">
        <f>$G468/5280*VLOOKUP($AC468,'Cost and Score'!$B$27:$O$40,9,0)</f>
        <v>0</v>
      </c>
      <c r="BO468" s="48">
        <f>$G468/5280*VLOOKUP($AC468,'Cost and Score'!$B$27:$O$40,10,0)</f>
        <v>0</v>
      </c>
      <c r="BP468" s="48">
        <f>$G468/5280*VLOOKUP($AC468,'Cost and Score'!$B$27:$O$40,11,0)</f>
        <v>0</v>
      </c>
      <c r="BQ468" s="48">
        <f>$G468/5280*VLOOKUP($AC468,'Cost and Score'!$B$27:$O$40,12,0)</f>
        <v>0</v>
      </c>
      <c r="BR468" s="48">
        <f>$G468/5280*VLOOKUP($AC468,'Cost and Score'!$B$27:$O$40,13,0)</f>
        <v>0</v>
      </c>
      <c r="BS468" s="48">
        <f>$G468/5280*VLOOKUP($AC468,'Cost and Score'!$B$27:$O$40,14,0)</f>
        <v>0</v>
      </c>
      <c r="BT468" s="220">
        <f t="shared" si="255"/>
        <v>1</v>
      </c>
      <c r="CF468" s="112"/>
      <c r="CR468" s="112"/>
    </row>
    <row r="469" spans="1:103" s="112" customFormat="1" ht="14.45" hidden="1" customHeight="1" x14ac:dyDescent="0.25">
      <c r="A469" s="36" t="s">
        <v>2152</v>
      </c>
      <c r="B469" s="108" t="s">
        <v>1032</v>
      </c>
      <c r="C469" s="106" t="s">
        <v>1032</v>
      </c>
      <c r="D469" s="106"/>
      <c r="E469" s="106" t="s">
        <v>418</v>
      </c>
      <c r="F469" s="106" t="s">
        <v>86</v>
      </c>
      <c r="G469" s="109">
        <v>3534</v>
      </c>
      <c r="H469" s="109">
        <f t="shared" si="238"/>
        <v>20</v>
      </c>
      <c r="I469" s="106" t="s">
        <v>8</v>
      </c>
      <c r="J469" s="106" t="s">
        <v>62</v>
      </c>
      <c r="K469" s="106">
        <f t="shared" si="256"/>
        <v>0</v>
      </c>
      <c r="L469" s="110">
        <v>8</v>
      </c>
      <c r="M469" s="110">
        <v>7</v>
      </c>
      <c r="N469" s="110">
        <v>7</v>
      </c>
      <c r="O469" s="110">
        <v>7</v>
      </c>
      <c r="P469" s="110">
        <v>7</v>
      </c>
      <c r="Q469" s="110">
        <v>7</v>
      </c>
      <c r="R469" s="110">
        <v>7</v>
      </c>
      <c r="S469" s="110">
        <v>7</v>
      </c>
      <c r="T469" s="110">
        <v>7</v>
      </c>
      <c r="U469" s="110">
        <v>8</v>
      </c>
      <c r="V469" s="42"/>
      <c r="W469" s="42">
        <v>2021</v>
      </c>
      <c r="X469" s="42" t="s">
        <v>2612</v>
      </c>
      <c r="Y469" s="106">
        <v>1434</v>
      </c>
      <c r="Z469" s="106">
        <f t="shared" si="239"/>
        <v>0.5</v>
      </c>
      <c r="AA469" s="106" t="s">
        <v>9</v>
      </c>
      <c r="AB469" s="111">
        <f t="shared" si="240"/>
        <v>3.5</v>
      </c>
      <c r="AC469" s="85" t="s">
        <v>2425</v>
      </c>
      <c r="AD469" s="107">
        <f t="shared" si="252"/>
        <v>16732.954545454544</v>
      </c>
      <c r="AE469" s="198"/>
      <c r="AF469" s="113">
        <f t="shared" si="237"/>
        <v>0</v>
      </c>
      <c r="AG469" s="26">
        <v>2027</v>
      </c>
      <c r="AH469" s="26" t="str">
        <f t="shared" si="257"/>
        <v/>
      </c>
      <c r="AI469" s="26" t="str">
        <f t="shared" ref="AI469:AJ471" si="269">IF($AG469=AI$1,VLOOKUP($AC469,RSL,3,FALSE),"")</f>
        <v/>
      </c>
      <c r="AJ469" s="26" t="str">
        <f t="shared" si="269"/>
        <v/>
      </c>
      <c r="AK469" s="26" t="str">
        <f t="shared" si="268"/>
        <v/>
      </c>
      <c r="AL469" s="26" t="str">
        <f t="shared" si="268"/>
        <v/>
      </c>
      <c r="AM469" s="26" t="str">
        <f t="shared" si="268"/>
        <v>Liquid Road</v>
      </c>
      <c r="AN469" s="26" t="str">
        <f t="shared" ref="AN469:AN532" si="270">VLOOKUP($AC469,RSL,3,FALSE)</f>
        <v>Liquid Road</v>
      </c>
      <c r="AO469" s="26" t="str">
        <f t="shared" si="260"/>
        <v>Microsurface double</v>
      </c>
      <c r="AP469" s="26" t="str">
        <f t="shared" si="261"/>
        <v/>
      </c>
      <c r="AQ469" s="68">
        <f t="shared" si="242"/>
        <v>10</v>
      </c>
      <c r="AR469" s="68">
        <f t="shared" si="243"/>
        <v>10</v>
      </c>
      <c r="AS469" s="68">
        <f t="shared" si="262"/>
        <v>1</v>
      </c>
      <c r="AT469" s="68">
        <f t="shared" si="263"/>
        <v>1.05</v>
      </c>
      <c r="AU469" s="68">
        <f t="shared" si="264"/>
        <v>1.05</v>
      </c>
      <c r="AV469" s="68">
        <f t="shared" si="265"/>
        <v>1.05</v>
      </c>
      <c r="AW469" s="68">
        <f t="shared" si="266"/>
        <v>1.05</v>
      </c>
      <c r="AX469" s="68">
        <f t="shared" ca="1" si="267"/>
        <v>3.1500000000000004</v>
      </c>
      <c r="AY469" s="106">
        <v>2021</v>
      </c>
      <c r="AZ469" s="106" t="s">
        <v>2371</v>
      </c>
      <c r="BA469" s="106" t="str">
        <f t="shared" si="254"/>
        <v/>
      </c>
      <c r="BB469" s="177"/>
      <c r="BC469" s="177">
        <v>3</v>
      </c>
      <c r="BD469" s="177"/>
      <c r="BE469" s="177"/>
      <c r="BF469" s="177"/>
      <c r="BG469" s="177"/>
      <c r="BH469" s="177"/>
      <c r="BI469" s="33"/>
      <c r="BJ469" s="2"/>
      <c r="BK469" s="48">
        <f>$G469/5280*VLOOKUP($AC469,'Cost and Score'!$B$27:$O$40,6,0)</f>
        <v>0.66931818181818181</v>
      </c>
      <c r="BL469" s="48">
        <f>$G469/5280*VLOOKUP($AC469,'Cost and Score'!$B$27:$O$40,7,0)</f>
        <v>10.709090909090909</v>
      </c>
      <c r="BM469" s="48">
        <f>$G469/5280*VLOOKUP($AC469,'Cost and Score'!$B$27:$O$40,8,0)</f>
        <v>0</v>
      </c>
      <c r="BN469" s="48">
        <f>$G469/5280*VLOOKUP($AC469,'Cost and Score'!$B$27:$O$40,9,0)</f>
        <v>0</v>
      </c>
      <c r="BO469" s="48">
        <f>$G469/5280*VLOOKUP($AC469,'Cost and Score'!$B$27:$O$40,10,0)</f>
        <v>0</v>
      </c>
      <c r="BP469" s="48">
        <f>$G469/5280*VLOOKUP($AC469,'Cost and Score'!$B$27:$O$40,11,0)</f>
        <v>0</v>
      </c>
      <c r="BQ469" s="48">
        <f>$G469/5280*VLOOKUP($AC469,'Cost and Score'!$B$27:$O$40,12,0)</f>
        <v>0</v>
      </c>
      <c r="BR469" s="48">
        <f>$G469/5280*VLOOKUP($AC469,'Cost and Score'!$B$27:$O$40,13,0)</f>
        <v>0</v>
      </c>
      <c r="BS469" s="48">
        <f>$G469/5280*VLOOKUP($AC469,'Cost and Score'!$B$27:$O$40,14,0)</f>
        <v>0</v>
      </c>
      <c r="BT469" s="220">
        <f t="shared" si="255"/>
        <v>0.66931818181818181</v>
      </c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N469" s="2"/>
      <c r="CO469" s="2"/>
      <c r="CP469" s="2"/>
      <c r="CQ469" s="2"/>
      <c r="CV469" s="2"/>
      <c r="CW469" s="2"/>
      <c r="CX469" s="2"/>
      <c r="CY469" s="2"/>
    </row>
    <row r="470" spans="1:103" s="112" customFormat="1" ht="14.45" hidden="1" customHeight="1" x14ac:dyDescent="0.25">
      <c r="A470" s="38" t="s">
        <v>1034</v>
      </c>
      <c r="B470" s="108" t="s">
        <v>1033</v>
      </c>
      <c r="C470" s="106" t="s">
        <v>1033</v>
      </c>
      <c r="D470" s="106"/>
      <c r="E470" s="106" t="s">
        <v>450</v>
      </c>
      <c r="F470" s="106" t="s">
        <v>67</v>
      </c>
      <c r="G470" s="109">
        <v>2227</v>
      </c>
      <c r="H470" s="109">
        <f t="shared" si="238"/>
        <v>20</v>
      </c>
      <c r="I470" s="106" t="s">
        <v>8</v>
      </c>
      <c r="J470" s="106" t="s">
        <v>11</v>
      </c>
      <c r="K470" s="106">
        <f t="shared" si="256"/>
        <v>0</v>
      </c>
      <c r="L470" s="110">
        <v>10</v>
      </c>
      <c r="M470" s="110">
        <v>8</v>
      </c>
      <c r="N470" s="110">
        <v>8</v>
      </c>
      <c r="O470" s="110">
        <v>8</v>
      </c>
      <c r="P470" s="110">
        <v>8</v>
      </c>
      <c r="Q470" s="110">
        <v>8</v>
      </c>
      <c r="R470" s="110">
        <v>8</v>
      </c>
      <c r="S470" s="110">
        <v>8</v>
      </c>
      <c r="T470" s="110">
        <v>7</v>
      </c>
      <c r="U470" s="110">
        <v>8</v>
      </c>
      <c r="V470" s="42"/>
      <c r="W470" s="42">
        <v>2021</v>
      </c>
      <c r="X470" s="42" t="s">
        <v>2612</v>
      </c>
      <c r="Y470" s="106">
        <v>1328</v>
      </c>
      <c r="Z470" s="106">
        <f t="shared" si="239"/>
        <v>0.5</v>
      </c>
      <c r="AA470" s="106" t="s">
        <v>9</v>
      </c>
      <c r="AB470" s="111">
        <f t="shared" si="240"/>
        <v>2.5</v>
      </c>
      <c r="AC470" s="85" t="s">
        <v>2425</v>
      </c>
      <c r="AD470" s="107">
        <f t="shared" si="252"/>
        <v>10544.507575757576</v>
      </c>
      <c r="AE470" s="198"/>
      <c r="AF470" s="113">
        <f t="shared" si="237"/>
        <v>0</v>
      </c>
      <c r="AG470" s="26">
        <v>2027</v>
      </c>
      <c r="AH470" s="26" t="str">
        <f t="shared" si="257"/>
        <v/>
      </c>
      <c r="AI470" s="26" t="str">
        <f t="shared" si="269"/>
        <v/>
      </c>
      <c r="AJ470" s="26" t="str">
        <f t="shared" si="269"/>
        <v/>
      </c>
      <c r="AK470" s="26" t="str">
        <f t="shared" si="268"/>
        <v/>
      </c>
      <c r="AL470" s="26" t="str">
        <f t="shared" si="268"/>
        <v/>
      </c>
      <c r="AM470" s="26" t="str">
        <f t="shared" si="268"/>
        <v>Liquid Road</v>
      </c>
      <c r="AN470" s="26" t="str">
        <f t="shared" si="270"/>
        <v>Liquid Road</v>
      </c>
      <c r="AO470" s="26" t="str">
        <f t="shared" si="260"/>
        <v>Microsurface double</v>
      </c>
      <c r="AP470" s="26" t="str">
        <f t="shared" si="261"/>
        <v/>
      </c>
      <c r="AQ470" s="68">
        <f t="shared" si="242"/>
        <v>12</v>
      </c>
      <c r="AR470" s="68">
        <f t="shared" si="243"/>
        <v>10</v>
      </c>
      <c r="AS470" s="68">
        <f t="shared" si="262"/>
        <v>1</v>
      </c>
      <c r="AT470" s="68">
        <f t="shared" si="263"/>
        <v>1</v>
      </c>
      <c r="AU470" s="68">
        <f t="shared" si="264"/>
        <v>1</v>
      </c>
      <c r="AV470" s="68">
        <f t="shared" si="265"/>
        <v>1</v>
      </c>
      <c r="AW470" s="68">
        <f t="shared" si="266"/>
        <v>1</v>
      </c>
      <c r="AX470" s="68">
        <f t="shared" ca="1" si="267"/>
        <v>3</v>
      </c>
      <c r="AY470" s="106">
        <v>2021</v>
      </c>
      <c r="AZ470" s="106" t="s">
        <v>2371</v>
      </c>
      <c r="BA470" s="106" t="str">
        <f t="shared" si="254"/>
        <v/>
      </c>
      <c r="BB470" s="177"/>
      <c r="BC470" s="177">
        <v>4</v>
      </c>
      <c r="BD470" s="177"/>
      <c r="BE470" s="177"/>
      <c r="BF470" s="177"/>
      <c r="BG470" s="177"/>
      <c r="BH470" s="177"/>
      <c r="BI470" s="33"/>
      <c r="BJ470" s="2"/>
      <c r="BK470" s="48">
        <f>$G470/5280*VLOOKUP($AC470,'Cost and Score'!$B$27:$O$40,6,0)</f>
        <v>0.42178030303030301</v>
      </c>
      <c r="BL470" s="48">
        <f>$G470/5280*VLOOKUP($AC470,'Cost and Score'!$B$27:$O$40,7,0)</f>
        <v>6.7484848484848481</v>
      </c>
      <c r="BM470" s="48">
        <f>$G470/5280*VLOOKUP($AC470,'Cost and Score'!$B$27:$O$40,8,0)</f>
        <v>0</v>
      </c>
      <c r="BN470" s="48">
        <f>$G470/5280*VLOOKUP($AC470,'Cost and Score'!$B$27:$O$40,9,0)</f>
        <v>0</v>
      </c>
      <c r="BO470" s="48">
        <f>$G470/5280*VLOOKUP($AC470,'Cost and Score'!$B$27:$O$40,10,0)</f>
        <v>0</v>
      </c>
      <c r="BP470" s="48">
        <f>$G470/5280*VLOOKUP($AC470,'Cost and Score'!$B$27:$O$40,11,0)</f>
        <v>0</v>
      </c>
      <c r="BQ470" s="48">
        <f>$G470/5280*VLOOKUP($AC470,'Cost and Score'!$B$27:$O$40,12,0)</f>
        <v>0</v>
      </c>
      <c r="BR470" s="48">
        <f>$G470/5280*VLOOKUP($AC470,'Cost and Score'!$B$27:$O$40,13,0)</f>
        <v>0</v>
      </c>
      <c r="BS470" s="48">
        <f>$G470/5280*VLOOKUP($AC470,'Cost and Score'!$B$27:$O$40,14,0)</f>
        <v>0</v>
      </c>
      <c r="BT470" s="220">
        <f t="shared" si="255"/>
        <v>0.42178030303030301</v>
      </c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W470" s="2"/>
      <c r="CX470" s="2"/>
      <c r="CY470" s="2"/>
    </row>
    <row r="471" spans="1:103" s="112" customFormat="1" hidden="1" x14ac:dyDescent="0.25">
      <c r="A471" s="38" t="s">
        <v>2153</v>
      </c>
      <c r="B471" s="108" t="s">
        <v>1035</v>
      </c>
      <c r="C471" s="106" t="s">
        <v>1035</v>
      </c>
      <c r="D471" s="106"/>
      <c r="E471" s="106" t="s">
        <v>461</v>
      </c>
      <c r="F471" s="106" t="s">
        <v>418</v>
      </c>
      <c r="G471" s="109">
        <v>2755</v>
      </c>
      <c r="H471" s="109">
        <f t="shared" si="238"/>
        <v>20</v>
      </c>
      <c r="I471" s="106" t="s">
        <v>8</v>
      </c>
      <c r="J471" s="106" t="s">
        <v>62</v>
      </c>
      <c r="K471" s="106">
        <f t="shared" si="256"/>
        <v>0</v>
      </c>
      <c r="L471" s="110">
        <v>7</v>
      </c>
      <c r="M471" s="110">
        <v>7</v>
      </c>
      <c r="N471" s="110">
        <v>7</v>
      </c>
      <c r="O471" s="110">
        <v>7</v>
      </c>
      <c r="P471" s="110">
        <v>7</v>
      </c>
      <c r="Q471" s="110">
        <v>7</v>
      </c>
      <c r="R471" s="110">
        <v>7</v>
      </c>
      <c r="S471" s="110">
        <v>7</v>
      </c>
      <c r="T471" s="110">
        <v>7</v>
      </c>
      <c r="U471" s="110">
        <v>8</v>
      </c>
      <c r="V471" s="42"/>
      <c r="W471" s="42">
        <v>2021</v>
      </c>
      <c r="X471" s="42" t="s">
        <v>2612</v>
      </c>
      <c r="Y471" s="106">
        <v>1170</v>
      </c>
      <c r="Z471" s="106">
        <f t="shared" si="239"/>
        <v>0.5</v>
      </c>
      <c r="AA471" s="106" t="s">
        <v>9</v>
      </c>
      <c r="AB471" s="111">
        <f t="shared" si="240"/>
        <v>3.5</v>
      </c>
      <c r="AC471" s="85" t="s">
        <v>2425</v>
      </c>
      <c r="AD471" s="107">
        <f t="shared" si="252"/>
        <v>13044.507575757576</v>
      </c>
      <c r="AE471" s="198"/>
      <c r="AF471" s="113">
        <f t="shared" si="237"/>
        <v>0</v>
      </c>
      <c r="AG471" s="26">
        <v>2027</v>
      </c>
      <c r="AH471" s="26" t="str">
        <f t="shared" si="257"/>
        <v/>
      </c>
      <c r="AI471" s="26" t="str">
        <f t="shared" si="269"/>
        <v/>
      </c>
      <c r="AJ471" s="26" t="str">
        <f t="shared" si="269"/>
        <v/>
      </c>
      <c r="AK471" s="26" t="str">
        <f t="shared" si="268"/>
        <v/>
      </c>
      <c r="AL471" s="26" t="str">
        <f t="shared" si="268"/>
        <v/>
      </c>
      <c r="AM471" s="26" t="str">
        <f t="shared" si="268"/>
        <v>Liquid Road</v>
      </c>
      <c r="AN471" s="26" t="str">
        <f t="shared" si="270"/>
        <v>Liquid Road</v>
      </c>
      <c r="AO471" s="26" t="str">
        <f t="shared" si="260"/>
        <v>Microsurface double</v>
      </c>
      <c r="AP471" s="26" t="str">
        <f t="shared" si="261"/>
        <v/>
      </c>
      <c r="AQ471" s="68">
        <f t="shared" si="242"/>
        <v>10</v>
      </c>
      <c r="AR471" s="68">
        <f t="shared" si="243"/>
        <v>10</v>
      </c>
      <c r="AS471" s="68">
        <f t="shared" si="262"/>
        <v>1.05</v>
      </c>
      <c r="AT471" s="68">
        <f t="shared" si="263"/>
        <v>1.05</v>
      </c>
      <c r="AU471" s="68">
        <f t="shared" si="264"/>
        <v>1.05</v>
      </c>
      <c r="AV471" s="68">
        <f t="shared" si="265"/>
        <v>1.05</v>
      </c>
      <c r="AW471" s="68">
        <f t="shared" si="266"/>
        <v>1.05</v>
      </c>
      <c r="AX471" s="68">
        <f t="shared" ca="1" si="267"/>
        <v>3.1500000000000004</v>
      </c>
      <c r="AY471" s="106">
        <v>2021</v>
      </c>
      <c r="AZ471" s="106" t="s">
        <v>2371</v>
      </c>
      <c r="BA471" s="106" t="str">
        <f t="shared" si="254"/>
        <v/>
      </c>
      <c r="BB471" s="177"/>
      <c r="BC471" s="177">
        <v>3</v>
      </c>
      <c r="BD471" s="177"/>
      <c r="BE471" s="177"/>
      <c r="BF471" s="177"/>
      <c r="BG471" s="177"/>
      <c r="BH471" s="177"/>
      <c r="BI471" s="33"/>
      <c r="BJ471" s="2"/>
      <c r="BK471" s="48">
        <f>$G471/5280*VLOOKUP($AC471,'Cost and Score'!$B$27:$O$40,6,0)</f>
        <v>0.52178030303030298</v>
      </c>
      <c r="BL471" s="48">
        <f>$G471/5280*VLOOKUP($AC471,'Cost and Score'!$B$27:$O$40,7,0)</f>
        <v>8.3484848484848477</v>
      </c>
      <c r="BM471" s="48">
        <f>$G471/5280*VLOOKUP($AC471,'Cost and Score'!$B$27:$O$40,8,0)</f>
        <v>0</v>
      </c>
      <c r="BN471" s="48">
        <f>$G471/5280*VLOOKUP($AC471,'Cost and Score'!$B$27:$O$40,9,0)</f>
        <v>0</v>
      </c>
      <c r="BO471" s="48">
        <f>$G471/5280*VLOOKUP($AC471,'Cost and Score'!$B$27:$O$40,10,0)</f>
        <v>0</v>
      </c>
      <c r="BP471" s="48">
        <f>$G471/5280*VLOOKUP($AC471,'Cost and Score'!$B$27:$O$40,11,0)</f>
        <v>0</v>
      </c>
      <c r="BQ471" s="48">
        <f>$G471/5280*VLOOKUP($AC471,'Cost and Score'!$B$27:$O$40,12,0)</f>
        <v>0</v>
      </c>
      <c r="BR471" s="48">
        <f>$G471/5280*VLOOKUP($AC471,'Cost and Score'!$B$27:$O$40,13,0)</f>
        <v>0</v>
      </c>
      <c r="BS471" s="48">
        <f>$G471/5280*VLOOKUP($AC471,'Cost and Score'!$B$27:$O$40,14,0)</f>
        <v>0</v>
      </c>
      <c r="BT471" s="220">
        <f t="shared" si="255"/>
        <v>0.52178030303030298</v>
      </c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W471" s="2"/>
      <c r="CX471" s="2"/>
      <c r="CY471" s="2"/>
    </row>
    <row r="472" spans="1:103" s="112" customFormat="1" ht="14.45" hidden="1" customHeight="1" x14ac:dyDescent="0.25">
      <c r="A472" s="38" t="s">
        <v>2154</v>
      </c>
      <c r="B472" s="108" t="s">
        <v>1036</v>
      </c>
      <c r="C472" s="106" t="s">
        <v>1036</v>
      </c>
      <c r="D472" s="106"/>
      <c r="E472" s="106" t="s">
        <v>124</v>
      </c>
      <c r="F472" s="106" t="s">
        <v>127</v>
      </c>
      <c r="G472" s="109">
        <v>2668</v>
      </c>
      <c r="H472" s="109">
        <f t="shared" si="238"/>
        <v>20</v>
      </c>
      <c r="I472" s="106" t="s">
        <v>13</v>
      </c>
      <c r="J472" s="106" t="s">
        <v>11</v>
      </c>
      <c r="K472" s="106">
        <f t="shared" si="256"/>
        <v>0</v>
      </c>
      <c r="L472" s="110">
        <v>6</v>
      </c>
      <c r="M472" s="110">
        <v>6</v>
      </c>
      <c r="N472" s="110">
        <v>6</v>
      </c>
      <c r="O472" s="110">
        <v>6</v>
      </c>
      <c r="P472" s="110">
        <v>8</v>
      </c>
      <c r="Q472" s="110">
        <v>8</v>
      </c>
      <c r="R472" s="110">
        <v>8</v>
      </c>
      <c r="S472" s="110">
        <v>8</v>
      </c>
      <c r="T472" s="110">
        <v>7</v>
      </c>
      <c r="U472" s="110">
        <v>7</v>
      </c>
      <c r="V472" s="110">
        <v>2024</v>
      </c>
      <c r="W472" s="110">
        <v>2021</v>
      </c>
      <c r="X472" s="110" t="s">
        <v>2612</v>
      </c>
      <c r="Y472" s="106">
        <v>2134</v>
      </c>
      <c r="Z472" s="106">
        <f t="shared" si="239"/>
        <v>1</v>
      </c>
      <c r="AA472" s="106" t="s">
        <v>9</v>
      </c>
      <c r="AB472" s="111">
        <f t="shared" si="240"/>
        <v>3</v>
      </c>
      <c r="AC472" s="85" t="s">
        <v>2371</v>
      </c>
      <c r="AD472" s="107">
        <f t="shared" si="252"/>
        <v>40424.242424242424</v>
      </c>
      <c r="AE472" s="198">
        <v>1</v>
      </c>
      <c r="AF472" s="113">
        <f t="shared" ref="AF472:AF535" si="271">AD472*AE472</f>
        <v>40424.242424242424</v>
      </c>
      <c r="AG472" s="106">
        <v>2024</v>
      </c>
      <c r="AH472" s="26" t="str">
        <f t="shared" si="257"/>
        <v/>
      </c>
      <c r="AI472" s="26" t="s">
        <v>2575</v>
      </c>
      <c r="AJ472" s="26" t="str">
        <f t="shared" ref="AJ472:AJ485" si="272">IF($AG472=AJ$1,VLOOKUP($AC472,RSL,3,FALSE),"")</f>
        <v>Microsurface double</v>
      </c>
      <c r="AK472" s="26" t="str">
        <f t="shared" si="268"/>
        <v/>
      </c>
      <c r="AL472" s="26" t="str">
        <f t="shared" si="268"/>
        <v/>
      </c>
      <c r="AM472" s="26" t="str">
        <f t="shared" si="268"/>
        <v/>
      </c>
      <c r="AN472" s="26" t="str">
        <f t="shared" si="270"/>
        <v>Microsurface double</v>
      </c>
      <c r="AO472" s="26" t="s">
        <v>2575</v>
      </c>
      <c r="AP472" s="26" t="str">
        <f t="shared" si="261"/>
        <v/>
      </c>
      <c r="AQ472" s="68">
        <f t="shared" si="242"/>
        <v>8</v>
      </c>
      <c r="AR472" s="68">
        <f t="shared" si="243"/>
        <v>10</v>
      </c>
      <c r="AS472" s="68">
        <f t="shared" si="262"/>
        <v>1.1000000000000001</v>
      </c>
      <c r="AT472" s="68">
        <f t="shared" si="263"/>
        <v>1.1000000000000001</v>
      </c>
      <c r="AU472" s="68">
        <f t="shared" si="264"/>
        <v>1.1000000000000001</v>
      </c>
      <c r="AV472" s="68">
        <f t="shared" si="265"/>
        <v>1.1000000000000001</v>
      </c>
      <c r="AW472" s="68">
        <f t="shared" si="266"/>
        <v>1</v>
      </c>
      <c r="AX472" s="68">
        <f t="shared" ca="1" si="267"/>
        <v>0</v>
      </c>
      <c r="AY472" s="106">
        <v>2017</v>
      </c>
      <c r="AZ472" s="106" t="s">
        <v>13</v>
      </c>
      <c r="BA472" s="106" t="str">
        <f t="shared" si="254"/>
        <v/>
      </c>
      <c r="BB472" s="177"/>
      <c r="BC472" s="177">
        <v>2</v>
      </c>
      <c r="BD472" s="177"/>
      <c r="BE472" s="177"/>
      <c r="BF472" s="177"/>
      <c r="BG472" s="177"/>
      <c r="BH472" s="177"/>
      <c r="BI472" s="33" t="s">
        <v>2629</v>
      </c>
      <c r="BJ472" s="2"/>
      <c r="BK472" s="48">
        <f>$G472/5280*VLOOKUP($AC472,'Cost and Score'!$B$27:$O$40,6,0)</f>
        <v>0.25265151515151513</v>
      </c>
      <c r="BL472" s="48">
        <f>$G472/5280*VLOOKUP($AC472,'Cost and Score'!$B$27:$O$40,7,0)</f>
        <v>0</v>
      </c>
      <c r="BM472" s="48">
        <f>$G472/5280*VLOOKUP($AC472,'Cost and Score'!$B$27:$O$40,8,0)</f>
        <v>0</v>
      </c>
      <c r="BN472" s="48">
        <f>$G472/5280*VLOOKUP($AC472,'Cost and Score'!$B$27:$O$40,9,0)</f>
        <v>0</v>
      </c>
      <c r="BO472" s="48">
        <f>$G472/5280*VLOOKUP($AC472,'Cost and Score'!$B$27:$O$40,10,0)</f>
        <v>0</v>
      </c>
      <c r="BP472" s="48">
        <f>$G472/5280*VLOOKUP($AC472,'Cost and Score'!$B$27:$O$40,11,0)</f>
        <v>0</v>
      </c>
      <c r="BQ472" s="48">
        <f>$G472/5280*VLOOKUP($AC472,'Cost and Score'!$B$27:$O$40,12,0)</f>
        <v>0</v>
      </c>
      <c r="BR472" s="48">
        <f>$G472/5280*VLOOKUP($AC472,'Cost and Score'!$B$27:$O$40,13,0)</f>
        <v>0</v>
      </c>
      <c r="BS472" s="48">
        <f>$G472/5280*VLOOKUP($AC472,'Cost and Score'!$B$27:$O$40,14,0)</f>
        <v>0</v>
      </c>
      <c r="BT472" s="220">
        <f t="shared" si="255"/>
        <v>0.50530303030303025</v>
      </c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W472" s="2"/>
      <c r="CX472" s="2"/>
      <c r="CY472" s="2"/>
    </row>
    <row r="473" spans="1:103" s="112" customFormat="1" ht="14.45" hidden="1" customHeight="1" x14ac:dyDescent="0.25">
      <c r="A473" s="38" t="s">
        <v>2155</v>
      </c>
      <c r="B473" s="108" t="s">
        <v>1037</v>
      </c>
      <c r="C473" s="106" t="s">
        <v>1037</v>
      </c>
      <c r="D473" s="106"/>
      <c r="E473" s="106" t="s">
        <v>127</v>
      </c>
      <c r="F473" s="106" t="s">
        <v>129</v>
      </c>
      <c r="G473" s="109">
        <v>2671</v>
      </c>
      <c r="H473" s="109">
        <f t="shared" si="238"/>
        <v>20</v>
      </c>
      <c r="I473" s="106" t="s">
        <v>13</v>
      </c>
      <c r="J473" s="106" t="s">
        <v>11</v>
      </c>
      <c r="K473" s="106">
        <f t="shared" si="256"/>
        <v>0</v>
      </c>
      <c r="L473" s="110">
        <v>6</v>
      </c>
      <c r="M473" s="110">
        <v>6</v>
      </c>
      <c r="N473" s="110">
        <v>6</v>
      </c>
      <c r="O473" s="110">
        <v>6</v>
      </c>
      <c r="P473" s="110">
        <v>8</v>
      </c>
      <c r="Q473" s="110">
        <v>8</v>
      </c>
      <c r="R473" s="110">
        <v>8</v>
      </c>
      <c r="S473" s="110">
        <v>8</v>
      </c>
      <c r="T473" s="110">
        <v>7</v>
      </c>
      <c r="U473" s="110">
        <v>7</v>
      </c>
      <c r="V473" s="110">
        <v>2024</v>
      </c>
      <c r="W473" s="110">
        <v>2021</v>
      </c>
      <c r="X473" s="110" t="s">
        <v>2612</v>
      </c>
      <c r="Y473" s="106">
        <v>2134</v>
      </c>
      <c r="Z473" s="106">
        <f t="shared" si="239"/>
        <v>1</v>
      </c>
      <c r="AA473" s="106" t="s">
        <v>9</v>
      </c>
      <c r="AB473" s="111">
        <f t="shared" si="240"/>
        <v>3</v>
      </c>
      <c r="AC473" s="85" t="s">
        <v>2371</v>
      </c>
      <c r="AD473" s="107">
        <f t="shared" si="252"/>
        <v>40469.696969696968</v>
      </c>
      <c r="AE473" s="198">
        <v>1</v>
      </c>
      <c r="AF473" s="113">
        <f t="shared" si="271"/>
        <v>40469.696969696968</v>
      </c>
      <c r="AG473" s="106">
        <v>2024</v>
      </c>
      <c r="AH473" s="26" t="str">
        <f t="shared" si="257"/>
        <v/>
      </c>
      <c r="AI473" s="26" t="s">
        <v>2627</v>
      </c>
      <c r="AJ473" s="26" t="str">
        <f t="shared" si="272"/>
        <v>Microsurface double</v>
      </c>
      <c r="AK473" s="26" t="str">
        <f t="shared" si="268"/>
        <v/>
      </c>
      <c r="AL473" s="26" t="str">
        <f t="shared" si="268"/>
        <v/>
      </c>
      <c r="AM473" s="26" t="str">
        <f t="shared" si="268"/>
        <v/>
      </c>
      <c r="AN473" s="26" t="str">
        <f t="shared" si="270"/>
        <v>Microsurface double</v>
      </c>
      <c r="AO473" s="26" t="s">
        <v>2575</v>
      </c>
      <c r="AP473" s="26" t="str">
        <f t="shared" si="261"/>
        <v/>
      </c>
      <c r="AQ473" s="68">
        <f t="shared" si="242"/>
        <v>8</v>
      </c>
      <c r="AR473" s="68">
        <f t="shared" si="243"/>
        <v>10</v>
      </c>
      <c r="AS473" s="68">
        <f t="shared" si="262"/>
        <v>1.1000000000000001</v>
      </c>
      <c r="AT473" s="68">
        <f t="shared" si="263"/>
        <v>1.1000000000000001</v>
      </c>
      <c r="AU473" s="68">
        <f t="shared" si="264"/>
        <v>1.1000000000000001</v>
      </c>
      <c r="AV473" s="68">
        <f t="shared" si="265"/>
        <v>1.1000000000000001</v>
      </c>
      <c r="AW473" s="68">
        <f t="shared" si="266"/>
        <v>1</v>
      </c>
      <c r="AX473" s="68">
        <f t="shared" ca="1" si="267"/>
        <v>0</v>
      </c>
      <c r="AY473" s="106">
        <v>2017</v>
      </c>
      <c r="AZ473" s="106" t="s">
        <v>13</v>
      </c>
      <c r="BA473" s="106" t="str">
        <f t="shared" si="254"/>
        <v/>
      </c>
      <c r="BB473" s="177"/>
      <c r="BC473" s="177">
        <v>2</v>
      </c>
      <c r="BD473" s="177"/>
      <c r="BE473" s="177"/>
      <c r="BF473" s="177"/>
      <c r="BG473" s="177"/>
      <c r="BH473" s="177"/>
      <c r="BI473" s="33" t="s">
        <v>2629</v>
      </c>
      <c r="BJ473" s="2"/>
      <c r="BK473" s="48">
        <f>$G473/5280*VLOOKUP($AC473,'Cost and Score'!$B$27:$O$40,6,0)</f>
        <v>0.25293560606060606</v>
      </c>
      <c r="BL473" s="48">
        <f>$G473/5280*VLOOKUP($AC473,'Cost and Score'!$B$27:$O$40,7,0)</f>
        <v>0</v>
      </c>
      <c r="BM473" s="48">
        <f>$G473/5280*VLOOKUP($AC473,'Cost and Score'!$B$27:$O$40,8,0)</f>
        <v>0</v>
      </c>
      <c r="BN473" s="48">
        <f>$G473/5280*VLOOKUP($AC473,'Cost and Score'!$B$27:$O$40,9,0)</f>
        <v>0</v>
      </c>
      <c r="BO473" s="48">
        <f>$G473/5280*VLOOKUP($AC473,'Cost and Score'!$B$27:$O$40,10,0)</f>
        <v>0</v>
      </c>
      <c r="BP473" s="48">
        <f>$G473/5280*VLOOKUP($AC473,'Cost and Score'!$B$27:$O$40,11,0)</f>
        <v>0</v>
      </c>
      <c r="BQ473" s="48">
        <f>$G473/5280*VLOOKUP($AC473,'Cost and Score'!$B$27:$O$40,12,0)</f>
        <v>0</v>
      </c>
      <c r="BR473" s="48">
        <f>$G473/5280*VLOOKUP($AC473,'Cost and Score'!$B$27:$O$40,13,0)</f>
        <v>0</v>
      </c>
      <c r="BS473" s="48">
        <f>$G473/5280*VLOOKUP($AC473,'Cost and Score'!$B$27:$O$40,14,0)</f>
        <v>0</v>
      </c>
      <c r="BT473" s="220">
        <f t="shared" si="255"/>
        <v>0.50587121212121211</v>
      </c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103" s="112" customFormat="1" hidden="1" x14ac:dyDescent="0.25">
      <c r="A474" s="38" t="s">
        <v>2156</v>
      </c>
      <c r="B474" s="108" t="s">
        <v>1038</v>
      </c>
      <c r="C474" s="106" t="s">
        <v>1038</v>
      </c>
      <c r="D474" s="106"/>
      <c r="E474" s="106" t="s">
        <v>59</v>
      </c>
      <c r="F474" s="106" t="s">
        <v>461</v>
      </c>
      <c r="G474" s="109">
        <v>5262</v>
      </c>
      <c r="H474" s="109">
        <f t="shared" ref="H474:H537" si="273">IF(I474="NC",26,20)</f>
        <v>20</v>
      </c>
      <c r="I474" s="106" t="s">
        <v>8</v>
      </c>
      <c r="J474" s="106" t="s">
        <v>62</v>
      </c>
      <c r="K474" s="106">
        <f t="shared" si="256"/>
        <v>0</v>
      </c>
      <c r="L474" s="110">
        <v>7</v>
      </c>
      <c r="M474" s="110">
        <v>7</v>
      </c>
      <c r="N474" s="110">
        <v>7</v>
      </c>
      <c r="O474" s="110">
        <v>7</v>
      </c>
      <c r="P474" s="110">
        <v>7</v>
      </c>
      <c r="Q474" s="110">
        <v>7</v>
      </c>
      <c r="R474" s="110">
        <v>7</v>
      </c>
      <c r="S474" s="110">
        <v>7</v>
      </c>
      <c r="T474" s="110">
        <v>7</v>
      </c>
      <c r="U474" s="110">
        <v>8</v>
      </c>
      <c r="V474" s="42"/>
      <c r="W474" s="42">
        <v>2021</v>
      </c>
      <c r="X474" s="42" t="s">
        <v>2612</v>
      </c>
      <c r="Y474" s="106">
        <v>1067</v>
      </c>
      <c r="Z474" s="106">
        <f t="shared" ref="Z474:Z537" si="274">VLOOKUP(Y474,AADT,2)</f>
        <v>0.5</v>
      </c>
      <c r="AA474" s="106" t="s">
        <v>9</v>
      </c>
      <c r="AB474" s="111">
        <f t="shared" ref="AB474:AB537" si="275">(10-P474)+Z474+K474</f>
        <v>3.5</v>
      </c>
      <c r="AC474" s="85" t="s">
        <v>2425</v>
      </c>
      <c r="AD474" s="107">
        <f t="shared" si="252"/>
        <v>24914.772727272728</v>
      </c>
      <c r="AE474" s="198"/>
      <c r="AF474" s="113">
        <f t="shared" si="271"/>
        <v>0</v>
      </c>
      <c r="AG474" s="26">
        <v>2027</v>
      </c>
      <c r="AH474" s="26" t="str">
        <f t="shared" si="257"/>
        <v/>
      </c>
      <c r="AI474" s="26" t="str">
        <f>IF($AG474=AI$1,VLOOKUP($AC474,RSL,3,FALSE),"")</f>
        <v/>
      </c>
      <c r="AJ474" s="26" t="str">
        <f t="shared" si="272"/>
        <v/>
      </c>
      <c r="AK474" s="26" t="str">
        <f t="shared" si="268"/>
        <v/>
      </c>
      <c r="AL474" s="26" t="str">
        <f t="shared" si="268"/>
        <v/>
      </c>
      <c r="AM474" s="26" t="str">
        <f t="shared" si="268"/>
        <v>Liquid Road</v>
      </c>
      <c r="AN474" s="26" t="str">
        <f t="shared" si="270"/>
        <v>Liquid Road</v>
      </c>
      <c r="AO474" s="26" t="str">
        <f>IF(AY474=AO$1,VLOOKUP(AZ474,RSL,3,FALSE),"")</f>
        <v>Microsurface double</v>
      </c>
      <c r="AP474" s="26" t="str">
        <f t="shared" si="261"/>
        <v/>
      </c>
      <c r="AQ474" s="68">
        <f t="shared" ref="AQ474:AQ537" si="276">VLOOKUP(O474,RSLrem,2,FALSE)</f>
        <v>10</v>
      </c>
      <c r="AR474" s="68">
        <f t="shared" ref="AR474:AR537" si="277">VLOOKUP(AC474,RSL,5,FALSE)</f>
        <v>10</v>
      </c>
      <c r="AS474" s="68">
        <f t="shared" si="262"/>
        <v>1.05</v>
      </c>
      <c r="AT474" s="68">
        <f t="shared" si="263"/>
        <v>1.05</v>
      </c>
      <c r="AU474" s="68">
        <f t="shared" si="264"/>
        <v>1.05</v>
      </c>
      <c r="AV474" s="68">
        <f t="shared" si="265"/>
        <v>1.05</v>
      </c>
      <c r="AW474" s="68">
        <f t="shared" si="266"/>
        <v>1.05</v>
      </c>
      <c r="AX474" s="68">
        <f t="shared" ca="1" si="267"/>
        <v>3.1500000000000004</v>
      </c>
      <c r="AY474" s="106">
        <v>2021</v>
      </c>
      <c r="AZ474" s="106" t="s">
        <v>2371</v>
      </c>
      <c r="BA474" s="106" t="str">
        <f t="shared" si="254"/>
        <v/>
      </c>
      <c r="BB474" s="177"/>
      <c r="BC474" s="177">
        <v>3</v>
      </c>
      <c r="BD474" s="177"/>
      <c r="BE474" s="177"/>
      <c r="BF474" s="177"/>
      <c r="BG474" s="177"/>
      <c r="BH474" s="177"/>
      <c r="BI474" s="33"/>
      <c r="BJ474" s="2"/>
      <c r="BK474" s="48">
        <f>$G474/5280*VLOOKUP($AC474,'Cost and Score'!$B$27:$O$40,6,0)</f>
        <v>0.99659090909090908</v>
      </c>
      <c r="BL474" s="48">
        <f>$G474/5280*VLOOKUP($AC474,'Cost and Score'!$B$27:$O$40,7,0)</f>
        <v>15.945454545454545</v>
      </c>
      <c r="BM474" s="48">
        <f>$G474/5280*VLOOKUP($AC474,'Cost and Score'!$B$27:$O$40,8,0)</f>
        <v>0</v>
      </c>
      <c r="BN474" s="48">
        <f>$G474/5280*VLOOKUP($AC474,'Cost and Score'!$B$27:$O$40,9,0)</f>
        <v>0</v>
      </c>
      <c r="BO474" s="48">
        <f>$G474/5280*VLOOKUP($AC474,'Cost and Score'!$B$27:$O$40,10,0)</f>
        <v>0</v>
      </c>
      <c r="BP474" s="48">
        <f>$G474/5280*VLOOKUP($AC474,'Cost and Score'!$B$27:$O$40,11,0)</f>
        <v>0</v>
      </c>
      <c r="BQ474" s="48">
        <f>$G474/5280*VLOOKUP($AC474,'Cost and Score'!$B$27:$O$40,12,0)</f>
        <v>0</v>
      </c>
      <c r="BR474" s="48">
        <f>$G474/5280*VLOOKUP($AC474,'Cost and Score'!$B$27:$O$40,13,0)</f>
        <v>0</v>
      </c>
      <c r="BS474" s="48">
        <f>$G474/5280*VLOOKUP($AC474,'Cost and Score'!$B$27:$O$40,14,0)</f>
        <v>0</v>
      </c>
      <c r="BT474" s="220">
        <f t="shared" si="255"/>
        <v>0.99659090909090908</v>
      </c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W474" s="2"/>
      <c r="CX474" s="2"/>
      <c r="CY474" s="2"/>
    </row>
    <row r="475" spans="1:103" s="112" customFormat="1" ht="14.45" hidden="1" customHeight="1" x14ac:dyDescent="0.25">
      <c r="A475" s="36" t="s">
        <v>2157</v>
      </c>
      <c r="B475" s="108" t="s">
        <v>1039</v>
      </c>
      <c r="C475" s="106" t="s">
        <v>1039</v>
      </c>
      <c r="D475" s="106"/>
      <c r="E475" s="106" t="s">
        <v>129</v>
      </c>
      <c r="F475" s="106" t="s">
        <v>168</v>
      </c>
      <c r="G475" s="109">
        <v>3994</v>
      </c>
      <c r="H475" s="109">
        <f t="shared" si="273"/>
        <v>20</v>
      </c>
      <c r="I475" s="106" t="s">
        <v>13</v>
      </c>
      <c r="J475" s="106" t="s">
        <v>11</v>
      </c>
      <c r="K475" s="106">
        <f t="shared" si="256"/>
        <v>0</v>
      </c>
      <c r="L475" s="110">
        <v>6</v>
      </c>
      <c r="M475" s="110">
        <v>6</v>
      </c>
      <c r="N475" s="110">
        <v>8</v>
      </c>
      <c r="O475" s="110">
        <v>8</v>
      </c>
      <c r="P475" s="110">
        <v>8</v>
      </c>
      <c r="Q475" s="110">
        <v>8</v>
      </c>
      <c r="R475" s="110">
        <v>8</v>
      </c>
      <c r="S475" s="110">
        <v>8</v>
      </c>
      <c r="T475" s="110">
        <v>7</v>
      </c>
      <c r="U475" s="110">
        <v>7</v>
      </c>
      <c r="V475" s="110">
        <v>2024</v>
      </c>
      <c r="W475" s="110">
        <v>2021</v>
      </c>
      <c r="X475" s="110" t="s">
        <v>2612</v>
      </c>
      <c r="Y475" s="106">
        <v>2165</v>
      </c>
      <c r="Z475" s="106">
        <f t="shared" si="274"/>
        <v>1</v>
      </c>
      <c r="AA475" s="106" t="s">
        <v>9</v>
      </c>
      <c r="AB475" s="111">
        <f t="shared" si="275"/>
        <v>3</v>
      </c>
      <c r="AC475" s="85" t="s">
        <v>2371</v>
      </c>
      <c r="AD475" s="107">
        <f t="shared" si="252"/>
        <v>60515.151515151512</v>
      </c>
      <c r="AE475" s="198">
        <v>1</v>
      </c>
      <c r="AF475" s="113">
        <f t="shared" si="271"/>
        <v>60515.151515151512</v>
      </c>
      <c r="AG475" s="106">
        <v>2024</v>
      </c>
      <c r="AH475" s="26" t="str">
        <f t="shared" si="257"/>
        <v/>
      </c>
      <c r="AI475" s="26" t="s">
        <v>2575</v>
      </c>
      <c r="AJ475" s="26" t="str">
        <f t="shared" si="272"/>
        <v>Microsurface double</v>
      </c>
      <c r="AK475" s="26" t="str">
        <f t="shared" si="268"/>
        <v/>
      </c>
      <c r="AL475" s="26" t="str">
        <f t="shared" si="268"/>
        <v/>
      </c>
      <c r="AM475" s="26" t="str">
        <f t="shared" si="268"/>
        <v/>
      </c>
      <c r="AN475" s="26" t="str">
        <f t="shared" si="270"/>
        <v>Microsurface double</v>
      </c>
      <c r="AO475" s="26" t="s">
        <v>2575</v>
      </c>
      <c r="AP475" s="26" t="str">
        <f t="shared" si="261"/>
        <v/>
      </c>
      <c r="AQ475" s="68">
        <f t="shared" si="276"/>
        <v>12</v>
      </c>
      <c r="AR475" s="68">
        <f t="shared" si="277"/>
        <v>10</v>
      </c>
      <c r="AS475" s="68">
        <f t="shared" si="262"/>
        <v>1.1000000000000001</v>
      </c>
      <c r="AT475" s="68">
        <f t="shared" si="263"/>
        <v>1.1000000000000001</v>
      </c>
      <c r="AU475" s="68">
        <f t="shared" si="264"/>
        <v>1</v>
      </c>
      <c r="AV475" s="68">
        <f t="shared" si="265"/>
        <v>1</v>
      </c>
      <c r="AW475" s="68">
        <f t="shared" si="266"/>
        <v>1</v>
      </c>
      <c r="AX475" s="68">
        <f t="shared" ca="1" si="267"/>
        <v>0</v>
      </c>
      <c r="AY475" s="106">
        <v>2017</v>
      </c>
      <c r="AZ475" s="106" t="s">
        <v>13</v>
      </c>
      <c r="BA475" s="106" t="str">
        <f t="shared" si="254"/>
        <v/>
      </c>
      <c r="BB475" s="177"/>
      <c r="BC475" s="177">
        <v>2</v>
      </c>
      <c r="BD475" s="177"/>
      <c r="BE475" s="177"/>
      <c r="BF475" s="177"/>
      <c r="BG475" s="177"/>
      <c r="BH475" s="177"/>
      <c r="BI475" s="33" t="s">
        <v>2629</v>
      </c>
      <c r="BJ475" s="2"/>
      <c r="BK475" s="48">
        <f>$G475/5280*VLOOKUP($AC475,'Cost and Score'!$B$27:$O$40,6,0)</f>
        <v>0.37821969696969698</v>
      </c>
      <c r="BL475" s="48">
        <f>$G475/5280*VLOOKUP($AC475,'Cost and Score'!$B$27:$O$40,7,0)</f>
        <v>0</v>
      </c>
      <c r="BM475" s="48">
        <f>$G475/5280*VLOOKUP($AC475,'Cost and Score'!$B$27:$O$40,8,0)</f>
        <v>0</v>
      </c>
      <c r="BN475" s="48">
        <f>$G475/5280*VLOOKUP($AC475,'Cost and Score'!$B$27:$O$40,9,0)</f>
        <v>0</v>
      </c>
      <c r="BO475" s="48">
        <f>$G475/5280*VLOOKUP($AC475,'Cost and Score'!$B$27:$O$40,10,0)</f>
        <v>0</v>
      </c>
      <c r="BP475" s="48">
        <f>$G475/5280*VLOOKUP($AC475,'Cost and Score'!$B$27:$O$40,11,0)</f>
        <v>0</v>
      </c>
      <c r="BQ475" s="48">
        <f>$G475/5280*VLOOKUP($AC475,'Cost and Score'!$B$27:$O$40,12,0)</f>
        <v>0</v>
      </c>
      <c r="BR475" s="48">
        <f>$G475/5280*VLOOKUP($AC475,'Cost and Score'!$B$27:$O$40,13,0)</f>
        <v>0</v>
      </c>
      <c r="BS475" s="48">
        <f>$G475/5280*VLOOKUP($AC475,'Cost and Score'!$B$27:$O$40,14,0)</f>
        <v>0</v>
      </c>
      <c r="BT475" s="220">
        <f t="shared" si="255"/>
        <v>0.75643939393939397</v>
      </c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W475" s="2"/>
      <c r="CX475" s="2"/>
      <c r="CY475" s="2"/>
    </row>
    <row r="476" spans="1:103" s="112" customFormat="1" hidden="1" x14ac:dyDescent="0.25">
      <c r="A476" s="38" t="s">
        <v>2158</v>
      </c>
      <c r="B476" s="108" t="s">
        <v>1040</v>
      </c>
      <c r="C476" s="106" t="s">
        <v>1040</v>
      </c>
      <c r="D476" s="106"/>
      <c r="E476" s="106" t="s">
        <v>64</v>
      </c>
      <c r="F476" s="106" t="s">
        <v>59</v>
      </c>
      <c r="G476" s="109">
        <v>5329</v>
      </c>
      <c r="H476" s="109">
        <f t="shared" si="273"/>
        <v>20</v>
      </c>
      <c r="I476" s="106" t="s">
        <v>8</v>
      </c>
      <c r="J476" s="106" t="s">
        <v>62</v>
      </c>
      <c r="K476" s="106">
        <f t="shared" si="256"/>
        <v>0</v>
      </c>
      <c r="L476" s="110">
        <v>7</v>
      </c>
      <c r="M476" s="110">
        <v>8</v>
      </c>
      <c r="N476" s="110">
        <v>8</v>
      </c>
      <c r="O476" s="110">
        <v>8</v>
      </c>
      <c r="P476" s="110">
        <v>8</v>
      </c>
      <c r="Q476" s="110">
        <v>8</v>
      </c>
      <c r="R476" s="110">
        <v>8</v>
      </c>
      <c r="S476" s="110">
        <v>7</v>
      </c>
      <c r="T476" s="110">
        <v>7</v>
      </c>
      <c r="U476" s="110">
        <v>8</v>
      </c>
      <c r="V476" s="42"/>
      <c r="W476" s="42">
        <v>2021</v>
      </c>
      <c r="X476" s="42" t="s">
        <v>2612</v>
      </c>
      <c r="Y476" s="106">
        <v>594</v>
      </c>
      <c r="Z476" s="106">
        <f t="shared" si="274"/>
        <v>0.5</v>
      </c>
      <c r="AA476" s="106" t="s">
        <v>9</v>
      </c>
      <c r="AB476" s="111">
        <f t="shared" si="275"/>
        <v>2.5</v>
      </c>
      <c r="AC476" s="85" t="s">
        <v>2425</v>
      </c>
      <c r="AD476" s="107">
        <f t="shared" si="252"/>
        <v>25232.007575757576</v>
      </c>
      <c r="AE476" s="198"/>
      <c r="AF476" s="113">
        <f t="shared" si="271"/>
        <v>0</v>
      </c>
      <c r="AG476" s="26">
        <v>2027</v>
      </c>
      <c r="AH476" s="26" t="str">
        <f t="shared" si="257"/>
        <v/>
      </c>
      <c r="AI476" s="26" t="str">
        <f>IF($AG476=AI$1,VLOOKUP($AC476,RSL,3,FALSE),"")</f>
        <v/>
      </c>
      <c r="AJ476" s="26" t="str">
        <f t="shared" si="272"/>
        <v/>
      </c>
      <c r="AK476" s="26" t="str">
        <f t="shared" si="268"/>
        <v/>
      </c>
      <c r="AL476" s="26" t="str">
        <f t="shared" si="268"/>
        <v/>
      </c>
      <c r="AM476" s="26" t="str">
        <f t="shared" si="268"/>
        <v>Liquid Road</v>
      </c>
      <c r="AN476" s="26" t="str">
        <f t="shared" si="270"/>
        <v>Liquid Road</v>
      </c>
      <c r="AO476" s="26" t="str">
        <f>IF(AY476=AO$1,VLOOKUP(AZ476,RSL,3,FALSE),"")</f>
        <v>Microsurface double</v>
      </c>
      <c r="AP476" s="26" t="str">
        <f t="shared" si="261"/>
        <v/>
      </c>
      <c r="AQ476" s="68">
        <f t="shared" si="276"/>
        <v>12</v>
      </c>
      <c r="AR476" s="68">
        <f t="shared" si="277"/>
        <v>10</v>
      </c>
      <c r="AS476" s="68">
        <f t="shared" si="262"/>
        <v>1.05</v>
      </c>
      <c r="AT476" s="68">
        <f t="shared" si="263"/>
        <v>1</v>
      </c>
      <c r="AU476" s="68">
        <f t="shared" si="264"/>
        <v>1</v>
      </c>
      <c r="AV476" s="68">
        <f t="shared" si="265"/>
        <v>1</v>
      </c>
      <c r="AW476" s="68">
        <f t="shared" si="266"/>
        <v>1</v>
      </c>
      <c r="AX476" s="68">
        <f t="shared" ca="1" si="267"/>
        <v>3</v>
      </c>
      <c r="AY476" s="106">
        <v>2021</v>
      </c>
      <c r="AZ476" s="106" t="s">
        <v>2371</v>
      </c>
      <c r="BA476" s="106" t="str">
        <f t="shared" si="254"/>
        <v/>
      </c>
      <c r="BB476" s="177"/>
      <c r="BC476" s="177">
        <v>3</v>
      </c>
      <c r="BD476" s="177"/>
      <c r="BE476" s="177"/>
      <c r="BF476" s="177"/>
      <c r="BG476" s="177"/>
      <c r="BH476" s="177"/>
      <c r="BI476" s="33"/>
      <c r="BJ476" s="2"/>
      <c r="BK476" s="48">
        <f>$G476/5280*VLOOKUP($AC476,'Cost and Score'!$B$27:$O$40,6,0)</f>
        <v>1.009280303030303</v>
      </c>
      <c r="BL476" s="48">
        <f>$G476/5280*VLOOKUP($AC476,'Cost and Score'!$B$27:$O$40,7,0)</f>
        <v>16.148484848484848</v>
      </c>
      <c r="BM476" s="48">
        <f>$G476/5280*VLOOKUP($AC476,'Cost and Score'!$B$27:$O$40,8,0)</f>
        <v>0</v>
      </c>
      <c r="BN476" s="48">
        <f>$G476/5280*VLOOKUP($AC476,'Cost and Score'!$B$27:$O$40,9,0)</f>
        <v>0</v>
      </c>
      <c r="BO476" s="48">
        <f>$G476/5280*VLOOKUP($AC476,'Cost and Score'!$B$27:$O$40,10,0)</f>
        <v>0</v>
      </c>
      <c r="BP476" s="48">
        <f>$G476/5280*VLOOKUP($AC476,'Cost and Score'!$B$27:$O$40,11,0)</f>
        <v>0</v>
      </c>
      <c r="BQ476" s="48">
        <f>$G476/5280*VLOOKUP($AC476,'Cost and Score'!$B$27:$O$40,12,0)</f>
        <v>0</v>
      </c>
      <c r="BR476" s="48">
        <f>$G476/5280*VLOOKUP($AC476,'Cost and Score'!$B$27:$O$40,13,0)</f>
        <v>0</v>
      </c>
      <c r="BS476" s="48">
        <f>$G476/5280*VLOOKUP($AC476,'Cost and Score'!$B$27:$O$40,14,0)</f>
        <v>0</v>
      </c>
      <c r="BT476" s="220">
        <f t="shared" si="255"/>
        <v>1.009280303030303</v>
      </c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114"/>
      <c r="CW476" s="2"/>
      <c r="CX476" s="2"/>
      <c r="CY476" s="2"/>
    </row>
    <row r="477" spans="1:103" s="112" customFormat="1" ht="14.45" hidden="1" customHeight="1" x14ac:dyDescent="0.25">
      <c r="A477" s="38" t="s">
        <v>2159</v>
      </c>
      <c r="B477" s="34" t="s">
        <v>1041</v>
      </c>
      <c r="C477" s="26" t="s">
        <v>1041</v>
      </c>
      <c r="D477" s="26"/>
      <c r="E477" s="26" t="s">
        <v>168</v>
      </c>
      <c r="F477" s="26" t="s">
        <v>135</v>
      </c>
      <c r="G477" s="29">
        <v>2669</v>
      </c>
      <c r="H477" s="29">
        <f t="shared" si="273"/>
        <v>20</v>
      </c>
      <c r="I477" s="26" t="s">
        <v>8</v>
      </c>
      <c r="J477" s="26" t="s">
        <v>11</v>
      </c>
      <c r="K477" s="26">
        <f t="shared" si="256"/>
        <v>0</v>
      </c>
      <c r="L477" s="42">
        <v>7</v>
      </c>
      <c r="M477" s="42">
        <v>6</v>
      </c>
      <c r="N477" s="42">
        <v>6</v>
      </c>
      <c r="O477" s="42">
        <v>9</v>
      </c>
      <c r="P477" s="42">
        <v>8</v>
      </c>
      <c r="Q477" s="42">
        <v>8</v>
      </c>
      <c r="R477" s="42">
        <v>8</v>
      </c>
      <c r="S477" s="42">
        <v>8</v>
      </c>
      <c r="T477" s="42">
        <v>7</v>
      </c>
      <c r="U477" s="42">
        <v>7</v>
      </c>
      <c r="V477" s="42">
        <v>2024</v>
      </c>
      <c r="W477" s="42"/>
      <c r="X477" s="42" t="s">
        <v>2612</v>
      </c>
      <c r="Y477" s="26">
        <v>3089</v>
      </c>
      <c r="Z477" s="26">
        <f t="shared" si="274"/>
        <v>1.5</v>
      </c>
      <c r="AA477" s="26" t="s">
        <v>9</v>
      </c>
      <c r="AB477" s="111">
        <f t="shared" si="275"/>
        <v>3.5</v>
      </c>
      <c r="AC477" s="85" t="s">
        <v>2371</v>
      </c>
      <c r="AD477" s="47">
        <f t="shared" si="252"/>
        <v>40439.393939393936</v>
      </c>
      <c r="AE477" s="140">
        <v>1</v>
      </c>
      <c r="AF477" s="113">
        <f t="shared" si="271"/>
        <v>40439.393939393936</v>
      </c>
      <c r="AG477" s="26">
        <v>2024</v>
      </c>
      <c r="AH477" s="26" t="str">
        <f t="shared" si="257"/>
        <v/>
      </c>
      <c r="AI477" s="26" t="s">
        <v>2575</v>
      </c>
      <c r="AJ477" s="26" t="str">
        <f t="shared" si="272"/>
        <v>Microsurface double</v>
      </c>
      <c r="AK477" s="26" t="str">
        <f t="shared" si="268"/>
        <v/>
      </c>
      <c r="AL477" s="26" t="str">
        <f t="shared" si="268"/>
        <v/>
      </c>
      <c r="AM477" s="26" t="str">
        <f t="shared" si="268"/>
        <v/>
      </c>
      <c r="AN477" s="26" t="str">
        <f t="shared" si="270"/>
        <v>Microsurface double</v>
      </c>
      <c r="AO477" s="26" t="s">
        <v>2575</v>
      </c>
      <c r="AP477" s="26" t="str">
        <f t="shared" si="261"/>
        <v/>
      </c>
      <c r="AQ477" s="68">
        <f t="shared" si="276"/>
        <v>14</v>
      </c>
      <c r="AR477" s="68">
        <f t="shared" si="277"/>
        <v>10</v>
      </c>
      <c r="AS477" s="68">
        <f t="shared" si="262"/>
        <v>1.05</v>
      </c>
      <c r="AT477" s="68">
        <f t="shared" si="263"/>
        <v>1.1000000000000001</v>
      </c>
      <c r="AU477" s="68">
        <f t="shared" si="264"/>
        <v>1.1000000000000001</v>
      </c>
      <c r="AV477" s="68">
        <f t="shared" si="265"/>
        <v>1</v>
      </c>
      <c r="AW477" s="68">
        <f t="shared" si="266"/>
        <v>1</v>
      </c>
      <c r="AX477" s="68">
        <f t="shared" ca="1" si="267"/>
        <v>0</v>
      </c>
      <c r="AY477" s="68">
        <v>2016</v>
      </c>
      <c r="AZ477" s="68" t="s">
        <v>2075</v>
      </c>
      <c r="BA477" s="106" t="str">
        <f t="shared" si="254"/>
        <v/>
      </c>
      <c r="BB477" s="178"/>
      <c r="BC477" s="178">
        <v>2</v>
      </c>
      <c r="BD477" s="178"/>
      <c r="BE477" s="178"/>
      <c r="BF477" s="178"/>
      <c r="BG477" s="178"/>
      <c r="BH477" s="178"/>
      <c r="BI477" s="33" t="s">
        <v>2629</v>
      </c>
      <c r="BJ477" s="2"/>
      <c r="BK477" s="48">
        <f>$G477/5280*VLOOKUP($AC477,'Cost and Score'!$B$27:$O$40,6,0)</f>
        <v>0.25274621212121212</v>
      </c>
      <c r="BL477" s="48">
        <f>$G477/5280*VLOOKUP($AC477,'Cost and Score'!$B$27:$O$40,7,0)</f>
        <v>0</v>
      </c>
      <c r="BM477" s="48">
        <f>$G477/5280*VLOOKUP($AC477,'Cost and Score'!$B$27:$O$40,8,0)</f>
        <v>0</v>
      </c>
      <c r="BN477" s="48">
        <f>$G477/5280*VLOOKUP($AC477,'Cost and Score'!$B$27:$O$40,9,0)</f>
        <v>0</v>
      </c>
      <c r="BO477" s="48">
        <f>$G477/5280*VLOOKUP($AC477,'Cost and Score'!$B$27:$O$40,10,0)</f>
        <v>0</v>
      </c>
      <c r="BP477" s="48">
        <f>$G477/5280*VLOOKUP($AC477,'Cost and Score'!$B$27:$O$40,11,0)</f>
        <v>0</v>
      </c>
      <c r="BQ477" s="48">
        <f>$G477/5280*VLOOKUP($AC477,'Cost and Score'!$B$27:$O$40,12,0)</f>
        <v>0</v>
      </c>
      <c r="BR477" s="48">
        <f>$G477/5280*VLOOKUP($AC477,'Cost and Score'!$B$27:$O$40,13,0)</f>
        <v>0</v>
      </c>
      <c r="BS477" s="48">
        <f>$G477/5280*VLOOKUP($AC477,'Cost and Score'!$B$27:$O$40,14,0)</f>
        <v>0</v>
      </c>
      <c r="BT477" s="220">
        <f t="shared" si="255"/>
        <v>0.50549242424242424</v>
      </c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R477" s="2"/>
    </row>
    <row r="478" spans="1:103" s="2" customFormat="1" ht="14.45" hidden="1" customHeight="1" x14ac:dyDescent="0.25">
      <c r="A478" s="38" t="s">
        <v>2160</v>
      </c>
      <c r="B478" s="108" t="s">
        <v>1042</v>
      </c>
      <c r="C478" s="106" t="s">
        <v>1042</v>
      </c>
      <c r="D478" s="106"/>
      <c r="E478" s="106" t="s">
        <v>504</v>
      </c>
      <c r="F478" s="106" t="s">
        <v>67</v>
      </c>
      <c r="G478" s="109">
        <v>4407</v>
      </c>
      <c r="H478" s="109">
        <f t="shared" si="273"/>
        <v>20</v>
      </c>
      <c r="I478" s="106" t="s">
        <v>8</v>
      </c>
      <c r="J478" s="106" t="s">
        <v>62</v>
      </c>
      <c r="K478" s="106">
        <f t="shared" si="256"/>
        <v>0</v>
      </c>
      <c r="L478" s="110">
        <v>10</v>
      </c>
      <c r="M478" s="110">
        <v>8</v>
      </c>
      <c r="N478" s="110">
        <v>8</v>
      </c>
      <c r="O478" s="110">
        <v>8</v>
      </c>
      <c r="P478" s="110">
        <v>8</v>
      </c>
      <c r="Q478" s="110">
        <v>8</v>
      </c>
      <c r="R478" s="110">
        <v>8</v>
      </c>
      <c r="S478" s="110">
        <v>7</v>
      </c>
      <c r="T478" s="110">
        <v>7</v>
      </c>
      <c r="U478" s="110">
        <v>8</v>
      </c>
      <c r="V478" s="42"/>
      <c r="W478" s="42">
        <v>2021</v>
      </c>
      <c r="X478" s="42" t="s">
        <v>2612</v>
      </c>
      <c r="Y478" s="106">
        <v>1334</v>
      </c>
      <c r="Z478" s="106">
        <f t="shared" si="274"/>
        <v>0.5</v>
      </c>
      <c r="AA478" s="106" t="s">
        <v>9</v>
      </c>
      <c r="AB478" s="111">
        <f t="shared" si="275"/>
        <v>2.5</v>
      </c>
      <c r="AC478" s="85" t="s">
        <v>2425</v>
      </c>
      <c r="AD478" s="107">
        <f t="shared" si="252"/>
        <v>20866.477272727272</v>
      </c>
      <c r="AE478" s="198"/>
      <c r="AF478" s="113">
        <f t="shared" si="271"/>
        <v>0</v>
      </c>
      <c r="AG478" s="26">
        <v>2027</v>
      </c>
      <c r="AH478" s="26" t="str">
        <f t="shared" si="257"/>
        <v/>
      </c>
      <c r="AI478" s="26" t="str">
        <f t="shared" ref="AI478:AI541" si="278">IF($AG478=AI$1,VLOOKUP($AC478,RSL,3,FALSE),"")</f>
        <v/>
      </c>
      <c r="AJ478" s="26" t="str">
        <f t="shared" si="272"/>
        <v/>
      </c>
      <c r="AK478" s="26" t="str">
        <f t="shared" si="268"/>
        <v/>
      </c>
      <c r="AL478" s="26" t="str">
        <f t="shared" si="268"/>
        <v/>
      </c>
      <c r="AM478" s="26" t="str">
        <f t="shared" si="268"/>
        <v>Liquid Road</v>
      </c>
      <c r="AN478" s="26" t="str">
        <f t="shared" si="270"/>
        <v>Liquid Road</v>
      </c>
      <c r="AO478" s="26" t="str">
        <f t="shared" ref="AO478:AO485" si="279">IF(AY478=AO$1,VLOOKUP(AZ478,RSL,3,FALSE),"")</f>
        <v>Microsurface double</v>
      </c>
      <c r="AP478" s="26" t="str">
        <f t="shared" si="261"/>
        <v/>
      </c>
      <c r="AQ478" s="68">
        <f t="shared" si="276"/>
        <v>12</v>
      </c>
      <c r="AR478" s="68">
        <f t="shared" si="277"/>
        <v>10</v>
      </c>
      <c r="AS478" s="68">
        <f t="shared" si="262"/>
        <v>1</v>
      </c>
      <c r="AT478" s="68">
        <f t="shared" si="263"/>
        <v>1</v>
      </c>
      <c r="AU478" s="68">
        <f t="shared" si="264"/>
        <v>1</v>
      </c>
      <c r="AV478" s="68">
        <f t="shared" si="265"/>
        <v>1</v>
      </c>
      <c r="AW478" s="68">
        <f t="shared" si="266"/>
        <v>1</v>
      </c>
      <c r="AX478" s="68">
        <f t="shared" ca="1" si="267"/>
        <v>3</v>
      </c>
      <c r="AY478" s="106">
        <v>2021</v>
      </c>
      <c r="AZ478" s="106" t="s">
        <v>2371</v>
      </c>
      <c r="BA478" s="106" t="str">
        <f t="shared" si="254"/>
        <v/>
      </c>
      <c r="BB478" s="177"/>
      <c r="BC478" s="177">
        <v>4</v>
      </c>
      <c r="BD478" s="177"/>
      <c r="BE478" s="177"/>
      <c r="BF478" s="177"/>
      <c r="BG478" s="177"/>
      <c r="BH478" s="177"/>
      <c r="BI478" s="33"/>
      <c r="BK478" s="48">
        <f>$G478/5280*VLOOKUP($AC478,'Cost and Score'!$B$27:$O$40,6,0)</f>
        <v>0.83465909090909096</v>
      </c>
      <c r="BL478" s="48">
        <f>$G478/5280*VLOOKUP($AC478,'Cost and Score'!$B$27:$O$40,7,0)</f>
        <v>13.354545454545455</v>
      </c>
      <c r="BM478" s="48">
        <f>$G478/5280*VLOOKUP($AC478,'Cost and Score'!$B$27:$O$40,8,0)</f>
        <v>0</v>
      </c>
      <c r="BN478" s="48">
        <f>$G478/5280*VLOOKUP($AC478,'Cost and Score'!$B$27:$O$40,9,0)</f>
        <v>0</v>
      </c>
      <c r="BO478" s="48">
        <f>$G478/5280*VLOOKUP($AC478,'Cost and Score'!$B$27:$O$40,10,0)</f>
        <v>0</v>
      </c>
      <c r="BP478" s="48">
        <f>$G478/5280*VLOOKUP($AC478,'Cost and Score'!$B$27:$O$40,11,0)</f>
        <v>0</v>
      </c>
      <c r="BQ478" s="48">
        <f>$G478/5280*VLOOKUP($AC478,'Cost and Score'!$B$27:$O$40,12,0)</f>
        <v>0</v>
      </c>
      <c r="BR478" s="48">
        <f>$G478/5280*VLOOKUP($AC478,'Cost and Score'!$B$27:$O$40,13,0)</f>
        <v>0</v>
      </c>
      <c r="BS478" s="48">
        <f>$G478/5280*VLOOKUP($AC478,'Cost and Score'!$B$27:$O$40,14,0)</f>
        <v>0</v>
      </c>
      <c r="BT478" s="220">
        <f t="shared" si="255"/>
        <v>0.83465909090909096</v>
      </c>
      <c r="CF478" s="112"/>
      <c r="CN478" s="112"/>
      <c r="CO478" s="112"/>
      <c r="CP478" s="112"/>
      <c r="CQ478" s="112"/>
      <c r="CR478" s="112"/>
      <c r="CV478" s="112"/>
      <c r="CW478" s="112"/>
      <c r="CX478" s="112"/>
      <c r="CY478" s="112"/>
    </row>
    <row r="479" spans="1:103" s="112" customFormat="1" ht="14.45" hidden="1" customHeight="1" x14ac:dyDescent="0.25">
      <c r="A479" s="36" t="s">
        <v>2161</v>
      </c>
      <c r="B479" s="108" t="s">
        <v>1043</v>
      </c>
      <c r="C479" s="106" t="s">
        <v>1043</v>
      </c>
      <c r="D479" s="106"/>
      <c r="E479" s="106" t="s">
        <v>67</v>
      </c>
      <c r="F479" s="106" t="s">
        <v>406</v>
      </c>
      <c r="G479" s="109">
        <v>2405</v>
      </c>
      <c r="H479" s="109">
        <f t="shared" si="273"/>
        <v>20</v>
      </c>
      <c r="I479" s="106" t="s">
        <v>8</v>
      </c>
      <c r="J479" s="106" t="s">
        <v>11</v>
      </c>
      <c r="K479" s="106">
        <f t="shared" si="256"/>
        <v>0</v>
      </c>
      <c r="L479" s="110">
        <v>9</v>
      </c>
      <c r="M479" s="110">
        <v>8</v>
      </c>
      <c r="N479" s="110">
        <v>7</v>
      </c>
      <c r="O479" s="110">
        <v>9</v>
      </c>
      <c r="P479" s="110">
        <v>8</v>
      </c>
      <c r="Q479" s="110">
        <v>8</v>
      </c>
      <c r="R479" s="110">
        <v>8</v>
      </c>
      <c r="S479" s="110">
        <v>8</v>
      </c>
      <c r="T479" s="110">
        <v>7</v>
      </c>
      <c r="U479" s="110">
        <v>8</v>
      </c>
      <c r="V479" s="42"/>
      <c r="W479" s="42">
        <v>2021</v>
      </c>
      <c r="X479" s="42" t="s">
        <v>2612</v>
      </c>
      <c r="Y479" s="106">
        <v>1328</v>
      </c>
      <c r="Z479" s="106">
        <f t="shared" si="274"/>
        <v>0.5</v>
      </c>
      <c r="AA479" s="106" t="s">
        <v>9</v>
      </c>
      <c r="AB479" s="111">
        <f t="shared" si="275"/>
        <v>2.5</v>
      </c>
      <c r="AC479" s="85" t="s">
        <v>2425</v>
      </c>
      <c r="AD479" s="107">
        <f t="shared" si="252"/>
        <v>11387.310606060606</v>
      </c>
      <c r="AE479" s="198"/>
      <c r="AF479" s="113">
        <f t="shared" si="271"/>
        <v>0</v>
      </c>
      <c r="AG479" s="26">
        <v>2027</v>
      </c>
      <c r="AH479" s="26" t="str">
        <f t="shared" si="257"/>
        <v/>
      </c>
      <c r="AI479" s="26" t="str">
        <f t="shared" si="278"/>
        <v/>
      </c>
      <c r="AJ479" s="26" t="str">
        <f t="shared" si="272"/>
        <v/>
      </c>
      <c r="AK479" s="26" t="str">
        <f t="shared" si="268"/>
        <v/>
      </c>
      <c r="AL479" s="26" t="str">
        <f t="shared" si="268"/>
        <v/>
      </c>
      <c r="AM479" s="26" t="str">
        <f t="shared" si="268"/>
        <v>Liquid Road</v>
      </c>
      <c r="AN479" s="26" t="str">
        <f t="shared" si="270"/>
        <v>Liquid Road</v>
      </c>
      <c r="AO479" s="26" t="str">
        <f t="shared" si="279"/>
        <v>Microsurface double</v>
      </c>
      <c r="AP479" s="26" t="str">
        <f t="shared" si="261"/>
        <v/>
      </c>
      <c r="AQ479" s="68">
        <f t="shared" si="276"/>
        <v>14</v>
      </c>
      <c r="AR479" s="68">
        <f t="shared" si="277"/>
        <v>10</v>
      </c>
      <c r="AS479" s="68">
        <f t="shared" si="262"/>
        <v>1</v>
      </c>
      <c r="AT479" s="68">
        <f t="shared" si="263"/>
        <v>1</v>
      </c>
      <c r="AU479" s="68">
        <f t="shared" si="264"/>
        <v>1.05</v>
      </c>
      <c r="AV479" s="68">
        <f t="shared" si="265"/>
        <v>1</v>
      </c>
      <c r="AW479" s="68">
        <f t="shared" si="266"/>
        <v>1</v>
      </c>
      <c r="AX479" s="68">
        <f t="shared" ca="1" si="267"/>
        <v>3.1500000000000004</v>
      </c>
      <c r="AY479" s="106">
        <v>2021</v>
      </c>
      <c r="AZ479" s="106" t="s">
        <v>2371</v>
      </c>
      <c r="BA479" s="106" t="str">
        <f t="shared" si="254"/>
        <v/>
      </c>
      <c r="BB479" s="177"/>
      <c r="BC479" s="177">
        <v>4</v>
      </c>
      <c r="BD479" s="177"/>
      <c r="BE479" s="177"/>
      <c r="BF479" s="177"/>
      <c r="BG479" s="177"/>
      <c r="BH479" s="177"/>
      <c r="BI479" s="33"/>
      <c r="BJ479" s="2"/>
      <c r="BK479" s="48">
        <f>$G479/5280*VLOOKUP($AC479,'Cost and Score'!$B$27:$O$40,6,0)</f>
        <v>0.45549242424242425</v>
      </c>
      <c r="BL479" s="48">
        <f>$G479/5280*VLOOKUP($AC479,'Cost and Score'!$B$27:$O$40,7,0)</f>
        <v>7.2878787878787881</v>
      </c>
      <c r="BM479" s="48">
        <f>$G479/5280*VLOOKUP($AC479,'Cost and Score'!$B$27:$O$40,8,0)</f>
        <v>0</v>
      </c>
      <c r="BN479" s="48">
        <f>$G479/5280*VLOOKUP($AC479,'Cost and Score'!$B$27:$O$40,9,0)</f>
        <v>0</v>
      </c>
      <c r="BO479" s="48">
        <f>$G479/5280*VLOOKUP($AC479,'Cost and Score'!$B$27:$O$40,10,0)</f>
        <v>0</v>
      </c>
      <c r="BP479" s="48">
        <f>$G479/5280*VLOOKUP($AC479,'Cost and Score'!$B$27:$O$40,11,0)</f>
        <v>0</v>
      </c>
      <c r="BQ479" s="48">
        <f>$G479/5280*VLOOKUP($AC479,'Cost and Score'!$B$27:$O$40,12,0)</f>
        <v>0</v>
      </c>
      <c r="BR479" s="48">
        <f>$G479/5280*VLOOKUP($AC479,'Cost and Score'!$B$27:$O$40,13,0)</f>
        <v>0</v>
      </c>
      <c r="BS479" s="48">
        <f>$G479/5280*VLOOKUP($AC479,'Cost and Score'!$B$27:$O$40,14,0)</f>
        <v>0</v>
      </c>
      <c r="BT479" s="220">
        <f t="shared" si="255"/>
        <v>0.45549242424242425</v>
      </c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N479" s="2"/>
      <c r="CO479" s="2"/>
      <c r="CP479" s="2"/>
      <c r="CQ479" s="2"/>
      <c r="CV479" s="2"/>
      <c r="CW479" s="2"/>
      <c r="CX479" s="2"/>
      <c r="CY479" s="2"/>
    </row>
    <row r="480" spans="1:103" s="112" customFormat="1" hidden="1" x14ac:dyDescent="0.25">
      <c r="A480" s="38" t="s">
        <v>2162</v>
      </c>
      <c r="B480" s="108" t="s">
        <v>1044</v>
      </c>
      <c r="C480" s="106" t="s">
        <v>1044</v>
      </c>
      <c r="D480" s="106"/>
      <c r="E480" s="106" t="s">
        <v>73</v>
      </c>
      <c r="F480" s="106" t="s">
        <v>64</v>
      </c>
      <c r="G480" s="109">
        <v>5452</v>
      </c>
      <c r="H480" s="109">
        <f t="shared" si="273"/>
        <v>20</v>
      </c>
      <c r="I480" s="106" t="s">
        <v>8</v>
      </c>
      <c r="J480" s="106" t="s">
        <v>62</v>
      </c>
      <c r="K480" s="106">
        <f t="shared" si="256"/>
        <v>0</v>
      </c>
      <c r="L480" s="110">
        <v>7</v>
      </c>
      <c r="M480" s="110">
        <v>7</v>
      </c>
      <c r="N480" s="110">
        <v>7</v>
      </c>
      <c r="O480" s="110">
        <v>7</v>
      </c>
      <c r="P480" s="110">
        <v>7</v>
      </c>
      <c r="Q480" s="110">
        <v>7</v>
      </c>
      <c r="R480" s="110">
        <v>7</v>
      </c>
      <c r="S480" s="110">
        <v>7</v>
      </c>
      <c r="T480" s="110">
        <v>7</v>
      </c>
      <c r="U480" s="110">
        <v>8</v>
      </c>
      <c r="V480" s="42"/>
      <c r="W480" s="42">
        <v>2021</v>
      </c>
      <c r="X480" s="42" t="s">
        <v>2612</v>
      </c>
      <c r="Y480" s="106">
        <v>529</v>
      </c>
      <c r="Z480" s="106">
        <f t="shared" si="274"/>
        <v>0.5</v>
      </c>
      <c r="AA480" s="106" t="s">
        <v>9</v>
      </c>
      <c r="AB480" s="111">
        <f t="shared" si="275"/>
        <v>3.5</v>
      </c>
      <c r="AC480" s="85" t="s">
        <v>2425</v>
      </c>
      <c r="AD480" s="107">
        <f t="shared" si="252"/>
        <v>25814.39393939394</v>
      </c>
      <c r="AE480" s="198"/>
      <c r="AF480" s="113">
        <f t="shared" si="271"/>
        <v>0</v>
      </c>
      <c r="AG480" s="26">
        <v>2027</v>
      </c>
      <c r="AH480" s="26" t="str">
        <f t="shared" si="257"/>
        <v/>
      </c>
      <c r="AI480" s="26" t="str">
        <f t="shared" si="278"/>
        <v/>
      </c>
      <c r="AJ480" s="26" t="str">
        <f t="shared" si="272"/>
        <v/>
      </c>
      <c r="AK480" s="26" t="str">
        <f t="shared" si="268"/>
        <v/>
      </c>
      <c r="AL480" s="26" t="str">
        <f t="shared" si="268"/>
        <v/>
      </c>
      <c r="AM480" s="26" t="str">
        <f t="shared" si="268"/>
        <v>Liquid Road</v>
      </c>
      <c r="AN480" s="26" t="str">
        <f t="shared" si="270"/>
        <v>Liquid Road</v>
      </c>
      <c r="AO480" s="26" t="str">
        <f t="shared" si="279"/>
        <v>Microsurface double</v>
      </c>
      <c r="AP480" s="26" t="str">
        <f t="shared" si="261"/>
        <v/>
      </c>
      <c r="AQ480" s="68">
        <f t="shared" si="276"/>
        <v>10</v>
      </c>
      <c r="AR480" s="68">
        <f t="shared" si="277"/>
        <v>10</v>
      </c>
      <c r="AS480" s="68">
        <f t="shared" si="262"/>
        <v>1.05</v>
      </c>
      <c r="AT480" s="68">
        <f t="shared" si="263"/>
        <v>1.05</v>
      </c>
      <c r="AU480" s="68">
        <f t="shared" si="264"/>
        <v>1.05</v>
      </c>
      <c r="AV480" s="68">
        <f t="shared" si="265"/>
        <v>1.05</v>
      </c>
      <c r="AW480" s="68">
        <f t="shared" si="266"/>
        <v>1.05</v>
      </c>
      <c r="AX480" s="68">
        <f t="shared" ca="1" si="267"/>
        <v>3.1500000000000004</v>
      </c>
      <c r="AY480" s="106">
        <v>2021</v>
      </c>
      <c r="AZ480" s="106" t="s">
        <v>2371</v>
      </c>
      <c r="BA480" s="106" t="str">
        <f t="shared" si="254"/>
        <v/>
      </c>
      <c r="BB480" s="177"/>
      <c r="BC480" s="177">
        <v>3</v>
      </c>
      <c r="BD480" s="177"/>
      <c r="BE480" s="177"/>
      <c r="BF480" s="177"/>
      <c r="BG480" s="177"/>
      <c r="BH480" s="177"/>
      <c r="BI480" s="33"/>
      <c r="BJ480" s="2"/>
      <c r="BK480" s="48">
        <f>$G480/5280*VLOOKUP($AC480,'Cost and Score'!$B$27:$O$40,6,0)</f>
        <v>1.0325757575757575</v>
      </c>
      <c r="BL480" s="48">
        <f>$G480/5280*VLOOKUP($AC480,'Cost and Score'!$B$27:$O$40,7,0)</f>
        <v>16.52121212121212</v>
      </c>
      <c r="BM480" s="48">
        <f>$G480/5280*VLOOKUP($AC480,'Cost and Score'!$B$27:$O$40,8,0)</f>
        <v>0</v>
      </c>
      <c r="BN480" s="48">
        <f>$G480/5280*VLOOKUP($AC480,'Cost and Score'!$B$27:$O$40,9,0)</f>
        <v>0</v>
      </c>
      <c r="BO480" s="48">
        <f>$G480/5280*VLOOKUP($AC480,'Cost and Score'!$B$27:$O$40,10,0)</f>
        <v>0</v>
      </c>
      <c r="BP480" s="48">
        <f>$G480/5280*VLOOKUP($AC480,'Cost and Score'!$B$27:$O$40,11,0)</f>
        <v>0</v>
      </c>
      <c r="BQ480" s="48">
        <f>$G480/5280*VLOOKUP($AC480,'Cost and Score'!$B$27:$O$40,12,0)</f>
        <v>0</v>
      </c>
      <c r="BR480" s="48">
        <f>$G480/5280*VLOOKUP($AC480,'Cost and Score'!$B$27:$O$40,13,0)</f>
        <v>0</v>
      </c>
      <c r="BS480" s="48">
        <f>$G480/5280*VLOOKUP($AC480,'Cost and Score'!$B$27:$O$40,14,0)</f>
        <v>0</v>
      </c>
      <c r="BT480" s="220">
        <f t="shared" si="255"/>
        <v>1.0325757575757575</v>
      </c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W480" s="2"/>
      <c r="CX480" s="2"/>
      <c r="CY480" s="2"/>
    </row>
    <row r="481" spans="1:103" s="112" customFormat="1" ht="14.45" hidden="1" customHeight="1" x14ac:dyDescent="0.25">
      <c r="A481" s="38" t="s">
        <v>2164</v>
      </c>
      <c r="B481" s="34" t="s">
        <v>1045</v>
      </c>
      <c r="C481" s="26" t="s">
        <v>1045</v>
      </c>
      <c r="D481" s="26"/>
      <c r="E481" s="26" t="s">
        <v>135</v>
      </c>
      <c r="F481" s="26" t="s">
        <v>138</v>
      </c>
      <c r="G481" s="29">
        <v>1350</v>
      </c>
      <c r="H481" s="29">
        <f t="shared" si="273"/>
        <v>20</v>
      </c>
      <c r="I481" s="26" t="s">
        <v>8</v>
      </c>
      <c r="J481" s="26" t="s">
        <v>11</v>
      </c>
      <c r="K481" s="26">
        <f t="shared" si="256"/>
        <v>0</v>
      </c>
      <c r="L481" s="42">
        <v>7</v>
      </c>
      <c r="M481" s="42">
        <v>7</v>
      </c>
      <c r="N481" s="42">
        <v>7</v>
      </c>
      <c r="O481" s="42">
        <v>6</v>
      </c>
      <c r="P481" s="42">
        <v>6</v>
      </c>
      <c r="Q481" s="42">
        <v>7</v>
      </c>
      <c r="R481" s="42">
        <v>8</v>
      </c>
      <c r="S481" s="42">
        <v>8</v>
      </c>
      <c r="T481" s="42">
        <v>7</v>
      </c>
      <c r="U481" s="42">
        <v>7</v>
      </c>
      <c r="V481" s="42">
        <v>2024</v>
      </c>
      <c r="W481" s="42"/>
      <c r="X481" s="42" t="s">
        <v>2612</v>
      </c>
      <c r="Y481" s="26">
        <v>3552</v>
      </c>
      <c r="Z481" s="26">
        <f t="shared" si="274"/>
        <v>1.5</v>
      </c>
      <c r="AA481" s="26" t="s">
        <v>9</v>
      </c>
      <c r="AB481" s="111">
        <f t="shared" si="275"/>
        <v>5.5</v>
      </c>
      <c r="AC481" s="26" t="s">
        <v>13</v>
      </c>
      <c r="AD481" s="47">
        <f t="shared" si="252"/>
        <v>5369.318181818182</v>
      </c>
      <c r="AE481" s="140"/>
      <c r="AF481" s="113">
        <f t="shared" si="271"/>
        <v>0</v>
      </c>
      <c r="AG481" s="26">
        <v>2024</v>
      </c>
      <c r="AH481" s="26" t="str">
        <f t="shared" si="257"/>
        <v/>
      </c>
      <c r="AI481" s="26" t="str">
        <f t="shared" si="278"/>
        <v/>
      </c>
      <c r="AJ481" s="26" t="str">
        <f t="shared" si="272"/>
        <v>Chip Seal and Fog</v>
      </c>
      <c r="AK481" s="26" t="str">
        <f t="shared" si="268"/>
        <v/>
      </c>
      <c r="AL481" s="26" t="str">
        <f t="shared" si="268"/>
        <v/>
      </c>
      <c r="AM481" s="26" t="str">
        <f t="shared" si="268"/>
        <v/>
      </c>
      <c r="AN481" s="26" t="str">
        <f t="shared" si="270"/>
        <v>Chip Seal and Fog</v>
      </c>
      <c r="AO481" s="26" t="str">
        <f t="shared" si="279"/>
        <v/>
      </c>
      <c r="AP481" s="26" t="str">
        <f t="shared" si="261"/>
        <v/>
      </c>
      <c r="AQ481" s="68">
        <f t="shared" si="276"/>
        <v>8</v>
      </c>
      <c r="AR481" s="68">
        <f t="shared" si="277"/>
        <v>6</v>
      </c>
      <c r="AS481" s="68">
        <f t="shared" si="262"/>
        <v>1.05</v>
      </c>
      <c r="AT481" s="68">
        <f t="shared" si="263"/>
        <v>1.05</v>
      </c>
      <c r="AU481" s="68">
        <f t="shared" si="264"/>
        <v>1.05</v>
      </c>
      <c r="AV481" s="68">
        <f t="shared" si="265"/>
        <v>1.1000000000000001</v>
      </c>
      <c r="AW481" s="68">
        <f t="shared" si="266"/>
        <v>1.1000000000000001</v>
      </c>
      <c r="AX481" s="68">
        <f t="shared" ca="1" si="267"/>
        <v>0</v>
      </c>
      <c r="AY481" s="68">
        <v>2016</v>
      </c>
      <c r="AZ481" s="68" t="s">
        <v>2075</v>
      </c>
      <c r="BA481" s="106" t="str">
        <f t="shared" si="254"/>
        <v/>
      </c>
      <c r="BB481" s="178"/>
      <c r="BC481" s="178">
        <v>2</v>
      </c>
      <c r="BD481" s="178"/>
      <c r="BE481" s="178"/>
      <c r="BF481" s="178"/>
      <c r="BG481" s="178"/>
      <c r="BH481" s="178"/>
      <c r="BI481" s="33"/>
      <c r="BJ481" s="2"/>
      <c r="BK481" s="48">
        <f>$G481/5280*VLOOKUP($AC481,'Cost and Score'!$B$27:$O$40,6,0)</f>
        <v>5.113636363636364E-2</v>
      </c>
      <c r="BL481" s="48">
        <f>$G481/5280*VLOOKUP($AC481,'Cost and Score'!$B$27:$O$40,7,0)</f>
        <v>5.625</v>
      </c>
      <c r="BM481" s="48">
        <f>$G481/5280*VLOOKUP($AC481,'Cost and Score'!$B$27:$O$40,8,0)</f>
        <v>0</v>
      </c>
      <c r="BN481" s="48">
        <f>$G481/5280*VLOOKUP($AC481,'Cost and Score'!$B$27:$O$40,9,0)</f>
        <v>1150.5681818181818</v>
      </c>
      <c r="BO481" s="48">
        <f>$G481/5280*VLOOKUP($AC481,'Cost and Score'!$B$27:$O$40,10,0)</f>
        <v>255.68181818181819</v>
      </c>
      <c r="BP481" s="48">
        <f>$G481/5280*VLOOKUP($AC481,'Cost and Score'!$B$27:$O$40,11,0)</f>
        <v>0</v>
      </c>
      <c r="BQ481" s="48">
        <f>$G481/5280*VLOOKUP($AC481,'Cost and Score'!$B$27:$O$40,12,0)</f>
        <v>25.568181818181817</v>
      </c>
      <c r="BR481" s="48">
        <f>$G481/5280*VLOOKUP($AC481,'Cost and Score'!$B$27:$O$40,13,0)</f>
        <v>30.68181818181818</v>
      </c>
      <c r="BS481" s="48">
        <f>$G481/5280*VLOOKUP($AC481,'Cost and Score'!$B$27:$O$40,14,0)</f>
        <v>0</v>
      </c>
      <c r="BT481" s="220">
        <f t="shared" si="255"/>
        <v>0.25568181818181818</v>
      </c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R481" s="2"/>
      <c r="CW481" s="2"/>
      <c r="CX481" s="2"/>
      <c r="CY481" s="2"/>
    </row>
    <row r="482" spans="1:103" s="2" customFormat="1" ht="14.45" hidden="1" customHeight="1" x14ac:dyDescent="0.25">
      <c r="A482" s="38" t="s">
        <v>2169</v>
      </c>
      <c r="B482" s="34" t="s">
        <v>1046</v>
      </c>
      <c r="C482" s="26" t="s">
        <v>1046</v>
      </c>
      <c r="D482" s="26"/>
      <c r="E482" s="26" t="s">
        <v>1047</v>
      </c>
      <c r="F482" s="26" t="s">
        <v>140</v>
      </c>
      <c r="G482" s="29">
        <v>3713</v>
      </c>
      <c r="H482" s="29">
        <f t="shared" si="273"/>
        <v>20</v>
      </c>
      <c r="I482" s="26" t="s">
        <v>8</v>
      </c>
      <c r="J482" s="26" t="s">
        <v>17</v>
      </c>
      <c r="K482" s="26">
        <f t="shared" si="256"/>
        <v>0</v>
      </c>
      <c r="L482" s="42">
        <v>8</v>
      </c>
      <c r="M482" s="42">
        <v>7</v>
      </c>
      <c r="N482" s="42">
        <v>7</v>
      </c>
      <c r="O482" s="42">
        <v>7</v>
      </c>
      <c r="P482" s="42">
        <v>7</v>
      </c>
      <c r="Q482" s="42">
        <v>7</v>
      </c>
      <c r="R482" s="42">
        <v>7</v>
      </c>
      <c r="S482" s="42">
        <v>7</v>
      </c>
      <c r="T482" s="42">
        <v>7</v>
      </c>
      <c r="U482" s="42">
        <v>7</v>
      </c>
      <c r="V482" s="42"/>
      <c r="W482" s="42"/>
      <c r="X482" s="42"/>
      <c r="Y482" s="26">
        <v>142</v>
      </c>
      <c r="Z482" s="26">
        <f t="shared" si="274"/>
        <v>0</v>
      </c>
      <c r="AA482" s="26" t="s">
        <v>9</v>
      </c>
      <c r="AB482" s="111">
        <f t="shared" si="275"/>
        <v>3</v>
      </c>
      <c r="AC482" s="106" t="s">
        <v>13</v>
      </c>
      <c r="AD482" s="47">
        <f t="shared" si="252"/>
        <v>14767.613636363636</v>
      </c>
      <c r="AE482" s="140"/>
      <c r="AF482" s="113">
        <f t="shared" si="271"/>
        <v>0</v>
      </c>
      <c r="AG482" s="85">
        <v>2026</v>
      </c>
      <c r="AH482" s="26" t="str">
        <f t="shared" si="257"/>
        <v/>
      </c>
      <c r="AI482" s="26" t="str">
        <f t="shared" si="278"/>
        <v/>
      </c>
      <c r="AJ482" s="26" t="str">
        <f t="shared" si="272"/>
        <v/>
      </c>
      <c r="AK482" s="26" t="str">
        <f t="shared" si="268"/>
        <v/>
      </c>
      <c r="AL482" s="26" t="str">
        <f t="shared" si="268"/>
        <v>Chip Seal and Fog</v>
      </c>
      <c r="AM482" s="26" t="str">
        <f t="shared" si="268"/>
        <v/>
      </c>
      <c r="AN482" s="26" t="str">
        <f t="shared" si="270"/>
        <v>Chip Seal and Fog</v>
      </c>
      <c r="AO482" s="26" t="str">
        <f t="shared" si="279"/>
        <v/>
      </c>
      <c r="AP482" s="26" t="str">
        <f t="shared" si="261"/>
        <v/>
      </c>
      <c r="AQ482" s="68">
        <f t="shared" si="276"/>
        <v>10</v>
      </c>
      <c r="AR482" s="68">
        <f t="shared" si="277"/>
        <v>6</v>
      </c>
      <c r="AS482" s="68">
        <f t="shared" si="262"/>
        <v>1</v>
      </c>
      <c r="AT482" s="68">
        <f t="shared" si="263"/>
        <v>1.05</v>
      </c>
      <c r="AU482" s="68">
        <f t="shared" si="264"/>
        <v>1.05</v>
      </c>
      <c r="AV482" s="68">
        <f t="shared" si="265"/>
        <v>1.05</v>
      </c>
      <c r="AW482" s="68">
        <f t="shared" si="266"/>
        <v>1.05</v>
      </c>
      <c r="AX482" s="68">
        <f t="shared" ca="1" si="267"/>
        <v>2.1</v>
      </c>
      <c r="AY482" s="68">
        <v>2020</v>
      </c>
      <c r="AZ482" s="68" t="s">
        <v>13</v>
      </c>
      <c r="BA482" s="106" t="str">
        <f t="shared" si="254"/>
        <v/>
      </c>
      <c r="BB482" s="178"/>
      <c r="BC482" s="178">
        <v>5</v>
      </c>
      <c r="BD482" s="178"/>
      <c r="BE482" s="178"/>
      <c r="BF482" s="178"/>
      <c r="BG482" s="178"/>
      <c r="BH482" s="178"/>
      <c r="BI482" s="33"/>
      <c r="BK482" s="48">
        <f>$G482/5280*VLOOKUP($AC482,'Cost and Score'!$B$27:$O$40,6,0)</f>
        <v>0.1406439393939394</v>
      </c>
      <c r="BL482" s="48">
        <f>$G482/5280*VLOOKUP($AC482,'Cost and Score'!$B$27:$O$40,7,0)</f>
        <v>15.470833333333333</v>
      </c>
      <c r="BM482" s="48">
        <f>$G482/5280*VLOOKUP($AC482,'Cost and Score'!$B$27:$O$40,8,0)</f>
        <v>0</v>
      </c>
      <c r="BN482" s="48">
        <f>$G482/5280*VLOOKUP($AC482,'Cost and Score'!$B$27:$O$40,9,0)</f>
        <v>3164.4886363636365</v>
      </c>
      <c r="BO482" s="48">
        <f>$G482/5280*VLOOKUP($AC482,'Cost and Score'!$B$27:$O$40,10,0)</f>
        <v>703.219696969697</v>
      </c>
      <c r="BP482" s="48">
        <f>$G482/5280*VLOOKUP($AC482,'Cost and Score'!$B$27:$O$40,11,0)</f>
        <v>0</v>
      </c>
      <c r="BQ482" s="48">
        <f>$G482/5280*VLOOKUP($AC482,'Cost and Score'!$B$27:$O$40,12,0)</f>
        <v>70.321969696969703</v>
      </c>
      <c r="BR482" s="48">
        <f>$G482/5280*VLOOKUP($AC482,'Cost and Score'!$B$27:$O$40,13,0)</f>
        <v>84.38636363636364</v>
      </c>
      <c r="BS482" s="48">
        <f>$G482/5280*VLOOKUP($AC482,'Cost and Score'!$B$27:$O$40,14,0)</f>
        <v>0</v>
      </c>
      <c r="BT482" s="220">
        <f t="shared" si="255"/>
        <v>0.70321969696969699</v>
      </c>
      <c r="CN482" s="112"/>
      <c r="CO482" s="112"/>
      <c r="CP482" s="112"/>
      <c r="CQ482" s="112"/>
      <c r="CV482" s="112"/>
      <c r="CW482" s="112"/>
      <c r="CX482" s="112"/>
      <c r="CY482" s="112"/>
    </row>
    <row r="483" spans="1:103" s="2" customFormat="1" ht="14.45" hidden="1" customHeight="1" x14ac:dyDescent="0.25">
      <c r="A483" s="38" t="s">
        <v>2165</v>
      </c>
      <c r="B483" s="34" t="s">
        <v>1048</v>
      </c>
      <c r="C483" s="26" t="s">
        <v>1048</v>
      </c>
      <c r="D483" s="82"/>
      <c r="E483" s="82" t="s">
        <v>140</v>
      </c>
      <c r="F483" s="82" t="s">
        <v>147</v>
      </c>
      <c r="G483" s="29">
        <v>4724</v>
      </c>
      <c r="H483" s="29">
        <f t="shared" si="273"/>
        <v>20</v>
      </c>
      <c r="I483" s="26" t="s">
        <v>8</v>
      </c>
      <c r="J483" s="26" t="s">
        <v>17</v>
      </c>
      <c r="K483" s="26">
        <f t="shared" si="256"/>
        <v>0</v>
      </c>
      <c r="L483" s="42">
        <v>7</v>
      </c>
      <c r="M483" s="42">
        <v>7</v>
      </c>
      <c r="N483" s="42">
        <v>7</v>
      </c>
      <c r="O483" s="83">
        <v>6</v>
      </c>
      <c r="P483" s="83">
        <v>6</v>
      </c>
      <c r="Q483" s="83">
        <v>5</v>
      </c>
      <c r="R483" s="83">
        <v>5</v>
      </c>
      <c r="S483" s="83">
        <v>5</v>
      </c>
      <c r="T483" s="83">
        <v>7</v>
      </c>
      <c r="U483" s="83">
        <v>7</v>
      </c>
      <c r="V483" s="42"/>
      <c r="W483" s="42">
        <v>2021</v>
      </c>
      <c r="X483" s="42" t="s">
        <v>2612</v>
      </c>
      <c r="Y483" s="26">
        <v>154</v>
      </c>
      <c r="Z483" s="26">
        <f t="shared" si="274"/>
        <v>0</v>
      </c>
      <c r="AA483" s="82" t="s">
        <v>9</v>
      </c>
      <c r="AB483" s="111">
        <f t="shared" si="275"/>
        <v>4</v>
      </c>
      <c r="AC483" s="85" t="s">
        <v>2425</v>
      </c>
      <c r="AD483" s="84">
        <f t="shared" si="252"/>
        <v>22367.424242424244</v>
      </c>
      <c r="AE483" s="140"/>
      <c r="AF483" s="113">
        <f t="shared" si="271"/>
        <v>0</v>
      </c>
      <c r="AG483" s="26">
        <v>2027</v>
      </c>
      <c r="AH483" s="26" t="str">
        <f t="shared" si="257"/>
        <v/>
      </c>
      <c r="AI483" s="26" t="str">
        <f t="shared" si="278"/>
        <v/>
      </c>
      <c r="AJ483" s="26" t="str">
        <f t="shared" si="272"/>
        <v/>
      </c>
      <c r="AK483" s="26" t="str">
        <f t="shared" si="268"/>
        <v/>
      </c>
      <c r="AL483" s="26" t="str">
        <f t="shared" si="268"/>
        <v/>
      </c>
      <c r="AM483" s="26" t="str">
        <f t="shared" si="268"/>
        <v>Liquid Road</v>
      </c>
      <c r="AN483" s="26" t="str">
        <f t="shared" si="270"/>
        <v>Liquid Road</v>
      </c>
      <c r="AO483" s="26" t="str">
        <f t="shared" si="279"/>
        <v>Microsurface double</v>
      </c>
      <c r="AP483" s="26" t="str">
        <f t="shared" si="261"/>
        <v/>
      </c>
      <c r="AQ483" s="68">
        <f t="shared" si="276"/>
        <v>8</v>
      </c>
      <c r="AR483" s="68">
        <f t="shared" si="277"/>
        <v>10</v>
      </c>
      <c r="AS483" s="68">
        <f t="shared" si="262"/>
        <v>1.05</v>
      </c>
      <c r="AT483" s="68">
        <f t="shared" si="263"/>
        <v>1.05</v>
      </c>
      <c r="AU483" s="68">
        <f t="shared" si="264"/>
        <v>1.05</v>
      </c>
      <c r="AV483" s="68">
        <f t="shared" si="265"/>
        <v>1.1000000000000001</v>
      </c>
      <c r="AW483" s="68">
        <f t="shared" si="266"/>
        <v>1.1000000000000001</v>
      </c>
      <c r="AX483" s="68">
        <f t="shared" ca="1" si="267"/>
        <v>3.1500000000000004</v>
      </c>
      <c r="AY483" s="68">
        <v>2021</v>
      </c>
      <c r="AZ483" s="106" t="s">
        <v>2371</v>
      </c>
      <c r="BA483" s="106" t="str">
        <f t="shared" si="254"/>
        <v/>
      </c>
      <c r="BB483" s="178"/>
      <c r="BC483" s="178">
        <v>5</v>
      </c>
      <c r="BD483" s="178"/>
      <c r="BE483" s="178"/>
      <c r="BF483" s="178"/>
      <c r="BG483" s="178"/>
      <c r="BH483" s="178"/>
      <c r="BI483" s="33"/>
      <c r="BK483" s="48">
        <f>$G483/5280*VLOOKUP($AC483,'Cost and Score'!$B$27:$O$40,6,0)</f>
        <v>0.89469696969696966</v>
      </c>
      <c r="BL483" s="48">
        <f>$G483/5280*VLOOKUP($AC483,'Cost and Score'!$B$27:$O$40,7,0)</f>
        <v>14.315151515151515</v>
      </c>
      <c r="BM483" s="48">
        <f>$G483/5280*VLOOKUP($AC483,'Cost and Score'!$B$27:$O$40,8,0)</f>
        <v>0</v>
      </c>
      <c r="BN483" s="48">
        <f>$G483/5280*VLOOKUP($AC483,'Cost and Score'!$B$27:$O$40,9,0)</f>
        <v>0</v>
      </c>
      <c r="BO483" s="48">
        <f>$G483/5280*VLOOKUP($AC483,'Cost and Score'!$B$27:$O$40,10,0)</f>
        <v>0</v>
      </c>
      <c r="BP483" s="48">
        <f>$G483/5280*VLOOKUP($AC483,'Cost and Score'!$B$27:$O$40,11,0)</f>
        <v>0</v>
      </c>
      <c r="BQ483" s="48">
        <f>$G483/5280*VLOOKUP($AC483,'Cost and Score'!$B$27:$O$40,12,0)</f>
        <v>0</v>
      </c>
      <c r="BR483" s="48">
        <f>$G483/5280*VLOOKUP($AC483,'Cost and Score'!$B$27:$O$40,13,0)</f>
        <v>0</v>
      </c>
      <c r="BS483" s="48">
        <f>$G483/5280*VLOOKUP($AC483,'Cost and Score'!$B$27:$O$40,14,0)</f>
        <v>0</v>
      </c>
      <c r="BT483" s="220">
        <f t="shared" si="255"/>
        <v>0.89469696969696966</v>
      </c>
    </row>
    <row r="484" spans="1:103" s="2" customFormat="1" ht="14.45" hidden="1" customHeight="1" x14ac:dyDescent="0.25">
      <c r="A484" s="36" t="s">
        <v>2166</v>
      </c>
      <c r="B484" s="34" t="s">
        <v>1049</v>
      </c>
      <c r="C484" s="26" t="s">
        <v>1049</v>
      </c>
      <c r="D484" s="82"/>
      <c r="E484" s="82" t="s">
        <v>147</v>
      </c>
      <c r="F484" s="82" t="s">
        <v>149</v>
      </c>
      <c r="G484" s="29">
        <v>2725</v>
      </c>
      <c r="H484" s="29">
        <f t="shared" si="273"/>
        <v>20</v>
      </c>
      <c r="I484" s="26" t="s">
        <v>8</v>
      </c>
      <c r="J484" s="26" t="s">
        <v>17</v>
      </c>
      <c r="K484" s="26">
        <f t="shared" si="256"/>
        <v>0</v>
      </c>
      <c r="L484" s="42">
        <v>9</v>
      </c>
      <c r="M484" s="42">
        <v>8</v>
      </c>
      <c r="N484" s="42">
        <v>8</v>
      </c>
      <c r="O484" s="83">
        <v>8</v>
      </c>
      <c r="P484" s="83">
        <v>8</v>
      </c>
      <c r="Q484" s="83">
        <v>8</v>
      </c>
      <c r="R484" s="83">
        <v>7</v>
      </c>
      <c r="S484" s="83">
        <v>7</v>
      </c>
      <c r="T484" s="83">
        <v>7</v>
      </c>
      <c r="U484" s="83">
        <v>7</v>
      </c>
      <c r="V484" s="42"/>
      <c r="W484" s="42"/>
      <c r="X484" s="42"/>
      <c r="Y484" s="26">
        <v>154</v>
      </c>
      <c r="Z484" s="26">
        <f t="shared" si="274"/>
        <v>0</v>
      </c>
      <c r="AA484" s="82" t="s">
        <v>9</v>
      </c>
      <c r="AB484" s="111">
        <f t="shared" si="275"/>
        <v>2</v>
      </c>
      <c r="AC484" s="85" t="s">
        <v>13</v>
      </c>
      <c r="AD484" s="84">
        <f t="shared" si="252"/>
        <v>10838.068181818182</v>
      </c>
      <c r="AE484" s="140"/>
      <c r="AF484" s="113">
        <f t="shared" si="271"/>
        <v>0</v>
      </c>
      <c r="AG484" s="85">
        <v>2026</v>
      </c>
      <c r="AH484" s="26" t="str">
        <f t="shared" si="257"/>
        <v/>
      </c>
      <c r="AI484" s="26" t="str">
        <f t="shared" si="278"/>
        <v/>
      </c>
      <c r="AJ484" s="26" t="str">
        <f t="shared" si="272"/>
        <v/>
      </c>
      <c r="AK484" s="26" t="str">
        <f t="shared" si="268"/>
        <v/>
      </c>
      <c r="AL484" s="26" t="str">
        <f t="shared" si="268"/>
        <v>Chip Seal and Fog</v>
      </c>
      <c r="AM484" s="26" t="str">
        <f t="shared" si="268"/>
        <v/>
      </c>
      <c r="AN484" s="26" t="str">
        <f t="shared" si="270"/>
        <v>Chip Seal and Fog</v>
      </c>
      <c r="AO484" s="26" t="str">
        <f t="shared" si="279"/>
        <v/>
      </c>
      <c r="AP484" s="26" t="str">
        <f t="shared" si="261"/>
        <v/>
      </c>
      <c r="AQ484" s="68">
        <f t="shared" si="276"/>
        <v>12</v>
      </c>
      <c r="AR484" s="68">
        <f t="shared" si="277"/>
        <v>6</v>
      </c>
      <c r="AS484" s="68">
        <f t="shared" si="262"/>
        <v>1</v>
      </c>
      <c r="AT484" s="68">
        <f t="shared" si="263"/>
        <v>1</v>
      </c>
      <c r="AU484" s="68">
        <f t="shared" si="264"/>
        <v>1</v>
      </c>
      <c r="AV484" s="68">
        <f t="shared" si="265"/>
        <v>1</v>
      </c>
      <c r="AW484" s="68">
        <f t="shared" si="266"/>
        <v>1</v>
      </c>
      <c r="AX484" s="68">
        <f t="shared" ca="1" si="267"/>
        <v>2</v>
      </c>
      <c r="AY484" s="68">
        <v>2020</v>
      </c>
      <c r="AZ484" s="68" t="s">
        <v>2075</v>
      </c>
      <c r="BA484" s="106" t="str">
        <f t="shared" si="254"/>
        <v/>
      </c>
      <c r="BB484" s="178"/>
      <c r="BC484" s="178">
        <v>5</v>
      </c>
      <c r="BD484" s="178"/>
      <c r="BE484" s="178"/>
      <c r="BF484" s="178"/>
      <c r="BG484" s="178"/>
      <c r="BH484" s="178"/>
      <c r="BI484" s="33"/>
      <c r="BK484" s="48">
        <f>$G484/5280*VLOOKUP($AC484,'Cost and Score'!$B$27:$O$40,6,0)</f>
        <v>0.10321969696969698</v>
      </c>
      <c r="BL484" s="48">
        <f>$G484/5280*VLOOKUP($AC484,'Cost and Score'!$B$27:$O$40,7,0)</f>
        <v>11.354166666666668</v>
      </c>
      <c r="BM484" s="48">
        <f>$G484/5280*VLOOKUP($AC484,'Cost and Score'!$B$27:$O$40,8,0)</f>
        <v>0</v>
      </c>
      <c r="BN484" s="48">
        <f>$G484/5280*VLOOKUP($AC484,'Cost and Score'!$B$27:$O$40,9,0)</f>
        <v>2322.443181818182</v>
      </c>
      <c r="BO484" s="48">
        <f>$G484/5280*VLOOKUP($AC484,'Cost and Score'!$B$27:$O$40,10,0)</f>
        <v>516.09848484848487</v>
      </c>
      <c r="BP484" s="48">
        <f>$G484/5280*VLOOKUP($AC484,'Cost and Score'!$B$27:$O$40,11,0)</f>
        <v>0</v>
      </c>
      <c r="BQ484" s="48">
        <f>$G484/5280*VLOOKUP($AC484,'Cost and Score'!$B$27:$O$40,12,0)</f>
        <v>51.609848484848484</v>
      </c>
      <c r="BR484" s="48">
        <f>$G484/5280*VLOOKUP($AC484,'Cost and Score'!$B$27:$O$40,13,0)</f>
        <v>61.931818181818187</v>
      </c>
      <c r="BS484" s="48">
        <f>$G484/5280*VLOOKUP($AC484,'Cost and Score'!$B$27:$O$40,14,0)</f>
        <v>0</v>
      </c>
      <c r="BT484" s="220">
        <f t="shared" si="255"/>
        <v>0.51609848484848486</v>
      </c>
      <c r="CF484" s="112"/>
      <c r="CS484" s="112"/>
      <c r="CT484" s="112"/>
      <c r="CU484" s="112"/>
      <c r="CW484" s="112"/>
      <c r="CX484" s="112"/>
      <c r="CY484" s="112"/>
    </row>
    <row r="485" spans="1:103" s="2" customFormat="1" ht="14.45" hidden="1" customHeight="1" x14ac:dyDescent="0.25">
      <c r="A485" s="38" t="s">
        <v>2167</v>
      </c>
      <c r="B485" s="34" t="s">
        <v>1050</v>
      </c>
      <c r="C485" s="26" t="s">
        <v>1050</v>
      </c>
      <c r="D485" s="26"/>
      <c r="E485" s="26" t="s">
        <v>149</v>
      </c>
      <c r="F485" s="26" t="s">
        <v>1051</v>
      </c>
      <c r="G485" s="29">
        <v>1235</v>
      </c>
      <c r="H485" s="29">
        <f t="shared" si="273"/>
        <v>20</v>
      </c>
      <c r="I485" s="106" t="s">
        <v>13</v>
      </c>
      <c r="J485" s="26" t="s">
        <v>17</v>
      </c>
      <c r="K485" s="26">
        <f t="shared" si="256"/>
        <v>0</v>
      </c>
      <c r="L485" s="42">
        <v>4</v>
      </c>
      <c r="M485" s="42">
        <v>4</v>
      </c>
      <c r="N485" s="42">
        <v>10</v>
      </c>
      <c r="O485" s="42">
        <v>9</v>
      </c>
      <c r="P485" s="42">
        <v>8</v>
      </c>
      <c r="Q485" s="42">
        <v>7</v>
      </c>
      <c r="R485" s="42">
        <v>7</v>
      </c>
      <c r="S485" s="42">
        <v>7</v>
      </c>
      <c r="T485" s="42">
        <v>7</v>
      </c>
      <c r="U485" s="42">
        <v>7</v>
      </c>
      <c r="V485" s="42"/>
      <c r="W485" s="42"/>
      <c r="X485" s="42"/>
      <c r="Y485" s="26">
        <v>50</v>
      </c>
      <c r="Z485" s="26">
        <f t="shared" si="274"/>
        <v>0</v>
      </c>
      <c r="AA485" s="26" t="s">
        <v>9</v>
      </c>
      <c r="AB485" s="111">
        <f t="shared" si="275"/>
        <v>2</v>
      </c>
      <c r="AC485" s="26" t="s">
        <v>13</v>
      </c>
      <c r="AD485" s="47">
        <f t="shared" si="252"/>
        <v>4911.931818181818</v>
      </c>
      <c r="AE485" s="140"/>
      <c r="AF485" s="113">
        <f t="shared" si="271"/>
        <v>0</v>
      </c>
      <c r="AG485" s="26">
        <v>2022</v>
      </c>
      <c r="AH485" s="26" t="str">
        <f t="shared" si="257"/>
        <v>Chip Seal and Fog</v>
      </c>
      <c r="AI485" s="26" t="str">
        <f t="shared" si="278"/>
        <v/>
      </c>
      <c r="AJ485" s="26" t="str">
        <f t="shared" si="272"/>
        <v/>
      </c>
      <c r="AK485" s="26" t="str">
        <f t="shared" si="268"/>
        <v/>
      </c>
      <c r="AL485" s="26" t="str">
        <f t="shared" si="268"/>
        <v/>
      </c>
      <c r="AM485" s="26" t="str">
        <f t="shared" si="268"/>
        <v/>
      </c>
      <c r="AN485" s="26" t="str">
        <f t="shared" si="270"/>
        <v>Chip Seal and Fog</v>
      </c>
      <c r="AO485" s="26" t="str">
        <f t="shared" si="279"/>
        <v/>
      </c>
      <c r="AP485" s="26" t="str">
        <f t="shared" si="261"/>
        <v>Chip Seal and Fog</v>
      </c>
      <c r="AQ485" s="68">
        <f t="shared" si="276"/>
        <v>14</v>
      </c>
      <c r="AR485" s="68">
        <f t="shared" si="277"/>
        <v>6</v>
      </c>
      <c r="AS485" s="68">
        <f t="shared" si="262"/>
        <v>1.5</v>
      </c>
      <c r="AT485" s="68">
        <f t="shared" si="263"/>
        <v>1.5</v>
      </c>
      <c r="AU485" s="68">
        <f t="shared" si="264"/>
        <v>1</v>
      </c>
      <c r="AV485" s="68">
        <f t="shared" si="265"/>
        <v>1</v>
      </c>
      <c r="AW485" s="68">
        <f t="shared" si="266"/>
        <v>1</v>
      </c>
      <c r="AX485" s="68">
        <f t="shared" ca="1" si="267"/>
        <v>-2</v>
      </c>
      <c r="AY485" s="68">
        <v>2022</v>
      </c>
      <c r="AZ485" s="68" t="s">
        <v>13</v>
      </c>
      <c r="BA485" s="106" t="str">
        <f t="shared" si="254"/>
        <v/>
      </c>
      <c r="BB485" s="178"/>
      <c r="BC485" s="178">
        <v>5</v>
      </c>
      <c r="BD485" s="178"/>
      <c r="BE485" s="178"/>
      <c r="BF485" s="178"/>
      <c r="BG485" s="178"/>
      <c r="BH485" s="178"/>
      <c r="BI485" s="33"/>
      <c r="BK485" s="48">
        <f>$G485/5280*VLOOKUP($AC485,'Cost and Score'!$B$27:$O$40,6,0)</f>
        <v>4.6780303030303033E-2</v>
      </c>
      <c r="BL485" s="48">
        <f>$G485/5280*VLOOKUP($AC485,'Cost and Score'!$B$27:$O$40,7,0)</f>
        <v>5.145833333333333</v>
      </c>
      <c r="BM485" s="48">
        <f>$G485/5280*VLOOKUP($AC485,'Cost and Score'!$B$27:$O$40,8,0)</f>
        <v>0</v>
      </c>
      <c r="BN485" s="48">
        <f>$G485/5280*VLOOKUP($AC485,'Cost and Score'!$B$27:$O$40,9,0)</f>
        <v>1052.556818181818</v>
      </c>
      <c r="BO485" s="48">
        <f>$G485/5280*VLOOKUP($AC485,'Cost and Score'!$B$27:$O$40,10,0)</f>
        <v>233.90151515151513</v>
      </c>
      <c r="BP485" s="48">
        <f>$G485/5280*VLOOKUP($AC485,'Cost and Score'!$B$27:$O$40,11,0)</f>
        <v>0</v>
      </c>
      <c r="BQ485" s="48">
        <f>$G485/5280*VLOOKUP($AC485,'Cost and Score'!$B$27:$O$40,12,0)</f>
        <v>23.390151515151516</v>
      </c>
      <c r="BR485" s="48">
        <f>$G485/5280*VLOOKUP($AC485,'Cost and Score'!$B$27:$O$40,13,0)</f>
        <v>28.068181818181817</v>
      </c>
      <c r="BS485" s="48">
        <f>$G485/5280*VLOOKUP($AC485,'Cost and Score'!$B$27:$O$40,14,0)</f>
        <v>0</v>
      </c>
      <c r="BT485" s="220">
        <f t="shared" si="255"/>
        <v>0.23390151515151514</v>
      </c>
    </row>
    <row r="486" spans="1:103" s="2" customFormat="1" ht="14.45" hidden="1" customHeight="1" x14ac:dyDescent="0.25">
      <c r="A486" s="38" t="s">
        <v>2168</v>
      </c>
      <c r="B486" s="108" t="s">
        <v>1052</v>
      </c>
      <c r="C486" s="106" t="s">
        <v>1052</v>
      </c>
      <c r="D486" s="106"/>
      <c r="E486" s="106" t="s">
        <v>406</v>
      </c>
      <c r="F486" s="106" t="s">
        <v>121</v>
      </c>
      <c r="G486" s="109">
        <v>5516</v>
      </c>
      <c r="H486" s="109">
        <f t="shared" si="273"/>
        <v>20</v>
      </c>
      <c r="I486" s="106" t="s">
        <v>13</v>
      </c>
      <c r="J486" s="106" t="s">
        <v>11</v>
      </c>
      <c r="K486" s="106">
        <f t="shared" si="256"/>
        <v>0</v>
      </c>
      <c r="L486" s="110">
        <v>6</v>
      </c>
      <c r="M486" s="110">
        <v>6</v>
      </c>
      <c r="N486" s="110">
        <v>8</v>
      </c>
      <c r="O486" s="110">
        <v>7</v>
      </c>
      <c r="P486" s="110">
        <v>8</v>
      </c>
      <c r="Q486" s="110">
        <v>7</v>
      </c>
      <c r="R486" s="110">
        <v>7</v>
      </c>
      <c r="S486" s="110">
        <v>7</v>
      </c>
      <c r="T486" s="110">
        <v>7</v>
      </c>
      <c r="U486" s="110">
        <v>7</v>
      </c>
      <c r="V486" s="110">
        <v>2024</v>
      </c>
      <c r="W486" s="110">
        <v>2021</v>
      </c>
      <c r="X486" s="110" t="s">
        <v>2612</v>
      </c>
      <c r="Y486" s="106">
        <v>1313</v>
      </c>
      <c r="Z486" s="106">
        <f t="shared" si="274"/>
        <v>0.5</v>
      </c>
      <c r="AA486" s="106" t="s">
        <v>9</v>
      </c>
      <c r="AB486" s="111">
        <f t="shared" si="275"/>
        <v>2.5</v>
      </c>
      <c r="AC486" s="85" t="s">
        <v>2371</v>
      </c>
      <c r="AD486" s="107">
        <f t="shared" si="252"/>
        <v>83575.757575757569</v>
      </c>
      <c r="AE486" s="198">
        <v>1</v>
      </c>
      <c r="AF486" s="113">
        <f t="shared" si="271"/>
        <v>83575.757575757569</v>
      </c>
      <c r="AG486" s="106">
        <v>2024</v>
      </c>
      <c r="AH486" s="26" t="str">
        <f t="shared" si="257"/>
        <v/>
      </c>
      <c r="AI486" s="26" t="str">
        <f t="shared" si="278"/>
        <v/>
      </c>
      <c r="AJ486" s="26" t="s">
        <v>2575</v>
      </c>
      <c r="AK486" s="26" t="str">
        <f t="shared" si="268"/>
        <v/>
      </c>
      <c r="AL486" s="26" t="str">
        <f t="shared" si="268"/>
        <v/>
      </c>
      <c r="AM486" s="26" t="str">
        <f t="shared" si="268"/>
        <v/>
      </c>
      <c r="AN486" s="26" t="str">
        <f t="shared" si="270"/>
        <v>Microsurface double</v>
      </c>
      <c r="AO486" s="26" t="s">
        <v>2575</v>
      </c>
      <c r="AP486" s="26" t="str">
        <f t="shared" si="261"/>
        <v/>
      </c>
      <c r="AQ486" s="68">
        <f t="shared" si="276"/>
        <v>10</v>
      </c>
      <c r="AR486" s="68">
        <f t="shared" si="277"/>
        <v>10</v>
      </c>
      <c r="AS486" s="68">
        <f t="shared" si="262"/>
        <v>1.1000000000000001</v>
      </c>
      <c r="AT486" s="68">
        <f t="shared" si="263"/>
        <v>1.1000000000000001</v>
      </c>
      <c r="AU486" s="68">
        <f t="shared" si="264"/>
        <v>1</v>
      </c>
      <c r="AV486" s="68">
        <f t="shared" si="265"/>
        <v>1.05</v>
      </c>
      <c r="AW486" s="68">
        <f t="shared" si="266"/>
        <v>1</v>
      </c>
      <c r="AX486" s="68">
        <f t="shared" ca="1" si="267"/>
        <v>0</v>
      </c>
      <c r="AY486" s="106">
        <v>2017</v>
      </c>
      <c r="AZ486" s="106" t="s">
        <v>13</v>
      </c>
      <c r="BA486" s="106" t="str">
        <f t="shared" si="254"/>
        <v/>
      </c>
      <c r="BB486" s="177"/>
      <c r="BC486" s="177">
        <v>4</v>
      </c>
      <c r="BD486" s="177"/>
      <c r="BE486" s="177"/>
      <c r="BF486" s="177"/>
      <c r="BG486" s="177"/>
      <c r="BH486" s="177"/>
      <c r="BI486" s="33" t="s">
        <v>2629</v>
      </c>
      <c r="BK486" s="48">
        <f>$G486/5280*VLOOKUP($AC486,'Cost and Score'!$B$27:$O$40,6,0)</f>
        <v>0.52234848484848484</v>
      </c>
      <c r="BL486" s="48">
        <f>$G486/5280*VLOOKUP($AC486,'Cost and Score'!$B$27:$O$40,7,0)</f>
        <v>0</v>
      </c>
      <c r="BM486" s="48">
        <f>$G486/5280*VLOOKUP($AC486,'Cost and Score'!$B$27:$O$40,8,0)</f>
        <v>0</v>
      </c>
      <c r="BN486" s="48">
        <f>$G486/5280*VLOOKUP($AC486,'Cost and Score'!$B$27:$O$40,9,0)</f>
        <v>0</v>
      </c>
      <c r="BO486" s="48">
        <f>$G486/5280*VLOOKUP($AC486,'Cost and Score'!$B$27:$O$40,10,0)</f>
        <v>0</v>
      </c>
      <c r="BP486" s="48">
        <f>$G486/5280*VLOOKUP($AC486,'Cost and Score'!$B$27:$O$40,11,0)</f>
        <v>0</v>
      </c>
      <c r="BQ486" s="48">
        <f>$G486/5280*VLOOKUP($AC486,'Cost and Score'!$B$27:$O$40,12,0)</f>
        <v>0</v>
      </c>
      <c r="BR486" s="48">
        <f>$G486/5280*VLOOKUP($AC486,'Cost and Score'!$B$27:$O$40,13,0)</f>
        <v>0</v>
      </c>
      <c r="BS486" s="48">
        <f>$G486/5280*VLOOKUP($AC486,'Cost and Score'!$B$27:$O$40,14,0)</f>
        <v>0</v>
      </c>
      <c r="BT486" s="220">
        <f t="shared" si="255"/>
        <v>1.0446969696969697</v>
      </c>
    </row>
    <row r="487" spans="1:103" s="112" customFormat="1" ht="14.45" customHeight="1" x14ac:dyDescent="0.25">
      <c r="A487" s="37" t="s">
        <v>465</v>
      </c>
      <c r="B487" s="34" t="s">
        <v>464</v>
      </c>
      <c r="C487" s="26" t="s">
        <v>464</v>
      </c>
      <c r="D487" s="82"/>
      <c r="E487" s="82" t="s">
        <v>25</v>
      </c>
      <c r="F487" s="82" t="s">
        <v>197</v>
      </c>
      <c r="G487" s="29">
        <v>5300</v>
      </c>
      <c r="H487" s="29">
        <f t="shared" si="273"/>
        <v>20</v>
      </c>
      <c r="I487" s="26" t="s">
        <v>8</v>
      </c>
      <c r="J487" s="26" t="s">
        <v>101</v>
      </c>
      <c r="K487" s="26">
        <v>0</v>
      </c>
      <c r="L487" s="42">
        <v>6</v>
      </c>
      <c r="M487" s="42">
        <v>6</v>
      </c>
      <c r="N487" s="42">
        <v>6</v>
      </c>
      <c r="O487" s="83">
        <v>6</v>
      </c>
      <c r="P487" s="83">
        <v>5</v>
      </c>
      <c r="Q487" s="83">
        <v>5</v>
      </c>
      <c r="R487" s="83">
        <v>8</v>
      </c>
      <c r="S487" s="83">
        <v>8</v>
      </c>
      <c r="T487" s="83">
        <v>8</v>
      </c>
      <c r="U487" s="83">
        <v>7</v>
      </c>
      <c r="V487" s="42"/>
      <c r="W487" s="42"/>
      <c r="X487" s="42"/>
      <c r="Y487" s="26">
        <v>50</v>
      </c>
      <c r="Z487" s="26">
        <f t="shared" si="274"/>
        <v>0</v>
      </c>
      <c r="AA487" s="82" t="s">
        <v>461</v>
      </c>
      <c r="AB487" s="111">
        <f t="shared" si="275"/>
        <v>5</v>
      </c>
      <c r="AC487" s="85" t="s">
        <v>13</v>
      </c>
      <c r="AD487" s="84">
        <f t="shared" si="252"/>
        <v>21079.545454545456</v>
      </c>
      <c r="AE487" s="140"/>
      <c r="AF487" s="113">
        <f t="shared" si="271"/>
        <v>0</v>
      </c>
      <c r="AG487" s="106">
        <v>2025</v>
      </c>
      <c r="AH487" s="26" t="str">
        <f t="shared" si="257"/>
        <v/>
      </c>
      <c r="AI487" s="26" t="str">
        <f t="shared" si="278"/>
        <v/>
      </c>
      <c r="AJ487" s="26" t="str">
        <f t="shared" ref="AJ487:AJ550" si="280">IF($AG487=AJ$1,VLOOKUP($AC487,RSL,3,FALSE),"")</f>
        <v/>
      </c>
      <c r="AK487" s="26" t="str">
        <f t="shared" si="268"/>
        <v>Chip Seal and Fog</v>
      </c>
      <c r="AL487" s="26" t="str">
        <f t="shared" si="268"/>
        <v/>
      </c>
      <c r="AM487" s="26" t="str">
        <f t="shared" si="268"/>
        <v/>
      </c>
      <c r="AN487" s="26" t="str">
        <f t="shared" si="270"/>
        <v>Chip Seal and Fog</v>
      </c>
      <c r="AO487" s="26" t="str">
        <f t="shared" ref="AO487:AO550" si="281">IF(AY487=AO$1,VLOOKUP(AZ487,RSL,3,FALSE),"")</f>
        <v/>
      </c>
      <c r="AP487" s="26" t="str">
        <f t="shared" si="261"/>
        <v/>
      </c>
      <c r="AQ487" s="68">
        <f t="shared" si="276"/>
        <v>8</v>
      </c>
      <c r="AR487" s="68">
        <f t="shared" si="277"/>
        <v>6</v>
      </c>
      <c r="AS487" s="68">
        <f t="shared" si="262"/>
        <v>1.1000000000000001</v>
      </c>
      <c r="AT487" s="68">
        <f t="shared" si="263"/>
        <v>1.1000000000000001</v>
      </c>
      <c r="AU487" s="68">
        <f t="shared" si="264"/>
        <v>1.1000000000000001</v>
      </c>
      <c r="AV487" s="68">
        <f t="shared" si="265"/>
        <v>1.1000000000000001</v>
      </c>
      <c r="AW487" s="68">
        <f t="shared" si="266"/>
        <v>1.25</v>
      </c>
      <c r="AX487" s="68">
        <f t="shared" ca="1" si="267"/>
        <v>1.1000000000000001</v>
      </c>
      <c r="AY487" s="106">
        <v>2019</v>
      </c>
      <c r="AZ487" s="106" t="s">
        <v>2073</v>
      </c>
      <c r="BA487" s="106" t="str">
        <f t="shared" si="254"/>
        <v/>
      </c>
      <c r="BB487" s="177"/>
      <c r="BC487" s="177">
        <v>3</v>
      </c>
      <c r="BD487" s="177"/>
      <c r="BE487" s="177"/>
      <c r="BF487" s="177"/>
      <c r="BG487" s="177"/>
      <c r="BH487" s="177"/>
      <c r="BI487" s="33"/>
      <c r="BJ487" s="2"/>
      <c r="BK487" s="48">
        <f>$G487/5280*VLOOKUP($AC487,'Cost and Score'!$B$27:$O$40,6,0)</f>
        <v>0.2007575757575758</v>
      </c>
      <c r="BL487" s="48">
        <f>$G487/5280*VLOOKUP($AC487,'Cost and Score'!$B$27:$O$40,7,0)</f>
        <v>22.083333333333336</v>
      </c>
      <c r="BM487" s="48">
        <f>$G487/5280*VLOOKUP($AC487,'Cost and Score'!$B$27:$O$40,8,0)</f>
        <v>0</v>
      </c>
      <c r="BN487" s="48">
        <f>$G487/5280*VLOOKUP($AC487,'Cost and Score'!$B$27:$O$40,9,0)</f>
        <v>4517.045454545455</v>
      </c>
      <c r="BO487" s="48">
        <f>$G487/5280*VLOOKUP($AC487,'Cost and Score'!$B$27:$O$40,10,0)</f>
        <v>1003.7878787878789</v>
      </c>
      <c r="BP487" s="48">
        <f>$G487/5280*VLOOKUP($AC487,'Cost and Score'!$B$27:$O$40,11,0)</f>
        <v>0</v>
      </c>
      <c r="BQ487" s="48">
        <f>$G487/5280*VLOOKUP($AC487,'Cost and Score'!$B$27:$O$40,12,0)</f>
        <v>100.37878787878789</v>
      </c>
      <c r="BR487" s="48">
        <f>$G487/5280*VLOOKUP($AC487,'Cost and Score'!$B$27:$O$40,13,0)</f>
        <v>120.45454545454547</v>
      </c>
      <c r="BS487" s="48">
        <f>$G487/5280*VLOOKUP($AC487,'Cost and Score'!$B$27:$O$40,14,0)</f>
        <v>0</v>
      </c>
      <c r="BT487" s="220">
        <f t="shared" si="255"/>
        <v>1.0037878787878789</v>
      </c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</row>
    <row r="488" spans="1:103" s="2" customFormat="1" ht="14.45" hidden="1" customHeight="1" x14ac:dyDescent="0.25">
      <c r="A488" s="38" t="s">
        <v>2170</v>
      </c>
      <c r="B488" s="108" t="s">
        <v>1054</v>
      </c>
      <c r="C488" s="106" t="s">
        <v>1054</v>
      </c>
      <c r="D488" s="106"/>
      <c r="E488" s="106" t="s">
        <v>86</v>
      </c>
      <c r="F488" s="106" t="s">
        <v>504</v>
      </c>
      <c r="G488" s="109">
        <v>5782</v>
      </c>
      <c r="H488" s="109">
        <f t="shared" si="273"/>
        <v>20</v>
      </c>
      <c r="I488" s="106" t="s">
        <v>8</v>
      </c>
      <c r="J488" s="106" t="s">
        <v>62</v>
      </c>
      <c r="K488" s="106">
        <f>VLOOKUP(J488,TOWNSHIPS,2,FALSE)</f>
        <v>0</v>
      </c>
      <c r="L488" s="110">
        <v>10</v>
      </c>
      <c r="M488" s="110">
        <v>8</v>
      </c>
      <c r="N488" s="110">
        <v>8</v>
      </c>
      <c r="O488" s="110">
        <v>8</v>
      </c>
      <c r="P488" s="110">
        <v>8</v>
      </c>
      <c r="Q488" s="110">
        <v>8</v>
      </c>
      <c r="R488" s="110">
        <v>8</v>
      </c>
      <c r="S488" s="110">
        <v>7</v>
      </c>
      <c r="T488" s="110">
        <v>7</v>
      </c>
      <c r="U488" s="110">
        <v>8</v>
      </c>
      <c r="V488" s="42"/>
      <c r="W488" s="42">
        <v>2021</v>
      </c>
      <c r="X488" s="42" t="s">
        <v>2612</v>
      </c>
      <c r="Y488" s="106">
        <v>1352</v>
      </c>
      <c r="Z488" s="106">
        <f t="shared" si="274"/>
        <v>0.5</v>
      </c>
      <c r="AA488" s="106" t="s">
        <v>9</v>
      </c>
      <c r="AB488" s="111">
        <f t="shared" si="275"/>
        <v>2.5</v>
      </c>
      <c r="AC488" s="85" t="s">
        <v>2425</v>
      </c>
      <c r="AD488" s="107">
        <f t="shared" si="252"/>
        <v>27376.89393939394</v>
      </c>
      <c r="AE488" s="198"/>
      <c r="AF488" s="113">
        <f t="shared" si="271"/>
        <v>0</v>
      </c>
      <c r="AG488" s="26">
        <v>2027</v>
      </c>
      <c r="AH488" s="26" t="str">
        <f t="shared" si="257"/>
        <v/>
      </c>
      <c r="AI488" s="26" t="str">
        <f t="shared" si="278"/>
        <v/>
      </c>
      <c r="AJ488" s="26" t="str">
        <f t="shared" si="280"/>
        <v/>
      </c>
      <c r="AK488" s="26" t="str">
        <f t="shared" ref="AK488:AM507" si="282">IF($AG488=AK$1,VLOOKUP($AC488,RSL,3,FALSE),"")</f>
        <v/>
      </c>
      <c r="AL488" s="26" t="str">
        <f t="shared" si="282"/>
        <v/>
      </c>
      <c r="AM488" s="26" t="str">
        <f t="shared" si="282"/>
        <v>Liquid Road</v>
      </c>
      <c r="AN488" s="26" t="str">
        <f t="shared" si="270"/>
        <v>Liquid Road</v>
      </c>
      <c r="AO488" s="26" t="str">
        <f t="shared" si="281"/>
        <v>Microsurface double</v>
      </c>
      <c r="AP488" s="26" t="str">
        <f t="shared" si="261"/>
        <v/>
      </c>
      <c r="AQ488" s="68">
        <f t="shared" si="276"/>
        <v>12</v>
      </c>
      <c r="AR488" s="68">
        <f t="shared" si="277"/>
        <v>10</v>
      </c>
      <c r="AS488" s="68">
        <f t="shared" si="262"/>
        <v>1</v>
      </c>
      <c r="AT488" s="68">
        <f t="shared" si="263"/>
        <v>1</v>
      </c>
      <c r="AU488" s="68">
        <f t="shared" si="264"/>
        <v>1</v>
      </c>
      <c r="AV488" s="68">
        <f t="shared" si="265"/>
        <v>1</v>
      </c>
      <c r="AW488" s="68">
        <f t="shared" si="266"/>
        <v>1</v>
      </c>
      <c r="AX488" s="68">
        <f t="shared" ca="1" si="267"/>
        <v>3</v>
      </c>
      <c r="AY488" s="106">
        <v>2021</v>
      </c>
      <c r="AZ488" s="106" t="s">
        <v>2371</v>
      </c>
      <c r="BA488" s="106" t="str">
        <f t="shared" si="254"/>
        <v/>
      </c>
      <c r="BB488" s="177"/>
      <c r="BC488" s="177">
        <v>4</v>
      </c>
      <c r="BD488" s="177"/>
      <c r="BE488" s="177"/>
      <c r="BF488" s="177"/>
      <c r="BG488" s="177"/>
      <c r="BH488" s="177"/>
      <c r="BI488" s="33"/>
      <c r="BK488" s="48">
        <f>$G488/5280*VLOOKUP($AC488,'Cost and Score'!$B$27:$O$40,6,0)</f>
        <v>1.0950757575757575</v>
      </c>
      <c r="BL488" s="48">
        <f>$G488/5280*VLOOKUP($AC488,'Cost and Score'!$B$27:$O$40,7,0)</f>
        <v>17.52121212121212</v>
      </c>
      <c r="BM488" s="48">
        <f>$G488/5280*VLOOKUP($AC488,'Cost and Score'!$B$27:$O$40,8,0)</f>
        <v>0</v>
      </c>
      <c r="BN488" s="48">
        <f>$G488/5280*VLOOKUP($AC488,'Cost and Score'!$B$27:$O$40,9,0)</f>
        <v>0</v>
      </c>
      <c r="BO488" s="48">
        <f>$G488/5280*VLOOKUP($AC488,'Cost and Score'!$B$27:$O$40,10,0)</f>
        <v>0</v>
      </c>
      <c r="BP488" s="48">
        <f>$G488/5280*VLOOKUP($AC488,'Cost and Score'!$B$27:$O$40,11,0)</f>
        <v>0</v>
      </c>
      <c r="BQ488" s="48">
        <f>$G488/5280*VLOOKUP($AC488,'Cost and Score'!$B$27:$O$40,12,0)</f>
        <v>0</v>
      </c>
      <c r="BR488" s="48">
        <f>$G488/5280*VLOOKUP($AC488,'Cost and Score'!$B$27:$O$40,13,0)</f>
        <v>0</v>
      </c>
      <c r="BS488" s="48">
        <f>$G488/5280*VLOOKUP($AC488,'Cost and Score'!$B$27:$O$40,14,0)</f>
        <v>0</v>
      </c>
      <c r="BT488" s="220">
        <f t="shared" si="255"/>
        <v>1.0950757575757575</v>
      </c>
      <c r="CF488" s="112"/>
      <c r="CN488" s="112"/>
      <c r="CO488" s="112"/>
      <c r="CP488" s="112"/>
      <c r="CQ488" s="112"/>
      <c r="CR488" s="112"/>
      <c r="CV488" s="112"/>
    </row>
    <row r="489" spans="1:103" s="112" customFormat="1" ht="14.45" customHeight="1" x14ac:dyDescent="0.25">
      <c r="A489" s="15" t="s">
        <v>809</v>
      </c>
      <c r="B489" s="108" t="s">
        <v>808</v>
      </c>
      <c r="C489" s="106" t="s">
        <v>808</v>
      </c>
      <c r="D489" s="106"/>
      <c r="E489" s="106" t="s">
        <v>193</v>
      </c>
      <c r="F489" s="106" t="s">
        <v>222</v>
      </c>
      <c r="G489" s="109">
        <v>1412</v>
      </c>
      <c r="H489" s="109">
        <f t="shared" si="273"/>
        <v>20</v>
      </c>
      <c r="I489" s="106" t="s">
        <v>13</v>
      </c>
      <c r="J489" s="106" t="s">
        <v>101</v>
      </c>
      <c r="K489" s="106">
        <v>0</v>
      </c>
      <c r="L489" s="110">
        <v>6</v>
      </c>
      <c r="M489" s="110">
        <v>6</v>
      </c>
      <c r="N489" s="110">
        <v>6</v>
      </c>
      <c r="O489" s="110">
        <v>6</v>
      </c>
      <c r="P489" s="110">
        <v>8</v>
      </c>
      <c r="Q489" s="110">
        <v>8</v>
      </c>
      <c r="R489" s="110">
        <v>8</v>
      </c>
      <c r="S489" s="110">
        <v>7</v>
      </c>
      <c r="T489" s="110">
        <v>7</v>
      </c>
      <c r="U489" s="110">
        <v>7</v>
      </c>
      <c r="V489" s="110"/>
      <c r="W489" s="110"/>
      <c r="X489" s="110"/>
      <c r="Y489" s="106">
        <v>50</v>
      </c>
      <c r="Z489" s="106">
        <f t="shared" si="274"/>
        <v>0</v>
      </c>
      <c r="AA489" s="106" t="s">
        <v>64</v>
      </c>
      <c r="AB489" s="111">
        <f t="shared" si="275"/>
        <v>2</v>
      </c>
      <c r="AC489" s="26" t="s">
        <v>13</v>
      </c>
      <c r="AD489" s="107">
        <f t="shared" si="252"/>
        <v>5615.909090909091</v>
      </c>
      <c r="AE489" s="198"/>
      <c r="AF489" s="113">
        <f t="shared" si="271"/>
        <v>0</v>
      </c>
      <c r="AG489" s="26">
        <v>2025</v>
      </c>
      <c r="AH489" s="26" t="str">
        <f t="shared" si="257"/>
        <v/>
      </c>
      <c r="AI489" s="26" t="str">
        <f t="shared" si="278"/>
        <v/>
      </c>
      <c r="AJ489" s="26" t="str">
        <f t="shared" si="280"/>
        <v/>
      </c>
      <c r="AK489" s="26" t="str">
        <f t="shared" si="282"/>
        <v>Chip Seal and Fog</v>
      </c>
      <c r="AL489" s="26" t="str">
        <f t="shared" si="282"/>
        <v/>
      </c>
      <c r="AM489" s="26" t="str">
        <f t="shared" si="282"/>
        <v/>
      </c>
      <c r="AN489" s="26" t="str">
        <f t="shared" si="270"/>
        <v>Chip Seal and Fog</v>
      </c>
      <c r="AO489" s="26" t="str">
        <f t="shared" si="281"/>
        <v/>
      </c>
      <c r="AP489" s="26" t="str">
        <f t="shared" si="261"/>
        <v/>
      </c>
      <c r="AQ489" s="68">
        <f t="shared" si="276"/>
        <v>8</v>
      </c>
      <c r="AR489" s="68">
        <f t="shared" si="277"/>
        <v>6</v>
      </c>
      <c r="AS489" s="68">
        <f t="shared" si="262"/>
        <v>1.1000000000000001</v>
      </c>
      <c r="AT489" s="68">
        <f t="shared" si="263"/>
        <v>1.1000000000000001</v>
      </c>
      <c r="AU489" s="68">
        <f t="shared" si="264"/>
        <v>1.1000000000000001</v>
      </c>
      <c r="AV489" s="68">
        <f t="shared" si="265"/>
        <v>1.1000000000000001</v>
      </c>
      <c r="AW489" s="68">
        <f t="shared" si="266"/>
        <v>1</v>
      </c>
      <c r="AX489" s="68">
        <f t="shared" ca="1" si="267"/>
        <v>1.1000000000000001</v>
      </c>
      <c r="AY489" s="106">
        <v>2017</v>
      </c>
      <c r="AZ489" s="111" t="s">
        <v>2073</v>
      </c>
      <c r="BA489" s="106" t="str">
        <f t="shared" si="254"/>
        <v/>
      </c>
      <c r="BB489" s="110"/>
      <c r="BC489" s="110">
        <v>3</v>
      </c>
      <c r="BD489" s="110"/>
      <c r="BE489" s="110"/>
      <c r="BF489" s="110"/>
      <c r="BG489" s="110"/>
      <c r="BH489" s="110"/>
      <c r="BI489" s="33"/>
      <c r="BJ489" s="2"/>
      <c r="BK489" s="48">
        <f>$G489/5280*VLOOKUP($AC489,'Cost and Score'!$B$27:$O$40,6,0)</f>
        <v>5.3484848484848482E-2</v>
      </c>
      <c r="BL489" s="48">
        <f>$G489/5280*VLOOKUP($AC489,'Cost and Score'!$B$27:$O$40,7,0)</f>
        <v>5.8833333333333329</v>
      </c>
      <c r="BM489" s="48">
        <f>$G489/5280*VLOOKUP($AC489,'Cost and Score'!$B$27:$O$40,8,0)</f>
        <v>0</v>
      </c>
      <c r="BN489" s="48">
        <f>$G489/5280*VLOOKUP($AC489,'Cost and Score'!$B$27:$O$40,9,0)</f>
        <v>1203.4090909090908</v>
      </c>
      <c r="BO489" s="48">
        <f>$G489/5280*VLOOKUP($AC489,'Cost and Score'!$B$27:$O$40,10,0)</f>
        <v>267.42424242424238</v>
      </c>
      <c r="BP489" s="48">
        <f>$G489/5280*VLOOKUP($AC489,'Cost and Score'!$B$27:$O$40,11,0)</f>
        <v>0</v>
      </c>
      <c r="BQ489" s="48">
        <f>$G489/5280*VLOOKUP($AC489,'Cost and Score'!$B$27:$O$40,12,0)</f>
        <v>26.742424242424239</v>
      </c>
      <c r="BR489" s="48">
        <f>$G489/5280*VLOOKUP($AC489,'Cost and Score'!$B$27:$O$40,13,0)</f>
        <v>32.090909090909086</v>
      </c>
      <c r="BS489" s="48">
        <f>$G489/5280*VLOOKUP($AC489,'Cost and Score'!$B$27:$O$40,14,0)</f>
        <v>0</v>
      </c>
      <c r="BT489" s="220">
        <f t="shared" si="255"/>
        <v>0.2674242424242424</v>
      </c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</row>
    <row r="490" spans="1:103" s="2" customFormat="1" ht="14.45" hidden="1" customHeight="1" x14ac:dyDescent="0.25">
      <c r="A490" s="38" t="s">
        <v>2174</v>
      </c>
      <c r="B490" s="34" t="s">
        <v>1056</v>
      </c>
      <c r="C490" s="26" t="s">
        <v>1056</v>
      </c>
      <c r="D490" s="82"/>
      <c r="E490" s="82" t="s">
        <v>124</v>
      </c>
      <c r="F490" s="82" t="s">
        <v>117</v>
      </c>
      <c r="G490" s="29">
        <v>7796</v>
      </c>
      <c r="H490" s="29">
        <f t="shared" si="273"/>
        <v>20</v>
      </c>
      <c r="I490" s="26" t="s">
        <v>8</v>
      </c>
      <c r="J490" s="26" t="s">
        <v>160</v>
      </c>
      <c r="K490" s="26">
        <f t="shared" ref="K490:K517" si="283">VLOOKUP(J490,TOWNSHIPS,2,FALSE)</f>
        <v>0</v>
      </c>
      <c r="L490" s="42">
        <v>7</v>
      </c>
      <c r="M490" s="42">
        <v>7</v>
      </c>
      <c r="N490" s="42">
        <v>7</v>
      </c>
      <c r="O490" s="83">
        <v>7</v>
      </c>
      <c r="P490" s="83">
        <v>6</v>
      </c>
      <c r="Q490" s="83">
        <v>8</v>
      </c>
      <c r="R490" s="83">
        <v>8</v>
      </c>
      <c r="S490" s="83">
        <v>7</v>
      </c>
      <c r="T490" s="83">
        <v>7</v>
      </c>
      <c r="U490" s="83">
        <v>7</v>
      </c>
      <c r="V490" s="42">
        <v>2023</v>
      </c>
      <c r="W490" s="42">
        <v>2021</v>
      </c>
      <c r="X490" s="42" t="s">
        <v>2612</v>
      </c>
      <c r="Y490" s="26">
        <v>963</v>
      </c>
      <c r="Z490" s="26">
        <f t="shared" si="274"/>
        <v>0.5</v>
      </c>
      <c r="AA490" s="82" t="s">
        <v>210</v>
      </c>
      <c r="AB490" s="111">
        <f t="shared" si="275"/>
        <v>4.5</v>
      </c>
      <c r="AC490" s="85" t="s">
        <v>751</v>
      </c>
      <c r="AD490" s="84">
        <f t="shared" si="252"/>
        <v>162416.66666666666</v>
      </c>
      <c r="AE490" s="140">
        <v>1</v>
      </c>
      <c r="AF490" s="113">
        <f t="shared" si="271"/>
        <v>162416.66666666666</v>
      </c>
      <c r="AG490" s="82">
        <v>2023</v>
      </c>
      <c r="AH490" s="26" t="str">
        <f t="shared" si="257"/>
        <v/>
      </c>
      <c r="AI490" s="26" t="str">
        <f t="shared" si="278"/>
        <v>Overlay - 2"</v>
      </c>
      <c r="AJ490" s="26" t="str">
        <f t="shared" si="280"/>
        <v/>
      </c>
      <c r="AK490" s="26" t="str">
        <f t="shared" si="282"/>
        <v/>
      </c>
      <c r="AL490" s="26" t="str">
        <f t="shared" si="282"/>
        <v/>
      </c>
      <c r="AM490" s="26" t="str">
        <f t="shared" si="282"/>
        <v/>
      </c>
      <c r="AN490" s="26" t="str">
        <f t="shared" si="270"/>
        <v>Overlay - 2"</v>
      </c>
      <c r="AO490" s="26" t="str">
        <f t="shared" si="281"/>
        <v/>
      </c>
      <c r="AP490" s="26" t="str">
        <f t="shared" si="261"/>
        <v/>
      </c>
      <c r="AQ490" s="68">
        <f t="shared" si="276"/>
        <v>10</v>
      </c>
      <c r="AR490" s="68">
        <f t="shared" si="277"/>
        <v>12</v>
      </c>
      <c r="AS490" s="68">
        <f t="shared" si="262"/>
        <v>1.05</v>
      </c>
      <c r="AT490" s="68">
        <f t="shared" si="263"/>
        <v>1.05</v>
      </c>
      <c r="AU490" s="68">
        <f t="shared" si="264"/>
        <v>1.05</v>
      </c>
      <c r="AV490" s="68">
        <f t="shared" si="265"/>
        <v>1.05</v>
      </c>
      <c r="AW490" s="68">
        <f t="shared" si="266"/>
        <v>1.1000000000000001</v>
      </c>
      <c r="AX490" s="68">
        <f t="shared" ca="1" si="267"/>
        <v>-1.05</v>
      </c>
      <c r="AY490" s="68">
        <v>2023</v>
      </c>
      <c r="AZ490" s="68" t="s">
        <v>751</v>
      </c>
      <c r="BA490" s="106" t="str">
        <f t="shared" si="254"/>
        <v/>
      </c>
      <c r="BB490" s="178"/>
      <c r="BC490" s="178">
        <v>8</v>
      </c>
      <c r="BD490" s="178"/>
      <c r="BE490" s="178"/>
      <c r="BF490" s="178"/>
      <c r="BG490" s="178"/>
      <c r="BH490" s="178"/>
      <c r="BI490" s="33"/>
      <c r="BK490" s="48">
        <f>$G490/5280*VLOOKUP($AC490,'Cost and Score'!$B$27:$O$40,6,0)</f>
        <v>3.322159090909091</v>
      </c>
      <c r="BL490" s="48">
        <f>$G490/5280*VLOOKUP($AC490,'Cost and Score'!$B$27:$O$40,7,0)</f>
        <v>310.06818181818181</v>
      </c>
      <c r="BM490" s="48">
        <f>$G490/5280*VLOOKUP($AC490,'Cost and Score'!$B$27:$O$40,8,0)</f>
        <v>516.780303030303</v>
      </c>
      <c r="BN490" s="48">
        <f>$G490/5280*VLOOKUP($AC490,'Cost and Score'!$B$27:$O$40,9,0)</f>
        <v>0</v>
      </c>
      <c r="BO490" s="48">
        <f>$G490/5280*VLOOKUP($AC490,'Cost and Score'!$B$27:$O$40,10,0)</f>
        <v>0</v>
      </c>
      <c r="BP490" s="48">
        <f>$G490/5280*VLOOKUP($AC490,'Cost and Score'!$B$27:$O$40,11,0)</f>
        <v>295.30303030303031</v>
      </c>
      <c r="BQ490" s="48">
        <f>$G490/5280*VLOOKUP($AC490,'Cost and Score'!$B$27:$O$40,12,0)</f>
        <v>2510.0757575757575</v>
      </c>
      <c r="BR490" s="48">
        <f>$G490/5280*VLOOKUP($AC490,'Cost and Score'!$B$27:$O$40,13,0)</f>
        <v>0</v>
      </c>
      <c r="BS490" s="48">
        <f>$G490/5280*VLOOKUP($AC490,'Cost and Score'!$B$27:$O$40,14,0)</f>
        <v>0</v>
      </c>
      <c r="BT490" s="220">
        <f t="shared" si="255"/>
        <v>1.4765151515151516</v>
      </c>
      <c r="CN490" s="112"/>
      <c r="CO490" s="112"/>
      <c r="CP490" s="112"/>
      <c r="CQ490" s="112"/>
      <c r="CV490" s="112"/>
    </row>
    <row r="491" spans="1:103" s="2" customFormat="1" ht="14.45" hidden="1" customHeight="1" x14ac:dyDescent="0.25">
      <c r="A491" s="38" t="s">
        <v>2172</v>
      </c>
      <c r="B491" s="34" t="s">
        <v>1057</v>
      </c>
      <c r="C491" s="26" t="s">
        <v>1057</v>
      </c>
      <c r="D491" s="26"/>
      <c r="E491" s="26" t="s">
        <v>313</v>
      </c>
      <c r="F491" s="26" t="s">
        <v>461</v>
      </c>
      <c r="G491" s="29">
        <v>5365</v>
      </c>
      <c r="H491" s="29">
        <f t="shared" si="273"/>
        <v>20</v>
      </c>
      <c r="I491" s="26" t="s">
        <v>8</v>
      </c>
      <c r="J491" s="26" t="s">
        <v>6</v>
      </c>
      <c r="K491" s="26">
        <f t="shared" si="283"/>
        <v>0</v>
      </c>
      <c r="L491" s="42">
        <v>8</v>
      </c>
      <c r="M491" s="42">
        <v>7</v>
      </c>
      <c r="N491" s="42">
        <v>7</v>
      </c>
      <c r="O491" s="42">
        <v>7</v>
      </c>
      <c r="P491" s="42">
        <v>6</v>
      </c>
      <c r="Q491" s="42">
        <v>6</v>
      </c>
      <c r="R491" s="42">
        <v>6</v>
      </c>
      <c r="S491" s="42">
        <v>6</v>
      </c>
      <c r="T491" s="42">
        <v>6</v>
      </c>
      <c r="U491" s="42">
        <v>6</v>
      </c>
      <c r="V491" s="42"/>
      <c r="W491" s="42"/>
      <c r="X491" s="42"/>
      <c r="Y491" s="26">
        <v>50</v>
      </c>
      <c r="Z491" s="26">
        <f t="shared" si="274"/>
        <v>0</v>
      </c>
      <c r="AA491" s="26" t="s">
        <v>210</v>
      </c>
      <c r="AB491" s="111">
        <f t="shared" si="275"/>
        <v>4</v>
      </c>
      <c r="AC491" s="85" t="s">
        <v>2072</v>
      </c>
      <c r="AD491" s="47">
        <f t="shared" si="252"/>
        <v>46740.530303030304</v>
      </c>
      <c r="AE491" s="140"/>
      <c r="AF491" s="113">
        <f t="shared" si="271"/>
        <v>0</v>
      </c>
      <c r="AG491" s="85">
        <v>2026</v>
      </c>
      <c r="AH491" s="26" t="str">
        <f t="shared" si="257"/>
        <v/>
      </c>
      <c r="AI491" s="26" t="str">
        <f t="shared" si="278"/>
        <v/>
      </c>
      <c r="AJ491" s="26" t="str">
        <f t="shared" si="280"/>
        <v/>
      </c>
      <c r="AK491" s="26" t="str">
        <f t="shared" si="282"/>
        <v/>
      </c>
      <c r="AL491" s="26" t="str">
        <f t="shared" si="282"/>
        <v>Chip Seal - Triple</v>
      </c>
      <c r="AM491" s="26" t="str">
        <f t="shared" si="282"/>
        <v/>
      </c>
      <c r="AN491" s="26" t="str">
        <f t="shared" si="270"/>
        <v>Chip Seal - Triple</v>
      </c>
      <c r="AO491" s="26" t="str">
        <f t="shared" si="281"/>
        <v/>
      </c>
      <c r="AP491" s="26" t="str">
        <f t="shared" si="261"/>
        <v/>
      </c>
      <c r="AQ491" s="68">
        <f t="shared" si="276"/>
        <v>10</v>
      </c>
      <c r="AR491" s="68">
        <f t="shared" si="277"/>
        <v>8</v>
      </c>
      <c r="AS491" s="68">
        <f t="shared" si="262"/>
        <v>1</v>
      </c>
      <c r="AT491" s="68">
        <f t="shared" si="263"/>
        <v>1.05</v>
      </c>
      <c r="AU491" s="68">
        <f t="shared" si="264"/>
        <v>1.05</v>
      </c>
      <c r="AV491" s="68">
        <f t="shared" si="265"/>
        <v>1.05</v>
      </c>
      <c r="AW491" s="68">
        <f t="shared" si="266"/>
        <v>1.1000000000000001</v>
      </c>
      <c r="AX491" s="68">
        <f t="shared" ca="1" si="267"/>
        <v>2.1</v>
      </c>
      <c r="AY491" s="68">
        <v>2020</v>
      </c>
      <c r="AZ491" s="68" t="s">
        <v>2075</v>
      </c>
      <c r="BA491" s="106" t="str">
        <f t="shared" si="254"/>
        <v/>
      </c>
      <c r="BB491" s="178"/>
      <c r="BC491" s="178">
        <v>9</v>
      </c>
      <c r="BD491" s="178"/>
      <c r="BE491" s="178"/>
      <c r="BF491" s="178"/>
      <c r="BG491" s="178"/>
      <c r="BH491" s="178"/>
      <c r="BI491" s="33"/>
      <c r="BK491" s="48">
        <f>$G491/5280*VLOOKUP($AC491,'Cost and Score'!$B$27:$O$40,6,0)</f>
        <v>0.60965909090909087</v>
      </c>
      <c r="BL491" s="48">
        <f>$G491/5280*VLOOKUP($AC491,'Cost and Score'!$B$27:$O$40,7,0)</f>
        <v>127.01231060606061</v>
      </c>
      <c r="BM491" s="48">
        <f>$G491/5280*VLOOKUP($AC491,'Cost and Score'!$B$27:$O$40,8,0)</f>
        <v>203.21969696969697</v>
      </c>
      <c r="BN491" s="48">
        <f>$G491/5280*VLOOKUP($AC491,'Cost and Score'!$B$27:$O$40,9,0)</f>
        <v>2032.1969696969697</v>
      </c>
      <c r="BO491" s="48">
        <f>$G491/5280*VLOOKUP($AC491,'Cost and Score'!$B$27:$O$40,10,0)</f>
        <v>508.04924242424244</v>
      </c>
      <c r="BP491" s="48">
        <f>$G491/5280*VLOOKUP($AC491,'Cost and Score'!$B$27:$O$40,11,0)</f>
        <v>101.60984848484848</v>
      </c>
      <c r="BQ491" s="48">
        <f>$G491/5280*VLOOKUP($AC491,'Cost and Score'!$B$27:$O$40,12,0)</f>
        <v>812.87878787878788</v>
      </c>
      <c r="BR491" s="48">
        <f>$G491/5280*VLOOKUP($AC491,'Cost and Score'!$B$27:$O$40,13,0)</f>
        <v>81.287878787878782</v>
      </c>
      <c r="BS491" s="48">
        <f>$G491/5280*VLOOKUP($AC491,'Cost and Score'!$B$27:$O$40,14,0)</f>
        <v>0</v>
      </c>
      <c r="BT491" s="220">
        <f t="shared" si="255"/>
        <v>1.0160984848484849</v>
      </c>
    </row>
    <row r="492" spans="1:103" s="2" customFormat="1" ht="14.45" hidden="1" customHeight="1" x14ac:dyDescent="0.25">
      <c r="A492" s="38" t="s">
        <v>2176</v>
      </c>
      <c r="B492" s="34" t="s">
        <v>1058</v>
      </c>
      <c r="C492" s="26" t="s">
        <v>1058</v>
      </c>
      <c r="D492" s="82"/>
      <c r="E492" s="82" t="s">
        <v>129</v>
      </c>
      <c r="F492" s="82" t="s">
        <v>124</v>
      </c>
      <c r="G492" s="29">
        <v>5297</v>
      </c>
      <c r="H492" s="29">
        <f t="shared" si="273"/>
        <v>20</v>
      </c>
      <c r="I492" s="26" t="s">
        <v>8</v>
      </c>
      <c r="J492" s="26" t="s">
        <v>160</v>
      </c>
      <c r="K492" s="26">
        <f t="shared" si="283"/>
        <v>0</v>
      </c>
      <c r="L492" s="42">
        <v>7</v>
      </c>
      <c r="M492" s="42">
        <v>7</v>
      </c>
      <c r="N492" s="42">
        <v>7</v>
      </c>
      <c r="O492" s="83">
        <v>7</v>
      </c>
      <c r="P492" s="83">
        <v>6</v>
      </c>
      <c r="Q492" s="83">
        <v>8</v>
      </c>
      <c r="R492" s="83">
        <v>8</v>
      </c>
      <c r="S492" s="83">
        <v>7</v>
      </c>
      <c r="T492" s="83">
        <v>7</v>
      </c>
      <c r="U492" s="83">
        <v>7</v>
      </c>
      <c r="V492" s="42">
        <v>2023</v>
      </c>
      <c r="W492" s="42">
        <v>2023</v>
      </c>
      <c r="X492" s="42" t="s">
        <v>2612</v>
      </c>
      <c r="Y492" s="26">
        <v>836</v>
      </c>
      <c r="Z492" s="26">
        <f t="shared" si="274"/>
        <v>0.5</v>
      </c>
      <c r="AA492" s="82" t="s">
        <v>210</v>
      </c>
      <c r="AB492" s="111">
        <f t="shared" si="275"/>
        <v>4.5</v>
      </c>
      <c r="AC492" s="85" t="s">
        <v>751</v>
      </c>
      <c r="AD492" s="84">
        <f t="shared" si="252"/>
        <v>110354.16666666667</v>
      </c>
      <c r="AE492" s="140">
        <v>1</v>
      </c>
      <c r="AF492" s="113">
        <f t="shared" si="271"/>
        <v>110354.16666666667</v>
      </c>
      <c r="AG492" s="82">
        <v>2023</v>
      </c>
      <c r="AH492" s="26" t="str">
        <f t="shared" si="257"/>
        <v/>
      </c>
      <c r="AI492" s="26" t="str">
        <f t="shared" si="278"/>
        <v>Overlay - 2"</v>
      </c>
      <c r="AJ492" s="26" t="str">
        <f t="shared" si="280"/>
        <v/>
      </c>
      <c r="AK492" s="26" t="str">
        <f t="shared" si="282"/>
        <v/>
      </c>
      <c r="AL492" s="26" t="str">
        <f t="shared" si="282"/>
        <v/>
      </c>
      <c r="AM492" s="26" t="str">
        <f t="shared" si="282"/>
        <v/>
      </c>
      <c r="AN492" s="26" t="str">
        <f t="shared" si="270"/>
        <v>Overlay - 2"</v>
      </c>
      <c r="AO492" s="26" t="str">
        <f t="shared" si="281"/>
        <v/>
      </c>
      <c r="AP492" s="26" t="str">
        <f t="shared" si="261"/>
        <v/>
      </c>
      <c r="AQ492" s="68">
        <f t="shared" si="276"/>
        <v>10</v>
      </c>
      <c r="AR492" s="68">
        <f t="shared" si="277"/>
        <v>12</v>
      </c>
      <c r="AS492" s="68">
        <f t="shared" si="262"/>
        <v>1.05</v>
      </c>
      <c r="AT492" s="68">
        <f t="shared" si="263"/>
        <v>1.05</v>
      </c>
      <c r="AU492" s="68">
        <f t="shared" si="264"/>
        <v>1.05</v>
      </c>
      <c r="AV492" s="68">
        <f t="shared" si="265"/>
        <v>1.05</v>
      </c>
      <c r="AW492" s="68">
        <f t="shared" si="266"/>
        <v>1.1000000000000001</v>
      </c>
      <c r="AX492" s="68">
        <f t="shared" ca="1" si="267"/>
        <v>-1.05</v>
      </c>
      <c r="AY492" s="68">
        <v>2023</v>
      </c>
      <c r="AZ492" s="68" t="s">
        <v>751</v>
      </c>
      <c r="BA492" s="106" t="str">
        <f t="shared" si="254"/>
        <v/>
      </c>
      <c r="BB492" s="178"/>
      <c r="BC492" s="178">
        <v>8</v>
      </c>
      <c r="BD492" s="178"/>
      <c r="BE492" s="178"/>
      <c r="BF492" s="178"/>
      <c r="BG492" s="178"/>
      <c r="BH492" s="178"/>
      <c r="BI492" s="33"/>
      <c r="BK492" s="48">
        <f>$G492/5280*VLOOKUP($AC492,'Cost and Score'!$B$27:$O$40,6,0)</f>
        <v>2.2572443181818183</v>
      </c>
      <c r="BL492" s="48">
        <f>$G492/5280*VLOOKUP($AC492,'Cost and Score'!$B$27:$O$40,7,0)</f>
        <v>210.67613636363635</v>
      </c>
      <c r="BM492" s="48">
        <f>$G492/5280*VLOOKUP($AC492,'Cost and Score'!$B$27:$O$40,8,0)</f>
        <v>351.12689393939394</v>
      </c>
      <c r="BN492" s="48">
        <f>$G492/5280*VLOOKUP($AC492,'Cost and Score'!$B$27:$O$40,9,0)</f>
        <v>0</v>
      </c>
      <c r="BO492" s="48">
        <f>$G492/5280*VLOOKUP($AC492,'Cost and Score'!$B$27:$O$40,10,0)</f>
        <v>0</v>
      </c>
      <c r="BP492" s="48">
        <f>$G492/5280*VLOOKUP($AC492,'Cost and Score'!$B$27:$O$40,11,0)</f>
        <v>200.64393939393938</v>
      </c>
      <c r="BQ492" s="48">
        <f>$G492/5280*VLOOKUP($AC492,'Cost and Score'!$B$27:$O$40,12,0)</f>
        <v>1705.4734848484848</v>
      </c>
      <c r="BR492" s="48">
        <f>$G492/5280*VLOOKUP($AC492,'Cost and Score'!$B$27:$O$40,13,0)</f>
        <v>0</v>
      </c>
      <c r="BS492" s="48">
        <f>$G492/5280*VLOOKUP($AC492,'Cost and Score'!$B$27:$O$40,14,0)</f>
        <v>0</v>
      </c>
      <c r="BT492" s="220">
        <f t="shared" si="255"/>
        <v>1.0032196969696969</v>
      </c>
      <c r="CW492" s="112"/>
      <c r="CX492" s="112"/>
      <c r="CY492" s="112"/>
    </row>
    <row r="493" spans="1:103" s="2" customFormat="1" ht="14.45" hidden="1" customHeight="1" x14ac:dyDescent="0.25">
      <c r="A493" s="38" t="s">
        <v>2173</v>
      </c>
      <c r="B493" s="34" t="s">
        <v>1059</v>
      </c>
      <c r="C493" s="26" t="s">
        <v>1059</v>
      </c>
      <c r="D493" s="82"/>
      <c r="E493" s="82" t="s">
        <v>461</v>
      </c>
      <c r="F493" s="82" t="s">
        <v>59</v>
      </c>
      <c r="G493" s="29">
        <v>5315</v>
      </c>
      <c r="H493" s="29">
        <f t="shared" si="273"/>
        <v>20</v>
      </c>
      <c r="I493" s="26" t="s">
        <v>8</v>
      </c>
      <c r="J493" s="26" t="s">
        <v>6</v>
      </c>
      <c r="K493" s="26">
        <f t="shared" si="283"/>
        <v>0</v>
      </c>
      <c r="L493" s="42">
        <v>7</v>
      </c>
      <c r="M493" s="42">
        <v>7</v>
      </c>
      <c r="N493" s="42">
        <v>7</v>
      </c>
      <c r="O493" s="83">
        <v>7</v>
      </c>
      <c r="P493" s="83">
        <v>7</v>
      </c>
      <c r="Q493" s="83">
        <v>7</v>
      </c>
      <c r="R493" s="83">
        <v>7</v>
      </c>
      <c r="S493" s="83">
        <v>6</v>
      </c>
      <c r="T493" s="83">
        <v>6</v>
      </c>
      <c r="U493" s="83">
        <v>5</v>
      </c>
      <c r="V493" s="42"/>
      <c r="W493" s="42"/>
      <c r="X493" s="42"/>
      <c r="Y493" s="26">
        <v>50</v>
      </c>
      <c r="Z493" s="26">
        <f t="shared" si="274"/>
        <v>0</v>
      </c>
      <c r="AA493" s="82" t="s">
        <v>210</v>
      </c>
      <c r="AB493" s="111">
        <f t="shared" si="275"/>
        <v>3</v>
      </c>
      <c r="AC493" s="82" t="s">
        <v>751</v>
      </c>
      <c r="AD493" s="84">
        <f t="shared" si="252"/>
        <v>110729.16666666667</v>
      </c>
      <c r="AE493" s="140">
        <v>1</v>
      </c>
      <c r="AF493" s="113">
        <f t="shared" si="271"/>
        <v>110729.16666666667</v>
      </c>
      <c r="AG493" s="26">
        <v>2023</v>
      </c>
      <c r="AH493" s="26" t="str">
        <f t="shared" si="257"/>
        <v/>
      </c>
      <c r="AI493" s="26" t="str">
        <f t="shared" si="278"/>
        <v>Overlay - 2"</v>
      </c>
      <c r="AJ493" s="26" t="str">
        <f t="shared" si="280"/>
        <v/>
      </c>
      <c r="AK493" s="26" t="str">
        <f t="shared" si="282"/>
        <v/>
      </c>
      <c r="AL493" s="26" t="str">
        <f t="shared" si="282"/>
        <v/>
      </c>
      <c r="AM493" s="26" t="str">
        <f t="shared" si="282"/>
        <v/>
      </c>
      <c r="AN493" s="26" t="str">
        <f t="shared" si="270"/>
        <v>Overlay - 2"</v>
      </c>
      <c r="AO493" s="26" t="str">
        <f t="shared" si="281"/>
        <v/>
      </c>
      <c r="AP493" s="26" t="str">
        <f t="shared" si="261"/>
        <v/>
      </c>
      <c r="AQ493" s="68">
        <f t="shared" si="276"/>
        <v>10</v>
      </c>
      <c r="AR493" s="68">
        <f t="shared" si="277"/>
        <v>12</v>
      </c>
      <c r="AS493" s="68">
        <f t="shared" si="262"/>
        <v>1.05</v>
      </c>
      <c r="AT493" s="68">
        <f t="shared" si="263"/>
        <v>1.05</v>
      </c>
      <c r="AU493" s="68">
        <f t="shared" si="264"/>
        <v>1.05</v>
      </c>
      <c r="AV493" s="68">
        <f t="shared" si="265"/>
        <v>1.05</v>
      </c>
      <c r="AW493" s="68">
        <f t="shared" si="266"/>
        <v>1.05</v>
      </c>
      <c r="AX493" s="68">
        <f t="shared" ca="1" si="267"/>
        <v>-1.05</v>
      </c>
      <c r="AY493" s="68">
        <v>2023</v>
      </c>
      <c r="AZ493" s="68" t="s">
        <v>751</v>
      </c>
      <c r="BA493" s="106" t="str">
        <f t="shared" si="254"/>
        <v/>
      </c>
      <c r="BB493" s="178">
        <v>106</v>
      </c>
      <c r="BC493" s="178">
        <v>9</v>
      </c>
      <c r="BD493" s="178"/>
      <c r="BE493" s="178"/>
      <c r="BF493" s="178"/>
      <c r="BG493" s="178"/>
      <c r="BH493" s="178"/>
      <c r="BI493" s="33"/>
      <c r="BK493" s="48">
        <f>$G493/5280*VLOOKUP($AC493,'Cost and Score'!$B$27:$O$40,6,0)</f>
        <v>2.2649147727272725</v>
      </c>
      <c r="BL493" s="48">
        <f>$G493/5280*VLOOKUP($AC493,'Cost and Score'!$B$27:$O$40,7,0)</f>
        <v>211.39204545454544</v>
      </c>
      <c r="BM493" s="48">
        <f>$G493/5280*VLOOKUP($AC493,'Cost and Score'!$B$27:$O$40,8,0)</f>
        <v>352.32007575757575</v>
      </c>
      <c r="BN493" s="48">
        <f>$G493/5280*VLOOKUP($AC493,'Cost and Score'!$B$27:$O$40,9,0)</f>
        <v>0</v>
      </c>
      <c r="BO493" s="48">
        <f>$G493/5280*VLOOKUP($AC493,'Cost and Score'!$B$27:$O$40,10,0)</f>
        <v>0</v>
      </c>
      <c r="BP493" s="48">
        <f>$G493/5280*VLOOKUP($AC493,'Cost and Score'!$B$27:$O$40,11,0)</f>
        <v>201.32575757575756</v>
      </c>
      <c r="BQ493" s="48">
        <f>$G493/5280*VLOOKUP($AC493,'Cost and Score'!$B$27:$O$40,12,0)</f>
        <v>1711.2689393939393</v>
      </c>
      <c r="BR493" s="48">
        <f>$G493/5280*VLOOKUP($AC493,'Cost and Score'!$B$27:$O$40,13,0)</f>
        <v>0</v>
      </c>
      <c r="BS493" s="48">
        <f>$G493/5280*VLOOKUP($AC493,'Cost and Score'!$B$27:$O$40,14,0)</f>
        <v>0</v>
      </c>
      <c r="BT493" s="220">
        <f t="shared" si="255"/>
        <v>1.0066287878787878</v>
      </c>
    </row>
    <row r="494" spans="1:103" s="2" customFormat="1" ht="14.45" hidden="1" customHeight="1" x14ac:dyDescent="0.25">
      <c r="A494" s="38" t="s">
        <v>2177</v>
      </c>
      <c r="B494" s="34" t="s">
        <v>1060</v>
      </c>
      <c r="C494" s="26" t="s">
        <v>1060</v>
      </c>
      <c r="D494" s="82"/>
      <c r="E494" s="82" t="s">
        <v>546</v>
      </c>
      <c r="F494" s="82" t="s">
        <v>129</v>
      </c>
      <c r="G494" s="29">
        <v>2655</v>
      </c>
      <c r="H494" s="29">
        <f t="shared" si="273"/>
        <v>20</v>
      </c>
      <c r="I494" s="26" t="s">
        <v>8</v>
      </c>
      <c r="J494" s="26" t="s">
        <v>160</v>
      </c>
      <c r="K494" s="26">
        <f t="shared" si="283"/>
        <v>0</v>
      </c>
      <c r="L494" s="42">
        <v>7</v>
      </c>
      <c r="M494" s="42">
        <v>7</v>
      </c>
      <c r="N494" s="42">
        <v>7</v>
      </c>
      <c r="O494" s="83">
        <v>7</v>
      </c>
      <c r="P494" s="83">
        <v>6</v>
      </c>
      <c r="Q494" s="83">
        <v>8</v>
      </c>
      <c r="R494" s="83">
        <v>8</v>
      </c>
      <c r="S494" s="83">
        <v>8</v>
      </c>
      <c r="T494" s="83">
        <v>7</v>
      </c>
      <c r="U494" s="83">
        <v>7</v>
      </c>
      <c r="V494" s="42">
        <v>2024</v>
      </c>
      <c r="W494" s="42">
        <v>2023</v>
      </c>
      <c r="X494" s="42" t="s">
        <v>2612</v>
      </c>
      <c r="Y494" s="26">
        <v>1623</v>
      </c>
      <c r="Z494" s="26">
        <f t="shared" si="274"/>
        <v>1</v>
      </c>
      <c r="AA494" s="82" t="s">
        <v>210</v>
      </c>
      <c r="AB494" s="111">
        <f t="shared" si="275"/>
        <v>5</v>
      </c>
      <c r="AC494" s="85" t="s">
        <v>2371</v>
      </c>
      <c r="AD494" s="84">
        <f t="shared" si="252"/>
        <v>40227.272727272728</v>
      </c>
      <c r="AE494" s="140"/>
      <c r="AF494" s="113">
        <f t="shared" si="271"/>
        <v>0</v>
      </c>
      <c r="AG494" s="82">
        <v>2023</v>
      </c>
      <c r="AH494" s="26" t="str">
        <f t="shared" si="257"/>
        <v/>
      </c>
      <c r="AI494" s="26" t="str">
        <f t="shared" si="278"/>
        <v>Microsurface double</v>
      </c>
      <c r="AJ494" s="26" t="str">
        <f t="shared" si="280"/>
        <v/>
      </c>
      <c r="AK494" s="26" t="str">
        <f t="shared" si="282"/>
        <v/>
      </c>
      <c r="AL494" s="26" t="str">
        <f t="shared" si="282"/>
        <v/>
      </c>
      <c r="AM494" s="26" t="str">
        <f t="shared" si="282"/>
        <v/>
      </c>
      <c r="AN494" s="26" t="str">
        <f t="shared" si="270"/>
        <v>Microsurface double</v>
      </c>
      <c r="AO494" s="26" t="str">
        <f t="shared" si="281"/>
        <v/>
      </c>
      <c r="AP494" s="26" t="str">
        <f t="shared" si="261"/>
        <v/>
      </c>
      <c r="AQ494" s="68">
        <f t="shared" si="276"/>
        <v>10</v>
      </c>
      <c r="AR494" s="68">
        <f t="shared" si="277"/>
        <v>10</v>
      </c>
      <c r="AS494" s="68">
        <f t="shared" si="262"/>
        <v>1.05</v>
      </c>
      <c r="AT494" s="68">
        <f t="shared" si="263"/>
        <v>1.05</v>
      </c>
      <c r="AU494" s="68">
        <f t="shared" si="264"/>
        <v>1.05</v>
      </c>
      <c r="AV494" s="68">
        <f t="shared" si="265"/>
        <v>1.05</v>
      </c>
      <c r="AW494" s="68">
        <f t="shared" si="266"/>
        <v>1.1000000000000001</v>
      </c>
      <c r="AX494" s="68">
        <f t="shared" ca="1" si="267"/>
        <v>-1.05</v>
      </c>
      <c r="AY494" s="68">
        <v>2023</v>
      </c>
      <c r="AZ494" s="68" t="s">
        <v>2371</v>
      </c>
      <c r="BA494" s="106" t="str">
        <f t="shared" si="254"/>
        <v/>
      </c>
      <c r="BB494" s="178"/>
      <c r="BC494" s="178">
        <v>8</v>
      </c>
      <c r="BD494" s="178"/>
      <c r="BE494" s="178"/>
      <c r="BF494" s="178"/>
      <c r="BG494" s="178"/>
      <c r="BH494" s="178"/>
      <c r="BI494" s="33"/>
      <c r="BK494" s="48">
        <f>$G494/5280*VLOOKUP($AC494,'Cost and Score'!$B$27:$O$40,6,0)</f>
        <v>0.25142045454545453</v>
      </c>
      <c r="BL494" s="48">
        <f>$G494/5280*VLOOKUP($AC494,'Cost and Score'!$B$27:$O$40,7,0)</f>
        <v>0</v>
      </c>
      <c r="BM494" s="48">
        <f>$G494/5280*VLOOKUP($AC494,'Cost and Score'!$B$27:$O$40,8,0)</f>
        <v>0</v>
      </c>
      <c r="BN494" s="48">
        <f>$G494/5280*VLOOKUP($AC494,'Cost and Score'!$B$27:$O$40,9,0)</f>
        <v>0</v>
      </c>
      <c r="BO494" s="48">
        <f>$G494/5280*VLOOKUP($AC494,'Cost and Score'!$B$27:$O$40,10,0)</f>
        <v>0</v>
      </c>
      <c r="BP494" s="48">
        <f>$G494/5280*VLOOKUP($AC494,'Cost and Score'!$B$27:$O$40,11,0)</f>
        <v>0</v>
      </c>
      <c r="BQ494" s="48">
        <f>$G494/5280*VLOOKUP($AC494,'Cost and Score'!$B$27:$O$40,12,0)</f>
        <v>0</v>
      </c>
      <c r="BR494" s="48">
        <f>$G494/5280*VLOOKUP($AC494,'Cost and Score'!$B$27:$O$40,13,0)</f>
        <v>0</v>
      </c>
      <c r="BS494" s="48">
        <f>$G494/5280*VLOOKUP($AC494,'Cost and Score'!$B$27:$O$40,14,0)</f>
        <v>0</v>
      </c>
      <c r="BT494" s="220">
        <f t="shared" si="255"/>
        <v>0.50284090909090906</v>
      </c>
      <c r="CW494" s="112"/>
      <c r="CX494" s="112"/>
      <c r="CY494" s="112"/>
    </row>
    <row r="495" spans="1:103" s="2" customFormat="1" ht="14.45" hidden="1" customHeight="1" x14ac:dyDescent="0.25">
      <c r="A495" s="38" t="s">
        <v>2178</v>
      </c>
      <c r="B495" s="34" t="s">
        <v>1061</v>
      </c>
      <c r="C495" s="26" t="s">
        <v>1061</v>
      </c>
      <c r="D495" s="82"/>
      <c r="E495" s="82" t="s">
        <v>168</v>
      </c>
      <c r="F495" s="82" t="s">
        <v>546</v>
      </c>
      <c r="G495" s="29">
        <v>3058</v>
      </c>
      <c r="H495" s="29">
        <f t="shared" si="273"/>
        <v>20</v>
      </c>
      <c r="I495" s="26" t="s">
        <v>8</v>
      </c>
      <c r="J495" s="26" t="s">
        <v>160</v>
      </c>
      <c r="K495" s="26">
        <f t="shared" si="283"/>
        <v>0</v>
      </c>
      <c r="L495" s="42">
        <v>7</v>
      </c>
      <c r="M495" s="42">
        <v>7</v>
      </c>
      <c r="N495" s="42">
        <v>7</v>
      </c>
      <c r="O495" s="83">
        <v>7</v>
      </c>
      <c r="P495" s="83">
        <v>6</v>
      </c>
      <c r="Q495" s="83">
        <v>8</v>
      </c>
      <c r="R495" s="83">
        <v>8</v>
      </c>
      <c r="S495" s="83">
        <v>8</v>
      </c>
      <c r="T495" s="83">
        <v>7</v>
      </c>
      <c r="U495" s="83">
        <v>7</v>
      </c>
      <c r="V495" s="42">
        <v>2024</v>
      </c>
      <c r="W495" s="42">
        <v>2023</v>
      </c>
      <c r="X495" s="42" t="s">
        <v>2612</v>
      </c>
      <c r="Y495" s="26">
        <v>1623</v>
      </c>
      <c r="Z495" s="26">
        <f t="shared" si="274"/>
        <v>1</v>
      </c>
      <c r="AA495" s="82" t="s">
        <v>210</v>
      </c>
      <c r="AB495" s="111">
        <f t="shared" si="275"/>
        <v>5</v>
      </c>
      <c r="AC495" s="85" t="s">
        <v>13</v>
      </c>
      <c r="AD495" s="84">
        <f t="shared" si="252"/>
        <v>12162.5</v>
      </c>
      <c r="AE495" s="140"/>
      <c r="AF495" s="113">
        <f t="shared" si="271"/>
        <v>0</v>
      </c>
      <c r="AG495" s="26">
        <v>2024</v>
      </c>
      <c r="AH495" s="26" t="str">
        <f t="shared" si="257"/>
        <v/>
      </c>
      <c r="AI495" s="26" t="str">
        <f t="shared" si="278"/>
        <v/>
      </c>
      <c r="AJ495" s="26" t="str">
        <f t="shared" si="280"/>
        <v>Chip Seal and Fog</v>
      </c>
      <c r="AK495" s="26" t="str">
        <f t="shared" si="282"/>
        <v/>
      </c>
      <c r="AL495" s="26" t="str">
        <f t="shared" si="282"/>
        <v/>
      </c>
      <c r="AM495" s="26" t="str">
        <f t="shared" si="282"/>
        <v/>
      </c>
      <c r="AN495" s="26" t="str">
        <f t="shared" si="270"/>
        <v>Chip Seal and Fog</v>
      </c>
      <c r="AO495" s="26" t="str">
        <f t="shared" si="281"/>
        <v/>
      </c>
      <c r="AP495" s="26" t="str">
        <f t="shared" si="261"/>
        <v/>
      </c>
      <c r="AQ495" s="68">
        <f t="shared" si="276"/>
        <v>10</v>
      </c>
      <c r="AR495" s="68">
        <f t="shared" si="277"/>
        <v>6</v>
      </c>
      <c r="AS495" s="68">
        <f t="shared" si="262"/>
        <v>1.05</v>
      </c>
      <c r="AT495" s="68">
        <f t="shared" si="263"/>
        <v>1.05</v>
      </c>
      <c r="AU495" s="68">
        <f t="shared" si="264"/>
        <v>1.05</v>
      </c>
      <c r="AV495" s="68">
        <f t="shared" si="265"/>
        <v>1.05</v>
      </c>
      <c r="AW495" s="68">
        <f t="shared" si="266"/>
        <v>1.1000000000000001</v>
      </c>
      <c r="AX495" s="68">
        <f t="shared" ca="1" si="267"/>
        <v>0</v>
      </c>
      <c r="AY495" s="68">
        <v>2018</v>
      </c>
      <c r="AZ495" s="68" t="s">
        <v>2072</v>
      </c>
      <c r="BA495" s="106" t="str">
        <f t="shared" si="254"/>
        <v>SP/CS</v>
      </c>
      <c r="BB495" s="178"/>
      <c r="BC495" s="178">
        <v>8</v>
      </c>
      <c r="BD495" s="178"/>
      <c r="BE495" s="178"/>
      <c r="BF495" s="178"/>
      <c r="BG495" s="178"/>
      <c r="BH495" s="178"/>
      <c r="BI495" s="33"/>
      <c r="BK495" s="48">
        <f>$G495/5280*VLOOKUP($AC495,'Cost and Score'!$B$27:$O$40,6,0)</f>
        <v>0.11583333333333334</v>
      </c>
      <c r="BL495" s="48">
        <f>$G495/5280*VLOOKUP($AC495,'Cost and Score'!$B$27:$O$40,7,0)</f>
        <v>12.741666666666667</v>
      </c>
      <c r="BM495" s="48">
        <f>$G495/5280*VLOOKUP($AC495,'Cost and Score'!$B$27:$O$40,8,0)</f>
        <v>0</v>
      </c>
      <c r="BN495" s="48">
        <f>$G495/5280*VLOOKUP($AC495,'Cost and Score'!$B$27:$O$40,9,0)</f>
        <v>2606.2500000000005</v>
      </c>
      <c r="BO495" s="48">
        <f>$G495/5280*VLOOKUP($AC495,'Cost and Score'!$B$27:$O$40,10,0)</f>
        <v>579.16666666666674</v>
      </c>
      <c r="BP495" s="48">
        <f>$G495/5280*VLOOKUP($AC495,'Cost and Score'!$B$27:$O$40,11,0)</f>
        <v>0</v>
      </c>
      <c r="BQ495" s="48">
        <f>$G495/5280*VLOOKUP($AC495,'Cost and Score'!$B$27:$O$40,12,0)</f>
        <v>57.916666666666671</v>
      </c>
      <c r="BR495" s="48">
        <f>$G495/5280*VLOOKUP($AC495,'Cost and Score'!$B$27:$O$40,13,0)</f>
        <v>69.5</v>
      </c>
      <c r="BS495" s="48">
        <f>$G495/5280*VLOOKUP($AC495,'Cost and Score'!$B$27:$O$40,14,0)</f>
        <v>0</v>
      </c>
      <c r="BT495" s="220">
        <f t="shared" si="255"/>
        <v>0.57916666666666672</v>
      </c>
      <c r="CW495" s="112"/>
      <c r="CX495" s="112"/>
      <c r="CY495" s="112"/>
    </row>
    <row r="496" spans="1:103" s="2" customFormat="1" ht="14.45" hidden="1" customHeight="1" x14ac:dyDescent="0.25">
      <c r="A496" s="38" t="s">
        <v>2175</v>
      </c>
      <c r="B496" s="34" t="s">
        <v>1062</v>
      </c>
      <c r="C496" s="26" t="s">
        <v>1062</v>
      </c>
      <c r="D496" s="82"/>
      <c r="E496" s="82" t="s">
        <v>59</v>
      </c>
      <c r="F496" s="82" t="s">
        <v>64</v>
      </c>
      <c r="G496" s="29">
        <v>5320</v>
      </c>
      <c r="H496" s="29">
        <f t="shared" si="273"/>
        <v>20</v>
      </c>
      <c r="I496" s="26" t="s">
        <v>13</v>
      </c>
      <c r="J496" s="26" t="s">
        <v>172</v>
      </c>
      <c r="K496" s="26">
        <f t="shared" si="283"/>
        <v>0</v>
      </c>
      <c r="L496" s="42">
        <v>6</v>
      </c>
      <c r="M496" s="42">
        <v>6</v>
      </c>
      <c r="N496" s="42">
        <v>6</v>
      </c>
      <c r="O496" s="83">
        <v>6</v>
      </c>
      <c r="P496" s="83">
        <v>6</v>
      </c>
      <c r="Q496" s="83">
        <v>6</v>
      </c>
      <c r="R496" s="83">
        <v>6</v>
      </c>
      <c r="S496" s="83">
        <v>7</v>
      </c>
      <c r="T496" s="83">
        <v>7</v>
      </c>
      <c r="U496" s="83">
        <v>7</v>
      </c>
      <c r="V496" s="42"/>
      <c r="W496" s="42"/>
      <c r="X496" s="42"/>
      <c r="Y496" s="26">
        <v>50</v>
      </c>
      <c r="Z496" s="26">
        <f t="shared" si="274"/>
        <v>0</v>
      </c>
      <c r="AA496" s="82" t="s">
        <v>210</v>
      </c>
      <c r="AB496" s="111">
        <f t="shared" si="275"/>
        <v>4</v>
      </c>
      <c r="AC496" s="85" t="s">
        <v>2073</v>
      </c>
      <c r="AD496" s="84">
        <f t="shared" si="252"/>
        <v>32242.424242424244</v>
      </c>
      <c r="AE496" s="140"/>
      <c r="AF496" s="113">
        <f t="shared" si="271"/>
        <v>0</v>
      </c>
      <c r="AG496" s="85">
        <v>2026</v>
      </c>
      <c r="AH496" s="26" t="str">
        <f t="shared" si="257"/>
        <v/>
      </c>
      <c r="AI496" s="26" t="str">
        <f t="shared" si="278"/>
        <v/>
      </c>
      <c r="AJ496" s="26" t="str">
        <f t="shared" si="280"/>
        <v/>
      </c>
      <c r="AK496" s="26" t="str">
        <f t="shared" si="282"/>
        <v/>
      </c>
      <c r="AL496" s="26" t="str">
        <f t="shared" si="282"/>
        <v>Chip Seal - Double and Fog</v>
      </c>
      <c r="AM496" s="26" t="str">
        <f t="shared" si="282"/>
        <v/>
      </c>
      <c r="AN496" s="26" t="str">
        <f t="shared" si="270"/>
        <v>Chip Seal - Double and Fog</v>
      </c>
      <c r="AO496" s="26" t="str">
        <f t="shared" si="281"/>
        <v/>
      </c>
      <c r="AP496" s="26" t="str">
        <f t="shared" si="261"/>
        <v/>
      </c>
      <c r="AQ496" s="68">
        <f t="shared" si="276"/>
        <v>8</v>
      </c>
      <c r="AR496" s="68">
        <f t="shared" si="277"/>
        <v>6</v>
      </c>
      <c r="AS496" s="68">
        <f t="shared" si="262"/>
        <v>1.1000000000000001</v>
      </c>
      <c r="AT496" s="68">
        <f t="shared" si="263"/>
        <v>1.1000000000000001</v>
      </c>
      <c r="AU496" s="68">
        <f t="shared" si="264"/>
        <v>1.1000000000000001</v>
      </c>
      <c r="AV496" s="68">
        <f t="shared" si="265"/>
        <v>1.1000000000000001</v>
      </c>
      <c r="AW496" s="68">
        <f t="shared" si="266"/>
        <v>1.1000000000000001</v>
      </c>
      <c r="AX496" s="68">
        <f t="shared" ca="1" si="267"/>
        <v>2.2000000000000002</v>
      </c>
      <c r="AY496" s="68">
        <v>2020</v>
      </c>
      <c r="AZ496" s="68" t="s">
        <v>2073</v>
      </c>
      <c r="BA496" s="106" t="str">
        <f t="shared" si="254"/>
        <v/>
      </c>
      <c r="BB496" s="178"/>
      <c r="BC496" s="178">
        <v>9</v>
      </c>
      <c r="BD496" s="178"/>
      <c r="BE496" s="178"/>
      <c r="BF496" s="178"/>
      <c r="BG496" s="178"/>
      <c r="BH496" s="178"/>
      <c r="BI496" s="33"/>
      <c r="BK496" s="48">
        <f>$G496/5280*VLOOKUP($AC496,'Cost and Score'!$B$27:$O$40,6,0)</f>
        <v>0.50378787878787878</v>
      </c>
      <c r="BL496" s="48">
        <f>$G496/5280*VLOOKUP($AC496,'Cost and Score'!$B$27:$O$40,7,0)</f>
        <v>50.378787878787875</v>
      </c>
      <c r="BM496" s="48">
        <f>$G496/5280*VLOOKUP($AC496,'Cost and Score'!$B$27:$O$40,8,0)</f>
        <v>0</v>
      </c>
      <c r="BN496" s="48">
        <f>$G496/5280*VLOOKUP($AC496,'Cost and Score'!$B$27:$O$40,9,0)</f>
        <v>9571.9696969696961</v>
      </c>
      <c r="BO496" s="48">
        <f>$G496/5280*VLOOKUP($AC496,'Cost and Score'!$B$27:$O$40,10,0)</f>
        <v>1007.5757575757576</v>
      </c>
      <c r="BP496" s="48">
        <f>$G496/5280*VLOOKUP($AC496,'Cost and Score'!$B$27:$O$40,11,0)</f>
        <v>0</v>
      </c>
      <c r="BQ496" s="48">
        <f>$G496/5280*VLOOKUP($AC496,'Cost and Score'!$B$27:$O$40,12,0)</f>
        <v>201.5151515151515</v>
      </c>
      <c r="BR496" s="48">
        <f>$G496/5280*VLOOKUP($AC496,'Cost and Score'!$B$27:$O$40,13,0)</f>
        <v>181.36363636363637</v>
      </c>
      <c r="BS496" s="48">
        <f>$G496/5280*VLOOKUP($AC496,'Cost and Score'!$B$27:$O$40,14,0)</f>
        <v>241.81818181818181</v>
      </c>
      <c r="BT496" s="220">
        <f t="shared" si="255"/>
        <v>1.0075757575757576</v>
      </c>
    </row>
    <row r="497" spans="1:103" s="2" customFormat="1" ht="14.45" hidden="1" customHeight="1" x14ac:dyDescent="0.25">
      <c r="A497" s="38" t="s">
        <v>2179</v>
      </c>
      <c r="B497" s="34" t="s">
        <v>1063</v>
      </c>
      <c r="C497" s="26" t="s">
        <v>1063</v>
      </c>
      <c r="D497" s="82"/>
      <c r="E497" s="82" t="s">
        <v>986</v>
      </c>
      <c r="F497" s="82" t="s">
        <v>168</v>
      </c>
      <c r="G497" s="29">
        <v>2308</v>
      </c>
      <c r="H497" s="29">
        <f t="shared" si="273"/>
        <v>20</v>
      </c>
      <c r="I497" s="26" t="s">
        <v>8</v>
      </c>
      <c r="J497" s="26" t="s">
        <v>160</v>
      </c>
      <c r="K497" s="26">
        <f t="shared" si="283"/>
        <v>0</v>
      </c>
      <c r="L497" s="42">
        <v>7</v>
      </c>
      <c r="M497" s="42">
        <v>7</v>
      </c>
      <c r="N497" s="42">
        <v>7</v>
      </c>
      <c r="O497" s="83">
        <v>7</v>
      </c>
      <c r="P497" s="83">
        <v>6</v>
      </c>
      <c r="Q497" s="83">
        <v>8</v>
      </c>
      <c r="R497" s="83">
        <v>8</v>
      </c>
      <c r="S497" s="83">
        <v>8</v>
      </c>
      <c r="T497" s="83">
        <v>7</v>
      </c>
      <c r="U497" s="83">
        <v>7</v>
      </c>
      <c r="V497" s="42">
        <v>2023</v>
      </c>
      <c r="W497" s="42">
        <v>2023</v>
      </c>
      <c r="X497" s="42" t="s">
        <v>2612</v>
      </c>
      <c r="Y497" s="26">
        <v>2370</v>
      </c>
      <c r="Z497" s="26">
        <f t="shared" si="274"/>
        <v>1</v>
      </c>
      <c r="AA497" s="82" t="s">
        <v>210</v>
      </c>
      <c r="AB497" s="111">
        <f t="shared" si="275"/>
        <v>5</v>
      </c>
      <c r="AC497" s="85" t="s">
        <v>751</v>
      </c>
      <c r="AD497" s="84">
        <f t="shared" si="252"/>
        <v>48083.333333333336</v>
      </c>
      <c r="AE497" s="140">
        <v>1</v>
      </c>
      <c r="AF497" s="113">
        <f t="shared" si="271"/>
        <v>48083.333333333336</v>
      </c>
      <c r="AG497" s="82">
        <v>2023</v>
      </c>
      <c r="AH497" s="26" t="str">
        <f t="shared" si="257"/>
        <v/>
      </c>
      <c r="AI497" s="26" t="str">
        <f t="shared" si="278"/>
        <v>Overlay - 2"</v>
      </c>
      <c r="AJ497" s="26" t="str">
        <f t="shared" si="280"/>
        <v/>
      </c>
      <c r="AK497" s="26" t="str">
        <f t="shared" si="282"/>
        <v/>
      </c>
      <c r="AL497" s="26" t="str">
        <f t="shared" si="282"/>
        <v/>
      </c>
      <c r="AM497" s="26" t="str">
        <f t="shared" si="282"/>
        <v/>
      </c>
      <c r="AN497" s="26" t="str">
        <f t="shared" si="270"/>
        <v>Overlay - 2"</v>
      </c>
      <c r="AO497" s="26" t="str">
        <f t="shared" si="281"/>
        <v/>
      </c>
      <c r="AP497" s="26" t="str">
        <f t="shared" si="261"/>
        <v/>
      </c>
      <c r="AQ497" s="68">
        <f t="shared" si="276"/>
        <v>10</v>
      </c>
      <c r="AR497" s="68">
        <f t="shared" si="277"/>
        <v>12</v>
      </c>
      <c r="AS497" s="68">
        <f t="shared" si="262"/>
        <v>1.05</v>
      </c>
      <c r="AT497" s="68">
        <f t="shared" si="263"/>
        <v>1.05</v>
      </c>
      <c r="AU497" s="68">
        <f t="shared" si="264"/>
        <v>1.05</v>
      </c>
      <c r="AV497" s="68">
        <f t="shared" si="265"/>
        <v>1.05</v>
      </c>
      <c r="AW497" s="68">
        <f t="shared" si="266"/>
        <v>1.1000000000000001</v>
      </c>
      <c r="AX497" s="68">
        <f t="shared" ca="1" si="267"/>
        <v>-1.05</v>
      </c>
      <c r="AY497" s="68">
        <v>2023</v>
      </c>
      <c r="AZ497" s="68" t="s">
        <v>751</v>
      </c>
      <c r="BA497" s="106" t="str">
        <f t="shared" si="254"/>
        <v/>
      </c>
      <c r="BB497" s="178"/>
      <c r="BC497" s="178">
        <v>8</v>
      </c>
      <c r="BD497" s="178"/>
      <c r="BE497" s="178"/>
      <c r="BF497" s="178"/>
      <c r="BG497" s="178"/>
      <c r="BH497" s="178"/>
      <c r="BI497" s="33"/>
      <c r="BK497" s="48">
        <f>$G497/5280*VLOOKUP($AC497,'Cost and Score'!$B$27:$O$40,6,0)</f>
        <v>0.98352272727272727</v>
      </c>
      <c r="BL497" s="48">
        <f>$G497/5280*VLOOKUP($AC497,'Cost and Score'!$B$27:$O$40,7,0)</f>
        <v>91.795454545454547</v>
      </c>
      <c r="BM497" s="48">
        <f>$G497/5280*VLOOKUP($AC497,'Cost and Score'!$B$27:$O$40,8,0)</f>
        <v>152.99242424242425</v>
      </c>
      <c r="BN497" s="48">
        <f>$G497/5280*VLOOKUP($AC497,'Cost and Score'!$B$27:$O$40,9,0)</f>
        <v>0</v>
      </c>
      <c r="BO497" s="48">
        <f>$G497/5280*VLOOKUP($AC497,'Cost and Score'!$B$27:$O$40,10,0)</f>
        <v>0</v>
      </c>
      <c r="BP497" s="48">
        <f>$G497/5280*VLOOKUP($AC497,'Cost and Score'!$B$27:$O$40,11,0)</f>
        <v>87.424242424242422</v>
      </c>
      <c r="BQ497" s="48">
        <f>$G497/5280*VLOOKUP($AC497,'Cost and Score'!$B$27:$O$40,12,0)</f>
        <v>743.10606060606062</v>
      </c>
      <c r="BR497" s="48">
        <f>$G497/5280*VLOOKUP($AC497,'Cost and Score'!$B$27:$O$40,13,0)</f>
        <v>0</v>
      </c>
      <c r="BS497" s="48">
        <f>$G497/5280*VLOOKUP($AC497,'Cost and Score'!$B$27:$O$40,14,0)</f>
        <v>0</v>
      </c>
      <c r="BT497" s="220">
        <f t="shared" si="255"/>
        <v>0.43712121212121213</v>
      </c>
      <c r="CW497" s="112"/>
      <c r="CX497" s="112"/>
      <c r="CY497" s="112"/>
    </row>
    <row r="498" spans="1:103" s="2" customFormat="1" ht="14.45" hidden="1" customHeight="1" x14ac:dyDescent="0.25">
      <c r="A498" s="38" t="s">
        <v>2180</v>
      </c>
      <c r="B498" s="34" t="s">
        <v>1064</v>
      </c>
      <c r="C498" s="26" t="s">
        <v>1064</v>
      </c>
      <c r="D498" s="82"/>
      <c r="E498" s="82" t="s">
        <v>135</v>
      </c>
      <c r="F498" s="82" t="s">
        <v>986</v>
      </c>
      <c r="G498" s="29">
        <v>2648</v>
      </c>
      <c r="H498" s="29">
        <f t="shared" si="273"/>
        <v>20</v>
      </c>
      <c r="I498" s="26" t="s">
        <v>8</v>
      </c>
      <c r="J498" s="26" t="s">
        <v>160</v>
      </c>
      <c r="K498" s="26">
        <f t="shared" si="283"/>
        <v>0</v>
      </c>
      <c r="L498" s="42">
        <v>7</v>
      </c>
      <c r="M498" s="42">
        <v>8</v>
      </c>
      <c r="N498" s="42">
        <v>7</v>
      </c>
      <c r="O498" s="83">
        <v>7</v>
      </c>
      <c r="P498" s="83">
        <v>6</v>
      </c>
      <c r="Q498" s="83">
        <v>8</v>
      </c>
      <c r="R498" s="83">
        <v>8</v>
      </c>
      <c r="S498" s="83">
        <v>8</v>
      </c>
      <c r="T498" s="83">
        <v>7</v>
      </c>
      <c r="U498" s="83">
        <v>7</v>
      </c>
      <c r="V498" s="42">
        <v>2024</v>
      </c>
      <c r="W498" s="42">
        <v>2023</v>
      </c>
      <c r="X498" s="42" t="s">
        <v>2612</v>
      </c>
      <c r="Y498" s="26">
        <v>2380</v>
      </c>
      <c r="Z498" s="26">
        <f t="shared" si="274"/>
        <v>1</v>
      </c>
      <c r="AA498" s="82" t="s">
        <v>210</v>
      </c>
      <c r="AB498" s="111">
        <f t="shared" si="275"/>
        <v>5</v>
      </c>
      <c r="AC498" s="82" t="s">
        <v>13</v>
      </c>
      <c r="AD498" s="84">
        <f t="shared" si="252"/>
        <v>10531.818181818182</v>
      </c>
      <c r="AE498" s="140"/>
      <c r="AF498" s="113">
        <f t="shared" si="271"/>
        <v>0</v>
      </c>
      <c r="AG498" s="82">
        <v>2024</v>
      </c>
      <c r="AH498" s="26" t="str">
        <f t="shared" si="257"/>
        <v/>
      </c>
      <c r="AI498" s="26" t="str">
        <f t="shared" si="278"/>
        <v/>
      </c>
      <c r="AJ498" s="26" t="str">
        <f t="shared" si="280"/>
        <v>Chip Seal and Fog</v>
      </c>
      <c r="AK498" s="26" t="str">
        <f t="shared" si="282"/>
        <v/>
      </c>
      <c r="AL498" s="26" t="str">
        <f t="shared" si="282"/>
        <v/>
      </c>
      <c r="AM498" s="26" t="str">
        <f t="shared" si="282"/>
        <v/>
      </c>
      <c r="AN498" s="26" t="str">
        <f t="shared" si="270"/>
        <v>Chip Seal and Fog</v>
      </c>
      <c r="AO498" s="26" t="str">
        <f t="shared" si="281"/>
        <v/>
      </c>
      <c r="AP498" s="26" t="str">
        <f t="shared" si="261"/>
        <v/>
      </c>
      <c r="AQ498" s="68">
        <f t="shared" si="276"/>
        <v>10</v>
      </c>
      <c r="AR498" s="68">
        <f t="shared" si="277"/>
        <v>6</v>
      </c>
      <c r="AS498" s="68">
        <f t="shared" si="262"/>
        <v>1.05</v>
      </c>
      <c r="AT498" s="68">
        <f t="shared" si="263"/>
        <v>1</v>
      </c>
      <c r="AU498" s="68">
        <f t="shared" si="264"/>
        <v>1.05</v>
      </c>
      <c r="AV498" s="68">
        <f t="shared" si="265"/>
        <v>1.05</v>
      </c>
      <c r="AW498" s="68">
        <f t="shared" si="266"/>
        <v>1.1000000000000001</v>
      </c>
      <c r="AX498" s="68">
        <f t="shared" ca="1" si="267"/>
        <v>0</v>
      </c>
      <c r="AY498" s="68">
        <v>2018</v>
      </c>
      <c r="AZ498" s="68" t="s">
        <v>13</v>
      </c>
      <c r="BA498" s="106" t="str">
        <f t="shared" si="254"/>
        <v>CS</v>
      </c>
      <c r="BB498" s="178"/>
      <c r="BC498" s="178">
        <v>8</v>
      </c>
      <c r="BD498" s="178"/>
      <c r="BE498" s="178"/>
      <c r="BF498" s="178"/>
      <c r="BG498" s="178"/>
      <c r="BH498" s="178"/>
      <c r="BI498" s="33"/>
      <c r="BK498" s="48">
        <f>$G498/5280*VLOOKUP($AC498,'Cost and Score'!$B$27:$O$40,6,0)</f>
        <v>0.1003030303030303</v>
      </c>
      <c r="BL498" s="48">
        <f>$G498/5280*VLOOKUP($AC498,'Cost and Score'!$B$27:$O$40,7,0)</f>
        <v>11.033333333333331</v>
      </c>
      <c r="BM498" s="48">
        <f>$G498/5280*VLOOKUP($AC498,'Cost and Score'!$B$27:$O$40,8,0)</f>
        <v>0</v>
      </c>
      <c r="BN498" s="48">
        <f>$G498/5280*VLOOKUP($AC498,'Cost and Score'!$B$27:$O$40,9,0)</f>
        <v>2256.8181818181815</v>
      </c>
      <c r="BO498" s="48">
        <f>$G498/5280*VLOOKUP($AC498,'Cost and Score'!$B$27:$O$40,10,0)</f>
        <v>501.51515151515144</v>
      </c>
      <c r="BP498" s="48">
        <f>$G498/5280*VLOOKUP($AC498,'Cost and Score'!$B$27:$O$40,11,0)</f>
        <v>0</v>
      </c>
      <c r="BQ498" s="48">
        <f>$G498/5280*VLOOKUP($AC498,'Cost and Score'!$B$27:$O$40,12,0)</f>
        <v>50.151515151515149</v>
      </c>
      <c r="BR498" s="48">
        <f>$G498/5280*VLOOKUP($AC498,'Cost and Score'!$B$27:$O$40,13,0)</f>
        <v>60.181818181818173</v>
      </c>
      <c r="BS498" s="48">
        <f>$G498/5280*VLOOKUP($AC498,'Cost and Score'!$B$27:$O$40,14,0)</f>
        <v>0</v>
      </c>
      <c r="BT498" s="220">
        <f t="shared" si="255"/>
        <v>0.50151515151515147</v>
      </c>
      <c r="CW498" s="112"/>
      <c r="CX498" s="112"/>
      <c r="CY498" s="112"/>
    </row>
    <row r="499" spans="1:103" s="2" customFormat="1" ht="14.45" hidden="1" customHeight="1" x14ac:dyDescent="0.25">
      <c r="A499" s="36" t="s">
        <v>2181</v>
      </c>
      <c r="B499" s="34" t="s">
        <v>1065</v>
      </c>
      <c r="C499" s="85" t="s">
        <v>1065</v>
      </c>
      <c r="D499" s="85"/>
      <c r="E499" s="85" t="s">
        <v>1066</v>
      </c>
      <c r="F499" s="85" t="s">
        <v>135</v>
      </c>
      <c r="G499" s="29">
        <v>4004</v>
      </c>
      <c r="H499" s="29">
        <f t="shared" si="273"/>
        <v>20</v>
      </c>
      <c r="I499" s="85" t="s">
        <v>8</v>
      </c>
      <c r="J499" s="85" t="s">
        <v>160</v>
      </c>
      <c r="K499" s="85">
        <f t="shared" si="283"/>
        <v>0</v>
      </c>
      <c r="L499" s="74">
        <v>8</v>
      </c>
      <c r="M499" s="74">
        <v>8</v>
      </c>
      <c r="N499" s="74">
        <v>7</v>
      </c>
      <c r="O499" s="74">
        <v>7</v>
      </c>
      <c r="P499" s="74">
        <v>7</v>
      </c>
      <c r="Q499" s="74">
        <v>7</v>
      </c>
      <c r="R499" s="74">
        <v>7</v>
      </c>
      <c r="S499" s="74">
        <v>7</v>
      </c>
      <c r="T499" s="74">
        <v>7</v>
      </c>
      <c r="U499" s="74">
        <v>7</v>
      </c>
      <c r="V499" s="74">
        <v>2023</v>
      </c>
      <c r="W499" s="74">
        <v>2023</v>
      </c>
      <c r="X499" s="74" t="s">
        <v>2612</v>
      </c>
      <c r="Y499" s="85">
        <v>2633</v>
      </c>
      <c r="Z499" s="85">
        <f t="shared" si="274"/>
        <v>1.5</v>
      </c>
      <c r="AA499" s="85" t="s">
        <v>210</v>
      </c>
      <c r="AB499" s="111">
        <f t="shared" si="275"/>
        <v>4.5</v>
      </c>
      <c r="AC499" s="26" t="s">
        <v>751</v>
      </c>
      <c r="AD499" s="47">
        <f t="shared" si="252"/>
        <v>83416.666666666672</v>
      </c>
      <c r="AE499" s="140">
        <v>1</v>
      </c>
      <c r="AF499" s="113">
        <f t="shared" si="271"/>
        <v>83416.666666666672</v>
      </c>
      <c r="AG499" s="106">
        <v>2023</v>
      </c>
      <c r="AH499" s="26" t="str">
        <f t="shared" si="257"/>
        <v/>
      </c>
      <c r="AI499" s="26" t="str">
        <f t="shared" si="278"/>
        <v>Overlay - 2"</v>
      </c>
      <c r="AJ499" s="26" t="str">
        <f t="shared" si="280"/>
        <v/>
      </c>
      <c r="AK499" s="26" t="str">
        <f t="shared" si="282"/>
        <v/>
      </c>
      <c r="AL499" s="26" t="str">
        <f t="shared" si="282"/>
        <v/>
      </c>
      <c r="AM499" s="26" t="str">
        <f t="shared" si="282"/>
        <v/>
      </c>
      <c r="AN499" s="26" t="str">
        <f t="shared" si="270"/>
        <v>Overlay - 2"</v>
      </c>
      <c r="AO499" s="26" t="str">
        <f t="shared" si="281"/>
        <v/>
      </c>
      <c r="AP499" s="26" t="str">
        <f t="shared" si="261"/>
        <v/>
      </c>
      <c r="AQ499" s="68">
        <f t="shared" si="276"/>
        <v>10</v>
      </c>
      <c r="AR499" s="68">
        <f t="shared" si="277"/>
        <v>12</v>
      </c>
      <c r="AS499" s="68">
        <f t="shared" si="262"/>
        <v>1</v>
      </c>
      <c r="AT499" s="68">
        <f t="shared" si="263"/>
        <v>1</v>
      </c>
      <c r="AU499" s="68">
        <f t="shared" si="264"/>
        <v>1.05</v>
      </c>
      <c r="AV499" s="68">
        <f t="shared" si="265"/>
        <v>1.05</v>
      </c>
      <c r="AW499" s="68">
        <f t="shared" si="266"/>
        <v>1.05</v>
      </c>
      <c r="AX499" s="68">
        <f t="shared" ca="1" si="267"/>
        <v>-1.05</v>
      </c>
      <c r="AY499" s="68">
        <v>2023</v>
      </c>
      <c r="AZ499" s="68" t="s">
        <v>751</v>
      </c>
      <c r="BA499" s="106" t="str">
        <f t="shared" si="254"/>
        <v/>
      </c>
      <c r="BB499" s="178"/>
      <c r="BC499" s="178">
        <v>8</v>
      </c>
      <c r="BD499" s="178"/>
      <c r="BE499" s="178"/>
      <c r="BF499" s="178"/>
      <c r="BG499" s="178"/>
      <c r="BH499" s="178"/>
      <c r="BI499" s="33"/>
      <c r="BK499" s="48">
        <f>$G499/5280*VLOOKUP($AC499,'Cost and Score'!$B$27:$O$40,6,0)</f>
        <v>1.7062499999999998</v>
      </c>
      <c r="BL499" s="48">
        <f>$G499/5280*VLOOKUP($AC499,'Cost and Score'!$B$27:$O$40,7,0)</f>
        <v>159.25</v>
      </c>
      <c r="BM499" s="48">
        <f>$G499/5280*VLOOKUP($AC499,'Cost and Score'!$B$27:$O$40,8,0)</f>
        <v>265.41666666666663</v>
      </c>
      <c r="BN499" s="48">
        <f>$G499/5280*VLOOKUP($AC499,'Cost and Score'!$B$27:$O$40,9,0)</f>
        <v>0</v>
      </c>
      <c r="BO499" s="48">
        <f>$G499/5280*VLOOKUP($AC499,'Cost and Score'!$B$27:$O$40,10,0)</f>
        <v>0</v>
      </c>
      <c r="BP499" s="48">
        <f>$G499/5280*VLOOKUP($AC499,'Cost and Score'!$B$27:$O$40,11,0)</f>
        <v>151.66666666666666</v>
      </c>
      <c r="BQ499" s="48">
        <f>$G499/5280*VLOOKUP($AC499,'Cost and Score'!$B$27:$O$40,12,0)</f>
        <v>1289.1666666666665</v>
      </c>
      <c r="BR499" s="48">
        <f>$G499/5280*VLOOKUP($AC499,'Cost and Score'!$B$27:$O$40,13,0)</f>
        <v>0</v>
      </c>
      <c r="BS499" s="48">
        <f>$G499/5280*VLOOKUP($AC499,'Cost and Score'!$B$27:$O$40,14,0)</f>
        <v>0</v>
      </c>
      <c r="BT499" s="220">
        <f t="shared" si="255"/>
        <v>0.7583333333333333</v>
      </c>
    </row>
    <row r="500" spans="1:103" s="2" customFormat="1" ht="14.45" hidden="1" customHeight="1" x14ac:dyDescent="0.25">
      <c r="A500" s="36" t="s">
        <v>2183</v>
      </c>
      <c r="B500" s="34" t="s">
        <v>1067</v>
      </c>
      <c r="C500" s="85" t="s">
        <v>1067</v>
      </c>
      <c r="D500" s="85"/>
      <c r="E500" s="85" t="s">
        <v>340</v>
      </c>
      <c r="F500" s="85" t="s">
        <v>1066</v>
      </c>
      <c r="G500" s="29">
        <v>6617</v>
      </c>
      <c r="H500" s="29">
        <f t="shared" si="273"/>
        <v>20</v>
      </c>
      <c r="I500" s="85" t="s">
        <v>8</v>
      </c>
      <c r="J500" s="85" t="s">
        <v>160</v>
      </c>
      <c r="K500" s="85">
        <f t="shared" si="283"/>
        <v>0</v>
      </c>
      <c r="L500" s="74">
        <v>8</v>
      </c>
      <c r="M500" s="74">
        <v>7</v>
      </c>
      <c r="N500" s="74">
        <v>7</v>
      </c>
      <c r="O500" s="74">
        <v>7</v>
      </c>
      <c r="P500" s="74">
        <v>7</v>
      </c>
      <c r="Q500" s="74">
        <v>7</v>
      </c>
      <c r="R500" s="74">
        <v>7</v>
      </c>
      <c r="S500" s="74">
        <v>7</v>
      </c>
      <c r="T500" s="74">
        <v>7</v>
      </c>
      <c r="U500" s="74">
        <v>7</v>
      </c>
      <c r="V500" s="74">
        <v>2023</v>
      </c>
      <c r="W500" s="74">
        <v>2023</v>
      </c>
      <c r="X500" s="74" t="s">
        <v>2612</v>
      </c>
      <c r="Y500" s="85">
        <v>2347</v>
      </c>
      <c r="Z500" s="85">
        <f t="shared" si="274"/>
        <v>1</v>
      </c>
      <c r="AA500" s="85" t="s">
        <v>210</v>
      </c>
      <c r="AB500" s="111">
        <f t="shared" si="275"/>
        <v>4</v>
      </c>
      <c r="AC500" s="26" t="s">
        <v>751</v>
      </c>
      <c r="AD500" s="47">
        <f t="shared" si="252"/>
        <v>137854.16666666666</v>
      </c>
      <c r="AE500" s="140">
        <v>1</v>
      </c>
      <c r="AF500" s="113">
        <f t="shared" si="271"/>
        <v>137854.16666666666</v>
      </c>
      <c r="AG500" s="106">
        <v>2023</v>
      </c>
      <c r="AH500" s="26" t="str">
        <f t="shared" si="257"/>
        <v/>
      </c>
      <c r="AI500" s="26" t="str">
        <f t="shared" si="278"/>
        <v>Overlay - 2"</v>
      </c>
      <c r="AJ500" s="26" t="str">
        <f t="shared" si="280"/>
        <v/>
      </c>
      <c r="AK500" s="26" t="str">
        <f t="shared" si="282"/>
        <v/>
      </c>
      <c r="AL500" s="26" t="str">
        <f t="shared" si="282"/>
        <v/>
      </c>
      <c r="AM500" s="26" t="str">
        <f t="shared" si="282"/>
        <v/>
      </c>
      <c r="AN500" s="26" t="str">
        <f t="shared" si="270"/>
        <v>Overlay - 2"</v>
      </c>
      <c r="AO500" s="26" t="str">
        <f t="shared" si="281"/>
        <v/>
      </c>
      <c r="AP500" s="26" t="str">
        <f t="shared" si="261"/>
        <v/>
      </c>
      <c r="AQ500" s="68">
        <f t="shared" si="276"/>
        <v>10</v>
      </c>
      <c r="AR500" s="68">
        <f t="shared" si="277"/>
        <v>12</v>
      </c>
      <c r="AS500" s="68">
        <f t="shared" si="262"/>
        <v>1</v>
      </c>
      <c r="AT500" s="68">
        <f t="shared" si="263"/>
        <v>1.05</v>
      </c>
      <c r="AU500" s="68">
        <f t="shared" si="264"/>
        <v>1.05</v>
      </c>
      <c r="AV500" s="68">
        <f t="shared" si="265"/>
        <v>1.05</v>
      </c>
      <c r="AW500" s="68">
        <f t="shared" si="266"/>
        <v>1.05</v>
      </c>
      <c r="AX500" s="68">
        <f t="shared" ca="1" si="267"/>
        <v>-1.05</v>
      </c>
      <c r="AY500" s="68">
        <v>2023</v>
      </c>
      <c r="AZ500" s="68" t="s">
        <v>751</v>
      </c>
      <c r="BA500" s="106" t="str">
        <f t="shared" si="254"/>
        <v/>
      </c>
      <c r="BB500" s="178"/>
      <c r="BC500" s="178">
        <v>8</v>
      </c>
      <c r="BD500" s="178"/>
      <c r="BE500" s="178"/>
      <c r="BF500" s="178"/>
      <c r="BG500" s="178"/>
      <c r="BH500" s="178"/>
      <c r="BI500" s="33"/>
      <c r="BK500" s="48">
        <f>$G500/5280*VLOOKUP($AC500,'Cost and Score'!$B$27:$O$40,6,0)</f>
        <v>2.8197443181818183</v>
      </c>
      <c r="BL500" s="48">
        <f>$G500/5280*VLOOKUP($AC500,'Cost and Score'!$B$27:$O$40,7,0)</f>
        <v>263.17613636363637</v>
      </c>
      <c r="BM500" s="48">
        <f>$G500/5280*VLOOKUP($AC500,'Cost and Score'!$B$27:$O$40,8,0)</f>
        <v>438.62689393939394</v>
      </c>
      <c r="BN500" s="48">
        <f>$G500/5280*VLOOKUP($AC500,'Cost and Score'!$B$27:$O$40,9,0)</f>
        <v>0</v>
      </c>
      <c r="BO500" s="48">
        <f>$G500/5280*VLOOKUP($AC500,'Cost and Score'!$B$27:$O$40,10,0)</f>
        <v>0</v>
      </c>
      <c r="BP500" s="48">
        <f>$G500/5280*VLOOKUP($AC500,'Cost and Score'!$B$27:$O$40,11,0)</f>
        <v>250.64393939393938</v>
      </c>
      <c r="BQ500" s="48">
        <f>$G500/5280*VLOOKUP($AC500,'Cost and Score'!$B$27:$O$40,12,0)</f>
        <v>2130.473484848485</v>
      </c>
      <c r="BR500" s="48">
        <f>$G500/5280*VLOOKUP($AC500,'Cost and Score'!$B$27:$O$40,13,0)</f>
        <v>0</v>
      </c>
      <c r="BS500" s="48">
        <f>$G500/5280*VLOOKUP($AC500,'Cost and Score'!$B$27:$O$40,14,0)</f>
        <v>0</v>
      </c>
      <c r="BT500" s="220">
        <f t="shared" si="255"/>
        <v>1.2532196969696969</v>
      </c>
    </row>
    <row r="501" spans="1:103" s="2" customFormat="1" ht="14.45" hidden="1" customHeight="1" x14ac:dyDescent="0.25">
      <c r="A501" s="38" t="s">
        <v>2182</v>
      </c>
      <c r="B501" s="34" t="s">
        <v>1068</v>
      </c>
      <c r="C501" s="26" t="s">
        <v>1068</v>
      </c>
      <c r="D501" s="82"/>
      <c r="E501" s="82" t="s">
        <v>147</v>
      </c>
      <c r="F501" s="82" t="s">
        <v>885</v>
      </c>
      <c r="G501" s="29">
        <v>12187</v>
      </c>
      <c r="H501" s="29">
        <f t="shared" si="273"/>
        <v>20</v>
      </c>
      <c r="I501" s="26" t="s">
        <v>13</v>
      </c>
      <c r="J501" s="26" t="s">
        <v>172</v>
      </c>
      <c r="K501" s="26">
        <f t="shared" si="283"/>
        <v>0</v>
      </c>
      <c r="L501" s="42">
        <v>7</v>
      </c>
      <c r="M501" s="42">
        <v>8</v>
      </c>
      <c r="N501" s="42">
        <v>7</v>
      </c>
      <c r="O501" s="83">
        <v>7</v>
      </c>
      <c r="P501" s="83">
        <v>6</v>
      </c>
      <c r="Q501" s="83">
        <v>6</v>
      </c>
      <c r="R501" s="83">
        <v>6</v>
      </c>
      <c r="S501" s="83">
        <v>7</v>
      </c>
      <c r="T501" s="83">
        <v>7</v>
      </c>
      <c r="U501" s="83">
        <v>7</v>
      </c>
      <c r="V501" s="42"/>
      <c r="W501" s="42">
        <v>2021</v>
      </c>
      <c r="X501" s="42" t="s">
        <v>2612</v>
      </c>
      <c r="Y501" s="26">
        <v>315</v>
      </c>
      <c r="Z501" s="26">
        <f t="shared" si="274"/>
        <v>0</v>
      </c>
      <c r="AA501" s="82" t="s">
        <v>210</v>
      </c>
      <c r="AB501" s="111">
        <f t="shared" si="275"/>
        <v>4</v>
      </c>
      <c r="AC501" s="82" t="s">
        <v>2073</v>
      </c>
      <c r="AD501" s="84">
        <f t="shared" si="252"/>
        <v>73860.606060606064</v>
      </c>
      <c r="AE501" s="140"/>
      <c r="AF501" s="113">
        <f t="shared" si="271"/>
        <v>0</v>
      </c>
      <c r="AG501" s="85">
        <v>2026</v>
      </c>
      <c r="AH501" s="26" t="str">
        <f t="shared" si="257"/>
        <v/>
      </c>
      <c r="AI501" s="26" t="str">
        <f t="shared" si="278"/>
        <v/>
      </c>
      <c r="AJ501" s="26" t="str">
        <f t="shared" si="280"/>
        <v/>
      </c>
      <c r="AK501" s="26" t="str">
        <f t="shared" si="282"/>
        <v/>
      </c>
      <c r="AL501" s="26" t="str">
        <f t="shared" si="282"/>
        <v>Chip Seal - Double and Fog</v>
      </c>
      <c r="AM501" s="26" t="str">
        <f t="shared" si="282"/>
        <v/>
      </c>
      <c r="AN501" s="26" t="str">
        <f t="shared" si="270"/>
        <v>Chip Seal - Double and Fog</v>
      </c>
      <c r="AO501" s="26" t="str">
        <f t="shared" si="281"/>
        <v/>
      </c>
      <c r="AP501" s="26" t="str">
        <f t="shared" si="261"/>
        <v/>
      </c>
      <c r="AQ501" s="68">
        <f t="shared" si="276"/>
        <v>10</v>
      </c>
      <c r="AR501" s="68">
        <f t="shared" si="277"/>
        <v>6</v>
      </c>
      <c r="AS501" s="68">
        <f t="shared" si="262"/>
        <v>1.05</v>
      </c>
      <c r="AT501" s="68">
        <f t="shared" si="263"/>
        <v>1</v>
      </c>
      <c r="AU501" s="68">
        <f t="shared" si="264"/>
        <v>1.05</v>
      </c>
      <c r="AV501" s="68">
        <f t="shared" si="265"/>
        <v>1.05</v>
      </c>
      <c r="AW501" s="68">
        <f t="shared" si="266"/>
        <v>1.1000000000000001</v>
      </c>
      <c r="AX501" s="68">
        <f t="shared" ca="1" si="267"/>
        <v>2.1</v>
      </c>
      <c r="AY501" s="68">
        <v>2020</v>
      </c>
      <c r="AZ501" s="68" t="s">
        <v>2073</v>
      </c>
      <c r="BA501" s="106" t="str">
        <f t="shared" si="254"/>
        <v/>
      </c>
      <c r="BB501" s="178"/>
      <c r="BC501" s="178">
        <v>7</v>
      </c>
      <c r="BD501" s="178"/>
      <c r="BE501" s="178"/>
      <c r="BF501" s="178"/>
      <c r="BG501" s="178"/>
      <c r="BH501" s="178"/>
      <c r="BI501" s="33"/>
      <c r="BK501" s="48">
        <f>$G501/5280*VLOOKUP($AC501,'Cost and Score'!$B$27:$O$40,6,0)</f>
        <v>1.1540719696969697</v>
      </c>
      <c r="BL501" s="48">
        <f>$G501/5280*VLOOKUP($AC501,'Cost and Score'!$B$27:$O$40,7,0)</f>
        <v>115.40719696969697</v>
      </c>
      <c r="BM501" s="48">
        <f>$G501/5280*VLOOKUP($AC501,'Cost and Score'!$B$27:$O$40,8,0)</f>
        <v>0</v>
      </c>
      <c r="BN501" s="48">
        <f>$G501/5280*VLOOKUP($AC501,'Cost and Score'!$B$27:$O$40,9,0)</f>
        <v>21927.367424242424</v>
      </c>
      <c r="BO501" s="48">
        <f>$G501/5280*VLOOKUP($AC501,'Cost and Score'!$B$27:$O$40,10,0)</f>
        <v>2308.1439393939395</v>
      </c>
      <c r="BP501" s="48">
        <f>$G501/5280*VLOOKUP($AC501,'Cost and Score'!$B$27:$O$40,11,0)</f>
        <v>0</v>
      </c>
      <c r="BQ501" s="48">
        <f>$G501/5280*VLOOKUP($AC501,'Cost and Score'!$B$27:$O$40,12,0)</f>
        <v>461.62878787878788</v>
      </c>
      <c r="BR501" s="48">
        <f>$G501/5280*VLOOKUP($AC501,'Cost and Score'!$B$27:$O$40,13,0)</f>
        <v>415.46590909090907</v>
      </c>
      <c r="BS501" s="48">
        <f>$G501/5280*VLOOKUP($AC501,'Cost and Score'!$B$27:$O$40,14,0)</f>
        <v>553.9545454545455</v>
      </c>
      <c r="BT501" s="220">
        <f t="shared" si="255"/>
        <v>2.3081439393939394</v>
      </c>
      <c r="CW501" s="112"/>
      <c r="CX501" s="112"/>
      <c r="CY501" s="112"/>
    </row>
    <row r="502" spans="1:103" s="2" customFormat="1" ht="14.45" hidden="1" customHeight="1" x14ac:dyDescent="0.25">
      <c r="A502" s="38" t="s">
        <v>2184</v>
      </c>
      <c r="B502" s="108" t="s">
        <v>1069</v>
      </c>
      <c r="C502" s="106" t="s">
        <v>1069</v>
      </c>
      <c r="D502" s="106"/>
      <c r="E502" s="106" t="s">
        <v>297</v>
      </c>
      <c r="F502" s="106" t="s">
        <v>147</v>
      </c>
      <c r="G502" s="109">
        <v>5345</v>
      </c>
      <c r="H502" s="109">
        <f t="shared" si="273"/>
        <v>20</v>
      </c>
      <c r="I502" s="106" t="s">
        <v>13</v>
      </c>
      <c r="J502" s="106" t="s">
        <v>172</v>
      </c>
      <c r="K502" s="106">
        <f t="shared" si="283"/>
        <v>0</v>
      </c>
      <c r="L502" s="110">
        <v>7</v>
      </c>
      <c r="M502" s="110">
        <v>7</v>
      </c>
      <c r="N502" s="110">
        <v>7</v>
      </c>
      <c r="O502" s="110">
        <v>7</v>
      </c>
      <c r="P502" s="110">
        <v>7</v>
      </c>
      <c r="Q502" s="110">
        <v>7</v>
      </c>
      <c r="R502" s="110">
        <v>7</v>
      </c>
      <c r="S502" s="110">
        <v>7</v>
      </c>
      <c r="T502" s="110">
        <v>7</v>
      </c>
      <c r="U502" s="110">
        <v>7</v>
      </c>
      <c r="V502" s="110"/>
      <c r="W502" s="110"/>
      <c r="X502" s="110"/>
      <c r="Y502" s="106">
        <v>265</v>
      </c>
      <c r="Z502" s="106">
        <f t="shared" si="274"/>
        <v>0</v>
      </c>
      <c r="AA502" s="106" t="s">
        <v>210</v>
      </c>
      <c r="AB502" s="111">
        <f t="shared" si="275"/>
        <v>3</v>
      </c>
      <c r="AC502" s="106" t="s">
        <v>13</v>
      </c>
      <c r="AD502" s="107">
        <f t="shared" si="252"/>
        <v>21258.522727272728</v>
      </c>
      <c r="AE502" s="198"/>
      <c r="AF502" s="113">
        <f t="shared" si="271"/>
        <v>0</v>
      </c>
      <c r="AG502" s="85">
        <v>2026</v>
      </c>
      <c r="AH502" s="26" t="str">
        <f t="shared" si="257"/>
        <v/>
      </c>
      <c r="AI502" s="26" t="str">
        <f t="shared" si="278"/>
        <v/>
      </c>
      <c r="AJ502" s="26" t="str">
        <f t="shared" si="280"/>
        <v/>
      </c>
      <c r="AK502" s="26" t="str">
        <f t="shared" si="282"/>
        <v/>
      </c>
      <c r="AL502" s="26" t="str">
        <f t="shared" si="282"/>
        <v>Chip Seal and Fog</v>
      </c>
      <c r="AM502" s="26" t="str">
        <f t="shared" si="282"/>
        <v/>
      </c>
      <c r="AN502" s="26" t="str">
        <f t="shared" si="270"/>
        <v>Chip Seal and Fog</v>
      </c>
      <c r="AO502" s="26" t="str">
        <f t="shared" si="281"/>
        <v/>
      </c>
      <c r="AP502" s="26" t="str">
        <f t="shared" si="261"/>
        <v/>
      </c>
      <c r="AQ502" s="68">
        <f t="shared" si="276"/>
        <v>10</v>
      </c>
      <c r="AR502" s="68">
        <f t="shared" si="277"/>
        <v>6</v>
      </c>
      <c r="AS502" s="68">
        <f t="shared" si="262"/>
        <v>1.05</v>
      </c>
      <c r="AT502" s="68">
        <f t="shared" si="263"/>
        <v>1.05</v>
      </c>
      <c r="AU502" s="68">
        <f t="shared" si="264"/>
        <v>1.05</v>
      </c>
      <c r="AV502" s="68">
        <f t="shared" si="265"/>
        <v>1.05</v>
      </c>
      <c r="AW502" s="68">
        <f t="shared" si="266"/>
        <v>1.05</v>
      </c>
      <c r="AX502" s="68">
        <f t="shared" ca="1" si="267"/>
        <v>2.1</v>
      </c>
      <c r="AY502" s="106">
        <v>2020</v>
      </c>
      <c r="AZ502" s="106" t="s">
        <v>13</v>
      </c>
      <c r="BA502" s="106" t="str">
        <f t="shared" si="254"/>
        <v/>
      </c>
      <c r="BB502" s="177"/>
      <c r="BC502" s="177">
        <v>7</v>
      </c>
      <c r="BD502" s="177"/>
      <c r="BE502" s="177"/>
      <c r="BF502" s="177"/>
      <c r="BG502" s="177"/>
      <c r="BH502" s="177"/>
      <c r="BI502" s="33"/>
      <c r="BK502" s="48">
        <f>$G502/5280*VLOOKUP($AC502,'Cost and Score'!$B$27:$O$40,6,0)</f>
        <v>0.2024621212121212</v>
      </c>
      <c r="BL502" s="48">
        <f>$G502/5280*VLOOKUP($AC502,'Cost and Score'!$B$27:$O$40,7,0)</f>
        <v>22.270833333333332</v>
      </c>
      <c r="BM502" s="48">
        <f>$G502/5280*VLOOKUP($AC502,'Cost and Score'!$B$27:$O$40,8,0)</f>
        <v>0</v>
      </c>
      <c r="BN502" s="48">
        <f>$G502/5280*VLOOKUP($AC502,'Cost and Score'!$B$27:$O$40,9,0)</f>
        <v>4555.397727272727</v>
      </c>
      <c r="BO502" s="48">
        <f>$G502/5280*VLOOKUP($AC502,'Cost and Score'!$B$27:$O$40,10,0)</f>
        <v>1012.310606060606</v>
      </c>
      <c r="BP502" s="48">
        <f>$G502/5280*VLOOKUP($AC502,'Cost and Score'!$B$27:$O$40,11,0)</f>
        <v>0</v>
      </c>
      <c r="BQ502" s="48">
        <f>$G502/5280*VLOOKUP($AC502,'Cost and Score'!$B$27:$O$40,12,0)</f>
        <v>101.23106060606059</v>
      </c>
      <c r="BR502" s="48">
        <f>$G502/5280*VLOOKUP($AC502,'Cost and Score'!$B$27:$O$40,13,0)</f>
        <v>121.47727272727272</v>
      </c>
      <c r="BS502" s="48">
        <f>$G502/5280*VLOOKUP($AC502,'Cost and Score'!$B$27:$O$40,14,0)</f>
        <v>0</v>
      </c>
      <c r="BT502" s="220">
        <f t="shared" si="255"/>
        <v>1.012310606060606</v>
      </c>
      <c r="CF502" s="112"/>
      <c r="CR502" s="112"/>
    </row>
    <row r="503" spans="1:103" s="112" customFormat="1" ht="14.45" hidden="1" customHeight="1" x14ac:dyDescent="0.25">
      <c r="A503" s="38" t="s">
        <v>1071</v>
      </c>
      <c r="B503" s="108" t="s">
        <v>1070</v>
      </c>
      <c r="C503" s="106" t="s">
        <v>1070</v>
      </c>
      <c r="D503" s="106"/>
      <c r="E503" s="106" t="s">
        <v>742</v>
      </c>
      <c r="F503" s="106" t="s">
        <v>119</v>
      </c>
      <c r="G503" s="109">
        <v>5316</v>
      </c>
      <c r="H503" s="109">
        <f t="shared" si="273"/>
        <v>20</v>
      </c>
      <c r="I503" s="106" t="s">
        <v>8</v>
      </c>
      <c r="J503" s="106" t="s">
        <v>125</v>
      </c>
      <c r="K503" s="106">
        <f t="shared" si="283"/>
        <v>0</v>
      </c>
      <c r="L503" s="110">
        <v>7</v>
      </c>
      <c r="M503" s="110">
        <v>8</v>
      </c>
      <c r="N503" s="110">
        <v>7</v>
      </c>
      <c r="O503" s="110">
        <v>7</v>
      </c>
      <c r="P503" s="110">
        <v>7</v>
      </c>
      <c r="Q503" s="110">
        <v>6</v>
      </c>
      <c r="R503" s="110">
        <v>6</v>
      </c>
      <c r="S503" s="110">
        <v>8</v>
      </c>
      <c r="T503" s="110">
        <v>7</v>
      </c>
      <c r="U503" s="110">
        <v>7</v>
      </c>
      <c r="V503" s="110">
        <v>2023</v>
      </c>
      <c r="W503" s="110">
        <v>2023</v>
      </c>
      <c r="X503" s="110" t="s">
        <v>2612</v>
      </c>
      <c r="Y503" s="106">
        <v>11907</v>
      </c>
      <c r="Z503" s="106">
        <f t="shared" si="274"/>
        <v>1.5</v>
      </c>
      <c r="AA503" s="106" t="s">
        <v>135</v>
      </c>
      <c r="AB503" s="111">
        <f t="shared" si="275"/>
        <v>4.5</v>
      </c>
      <c r="AC503" s="85" t="s">
        <v>2425</v>
      </c>
      <c r="AD503" s="107">
        <f>VLOOKUP(AC503,Cost,2,FALSE)*G503/5280*3*2.25</f>
        <v>169900.56818181818</v>
      </c>
      <c r="AE503" s="198"/>
      <c r="AF503" s="113">
        <f t="shared" si="271"/>
        <v>0</v>
      </c>
      <c r="AG503" s="85">
        <v>2026</v>
      </c>
      <c r="AH503" s="26" t="str">
        <f t="shared" si="257"/>
        <v/>
      </c>
      <c r="AI503" s="26" t="str">
        <f t="shared" si="278"/>
        <v/>
      </c>
      <c r="AJ503" s="26" t="str">
        <f t="shared" si="280"/>
        <v/>
      </c>
      <c r="AK503" s="26" t="str">
        <f t="shared" si="282"/>
        <v/>
      </c>
      <c r="AL503" s="26" t="str">
        <f t="shared" si="282"/>
        <v>Liquid Road</v>
      </c>
      <c r="AM503" s="26" t="str">
        <f t="shared" si="282"/>
        <v/>
      </c>
      <c r="AN503" s="26" t="str">
        <f t="shared" si="270"/>
        <v>Liquid Road</v>
      </c>
      <c r="AO503" s="26" t="str">
        <f t="shared" si="281"/>
        <v/>
      </c>
      <c r="AP503" s="26" t="str">
        <f t="shared" si="261"/>
        <v/>
      </c>
      <c r="AQ503" s="68">
        <f t="shared" si="276"/>
        <v>10</v>
      </c>
      <c r="AR503" s="68">
        <f t="shared" si="277"/>
        <v>10</v>
      </c>
      <c r="AS503" s="68">
        <f t="shared" si="262"/>
        <v>1.05</v>
      </c>
      <c r="AT503" s="68">
        <f t="shared" si="263"/>
        <v>1</v>
      </c>
      <c r="AU503" s="68">
        <f t="shared" si="264"/>
        <v>1.05</v>
      </c>
      <c r="AV503" s="68">
        <f t="shared" si="265"/>
        <v>1.05</v>
      </c>
      <c r="AW503" s="68">
        <f t="shared" si="266"/>
        <v>1.05</v>
      </c>
      <c r="AX503" s="68">
        <f t="shared" ca="1" si="267"/>
        <v>2.1</v>
      </c>
      <c r="AY503" s="106">
        <v>2017</v>
      </c>
      <c r="AZ503" s="106" t="s">
        <v>2086</v>
      </c>
      <c r="BA503" s="106" t="str">
        <f t="shared" si="254"/>
        <v/>
      </c>
      <c r="BB503" s="177"/>
      <c r="BC503" s="177">
        <v>6</v>
      </c>
      <c r="BD503" s="177">
        <v>1</v>
      </c>
      <c r="BE503" s="177"/>
      <c r="BF503" s="177"/>
      <c r="BG503" s="177"/>
      <c r="BH503" s="177"/>
      <c r="BI503" s="33"/>
      <c r="BJ503" s="2"/>
      <c r="BK503" s="48">
        <f>$G503/5280*VLOOKUP($AC503,'Cost and Score'!$B$27:$O$40,6,0)</f>
        <v>1.0068181818181818</v>
      </c>
      <c r="BL503" s="48">
        <f>$G503/5280*VLOOKUP($AC503,'Cost and Score'!$B$27:$O$40,7,0)</f>
        <v>16.109090909090909</v>
      </c>
      <c r="BM503" s="48">
        <f>$G503/5280*VLOOKUP($AC503,'Cost and Score'!$B$27:$O$40,8,0)</f>
        <v>0</v>
      </c>
      <c r="BN503" s="48">
        <f>$G503/5280*VLOOKUP($AC503,'Cost and Score'!$B$27:$O$40,9,0)</f>
        <v>0</v>
      </c>
      <c r="BO503" s="48">
        <f>$G503/5280*VLOOKUP($AC503,'Cost and Score'!$B$27:$O$40,10,0)</f>
        <v>0</v>
      </c>
      <c r="BP503" s="48">
        <f>$G503/5280*VLOOKUP($AC503,'Cost and Score'!$B$27:$O$40,11,0)</f>
        <v>0</v>
      </c>
      <c r="BQ503" s="48">
        <f>$G503/5280*VLOOKUP($AC503,'Cost and Score'!$B$27:$O$40,12,0)</f>
        <v>0</v>
      </c>
      <c r="BR503" s="48">
        <f>$G503/5280*VLOOKUP($AC503,'Cost and Score'!$B$27:$O$40,13,0)</f>
        <v>0</v>
      </c>
      <c r="BS503" s="48">
        <f>$G503/5280*VLOOKUP($AC503,'Cost and Score'!$B$27:$O$40,14,0)</f>
        <v>0</v>
      </c>
      <c r="BT503" s="220">
        <f t="shared" si="255"/>
        <v>1.0068181818181818</v>
      </c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V503" s="2"/>
    </row>
    <row r="504" spans="1:103" s="112" customFormat="1" ht="14.45" hidden="1" customHeight="1" x14ac:dyDescent="0.25">
      <c r="A504" s="38" t="s">
        <v>1073</v>
      </c>
      <c r="B504" s="108" t="s">
        <v>1072</v>
      </c>
      <c r="C504" s="106" t="s">
        <v>1072</v>
      </c>
      <c r="D504" s="106"/>
      <c r="E504" s="106" t="s">
        <v>99</v>
      </c>
      <c r="F504" s="106" t="s">
        <v>100</v>
      </c>
      <c r="G504" s="109">
        <v>5100</v>
      </c>
      <c r="H504" s="109">
        <f t="shared" si="273"/>
        <v>20</v>
      </c>
      <c r="I504" s="106" t="s">
        <v>8</v>
      </c>
      <c r="J504" s="106" t="s">
        <v>160</v>
      </c>
      <c r="K504" s="106">
        <f t="shared" si="283"/>
        <v>0</v>
      </c>
      <c r="L504" s="110">
        <v>8</v>
      </c>
      <c r="M504" s="110">
        <v>7</v>
      </c>
      <c r="N504" s="110">
        <v>8</v>
      </c>
      <c r="O504" s="110">
        <v>8</v>
      </c>
      <c r="P504" s="110">
        <v>8</v>
      </c>
      <c r="Q504" s="110">
        <v>7</v>
      </c>
      <c r="R504" s="110">
        <v>7</v>
      </c>
      <c r="S504" s="110">
        <v>7</v>
      </c>
      <c r="T504" s="110">
        <v>7</v>
      </c>
      <c r="U504" s="110">
        <v>7</v>
      </c>
      <c r="V504" s="110"/>
      <c r="W504" s="110"/>
      <c r="X504" s="110" t="s">
        <v>2612</v>
      </c>
      <c r="Y504" s="106">
        <v>5289</v>
      </c>
      <c r="Z504" s="106">
        <f t="shared" si="274"/>
        <v>1.5</v>
      </c>
      <c r="AA504" s="106" t="s">
        <v>135</v>
      </c>
      <c r="AB504" s="111">
        <f t="shared" si="275"/>
        <v>3.5</v>
      </c>
      <c r="AC504" s="106" t="s">
        <v>2075</v>
      </c>
      <c r="AD504" s="107">
        <f>VLOOKUP(AC504,Cost,2,FALSE)*G504/5280</f>
        <v>5215.909090909091</v>
      </c>
      <c r="AE504" s="198"/>
      <c r="AF504" s="113">
        <f t="shared" si="271"/>
        <v>0</v>
      </c>
      <c r="AG504" s="106">
        <v>2022</v>
      </c>
      <c r="AH504" s="26" t="str">
        <f t="shared" si="257"/>
        <v>Crack Seal</v>
      </c>
      <c r="AI504" s="26" t="str">
        <f t="shared" si="278"/>
        <v/>
      </c>
      <c r="AJ504" s="26" t="str">
        <f t="shared" si="280"/>
        <v/>
      </c>
      <c r="AK504" s="26" t="str">
        <f t="shared" si="282"/>
        <v/>
      </c>
      <c r="AL504" s="26" t="str">
        <f t="shared" si="282"/>
        <v/>
      </c>
      <c r="AM504" s="26" t="str">
        <f t="shared" si="282"/>
        <v/>
      </c>
      <c r="AN504" s="26" t="str">
        <f t="shared" si="270"/>
        <v>Crack Seal</v>
      </c>
      <c r="AO504" s="26" t="str">
        <f t="shared" si="281"/>
        <v/>
      </c>
      <c r="AP504" s="26" t="str">
        <f t="shared" si="261"/>
        <v/>
      </c>
      <c r="AQ504" s="68">
        <f t="shared" si="276"/>
        <v>12</v>
      </c>
      <c r="AR504" s="68">
        <f t="shared" si="277"/>
        <v>3</v>
      </c>
      <c r="AS504" s="68">
        <f t="shared" si="262"/>
        <v>1</v>
      </c>
      <c r="AT504" s="68">
        <f t="shared" si="263"/>
        <v>1.05</v>
      </c>
      <c r="AU504" s="68">
        <f t="shared" si="264"/>
        <v>1</v>
      </c>
      <c r="AV504" s="68">
        <f t="shared" si="265"/>
        <v>1</v>
      </c>
      <c r="AW504" s="68">
        <f t="shared" si="266"/>
        <v>1</v>
      </c>
      <c r="AX504" s="68">
        <f t="shared" ca="1" si="267"/>
        <v>-2</v>
      </c>
      <c r="AY504" s="106">
        <v>2017</v>
      </c>
      <c r="AZ504" s="106" t="s">
        <v>2086</v>
      </c>
      <c r="BA504" s="106" t="str">
        <f t="shared" si="254"/>
        <v/>
      </c>
      <c r="BB504" s="177"/>
      <c r="BC504" s="177">
        <v>8</v>
      </c>
      <c r="BD504" s="177"/>
      <c r="BE504" s="177"/>
      <c r="BF504" s="177"/>
      <c r="BG504" s="177"/>
      <c r="BH504" s="177"/>
      <c r="BI504" s="33" t="s">
        <v>2199</v>
      </c>
      <c r="BJ504" s="2"/>
      <c r="BK504" s="48">
        <f>$G504/5280*VLOOKUP($AC504,'Cost and Score'!$B$27:$O$40,6,0)</f>
        <v>0.96590909090909094</v>
      </c>
      <c r="BL504" s="48">
        <f>$G504/5280*VLOOKUP($AC504,'Cost and Score'!$B$27:$O$40,7,0)</f>
        <v>0</v>
      </c>
      <c r="BM504" s="48">
        <f>$G504/5280*VLOOKUP($AC504,'Cost and Score'!$B$27:$O$40,8,0)</f>
        <v>0</v>
      </c>
      <c r="BN504" s="48">
        <f>$G504/5280*VLOOKUP($AC504,'Cost and Score'!$B$27:$O$40,9,0)</f>
        <v>0</v>
      </c>
      <c r="BO504" s="48">
        <f>$G504/5280*VLOOKUP($AC504,'Cost and Score'!$B$27:$O$40,10,0)</f>
        <v>0</v>
      </c>
      <c r="BP504" s="48">
        <f>$G504/5280*VLOOKUP($AC504,'Cost and Score'!$B$27:$O$40,11,0)</f>
        <v>0</v>
      </c>
      <c r="BQ504" s="48">
        <f>$G504/5280*VLOOKUP($AC504,'Cost and Score'!$B$27:$O$40,12,0)</f>
        <v>0</v>
      </c>
      <c r="BR504" s="48">
        <f>$G504/5280*VLOOKUP($AC504,'Cost and Score'!$B$27:$O$40,13,0)</f>
        <v>0</v>
      </c>
      <c r="BS504" s="48">
        <f>$G504/5280*VLOOKUP($AC504,'Cost and Score'!$B$27:$O$40,14,0)</f>
        <v>0</v>
      </c>
      <c r="BT504" s="220">
        <f t="shared" si="255"/>
        <v>0.96590909090909094</v>
      </c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103" s="112" customFormat="1" ht="14.45" hidden="1" customHeight="1" x14ac:dyDescent="0.25">
      <c r="A505" s="38" t="s">
        <v>1075</v>
      </c>
      <c r="B505" s="108" t="s">
        <v>1074</v>
      </c>
      <c r="C505" s="106" t="s">
        <v>1074</v>
      </c>
      <c r="D505" s="106"/>
      <c r="E505" s="106" t="s">
        <v>119</v>
      </c>
      <c r="F505" s="106" t="s">
        <v>193</v>
      </c>
      <c r="G505" s="109">
        <v>5300</v>
      </c>
      <c r="H505" s="109">
        <f t="shared" si="273"/>
        <v>20</v>
      </c>
      <c r="I505" s="106" t="s">
        <v>8</v>
      </c>
      <c r="J505" s="106" t="s">
        <v>125</v>
      </c>
      <c r="K505" s="106">
        <f t="shared" si="283"/>
        <v>0</v>
      </c>
      <c r="L505" s="110">
        <v>7</v>
      </c>
      <c r="M505" s="110">
        <v>8</v>
      </c>
      <c r="N505" s="110">
        <v>7</v>
      </c>
      <c r="O505" s="110">
        <v>7</v>
      </c>
      <c r="P505" s="110">
        <v>7</v>
      </c>
      <c r="Q505" s="110">
        <v>7</v>
      </c>
      <c r="R505" s="110">
        <v>6</v>
      </c>
      <c r="S505" s="110">
        <v>8</v>
      </c>
      <c r="T505" s="110">
        <v>7</v>
      </c>
      <c r="U505" s="110">
        <v>7</v>
      </c>
      <c r="V505" s="110">
        <v>2023</v>
      </c>
      <c r="W505" s="110">
        <v>2023</v>
      </c>
      <c r="X505" s="110" t="s">
        <v>2612</v>
      </c>
      <c r="Y505" s="106">
        <v>13030</v>
      </c>
      <c r="Z505" s="106">
        <f t="shared" si="274"/>
        <v>1.5</v>
      </c>
      <c r="AA505" s="106" t="s">
        <v>135</v>
      </c>
      <c r="AB505" s="111">
        <f t="shared" si="275"/>
        <v>4.5</v>
      </c>
      <c r="AC505" s="85" t="s">
        <v>2425</v>
      </c>
      <c r="AD505" s="107">
        <f>VLOOKUP(AC505,Cost,2,FALSE)*G505/5280*3*2.25</f>
        <v>169389.20454545456</v>
      </c>
      <c r="AE505" s="198"/>
      <c r="AF505" s="113">
        <f t="shared" si="271"/>
        <v>0</v>
      </c>
      <c r="AG505" s="85">
        <v>2026</v>
      </c>
      <c r="AH505" s="26" t="str">
        <f t="shared" si="257"/>
        <v/>
      </c>
      <c r="AI505" s="26" t="str">
        <f t="shared" si="278"/>
        <v/>
      </c>
      <c r="AJ505" s="26" t="str">
        <f t="shared" si="280"/>
        <v/>
      </c>
      <c r="AK505" s="26" t="str">
        <f t="shared" si="282"/>
        <v/>
      </c>
      <c r="AL505" s="26" t="str">
        <f t="shared" si="282"/>
        <v>Liquid Road</v>
      </c>
      <c r="AM505" s="26" t="str">
        <f t="shared" si="282"/>
        <v/>
      </c>
      <c r="AN505" s="26" t="str">
        <f t="shared" si="270"/>
        <v>Liquid Road</v>
      </c>
      <c r="AO505" s="26" t="str">
        <f t="shared" si="281"/>
        <v/>
      </c>
      <c r="AP505" s="26" t="str">
        <f t="shared" si="261"/>
        <v/>
      </c>
      <c r="AQ505" s="68">
        <f t="shared" si="276"/>
        <v>10</v>
      </c>
      <c r="AR505" s="68">
        <f t="shared" si="277"/>
        <v>10</v>
      </c>
      <c r="AS505" s="68">
        <f t="shared" si="262"/>
        <v>1.05</v>
      </c>
      <c r="AT505" s="68">
        <f t="shared" si="263"/>
        <v>1</v>
      </c>
      <c r="AU505" s="68">
        <f t="shared" si="264"/>
        <v>1.05</v>
      </c>
      <c r="AV505" s="68">
        <f t="shared" si="265"/>
        <v>1.05</v>
      </c>
      <c r="AW505" s="68">
        <f t="shared" si="266"/>
        <v>1.05</v>
      </c>
      <c r="AX505" s="68">
        <f t="shared" ca="1" si="267"/>
        <v>2.1</v>
      </c>
      <c r="AY505" s="106">
        <v>2017</v>
      </c>
      <c r="AZ505" s="106" t="s">
        <v>2086</v>
      </c>
      <c r="BA505" s="106" t="str">
        <f t="shared" si="254"/>
        <v/>
      </c>
      <c r="BB505" s="177"/>
      <c r="BC505" s="177">
        <v>6</v>
      </c>
      <c r="BD505" s="177">
        <v>1</v>
      </c>
      <c r="BE505" s="177"/>
      <c r="BF505" s="177"/>
      <c r="BG505" s="177"/>
      <c r="BH505" s="177"/>
      <c r="BI505" s="33"/>
      <c r="BJ505" s="2"/>
      <c r="BK505" s="48">
        <f>$G505/5280*VLOOKUP($AC505,'Cost and Score'!$B$27:$O$40,6,0)</f>
        <v>1.0037878787878789</v>
      </c>
      <c r="BL505" s="48">
        <f>$G505/5280*VLOOKUP($AC505,'Cost and Score'!$B$27:$O$40,7,0)</f>
        <v>16.060606060606062</v>
      </c>
      <c r="BM505" s="48">
        <f>$G505/5280*VLOOKUP($AC505,'Cost and Score'!$B$27:$O$40,8,0)</f>
        <v>0</v>
      </c>
      <c r="BN505" s="48">
        <f>$G505/5280*VLOOKUP($AC505,'Cost and Score'!$B$27:$O$40,9,0)</f>
        <v>0</v>
      </c>
      <c r="BO505" s="48">
        <f>$G505/5280*VLOOKUP($AC505,'Cost and Score'!$B$27:$O$40,10,0)</f>
        <v>0</v>
      </c>
      <c r="BP505" s="48">
        <f>$G505/5280*VLOOKUP($AC505,'Cost and Score'!$B$27:$O$40,11,0)</f>
        <v>0</v>
      </c>
      <c r="BQ505" s="48">
        <f>$G505/5280*VLOOKUP($AC505,'Cost and Score'!$B$27:$O$40,12,0)</f>
        <v>0</v>
      </c>
      <c r="BR505" s="48">
        <f>$G505/5280*VLOOKUP($AC505,'Cost and Score'!$B$27:$O$40,13,0)</f>
        <v>0</v>
      </c>
      <c r="BS505" s="48">
        <f>$G505/5280*VLOOKUP($AC505,'Cost and Score'!$B$27:$O$40,14,0)</f>
        <v>0</v>
      </c>
      <c r="BT505" s="220">
        <f t="shared" si="255"/>
        <v>1.0037878787878789</v>
      </c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R505" s="2"/>
      <c r="CW505" s="2"/>
      <c r="CX505" s="2"/>
      <c r="CY505" s="2"/>
    </row>
    <row r="506" spans="1:103" s="112" customFormat="1" ht="14.45" hidden="1" customHeight="1" x14ac:dyDescent="0.25">
      <c r="A506" s="38" t="s">
        <v>1077</v>
      </c>
      <c r="B506" s="108" t="s">
        <v>1076</v>
      </c>
      <c r="C506" s="106" t="s">
        <v>1076</v>
      </c>
      <c r="D506" s="106"/>
      <c r="E506" s="106" t="s">
        <v>104</v>
      </c>
      <c r="F506" s="106" t="s">
        <v>99</v>
      </c>
      <c r="G506" s="109">
        <v>5325</v>
      </c>
      <c r="H506" s="109">
        <f t="shared" si="273"/>
        <v>20</v>
      </c>
      <c r="I506" s="106" t="s">
        <v>8</v>
      </c>
      <c r="J506" s="106" t="s">
        <v>160</v>
      </c>
      <c r="K506" s="106">
        <f t="shared" si="283"/>
        <v>0</v>
      </c>
      <c r="L506" s="110">
        <v>8</v>
      </c>
      <c r="M506" s="110">
        <v>8</v>
      </c>
      <c r="N506" s="110">
        <v>9</v>
      </c>
      <c r="O506" s="110">
        <v>8</v>
      </c>
      <c r="P506" s="110">
        <v>7</v>
      </c>
      <c r="Q506" s="110">
        <v>7</v>
      </c>
      <c r="R506" s="110">
        <v>7</v>
      </c>
      <c r="S506" s="110">
        <v>7</v>
      </c>
      <c r="T506" s="110">
        <v>7</v>
      </c>
      <c r="U506" s="110">
        <v>7</v>
      </c>
      <c r="V506" s="110"/>
      <c r="W506" s="110"/>
      <c r="X506" s="110" t="s">
        <v>2612</v>
      </c>
      <c r="Y506" s="106">
        <v>5860</v>
      </c>
      <c r="Z506" s="106">
        <f t="shared" si="274"/>
        <v>1.5</v>
      </c>
      <c r="AA506" s="106" t="s">
        <v>135</v>
      </c>
      <c r="AB506" s="111">
        <f t="shared" si="275"/>
        <v>4.5</v>
      </c>
      <c r="AC506" s="106" t="s">
        <v>2371</v>
      </c>
      <c r="AD506" s="107">
        <f>VLOOKUP(AC506,Cost,2,FALSE)*G506/5280</f>
        <v>80681.818181818177</v>
      </c>
      <c r="AE506" s="140">
        <v>1</v>
      </c>
      <c r="AF506" s="113">
        <f t="shared" si="271"/>
        <v>80681.818181818177</v>
      </c>
      <c r="AG506" s="106">
        <v>2024</v>
      </c>
      <c r="AH506" s="26" t="str">
        <f t="shared" si="257"/>
        <v/>
      </c>
      <c r="AI506" s="26" t="str">
        <f t="shared" si="278"/>
        <v/>
      </c>
      <c r="AJ506" s="26" t="str">
        <f t="shared" si="280"/>
        <v>Microsurface double</v>
      </c>
      <c r="AK506" s="26" t="str">
        <f t="shared" si="282"/>
        <v/>
      </c>
      <c r="AL506" s="26" t="str">
        <f t="shared" si="282"/>
        <v/>
      </c>
      <c r="AM506" s="26" t="str">
        <f t="shared" si="282"/>
        <v/>
      </c>
      <c r="AN506" s="26" t="str">
        <f t="shared" si="270"/>
        <v>Microsurface double</v>
      </c>
      <c r="AO506" s="26" t="str">
        <f t="shared" si="281"/>
        <v/>
      </c>
      <c r="AP506" s="26" t="str">
        <f t="shared" si="261"/>
        <v/>
      </c>
      <c r="AQ506" s="68">
        <f t="shared" si="276"/>
        <v>12</v>
      </c>
      <c r="AR506" s="68">
        <f t="shared" si="277"/>
        <v>10</v>
      </c>
      <c r="AS506" s="68">
        <f t="shared" si="262"/>
        <v>1</v>
      </c>
      <c r="AT506" s="68">
        <f t="shared" si="263"/>
        <v>1</v>
      </c>
      <c r="AU506" s="68">
        <f t="shared" si="264"/>
        <v>1</v>
      </c>
      <c r="AV506" s="68">
        <f t="shared" si="265"/>
        <v>1</v>
      </c>
      <c r="AW506" s="68">
        <f t="shared" si="266"/>
        <v>1.05</v>
      </c>
      <c r="AX506" s="68">
        <f t="shared" ca="1" si="267"/>
        <v>0</v>
      </c>
      <c r="AY506" s="106">
        <v>2017</v>
      </c>
      <c r="AZ506" s="106" t="s">
        <v>2086</v>
      </c>
      <c r="BA506" s="106" t="str">
        <f t="shared" si="254"/>
        <v/>
      </c>
      <c r="BB506" s="177"/>
      <c r="BC506" s="177">
        <v>8</v>
      </c>
      <c r="BD506" s="177"/>
      <c r="BE506" s="177"/>
      <c r="BF506" s="177"/>
      <c r="BG506" s="177"/>
      <c r="BH506" s="177"/>
      <c r="BI506" s="33"/>
      <c r="BJ506" s="2"/>
      <c r="BK506" s="48">
        <f>$G506/5280*VLOOKUP($AC506,'Cost and Score'!$B$27:$O$40,6,0)</f>
        <v>0.50426136363636365</v>
      </c>
      <c r="BL506" s="48">
        <f>$G506/5280*VLOOKUP($AC506,'Cost and Score'!$B$27:$O$40,7,0)</f>
        <v>0</v>
      </c>
      <c r="BM506" s="48">
        <f>$G506/5280*VLOOKUP($AC506,'Cost and Score'!$B$27:$O$40,8,0)</f>
        <v>0</v>
      </c>
      <c r="BN506" s="48">
        <f>$G506/5280*VLOOKUP($AC506,'Cost and Score'!$B$27:$O$40,9,0)</f>
        <v>0</v>
      </c>
      <c r="BO506" s="48">
        <f>$G506/5280*VLOOKUP($AC506,'Cost and Score'!$B$27:$O$40,10,0)</f>
        <v>0</v>
      </c>
      <c r="BP506" s="48">
        <f>$G506/5280*VLOOKUP($AC506,'Cost and Score'!$B$27:$O$40,11,0)</f>
        <v>0</v>
      </c>
      <c r="BQ506" s="48">
        <f>$G506/5280*VLOOKUP($AC506,'Cost and Score'!$B$27:$O$40,12,0)</f>
        <v>0</v>
      </c>
      <c r="BR506" s="48">
        <f>$G506/5280*VLOOKUP($AC506,'Cost and Score'!$B$27:$O$40,13,0)</f>
        <v>0</v>
      </c>
      <c r="BS506" s="48">
        <f>$G506/5280*VLOOKUP($AC506,'Cost and Score'!$B$27:$O$40,14,0)</f>
        <v>0</v>
      </c>
      <c r="BT506" s="220">
        <f t="shared" si="255"/>
        <v>1.0085227272727273</v>
      </c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W506" s="2"/>
      <c r="CX506" s="2"/>
      <c r="CY506" s="2"/>
    </row>
    <row r="507" spans="1:103" s="112" customFormat="1" ht="14.45" hidden="1" customHeight="1" x14ac:dyDescent="0.25">
      <c r="A507" s="38" t="s">
        <v>1079</v>
      </c>
      <c r="B507" s="108" t="s">
        <v>1078</v>
      </c>
      <c r="C507" s="106" t="s">
        <v>1078</v>
      </c>
      <c r="D507" s="106"/>
      <c r="E507" s="106" t="s">
        <v>193</v>
      </c>
      <c r="F507" s="106" t="s">
        <v>414</v>
      </c>
      <c r="G507" s="109">
        <v>1100</v>
      </c>
      <c r="H507" s="109">
        <f t="shared" si="273"/>
        <v>20</v>
      </c>
      <c r="I507" s="106" t="s">
        <v>8</v>
      </c>
      <c r="J507" s="106" t="s">
        <v>125</v>
      </c>
      <c r="K507" s="106">
        <f t="shared" si="283"/>
        <v>0</v>
      </c>
      <c r="L507" s="110">
        <v>8</v>
      </c>
      <c r="M507" s="110">
        <v>8</v>
      </c>
      <c r="N507" s="110">
        <v>7</v>
      </c>
      <c r="O507" s="110">
        <v>7</v>
      </c>
      <c r="P507" s="110">
        <v>6</v>
      </c>
      <c r="Q507" s="110">
        <v>6</v>
      </c>
      <c r="R507" s="110">
        <v>6</v>
      </c>
      <c r="S507" s="110">
        <v>8</v>
      </c>
      <c r="T507" s="110">
        <v>7</v>
      </c>
      <c r="U507" s="110">
        <v>7</v>
      </c>
      <c r="V507" s="110">
        <v>2023</v>
      </c>
      <c r="W507" s="110">
        <v>2023</v>
      </c>
      <c r="X507" s="110" t="s">
        <v>2612</v>
      </c>
      <c r="Y507" s="106">
        <v>9877</v>
      </c>
      <c r="Z507" s="106">
        <f t="shared" si="274"/>
        <v>1.5</v>
      </c>
      <c r="AA507" s="106" t="s">
        <v>135</v>
      </c>
      <c r="AB507" s="111">
        <f t="shared" si="275"/>
        <v>5.5</v>
      </c>
      <c r="AC507" s="85" t="s">
        <v>2425</v>
      </c>
      <c r="AD507" s="107">
        <f>VLOOKUP(AC507,Cost,2,FALSE)*G507/5280*3*2.25</f>
        <v>35156.25</v>
      </c>
      <c r="AE507" s="198"/>
      <c r="AF507" s="113">
        <f t="shared" si="271"/>
        <v>0</v>
      </c>
      <c r="AG507" s="85">
        <v>2026</v>
      </c>
      <c r="AH507" s="26" t="str">
        <f t="shared" si="257"/>
        <v/>
      </c>
      <c r="AI507" s="26" t="str">
        <f t="shared" si="278"/>
        <v/>
      </c>
      <c r="AJ507" s="26" t="str">
        <f t="shared" si="280"/>
        <v/>
      </c>
      <c r="AK507" s="26" t="str">
        <f t="shared" si="282"/>
        <v/>
      </c>
      <c r="AL507" s="26" t="str">
        <f t="shared" si="282"/>
        <v>Liquid Road</v>
      </c>
      <c r="AM507" s="26" t="str">
        <f t="shared" si="282"/>
        <v/>
      </c>
      <c r="AN507" s="26" t="str">
        <f t="shared" si="270"/>
        <v>Liquid Road</v>
      </c>
      <c r="AO507" s="26" t="str">
        <f t="shared" si="281"/>
        <v/>
      </c>
      <c r="AP507" s="26" t="str">
        <f t="shared" si="261"/>
        <v/>
      </c>
      <c r="AQ507" s="68">
        <f t="shared" si="276"/>
        <v>10</v>
      </c>
      <c r="AR507" s="68">
        <f t="shared" si="277"/>
        <v>10</v>
      </c>
      <c r="AS507" s="68">
        <f t="shared" si="262"/>
        <v>1</v>
      </c>
      <c r="AT507" s="68">
        <f t="shared" si="263"/>
        <v>1</v>
      </c>
      <c r="AU507" s="68">
        <f t="shared" si="264"/>
        <v>1.05</v>
      </c>
      <c r="AV507" s="68">
        <f t="shared" si="265"/>
        <v>1.05</v>
      </c>
      <c r="AW507" s="68">
        <f t="shared" si="266"/>
        <v>1.1000000000000001</v>
      </c>
      <c r="AX507" s="68">
        <f t="shared" ca="1" si="267"/>
        <v>2.1</v>
      </c>
      <c r="AY507" s="106">
        <v>2017</v>
      </c>
      <c r="AZ507" s="106" t="s">
        <v>2086</v>
      </c>
      <c r="BA507" s="106" t="str">
        <f t="shared" si="254"/>
        <v/>
      </c>
      <c r="BB507" s="177"/>
      <c r="BC507" s="177">
        <v>6</v>
      </c>
      <c r="BD507" s="177">
        <v>1</v>
      </c>
      <c r="BE507" s="177"/>
      <c r="BF507" s="177"/>
      <c r="BG507" s="177"/>
      <c r="BH507" s="177"/>
      <c r="BI507" s="33"/>
      <c r="BJ507" s="2"/>
      <c r="BK507" s="48">
        <f>$G507/5280*VLOOKUP($AC507,'Cost and Score'!$B$27:$O$40,6,0)</f>
        <v>0.20833333333333334</v>
      </c>
      <c r="BL507" s="48">
        <f>$G507/5280*VLOOKUP($AC507,'Cost and Score'!$B$27:$O$40,7,0)</f>
        <v>3.3333333333333335</v>
      </c>
      <c r="BM507" s="48">
        <f>$G507/5280*VLOOKUP($AC507,'Cost and Score'!$B$27:$O$40,8,0)</f>
        <v>0</v>
      </c>
      <c r="BN507" s="48">
        <f>$G507/5280*VLOOKUP($AC507,'Cost and Score'!$B$27:$O$40,9,0)</f>
        <v>0</v>
      </c>
      <c r="BO507" s="48">
        <f>$G507/5280*VLOOKUP($AC507,'Cost and Score'!$B$27:$O$40,10,0)</f>
        <v>0</v>
      </c>
      <c r="BP507" s="48">
        <f>$G507/5280*VLOOKUP($AC507,'Cost and Score'!$B$27:$O$40,11,0)</f>
        <v>0</v>
      </c>
      <c r="BQ507" s="48">
        <f>$G507/5280*VLOOKUP($AC507,'Cost and Score'!$B$27:$O$40,12,0)</f>
        <v>0</v>
      </c>
      <c r="BR507" s="48">
        <f>$G507/5280*VLOOKUP($AC507,'Cost and Score'!$B$27:$O$40,13,0)</f>
        <v>0</v>
      </c>
      <c r="BS507" s="48">
        <f>$G507/5280*VLOOKUP($AC507,'Cost and Score'!$B$27:$O$40,14,0)</f>
        <v>0</v>
      </c>
      <c r="BT507" s="220">
        <f t="shared" si="255"/>
        <v>0.20833333333333334</v>
      </c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W507" s="2"/>
      <c r="CX507" s="2"/>
      <c r="CY507" s="2"/>
    </row>
    <row r="508" spans="1:103" s="112" customFormat="1" ht="14.45" hidden="1" customHeight="1" x14ac:dyDescent="0.25">
      <c r="A508" s="38" t="s">
        <v>1081</v>
      </c>
      <c r="B508" s="108" t="s">
        <v>1080</v>
      </c>
      <c r="C508" s="106" t="s">
        <v>1080</v>
      </c>
      <c r="D508" s="106"/>
      <c r="E508" s="106" t="s">
        <v>414</v>
      </c>
      <c r="F508" s="106" t="s">
        <v>197</v>
      </c>
      <c r="G508" s="109">
        <v>800</v>
      </c>
      <c r="H508" s="109">
        <f t="shared" si="273"/>
        <v>20</v>
      </c>
      <c r="I508" s="106" t="s">
        <v>8</v>
      </c>
      <c r="J508" s="106" t="s">
        <v>125</v>
      </c>
      <c r="K508" s="106">
        <f t="shared" si="283"/>
        <v>0</v>
      </c>
      <c r="L508" s="110">
        <v>8</v>
      </c>
      <c r="M508" s="110">
        <v>8</v>
      </c>
      <c r="N508" s="110">
        <v>7</v>
      </c>
      <c r="O508" s="110">
        <v>7</v>
      </c>
      <c r="P508" s="110">
        <v>7</v>
      </c>
      <c r="Q508" s="110">
        <v>7</v>
      </c>
      <c r="R508" s="110">
        <v>7</v>
      </c>
      <c r="S508" s="110">
        <v>7</v>
      </c>
      <c r="T508" s="110">
        <v>7</v>
      </c>
      <c r="U508" s="110">
        <v>7</v>
      </c>
      <c r="V508" s="110"/>
      <c r="W508" s="110"/>
      <c r="X508" s="110" t="s">
        <v>2612</v>
      </c>
      <c r="Y508" s="106">
        <v>10911</v>
      </c>
      <c r="Z508" s="106">
        <f t="shared" si="274"/>
        <v>1.5</v>
      </c>
      <c r="AA508" s="106" t="s">
        <v>135</v>
      </c>
      <c r="AB508" s="111">
        <f t="shared" si="275"/>
        <v>4.5</v>
      </c>
      <c r="AC508" s="85" t="s">
        <v>2425</v>
      </c>
      <c r="AD508" s="107">
        <f>VLOOKUP(AC508,Cost,2,FALSE)*G508/5280*3*2.25</f>
        <v>25568.18181818182</v>
      </c>
      <c r="AE508" s="140"/>
      <c r="AF508" s="113">
        <f t="shared" si="271"/>
        <v>0</v>
      </c>
      <c r="AG508" s="85">
        <v>2026</v>
      </c>
      <c r="AH508" s="26" t="str">
        <f t="shared" si="257"/>
        <v/>
      </c>
      <c r="AI508" s="26" t="str">
        <f t="shared" si="278"/>
        <v/>
      </c>
      <c r="AJ508" s="26" t="str">
        <f t="shared" si="280"/>
        <v/>
      </c>
      <c r="AK508" s="26" t="str">
        <f t="shared" ref="AK508:AM527" si="284">IF($AG508=AK$1,VLOOKUP($AC508,RSL,3,FALSE),"")</f>
        <v/>
      </c>
      <c r="AL508" s="26" t="str">
        <f t="shared" si="284"/>
        <v>Liquid Road</v>
      </c>
      <c r="AM508" s="26" t="str">
        <f t="shared" si="284"/>
        <v/>
      </c>
      <c r="AN508" s="26" t="str">
        <f t="shared" si="270"/>
        <v>Liquid Road</v>
      </c>
      <c r="AO508" s="26" t="str">
        <f t="shared" si="281"/>
        <v/>
      </c>
      <c r="AP508" s="26" t="str">
        <f t="shared" si="261"/>
        <v/>
      </c>
      <c r="AQ508" s="68">
        <f t="shared" si="276"/>
        <v>10</v>
      </c>
      <c r="AR508" s="68">
        <f t="shared" si="277"/>
        <v>10</v>
      </c>
      <c r="AS508" s="68">
        <f t="shared" si="262"/>
        <v>1</v>
      </c>
      <c r="AT508" s="68">
        <f t="shared" si="263"/>
        <v>1</v>
      </c>
      <c r="AU508" s="68">
        <f t="shared" si="264"/>
        <v>1.05</v>
      </c>
      <c r="AV508" s="68">
        <f t="shared" si="265"/>
        <v>1.05</v>
      </c>
      <c r="AW508" s="68">
        <f t="shared" si="266"/>
        <v>1.05</v>
      </c>
      <c r="AX508" s="68">
        <f t="shared" ca="1" si="267"/>
        <v>2.1</v>
      </c>
      <c r="AY508" s="106">
        <v>2018</v>
      </c>
      <c r="AZ508" s="106" t="s">
        <v>2075</v>
      </c>
      <c r="BA508" s="106" t="str">
        <f t="shared" si="254"/>
        <v>CRACK</v>
      </c>
      <c r="BB508" s="177"/>
      <c r="BC508" s="177">
        <v>6</v>
      </c>
      <c r="BD508" s="177">
        <v>1</v>
      </c>
      <c r="BE508" s="177"/>
      <c r="BF508" s="177"/>
      <c r="BG508" s="177"/>
      <c r="BH508" s="177"/>
      <c r="BI508" s="33"/>
      <c r="BJ508" s="2"/>
      <c r="BK508" s="48">
        <f>$G508/5280*VLOOKUP($AC508,'Cost and Score'!$B$27:$O$40,6,0)</f>
        <v>0.15151515151515152</v>
      </c>
      <c r="BL508" s="48">
        <f>$G508/5280*VLOOKUP($AC508,'Cost and Score'!$B$27:$O$40,7,0)</f>
        <v>2.4242424242424243</v>
      </c>
      <c r="BM508" s="48">
        <f>$G508/5280*VLOOKUP($AC508,'Cost and Score'!$B$27:$O$40,8,0)</f>
        <v>0</v>
      </c>
      <c r="BN508" s="48">
        <f>$G508/5280*VLOOKUP($AC508,'Cost and Score'!$B$27:$O$40,9,0)</f>
        <v>0</v>
      </c>
      <c r="BO508" s="48">
        <f>$G508/5280*VLOOKUP($AC508,'Cost and Score'!$B$27:$O$40,10,0)</f>
        <v>0</v>
      </c>
      <c r="BP508" s="48">
        <f>$G508/5280*VLOOKUP($AC508,'Cost and Score'!$B$27:$O$40,11,0)</f>
        <v>0</v>
      </c>
      <c r="BQ508" s="48">
        <f>$G508/5280*VLOOKUP($AC508,'Cost and Score'!$B$27:$O$40,12,0)</f>
        <v>0</v>
      </c>
      <c r="BR508" s="48">
        <f>$G508/5280*VLOOKUP($AC508,'Cost and Score'!$B$27:$O$40,13,0)</f>
        <v>0</v>
      </c>
      <c r="BS508" s="48">
        <f>$G508/5280*VLOOKUP($AC508,'Cost and Score'!$B$27:$O$40,14,0)</f>
        <v>0</v>
      </c>
      <c r="BT508" s="220">
        <f t="shared" si="255"/>
        <v>0.15151515151515152</v>
      </c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W508" s="2"/>
      <c r="CX508" s="2"/>
      <c r="CY508" s="2"/>
    </row>
    <row r="509" spans="1:103" s="112" customFormat="1" ht="14.45" hidden="1" customHeight="1" x14ac:dyDescent="0.25">
      <c r="A509" s="36" t="s">
        <v>1083</v>
      </c>
      <c r="B509" s="108" t="s">
        <v>1082</v>
      </c>
      <c r="C509" s="106" t="s">
        <v>1082</v>
      </c>
      <c r="D509" s="106"/>
      <c r="E509" s="106" t="s">
        <v>203</v>
      </c>
      <c r="F509" s="106" t="s">
        <v>104</v>
      </c>
      <c r="G509" s="109">
        <v>5840</v>
      </c>
      <c r="H509" s="109">
        <f t="shared" si="273"/>
        <v>20</v>
      </c>
      <c r="I509" s="106" t="s">
        <v>8</v>
      </c>
      <c r="J509" s="106" t="s">
        <v>160</v>
      </c>
      <c r="K509" s="106">
        <f t="shared" si="283"/>
        <v>0</v>
      </c>
      <c r="L509" s="110">
        <v>6</v>
      </c>
      <c r="M509" s="110">
        <v>8</v>
      </c>
      <c r="N509" s="110">
        <v>8</v>
      </c>
      <c r="O509" s="110">
        <v>8</v>
      </c>
      <c r="P509" s="110">
        <v>7</v>
      </c>
      <c r="Q509" s="110">
        <v>7</v>
      </c>
      <c r="R509" s="110">
        <v>7</v>
      </c>
      <c r="S509" s="110">
        <v>7</v>
      </c>
      <c r="T509" s="110">
        <v>7</v>
      </c>
      <c r="U509" s="110">
        <v>7</v>
      </c>
      <c r="V509" s="110"/>
      <c r="W509" s="110"/>
      <c r="X509" s="110" t="s">
        <v>2612</v>
      </c>
      <c r="Y509" s="106">
        <v>5100</v>
      </c>
      <c r="Z509" s="106">
        <f t="shared" si="274"/>
        <v>1.5</v>
      </c>
      <c r="AA509" s="106" t="s">
        <v>135</v>
      </c>
      <c r="AB509" s="111">
        <f t="shared" si="275"/>
        <v>4.5</v>
      </c>
      <c r="AC509" s="106" t="s">
        <v>2371</v>
      </c>
      <c r="AD509" s="107">
        <f t="shared" ref="AD509:AD572" si="285">VLOOKUP(AC509,Cost,2,FALSE)*G509/5280</f>
        <v>88484.84848484848</v>
      </c>
      <c r="AE509" s="140">
        <v>1</v>
      </c>
      <c r="AF509" s="113">
        <f t="shared" si="271"/>
        <v>88484.84848484848</v>
      </c>
      <c r="AG509" s="106">
        <v>2024</v>
      </c>
      <c r="AH509" s="26" t="str">
        <f t="shared" si="257"/>
        <v/>
      </c>
      <c r="AI509" s="26" t="str">
        <f t="shared" si="278"/>
        <v/>
      </c>
      <c r="AJ509" s="26" t="str">
        <f t="shared" si="280"/>
        <v>Microsurface double</v>
      </c>
      <c r="AK509" s="26" t="str">
        <f t="shared" si="284"/>
        <v/>
      </c>
      <c r="AL509" s="26" t="str">
        <f t="shared" si="284"/>
        <v/>
      </c>
      <c r="AM509" s="26" t="str">
        <f t="shared" si="284"/>
        <v/>
      </c>
      <c r="AN509" s="26" t="str">
        <f t="shared" si="270"/>
        <v>Microsurface double</v>
      </c>
      <c r="AO509" s="26" t="str">
        <f t="shared" si="281"/>
        <v/>
      </c>
      <c r="AP509" s="26" t="str">
        <f t="shared" si="261"/>
        <v/>
      </c>
      <c r="AQ509" s="68">
        <f t="shared" si="276"/>
        <v>12</v>
      </c>
      <c r="AR509" s="68">
        <f t="shared" si="277"/>
        <v>10</v>
      </c>
      <c r="AS509" s="68">
        <f t="shared" si="262"/>
        <v>1.1000000000000001</v>
      </c>
      <c r="AT509" s="68">
        <f t="shared" si="263"/>
        <v>1</v>
      </c>
      <c r="AU509" s="68">
        <f t="shared" si="264"/>
        <v>1</v>
      </c>
      <c r="AV509" s="68">
        <f t="shared" si="265"/>
        <v>1</v>
      </c>
      <c r="AW509" s="68">
        <f t="shared" si="266"/>
        <v>1.05</v>
      </c>
      <c r="AX509" s="68">
        <f t="shared" ca="1" si="267"/>
        <v>0</v>
      </c>
      <c r="AY509" s="106">
        <v>2017</v>
      </c>
      <c r="AZ509" s="106" t="s">
        <v>2086</v>
      </c>
      <c r="BA509" s="106" t="str">
        <f t="shared" si="254"/>
        <v/>
      </c>
      <c r="BB509" s="177"/>
      <c r="BC509" s="177">
        <v>8</v>
      </c>
      <c r="BD509" s="177"/>
      <c r="BE509" s="177"/>
      <c r="BF509" s="177"/>
      <c r="BG509" s="177"/>
      <c r="BH509" s="177"/>
      <c r="BI509" s="33"/>
      <c r="BJ509" s="2"/>
      <c r="BK509" s="48">
        <f>$G509/5280*VLOOKUP($AC509,'Cost and Score'!$B$27:$O$40,6,0)</f>
        <v>0.55303030303030298</v>
      </c>
      <c r="BL509" s="48">
        <f>$G509/5280*VLOOKUP($AC509,'Cost and Score'!$B$27:$O$40,7,0)</f>
        <v>0</v>
      </c>
      <c r="BM509" s="48">
        <f>$G509/5280*VLOOKUP($AC509,'Cost and Score'!$B$27:$O$40,8,0)</f>
        <v>0</v>
      </c>
      <c r="BN509" s="48">
        <f>$G509/5280*VLOOKUP($AC509,'Cost and Score'!$B$27:$O$40,9,0)</f>
        <v>0</v>
      </c>
      <c r="BO509" s="48">
        <f>$G509/5280*VLOOKUP($AC509,'Cost and Score'!$B$27:$O$40,10,0)</f>
        <v>0</v>
      </c>
      <c r="BP509" s="48">
        <f>$G509/5280*VLOOKUP($AC509,'Cost and Score'!$B$27:$O$40,11,0)</f>
        <v>0</v>
      </c>
      <c r="BQ509" s="48">
        <f>$G509/5280*VLOOKUP($AC509,'Cost and Score'!$B$27:$O$40,12,0)</f>
        <v>0</v>
      </c>
      <c r="BR509" s="48">
        <f>$G509/5280*VLOOKUP($AC509,'Cost and Score'!$B$27:$O$40,13,0)</f>
        <v>0</v>
      </c>
      <c r="BS509" s="48">
        <f>$G509/5280*VLOOKUP($AC509,'Cost and Score'!$B$27:$O$40,14,0)</f>
        <v>0</v>
      </c>
      <c r="BT509" s="220">
        <f t="shared" si="255"/>
        <v>1.106060606060606</v>
      </c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103" s="112" customFormat="1" ht="14.45" hidden="1" customHeight="1" x14ac:dyDescent="0.25">
      <c r="A510" s="38" t="s">
        <v>1086</v>
      </c>
      <c r="B510" s="108" t="s">
        <v>1084</v>
      </c>
      <c r="C510" s="106" t="s">
        <v>1084</v>
      </c>
      <c r="D510" s="106"/>
      <c r="E510" s="106" t="s">
        <v>1085</v>
      </c>
      <c r="F510" s="106" t="s">
        <v>24</v>
      </c>
      <c r="G510" s="109">
        <v>1163</v>
      </c>
      <c r="H510" s="109">
        <f t="shared" si="273"/>
        <v>20</v>
      </c>
      <c r="I510" s="106" t="s">
        <v>8</v>
      </c>
      <c r="J510" s="106" t="s">
        <v>125</v>
      </c>
      <c r="K510" s="106">
        <f t="shared" si="283"/>
        <v>0</v>
      </c>
      <c r="L510" s="110">
        <v>7</v>
      </c>
      <c r="M510" s="110">
        <v>8</v>
      </c>
      <c r="N510" s="110">
        <v>7</v>
      </c>
      <c r="O510" s="110">
        <v>7</v>
      </c>
      <c r="P510" s="110">
        <v>7</v>
      </c>
      <c r="Q510" s="110">
        <v>7</v>
      </c>
      <c r="R510" s="110">
        <v>7</v>
      </c>
      <c r="S510" s="110">
        <v>7</v>
      </c>
      <c r="T510" s="110">
        <v>7</v>
      </c>
      <c r="U510" s="110">
        <v>8</v>
      </c>
      <c r="V510" s="110"/>
      <c r="W510" s="110"/>
      <c r="X510" s="110" t="s">
        <v>2612</v>
      </c>
      <c r="Y510" s="106">
        <v>10700</v>
      </c>
      <c r="Z510" s="106">
        <f t="shared" si="274"/>
        <v>1.5</v>
      </c>
      <c r="AA510" s="106" t="s">
        <v>135</v>
      </c>
      <c r="AB510" s="111">
        <f t="shared" si="275"/>
        <v>4.5</v>
      </c>
      <c r="AC510" s="106" t="s">
        <v>2371</v>
      </c>
      <c r="AD510" s="107">
        <f t="shared" si="285"/>
        <v>17621.21212121212</v>
      </c>
      <c r="AE510" s="140">
        <v>1</v>
      </c>
      <c r="AF510" s="113">
        <f t="shared" si="271"/>
        <v>17621.21212121212</v>
      </c>
      <c r="AG510" s="106">
        <v>2024</v>
      </c>
      <c r="AH510" s="26" t="str">
        <f t="shared" si="257"/>
        <v/>
      </c>
      <c r="AI510" s="26" t="str">
        <f t="shared" si="278"/>
        <v/>
      </c>
      <c r="AJ510" s="26" t="str">
        <f t="shared" si="280"/>
        <v>Microsurface double</v>
      </c>
      <c r="AK510" s="26" t="str">
        <f t="shared" si="284"/>
        <v/>
      </c>
      <c r="AL510" s="26" t="str">
        <f t="shared" si="284"/>
        <v/>
      </c>
      <c r="AM510" s="26" t="str">
        <f t="shared" si="284"/>
        <v/>
      </c>
      <c r="AN510" s="26" t="str">
        <f t="shared" si="270"/>
        <v>Microsurface double</v>
      </c>
      <c r="AO510" s="26" t="str">
        <f t="shared" si="281"/>
        <v/>
      </c>
      <c r="AP510" s="26" t="str">
        <f t="shared" si="261"/>
        <v/>
      </c>
      <c r="AQ510" s="68">
        <f t="shared" si="276"/>
        <v>10</v>
      </c>
      <c r="AR510" s="68">
        <f t="shared" si="277"/>
        <v>10</v>
      </c>
      <c r="AS510" s="68">
        <f t="shared" si="262"/>
        <v>1.05</v>
      </c>
      <c r="AT510" s="68">
        <f t="shared" si="263"/>
        <v>1</v>
      </c>
      <c r="AU510" s="68">
        <f t="shared" si="264"/>
        <v>1.05</v>
      </c>
      <c r="AV510" s="68">
        <f t="shared" si="265"/>
        <v>1.05</v>
      </c>
      <c r="AW510" s="68">
        <f t="shared" si="266"/>
        <v>1.05</v>
      </c>
      <c r="AX510" s="68">
        <f t="shared" ca="1" si="267"/>
        <v>0</v>
      </c>
      <c r="AY510" s="106">
        <v>2017</v>
      </c>
      <c r="AZ510" s="106" t="s">
        <v>2086</v>
      </c>
      <c r="BA510" s="106" t="str">
        <f t="shared" si="254"/>
        <v/>
      </c>
      <c r="BB510" s="177"/>
      <c r="BC510" s="177">
        <v>2</v>
      </c>
      <c r="BD510" s="177"/>
      <c r="BE510" s="177"/>
      <c r="BF510" s="177"/>
      <c r="BG510" s="177"/>
      <c r="BH510" s="177"/>
      <c r="BI510" s="33"/>
      <c r="BJ510" s="2"/>
      <c r="BK510" s="48">
        <f>$G510/5280*VLOOKUP($AC510,'Cost and Score'!$B$27:$O$40,6,0)</f>
        <v>0.11013257575757576</v>
      </c>
      <c r="BL510" s="48">
        <f>$G510/5280*VLOOKUP($AC510,'Cost and Score'!$B$27:$O$40,7,0)</f>
        <v>0</v>
      </c>
      <c r="BM510" s="48">
        <f>$G510/5280*VLOOKUP($AC510,'Cost and Score'!$B$27:$O$40,8,0)</f>
        <v>0</v>
      </c>
      <c r="BN510" s="48">
        <f>$G510/5280*VLOOKUP($AC510,'Cost and Score'!$B$27:$O$40,9,0)</f>
        <v>0</v>
      </c>
      <c r="BO510" s="48">
        <f>$G510/5280*VLOOKUP($AC510,'Cost and Score'!$B$27:$O$40,10,0)</f>
        <v>0</v>
      </c>
      <c r="BP510" s="48">
        <f>$G510/5280*VLOOKUP($AC510,'Cost and Score'!$B$27:$O$40,11,0)</f>
        <v>0</v>
      </c>
      <c r="BQ510" s="48">
        <f>$G510/5280*VLOOKUP($AC510,'Cost and Score'!$B$27:$O$40,12,0)</f>
        <v>0</v>
      </c>
      <c r="BR510" s="48">
        <f>$G510/5280*VLOOKUP($AC510,'Cost and Score'!$B$27:$O$40,13,0)</f>
        <v>0</v>
      </c>
      <c r="BS510" s="48">
        <f>$G510/5280*VLOOKUP($AC510,'Cost and Score'!$B$27:$O$40,14,0)</f>
        <v>0</v>
      </c>
      <c r="BT510" s="220">
        <f t="shared" si="255"/>
        <v>0.22026515151515152</v>
      </c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W510" s="2"/>
      <c r="CX510" s="2"/>
      <c r="CY510" s="2"/>
    </row>
    <row r="511" spans="1:103" s="112" customFormat="1" ht="14.45" hidden="1" customHeight="1" x14ac:dyDescent="0.25">
      <c r="A511" s="38" t="s">
        <v>1088</v>
      </c>
      <c r="B511" s="108" t="s">
        <v>1087</v>
      </c>
      <c r="C511" s="106" t="s">
        <v>1087</v>
      </c>
      <c r="D511" s="106"/>
      <c r="E511" s="106" t="s">
        <v>24</v>
      </c>
      <c r="F511" s="106" t="s">
        <v>25</v>
      </c>
      <c r="G511" s="109">
        <v>3907</v>
      </c>
      <c r="H511" s="109">
        <f t="shared" si="273"/>
        <v>20</v>
      </c>
      <c r="I511" s="106" t="s">
        <v>8</v>
      </c>
      <c r="J511" s="106" t="s">
        <v>125</v>
      </c>
      <c r="K511" s="106">
        <f t="shared" si="283"/>
        <v>0</v>
      </c>
      <c r="L511" s="110">
        <v>7</v>
      </c>
      <c r="M511" s="110">
        <v>8</v>
      </c>
      <c r="N511" s="110">
        <v>7</v>
      </c>
      <c r="O511" s="110">
        <v>7</v>
      </c>
      <c r="P511" s="110">
        <v>7</v>
      </c>
      <c r="Q511" s="110">
        <v>6</v>
      </c>
      <c r="R511" s="110">
        <v>6</v>
      </c>
      <c r="S511" s="110">
        <v>6</v>
      </c>
      <c r="T511" s="110">
        <v>6</v>
      </c>
      <c r="U511" s="110">
        <v>8</v>
      </c>
      <c r="V511" s="110"/>
      <c r="W511" s="110"/>
      <c r="X511" s="110" t="s">
        <v>2612</v>
      </c>
      <c r="Y511" s="106">
        <v>10502</v>
      </c>
      <c r="Z511" s="106">
        <f t="shared" si="274"/>
        <v>1.5</v>
      </c>
      <c r="AA511" s="106" t="s">
        <v>135</v>
      </c>
      <c r="AB511" s="111">
        <f t="shared" si="275"/>
        <v>4.5</v>
      </c>
      <c r="AC511" s="106" t="s">
        <v>2371</v>
      </c>
      <c r="AD511" s="107">
        <f t="shared" si="285"/>
        <v>59196.969696969696</v>
      </c>
      <c r="AE511" s="140">
        <v>1</v>
      </c>
      <c r="AF511" s="113">
        <f t="shared" si="271"/>
        <v>59196.969696969696</v>
      </c>
      <c r="AG511" s="106">
        <v>2024</v>
      </c>
      <c r="AH511" s="26" t="str">
        <f t="shared" si="257"/>
        <v/>
      </c>
      <c r="AI511" s="26" t="str">
        <f t="shared" si="278"/>
        <v/>
      </c>
      <c r="AJ511" s="26" t="str">
        <f t="shared" si="280"/>
        <v>Microsurface double</v>
      </c>
      <c r="AK511" s="26" t="str">
        <f t="shared" si="284"/>
        <v/>
      </c>
      <c r="AL511" s="26" t="str">
        <f t="shared" si="284"/>
        <v/>
      </c>
      <c r="AM511" s="26" t="str">
        <f t="shared" si="284"/>
        <v/>
      </c>
      <c r="AN511" s="26" t="str">
        <f t="shared" si="270"/>
        <v>Microsurface double</v>
      </c>
      <c r="AO511" s="26" t="str">
        <f t="shared" si="281"/>
        <v/>
      </c>
      <c r="AP511" s="26" t="str">
        <f t="shared" si="261"/>
        <v/>
      </c>
      <c r="AQ511" s="68">
        <f t="shared" si="276"/>
        <v>10</v>
      </c>
      <c r="AR511" s="68">
        <f t="shared" si="277"/>
        <v>10</v>
      </c>
      <c r="AS511" s="68">
        <f t="shared" si="262"/>
        <v>1.05</v>
      </c>
      <c r="AT511" s="68">
        <f t="shared" si="263"/>
        <v>1</v>
      </c>
      <c r="AU511" s="68">
        <f t="shared" si="264"/>
        <v>1.05</v>
      </c>
      <c r="AV511" s="68">
        <f t="shared" si="265"/>
        <v>1.05</v>
      </c>
      <c r="AW511" s="68">
        <f t="shared" si="266"/>
        <v>1.05</v>
      </c>
      <c r="AX511" s="68">
        <f t="shared" ca="1" si="267"/>
        <v>0</v>
      </c>
      <c r="AY511" s="106">
        <v>2017</v>
      </c>
      <c r="AZ511" s="106" t="s">
        <v>2086</v>
      </c>
      <c r="BA511" s="106" t="str">
        <f t="shared" si="254"/>
        <v/>
      </c>
      <c r="BB511" s="177"/>
      <c r="BC511" s="177">
        <v>2</v>
      </c>
      <c r="BD511" s="177"/>
      <c r="BE511" s="177"/>
      <c r="BF511" s="177"/>
      <c r="BG511" s="177"/>
      <c r="BH511" s="177"/>
      <c r="BI511" s="33"/>
      <c r="BJ511" s="2"/>
      <c r="BK511" s="48">
        <f>$G511/5280*VLOOKUP($AC511,'Cost and Score'!$B$27:$O$40,6,0)</f>
        <v>0.36998106060606062</v>
      </c>
      <c r="BL511" s="48">
        <f>$G511/5280*VLOOKUP($AC511,'Cost and Score'!$B$27:$O$40,7,0)</f>
        <v>0</v>
      </c>
      <c r="BM511" s="48">
        <f>$G511/5280*VLOOKUP($AC511,'Cost and Score'!$B$27:$O$40,8,0)</f>
        <v>0</v>
      </c>
      <c r="BN511" s="48">
        <f>$G511/5280*VLOOKUP($AC511,'Cost and Score'!$B$27:$O$40,9,0)</f>
        <v>0</v>
      </c>
      <c r="BO511" s="48">
        <f>$G511/5280*VLOOKUP($AC511,'Cost and Score'!$B$27:$O$40,10,0)</f>
        <v>0</v>
      </c>
      <c r="BP511" s="48">
        <f>$G511/5280*VLOOKUP($AC511,'Cost and Score'!$B$27:$O$40,11,0)</f>
        <v>0</v>
      </c>
      <c r="BQ511" s="48">
        <f>$G511/5280*VLOOKUP($AC511,'Cost and Score'!$B$27:$O$40,12,0)</f>
        <v>0</v>
      </c>
      <c r="BR511" s="48">
        <f>$G511/5280*VLOOKUP($AC511,'Cost and Score'!$B$27:$O$40,13,0)</f>
        <v>0</v>
      </c>
      <c r="BS511" s="48">
        <f>$G511/5280*VLOOKUP($AC511,'Cost and Score'!$B$27:$O$40,14,0)</f>
        <v>0</v>
      </c>
      <c r="BT511" s="220">
        <f t="shared" si="255"/>
        <v>0.73996212121212124</v>
      </c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W511" s="2"/>
      <c r="CX511" s="2"/>
      <c r="CY511" s="2"/>
    </row>
    <row r="512" spans="1:103" s="112" customFormat="1" ht="14.45" hidden="1" customHeight="1" x14ac:dyDescent="0.25">
      <c r="A512" s="36" t="s">
        <v>1090</v>
      </c>
      <c r="B512" s="108" t="s">
        <v>1089</v>
      </c>
      <c r="C512" s="106" t="s">
        <v>1089</v>
      </c>
      <c r="D512" s="106"/>
      <c r="E512" s="106" t="s">
        <v>25</v>
      </c>
      <c r="F512" s="106" t="s">
        <v>28</v>
      </c>
      <c r="G512" s="109">
        <v>5386</v>
      </c>
      <c r="H512" s="109">
        <f t="shared" si="273"/>
        <v>20</v>
      </c>
      <c r="I512" s="106" t="s">
        <v>8</v>
      </c>
      <c r="J512" s="106" t="s">
        <v>125</v>
      </c>
      <c r="K512" s="106">
        <f t="shared" si="283"/>
        <v>0</v>
      </c>
      <c r="L512" s="110">
        <v>7</v>
      </c>
      <c r="M512" s="110">
        <v>8</v>
      </c>
      <c r="N512" s="110">
        <v>7</v>
      </c>
      <c r="O512" s="110">
        <v>7</v>
      </c>
      <c r="P512" s="110">
        <v>6</v>
      </c>
      <c r="Q512" s="110">
        <v>6</v>
      </c>
      <c r="R512" s="110">
        <v>6</v>
      </c>
      <c r="S512" s="110">
        <v>6</v>
      </c>
      <c r="T512" s="110">
        <v>6</v>
      </c>
      <c r="U512" s="110">
        <v>7</v>
      </c>
      <c r="V512" s="110"/>
      <c r="W512" s="110"/>
      <c r="X512" s="110" t="s">
        <v>2612</v>
      </c>
      <c r="Y512" s="106">
        <v>9713</v>
      </c>
      <c r="Z512" s="106">
        <f t="shared" si="274"/>
        <v>1.5</v>
      </c>
      <c r="AA512" s="106" t="s">
        <v>135</v>
      </c>
      <c r="AB512" s="111">
        <f t="shared" si="275"/>
        <v>5.5</v>
      </c>
      <c r="AC512" s="106" t="s">
        <v>2086</v>
      </c>
      <c r="AD512" s="107">
        <f t="shared" si="285"/>
        <v>2550.189393939394</v>
      </c>
      <c r="AE512" s="198">
        <v>1</v>
      </c>
      <c r="AF512" s="113">
        <f t="shared" si="271"/>
        <v>2550.189393939394</v>
      </c>
      <c r="AG512" s="26">
        <v>2023</v>
      </c>
      <c r="AH512" s="26" t="str">
        <f t="shared" si="257"/>
        <v/>
      </c>
      <c r="AI512" s="26" t="str">
        <f t="shared" si="278"/>
        <v>Fog Seal</v>
      </c>
      <c r="AJ512" s="26" t="str">
        <f t="shared" si="280"/>
        <v/>
      </c>
      <c r="AK512" s="26" t="str">
        <f t="shared" si="284"/>
        <v/>
      </c>
      <c r="AL512" s="26" t="str">
        <f t="shared" si="284"/>
        <v/>
      </c>
      <c r="AM512" s="26" t="str">
        <f t="shared" si="284"/>
        <v/>
      </c>
      <c r="AN512" s="26" t="str">
        <f t="shared" si="270"/>
        <v>Fog Seal</v>
      </c>
      <c r="AO512" s="26" t="str">
        <f t="shared" si="281"/>
        <v/>
      </c>
      <c r="AP512" s="26" t="str">
        <f t="shared" si="261"/>
        <v/>
      </c>
      <c r="AQ512" s="68">
        <f t="shared" si="276"/>
        <v>10</v>
      </c>
      <c r="AR512" s="68">
        <f t="shared" si="277"/>
        <v>2</v>
      </c>
      <c r="AS512" s="68">
        <f t="shared" si="262"/>
        <v>1.05</v>
      </c>
      <c r="AT512" s="68">
        <f t="shared" si="263"/>
        <v>1</v>
      </c>
      <c r="AU512" s="68">
        <f t="shared" si="264"/>
        <v>1.05</v>
      </c>
      <c r="AV512" s="68">
        <f t="shared" si="265"/>
        <v>1.05</v>
      </c>
      <c r="AW512" s="68">
        <f t="shared" si="266"/>
        <v>1.1000000000000001</v>
      </c>
      <c r="AX512" s="68">
        <f t="shared" ca="1" si="267"/>
        <v>-1.05</v>
      </c>
      <c r="AY512" s="106">
        <v>2017</v>
      </c>
      <c r="AZ512" s="106" t="s">
        <v>2086</v>
      </c>
      <c r="BA512" s="106" t="str">
        <f t="shared" si="254"/>
        <v/>
      </c>
      <c r="BB512" s="177"/>
      <c r="BC512" s="177">
        <v>2</v>
      </c>
      <c r="BD512" s="177"/>
      <c r="BE512" s="177"/>
      <c r="BF512" s="177"/>
      <c r="BG512" s="177"/>
      <c r="BH512" s="177"/>
      <c r="BI512" s="33"/>
      <c r="BJ512" s="2"/>
      <c r="BK512" s="48">
        <f>$G512/5280*VLOOKUP($AC512,'Cost and Score'!$B$27:$O$40,6,0)</f>
        <v>0.10200757575757576</v>
      </c>
      <c r="BL512" s="48">
        <f>$G512/5280*VLOOKUP($AC512,'Cost and Score'!$B$27:$O$40,7,0)</f>
        <v>0.20401515151515151</v>
      </c>
      <c r="BM512" s="48">
        <f>$G512/5280*VLOOKUP($AC512,'Cost and Score'!$B$27:$O$40,8,0)</f>
        <v>0</v>
      </c>
      <c r="BN512" s="48">
        <f>$G512/5280*VLOOKUP($AC512,'Cost and Score'!$B$27:$O$40,9,0)</f>
        <v>0</v>
      </c>
      <c r="BO512" s="48">
        <f>$G512/5280*VLOOKUP($AC512,'Cost and Score'!$B$27:$O$40,10,0)</f>
        <v>1020.0757575757575</v>
      </c>
      <c r="BP512" s="48">
        <f>$G512/5280*VLOOKUP($AC512,'Cost and Score'!$B$27:$O$40,11,0)</f>
        <v>0</v>
      </c>
      <c r="BQ512" s="48">
        <f>$G512/5280*VLOOKUP($AC512,'Cost and Score'!$B$27:$O$40,12,0)</f>
        <v>0</v>
      </c>
      <c r="BR512" s="48">
        <f>$G512/5280*VLOOKUP($AC512,'Cost and Score'!$B$27:$O$40,13,0)</f>
        <v>0</v>
      </c>
      <c r="BS512" s="48">
        <f>$G512/5280*VLOOKUP($AC512,'Cost and Score'!$B$27:$O$40,14,0)</f>
        <v>0</v>
      </c>
      <c r="BT512" s="220">
        <f t="shared" si="255"/>
        <v>1.0200757575757575</v>
      </c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W512" s="2"/>
      <c r="CX512" s="2"/>
      <c r="CY512" s="2"/>
    </row>
    <row r="513" spans="1:103" s="112" customFormat="1" ht="14.45" customHeight="1" x14ac:dyDescent="0.25">
      <c r="A513" s="15" t="s">
        <v>902</v>
      </c>
      <c r="B513" s="34" t="s">
        <v>901</v>
      </c>
      <c r="C513" s="26" t="s">
        <v>901</v>
      </c>
      <c r="D513" s="82"/>
      <c r="E513" s="82" t="s">
        <v>197</v>
      </c>
      <c r="F513" s="82" t="s">
        <v>206</v>
      </c>
      <c r="G513" s="29">
        <v>2630</v>
      </c>
      <c r="H513" s="29">
        <f t="shared" si="273"/>
        <v>20</v>
      </c>
      <c r="I513" s="26" t="s">
        <v>13</v>
      </c>
      <c r="J513" s="26" t="s">
        <v>125</v>
      </c>
      <c r="K513" s="26">
        <f t="shared" si="283"/>
        <v>0</v>
      </c>
      <c r="L513" s="42">
        <v>6</v>
      </c>
      <c r="M513" s="42">
        <v>5</v>
      </c>
      <c r="N513" s="42">
        <v>5</v>
      </c>
      <c r="O513" s="83">
        <v>5</v>
      </c>
      <c r="P513" s="83">
        <v>4</v>
      </c>
      <c r="Q513" s="83">
        <v>4</v>
      </c>
      <c r="R513" s="83">
        <v>8</v>
      </c>
      <c r="S513" s="83">
        <v>8</v>
      </c>
      <c r="T513" s="83">
        <v>8</v>
      </c>
      <c r="U513" s="83">
        <v>8</v>
      </c>
      <c r="V513" s="42"/>
      <c r="W513" s="42"/>
      <c r="X513" s="42"/>
      <c r="Y513" s="26">
        <v>50</v>
      </c>
      <c r="Z513" s="26">
        <f t="shared" si="274"/>
        <v>0</v>
      </c>
      <c r="AA513" s="82" t="s">
        <v>168</v>
      </c>
      <c r="AB513" s="111">
        <f t="shared" si="275"/>
        <v>6</v>
      </c>
      <c r="AC513" s="85" t="s">
        <v>13</v>
      </c>
      <c r="AD513" s="84">
        <f t="shared" si="285"/>
        <v>10460.227272727272</v>
      </c>
      <c r="AE513" s="140"/>
      <c r="AF513" s="113">
        <f t="shared" si="271"/>
        <v>0</v>
      </c>
      <c r="AG513" s="106">
        <v>2025</v>
      </c>
      <c r="AH513" s="26" t="str">
        <f t="shared" si="257"/>
        <v/>
      </c>
      <c r="AI513" s="26" t="str">
        <f t="shared" si="278"/>
        <v/>
      </c>
      <c r="AJ513" s="26" t="str">
        <f t="shared" si="280"/>
        <v/>
      </c>
      <c r="AK513" s="26" t="str">
        <f t="shared" si="284"/>
        <v>Chip Seal and Fog</v>
      </c>
      <c r="AL513" s="26" t="str">
        <f t="shared" si="284"/>
        <v/>
      </c>
      <c r="AM513" s="26" t="str">
        <f t="shared" si="284"/>
        <v/>
      </c>
      <c r="AN513" s="26" t="str">
        <f t="shared" si="270"/>
        <v>Chip Seal and Fog</v>
      </c>
      <c r="AO513" s="26" t="str">
        <f t="shared" si="281"/>
        <v/>
      </c>
      <c r="AP513" s="26" t="str">
        <f t="shared" si="261"/>
        <v/>
      </c>
      <c r="AQ513" s="68">
        <f t="shared" si="276"/>
        <v>6</v>
      </c>
      <c r="AR513" s="68">
        <f t="shared" si="277"/>
        <v>6</v>
      </c>
      <c r="AS513" s="68">
        <f t="shared" si="262"/>
        <v>1.1000000000000001</v>
      </c>
      <c r="AT513" s="68">
        <f t="shared" si="263"/>
        <v>1.25</v>
      </c>
      <c r="AU513" s="68">
        <f t="shared" si="264"/>
        <v>1.25</v>
      </c>
      <c r="AV513" s="68">
        <f t="shared" si="265"/>
        <v>1.25</v>
      </c>
      <c r="AW513" s="68">
        <f t="shared" si="266"/>
        <v>1.5</v>
      </c>
      <c r="AX513" s="68">
        <f t="shared" ca="1" si="267"/>
        <v>1.25</v>
      </c>
      <c r="AY513" s="68">
        <v>2019</v>
      </c>
      <c r="AZ513" s="68" t="s">
        <v>751</v>
      </c>
      <c r="BA513" s="106" t="str">
        <f t="shared" si="254"/>
        <v/>
      </c>
      <c r="BB513" s="178"/>
      <c r="BC513" s="178">
        <v>2</v>
      </c>
      <c r="BD513" s="178"/>
      <c r="BE513" s="178"/>
      <c r="BF513" s="178"/>
      <c r="BG513" s="178"/>
      <c r="BH513" s="178"/>
      <c r="BI513" s="33" t="s">
        <v>2492</v>
      </c>
      <c r="BJ513" s="2"/>
      <c r="BK513" s="48">
        <f>$G513/5280*VLOOKUP($AC513,'Cost and Score'!$B$27:$O$40,6,0)</f>
        <v>9.9621212121212124E-2</v>
      </c>
      <c r="BL513" s="48">
        <f>$G513/5280*VLOOKUP($AC513,'Cost and Score'!$B$27:$O$40,7,0)</f>
        <v>10.958333333333334</v>
      </c>
      <c r="BM513" s="48">
        <f>$G513/5280*VLOOKUP($AC513,'Cost and Score'!$B$27:$O$40,8,0)</f>
        <v>0</v>
      </c>
      <c r="BN513" s="48">
        <f>$G513/5280*VLOOKUP($AC513,'Cost and Score'!$B$27:$O$40,9,0)</f>
        <v>2241.4772727272725</v>
      </c>
      <c r="BO513" s="48">
        <f>$G513/5280*VLOOKUP($AC513,'Cost and Score'!$B$27:$O$40,10,0)</f>
        <v>498.10606060606062</v>
      </c>
      <c r="BP513" s="48">
        <f>$G513/5280*VLOOKUP($AC513,'Cost and Score'!$B$27:$O$40,11,0)</f>
        <v>0</v>
      </c>
      <c r="BQ513" s="48">
        <f>$G513/5280*VLOOKUP($AC513,'Cost and Score'!$B$27:$O$40,12,0)</f>
        <v>49.810606060606062</v>
      </c>
      <c r="BR513" s="48">
        <f>$G513/5280*VLOOKUP($AC513,'Cost and Score'!$B$27:$O$40,13,0)</f>
        <v>59.772727272727273</v>
      </c>
      <c r="BS513" s="48">
        <f>$G513/5280*VLOOKUP($AC513,'Cost and Score'!$B$27:$O$40,14,0)</f>
        <v>0</v>
      </c>
      <c r="BT513" s="220">
        <f t="shared" si="255"/>
        <v>0.49810606060606061</v>
      </c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</row>
    <row r="514" spans="1:103" s="2" customFormat="1" ht="14.45" hidden="1" customHeight="1" x14ac:dyDescent="0.25">
      <c r="A514" s="38" t="s">
        <v>1094</v>
      </c>
      <c r="B514" s="34" t="s">
        <v>1093</v>
      </c>
      <c r="C514" s="26" t="s">
        <v>1093</v>
      </c>
      <c r="D514" s="26"/>
      <c r="E514" s="26" t="s">
        <v>984</v>
      </c>
      <c r="F514" s="26" t="s">
        <v>210</v>
      </c>
      <c r="G514" s="29">
        <v>6270</v>
      </c>
      <c r="H514" s="29">
        <f t="shared" si="273"/>
        <v>20</v>
      </c>
      <c r="I514" s="106" t="s">
        <v>13</v>
      </c>
      <c r="J514" s="26" t="s">
        <v>160</v>
      </c>
      <c r="K514" s="26">
        <f t="shared" si="283"/>
        <v>0</v>
      </c>
      <c r="L514" s="42">
        <v>7</v>
      </c>
      <c r="M514" s="42">
        <v>7</v>
      </c>
      <c r="N514" s="42">
        <v>7</v>
      </c>
      <c r="O514" s="42">
        <v>6</v>
      </c>
      <c r="P514" s="42">
        <v>6</v>
      </c>
      <c r="Q514" s="42">
        <v>7</v>
      </c>
      <c r="R514" s="42">
        <v>7</v>
      </c>
      <c r="S514" s="42">
        <v>7</v>
      </c>
      <c r="T514" s="42">
        <v>7</v>
      </c>
      <c r="U514" s="42">
        <v>7</v>
      </c>
      <c r="V514" s="42">
        <v>2023</v>
      </c>
      <c r="W514" s="42">
        <v>2023</v>
      </c>
      <c r="X514" s="42" t="s">
        <v>2612</v>
      </c>
      <c r="Y514" s="26">
        <v>2089</v>
      </c>
      <c r="Z514" s="26">
        <f t="shared" si="274"/>
        <v>1</v>
      </c>
      <c r="AA514" s="26" t="s">
        <v>135</v>
      </c>
      <c r="AB514" s="111">
        <f t="shared" si="275"/>
        <v>5</v>
      </c>
      <c r="AC514" s="26" t="s">
        <v>13</v>
      </c>
      <c r="AD514" s="47">
        <f t="shared" si="285"/>
        <v>24937.5</v>
      </c>
      <c r="AE514" s="140"/>
      <c r="AF514" s="113">
        <f t="shared" si="271"/>
        <v>0</v>
      </c>
      <c r="AG514" s="26">
        <v>2022</v>
      </c>
      <c r="AH514" s="26" t="str">
        <f t="shared" si="257"/>
        <v>Chip Seal and Fog</v>
      </c>
      <c r="AI514" s="26" t="str">
        <f t="shared" si="278"/>
        <v/>
      </c>
      <c r="AJ514" s="26" t="str">
        <f t="shared" si="280"/>
        <v/>
      </c>
      <c r="AK514" s="26" t="str">
        <f t="shared" si="284"/>
        <v/>
      </c>
      <c r="AL514" s="26" t="str">
        <f t="shared" si="284"/>
        <v/>
      </c>
      <c r="AM514" s="26" t="str">
        <f t="shared" si="284"/>
        <v/>
      </c>
      <c r="AN514" s="26" t="str">
        <f t="shared" si="270"/>
        <v>Chip Seal and Fog</v>
      </c>
      <c r="AO514" s="26" t="str">
        <f t="shared" si="281"/>
        <v/>
      </c>
      <c r="AP514" s="26" t="str">
        <f t="shared" si="261"/>
        <v/>
      </c>
      <c r="AQ514" s="68">
        <f t="shared" si="276"/>
        <v>8</v>
      </c>
      <c r="AR514" s="68">
        <f t="shared" si="277"/>
        <v>6</v>
      </c>
      <c r="AS514" s="68">
        <f t="shared" si="262"/>
        <v>1.05</v>
      </c>
      <c r="AT514" s="68">
        <f t="shared" si="263"/>
        <v>1.05</v>
      </c>
      <c r="AU514" s="68">
        <f t="shared" si="264"/>
        <v>1.05</v>
      </c>
      <c r="AV514" s="68">
        <f t="shared" si="265"/>
        <v>1.1000000000000001</v>
      </c>
      <c r="AW514" s="68">
        <f t="shared" si="266"/>
        <v>1.1000000000000001</v>
      </c>
      <c r="AX514" s="68">
        <f t="shared" ca="1" si="267"/>
        <v>-2.1</v>
      </c>
      <c r="AY514" s="68">
        <v>2016</v>
      </c>
      <c r="AZ514" s="68" t="s">
        <v>2072</v>
      </c>
      <c r="BA514" s="106" t="str">
        <f t="shared" ref="BA514:BA577" si="286">IF(AY514=2018,AZ514,"")</f>
        <v/>
      </c>
      <c r="BB514" s="178"/>
      <c r="BC514" s="178">
        <v>8</v>
      </c>
      <c r="BD514" s="178"/>
      <c r="BE514" s="178"/>
      <c r="BF514" s="178"/>
      <c r="BG514" s="178"/>
      <c r="BH514" s="178"/>
      <c r="BI514" s="33"/>
      <c r="BK514" s="48">
        <f>$G514/5280*VLOOKUP($AC514,'Cost and Score'!$B$27:$O$40,6,0)</f>
        <v>0.23750000000000002</v>
      </c>
      <c r="BL514" s="48">
        <f>$G514/5280*VLOOKUP($AC514,'Cost and Score'!$B$27:$O$40,7,0)</f>
        <v>26.125</v>
      </c>
      <c r="BM514" s="48">
        <f>$G514/5280*VLOOKUP($AC514,'Cost and Score'!$B$27:$O$40,8,0)</f>
        <v>0</v>
      </c>
      <c r="BN514" s="48">
        <f>$G514/5280*VLOOKUP($AC514,'Cost and Score'!$B$27:$O$40,9,0)</f>
        <v>5343.75</v>
      </c>
      <c r="BO514" s="48">
        <f>$G514/5280*VLOOKUP($AC514,'Cost and Score'!$B$27:$O$40,10,0)</f>
        <v>1187.5</v>
      </c>
      <c r="BP514" s="48">
        <f>$G514/5280*VLOOKUP($AC514,'Cost and Score'!$B$27:$O$40,11,0)</f>
        <v>0</v>
      </c>
      <c r="BQ514" s="48">
        <f>$G514/5280*VLOOKUP($AC514,'Cost and Score'!$B$27:$O$40,12,0)</f>
        <v>118.75</v>
      </c>
      <c r="BR514" s="48">
        <f>$G514/5280*VLOOKUP($AC514,'Cost and Score'!$B$27:$O$40,13,0)</f>
        <v>142.5</v>
      </c>
      <c r="BS514" s="48">
        <f>$G514/5280*VLOOKUP($AC514,'Cost and Score'!$B$27:$O$40,14,0)</f>
        <v>0</v>
      </c>
      <c r="BT514" s="220">
        <f t="shared" ref="BT514:BT577" si="287">G514/5280</f>
        <v>1.1875</v>
      </c>
      <c r="CG514" s="114"/>
      <c r="CH514" s="114"/>
      <c r="CI514" s="114"/>
      <c r="CJ514" s="114"/>
      <c r="CK514" s="114"/>
      <c r="CL514" s="114"/>
      <c r="CM514" s="114"/>
      <c r="CN514" s="112"/>
      <c r="CO514" s="112"/>
      <c r="CP514" s="112"/>
      <c r="CQ514" s="112"/>
      <c r="CV514" s="112"/>
    </row>
    <row r="515" spans="1:103" s="2" customFormat="1" ht="14.45" hidden="1" customHeight="1" x14ac:dyDescent="0.25">
      <c r="A515" s="38" t="s">
        <v>1096</v>
      </c>
      <c r="B515" s="34" t="s">
        <v>1095</v>
      </c>
      <c r="C515" s="26" t="s">
        <v>1095</v>
      </c>
      <c r="D515" s="26"/>
      <c r="E515" s="26" t="s">
        <v>100</v>
      </c>
      <c r="F515" s="26" t="s">
        <v>307</v>
      </c>
      <c r="G515" s="29">
        <v>2701</v>
      </c>
      <c r="H515" s="29">
        <f t="shared" si="273"/>
        <v>20</v>
      </c>
      <c r="I515" s="26" t="s">
        <v>8</v>
      </c>
      <c r="J515" s="26" t="s">
        <v>160</v>
      </c>
      <c r="K515" s="26">
        <f t="shared" si="283"/>
        <v>0</v>
      </c>
      <c r="L515" s="42">
        <v>8</v>
      </c>
      <c r="M515" s="42">
        <v>7</v>
      </c>
      <c r="N515" s="42">
        <v>10</v>
      </c>
      <c r="O515" s="42">
        <v>9</v>
      </c>
      <c r="P515" s="42">
        <v>9</v>
      </c>
      <c r="Q515" s="42">
        <v>8</v>
      </c>
      <c r="R515" s="42">
        <v>8</v>
      </c>
      <c r="S515" s="42">
        <v>8</v>
      </c>
      <c r="T515" s="42">
        <v>8</v>
      </c>
      <c r="U515" s="42">
        <v>8</v>
      </c>
      <c r="V515" s="42"/>
      <c r="W515" s="42"/>
      <c r="X515" s="42" t="s">
        <v>2612</v>
      </c>
      <c r="Y515" s="26">
        <v>5481</v>
      </c>
      <c r="Z515" s="26">
        <f t="shared" si="274"/>
        <v>1.5</v>
      </c>
      <c r="AA515" s="26" t="s">
        <v>135</v>
      </c>
      <c r="AB515" s="111">
        <f t="shared" si="275"/>
        <v>2.5</v>
      </c>
      <c r="AC515" s="85" t="s">
        <v>2075</v>
      </c>
      <c r="AD515" s="47">
        <f t="shared" si="285"/>
        <v>2762.3863636363635</v>
      </c>
      <c r="AE515" s="140"/>
      <c r="AF515" s="113">
        <f t="shared" si="271"/>
        <v>0</v>
      </c>
      <c r="AG515" s="26">
        <v>2022</v>
      </c>
      <c r="AH515" s="26" t="str">
        <f t="shared" si="257"/>
        <v>Crack Seal</v>
      </c>
      <c r="AI515" s="26" t="str">
        <f t="shared" si="278"/>
        <v/>
      </c>
      <c r="AJ515" s="26" t="str">
        <f t="shared" si="280"/>
        <v/>
      </c>
      <c r="AK515" s="26" t="str">
        <f t="shared" si="284"/>
        <v/>
      </c>
      <c r="AL515" s="26" t="str">
        <f t="shared" si="284"/>
        <v/>
      </c>
      <c r="AM515" s="26" t="str">
        <f t="shared" si="284"/>
        <v/>
      </c>
      <c r="AN515" s="26" t="str">
        <f t="shared" si="270"/>
        <v>Crack Seal</v>
      </c>
      <c r="AO515" s="26" t="str">
        <f t="shared" si="281"/>
        <v/>
      </c>
      <c r="AP515" s="26" t="str">
        <f t="shared" si="261"/>
        <v/>
      </c>
      <c r="AQ515" s="68">
        <f t="shared" si="276"/>
        <v>14</v>
      </c>
      <c r="AR515" s="68">
        <f t="shared" si="277"/>
        <v>3</v>
      </c>
      <c r="AS515" s="68">
        <f t="shared" si="262"/>
        <v>1</v>
      </c>
      <c r="AT515" s="68">
        <f t="shared" si="263"/>
        <v>1.05</v>
      </c>
      <c r="AU515" s="68">
        <f t="shared" si="264"/>
        <v>1</v>
      </c>
      <c r="AV515" s="68">
        <f t="shared" si="265"/>
        <v>1</v>
      </c>
      <c r="AW515" s="68">
        <f t="shared" si="266"/>
        <v>1</v>
      </c>
      <c r="AX515" s="68">
        <f t="shared" ca="1" si="267"/>
        <v>-2</v>
      </c>
      <c r="AY515" s="68">
        <v>2016</v>
      </c>
      <c r="AZ515" s="68" t="s">
        <v>751</v>
      </c>
      <c r="BA515" s="106" t="str">
        <f t="shared" si="286"/>
        <v/>
      </c>
      <c r="BB515" s="178"/>
      <c r="BC515" s="178">
        <v>8</v>
      </c>
      <c r="BD515" s="178"/>
      <c r="BE515" s="178"/>
      <c r="BF515" s="178"/>
      <c r="BG515" s="178"/>
      <c r="BH515" s="178"/>
      <c r="BI515" s="33"/>
      <c r="BK515" s="48">
        <f>$G515/5280*VLOOKUP($AC515,'Cost and Score'!$B$27:$O$40,6,0)</f>
        <v>0.51155303030303034</v>
      </c>
      <c r="BL515" s="48">
        <f>$G515/5280*VLOOKUP($AC515,'Cost and Score'!$B$27:$O$40,7,0)</f>
        <v>0</v>
      </c>
      <c r="BM515" s="48">
        <f>$G515/5280*VLOOKUP($AC515,'Cost and Score'!$B$27:$O$40,8,0)</f>
        <v>0</v>
      </c>
      <c r="BN515" s="48">
        <f>$G515/5280*VLOOKUP($AC515,'Cost and Score'!$B$27:$O$40,9,0)</f>
        <v>0</v>
      </c>
      <c r="BO515" s="48">
        <f>$G515/5280*VLOOKUP($AC515,'Cost and Score'!$B$27:$O$40,10,0)</f>
        <v>0</v>
      </c>
      <c r="BP515" s="48">
        <f>$G515/5280*VLOOKUP($AC515,'Cost and Score'!$B$27:$O$40,11,0)</f>
        <v>0</v>
      </c>
      <c r="BQ515" s="48">
        <f>$G515/5280*VLOOKUP($AC515,'Cost and Score'!$B$27:$O$40,12,0)</f>
        <v>0</v>
      </c>
      <c r="BR515" s="48">
        <f>$G515/5280*VLOOKUP($AC515,'Cost and Score'!$B$27:$O$40,13,0)</f>
        <v>0</v>
      </c>
      <c r="BS515" s="48">
        <f>$G515/5280*VLOOKUP($AC515,'Cost and Score'!$B$27:$O$40,14,0)</f>
        <v>0</v>
      </c>
      <c r="BT515" s="220">
        <f t="shared" si="287"/>
        <v>0.51155303030303034</v>
      </c>
      <c r="CW515" s="112"/>
      <c r="CX515" s="112"/>
      <c r="CY515" s="112"/>
    </row>
    <row r="516" spans="1:103" s="2" customFormat="1" hidden="1" x14ac:dyDescent="0.25">
      <c r="A516" s="38" t="s">
        <v>1097</v>
      </c>
      <c r="B516" s="108" t="s">
        <v>2423</v>
      </c>
      <c r="C516" s="106" t="s">
        <v>2423</v>
      </c>
      <c r="D516" s="106"/>
      <c r="E516" s="106" t="s">
        <v>1533</v>
      </c>
      <c r="F516" s="106" t="s">
        <v>984</v>
      </c>
      <c r="G516" s="109">
        <v>2100</v>
      </c>
      <c r="H516" s="109">
        <f t="shared" si="273"/>
        <v>20</v>
      </c>
      <c r="I516" s="106" t="s">
        <v>8</v>
      </c>
      <c r="J516" s="106" t="s">
        <v>160</v>
      </c>
      <c r="K516" s="106">
        <f t="shared" si="283"/>
        <v>0</v>
      </c>
      <c r="L516" s="110">
        <v>6</v>
      </c>
      <c r="M516" s="110">
        <v>8</v>
      </c>
      <c r="N516" s="110">
        <v>7</v>
      </c>
      <c r="O516" s="110">
        <v>7</v>
      </c>
      <c r="P516" s="110">
        <v>7</v>
      </c>
      <c r="Q516" s="110">
        <v>6</v>
      </c>
      <c r="R516" s="110">
        <v>6</v>
      </c>
      <c r="S516" s="110">
        <v>6</v>
      </c>
      <c r="T516" s="110">
        <v>6</v>
      </c>
      <c r="U516" s="110">
        <v>8</v>
      </c>
      <c r="V516" s="110">
        <v>2023</v>
      </c>
      <c r="W516" s="110"/>
      <c r="X516" s="110" t="s">
        <v>2612</v>
      </c>
      <c r="Y516" s="106">
        <v>2535</v>
      </c>
      <c r="Z516" s="106">
        <f t="shared" si="274"/>
        <v>1.5</v>
      </c>
      <c r="AA516" s="106" t="s">
        <v>135</v>
      </c>
      <c r="AB516" s="111">
        <f t="shared" si="275"/>
        <v>4.5</v>
      </c>
      <c r="AC516" s="106" t="s">
        <v>13</v>
      </c>
      <c r="AD516" s="107">
        <f t="shared" si="285"/>
        <v>8352.2727272727279</v>
      </c>
      <c r="AE516" s="140"/>
      <c r="AF516" s="113">
        <f t="shared" si="271"/>
        <v>0</v>
      </c>
      <c r="AG516" s="106">
        <v>2022</v>
      </c>
      <c r="AH516" s="26" t="str">
        <f t="shared" si="257"/>
        <v>Chip Seal and Fog</v>
      </c>
      <c r="AI516" s="26" t="str">
        <f t="shared" si="278"/>
        <v/>
      </c>
      <c r="AJ516" s="26" t="str">
        <f t="shared" si="280"/>
        <v/>
      </c>
      <c r="AK516" s="26" t="str">
        <f t="shared" si="284"/>
        <v/>
      </c>
      <c r="AL516" s="26" t="str">
        <f t="shared" si="284"/>
        <v/>
      </c>
      <c r="AM516" s="26" t="str">
        <f t="shared" si="284"/>
        <v/>
      </c>
      <c r="AN516" s="26" t="str">
        <f t="shared" si="270"/>
        <v>Chip Seal and Fog</v>
      </c>
      <c r="AO516" s="26" t="str">
        <f t="shared" si="281"/>
        <v/>
      </c>
      <c r="AP516" s="26" t="str">
        <f t="shared" si="261"/>
        <v/>
      </c>
      <c r="AQ516" s="68">
        <f t="shared" si="276"/>
        <v>10</v>
      </c>
      <c r="AR516" s="68">
        <f t="shared" si="277"/>
        <v>6</v>
      </c>
      <c r="AS516" s="68">
        <f t="shared" si="262"/>
        <v>1.1000000000000001</v>
      </c>
      <c r="AT516" s="68">
        <f t="shared" si="263"/>
        <v>1</v>
      </c>
      <c r="AU516" s="68">
        <f t="shared" si="264"/>
        <v>1.05</v>
      </c>
      <c r="AV516" s="68">
        <f t="shared" si="265"/>
        <v>1.05</v>
      </c>
      <c r="AW516" s="68">
        <f t="shared" si="266"/>
        <v>1.05</v>
      </c>
      <c r="AX516" s="68">
        <f t="shared" ca="1" si="267"/>
        <v>-2.1</v>
      </c>
      <c r="AY516" s="106">
        <v>2017</v>
      </c>
      <c r="AZ516" s="106" t="s">
        <v>2075</v>
      </c>
      <c r="BA516" s="106" t="str">
        <f t="shared" si="286"/>
        <v/>
      </c>
      <c r="BB516" s="177"/>
      <c r="BC516" s="177">
        <v>8</v>
      </c>
      <c r="BD516" s="177"/>
      <c r="BE516" s="177"/>
      <c r="BF516" s="177"/>
      <c r="BG516" s="177"/>
      <c r="BH516" s="177"/>
      <c r="BI516" s="33"/>
      <c r="BK516" s="48">
        <f>$G516/5280*VLOOKUP($AC516,'Cost and Score'!$B$27:$O$40,6,0)</f>
        <v>7.9545454545454544E-2</v>
      </c>
      <c r="BL516" s="48">
        <f>$G516/5280*VLOOKUP($AC516,'Cost and Score'!$B$27:$O$40,7,0)</f>
        <v>8.75</v>
      </c>
      <c r="BM516" s="48">
        <f>$G516/5280*VLOOKUP($AC516,'Cost and Score'!$B$27:$O$40,8,0)</f>
        <v>0</v>
      </c>
      <c r="BN516" s="48">
        <f>$G516/5280*VLOOKUP($AC516,'Cost and Score'!$B$27:$O$40,9,0)</f>
        <v>1789.7727272727273</v>
      </c>
      <c r="BO516" s="48">
        <f>$G516/5280*VLOOKUP($AC516,'Cost and Score'!$B$27:$O$40,10,0)</f>
        <v>397.72727272727269</v>
      </c>
      <c r="BP516" s="48">
        <f>$G516/5280*VLOOKUP($AC516,'Cost and Score'!$B$27:$O$40,11,0)</f>
        <v>0</v>
      </c>
      <c r="BQ516" s="48">
        <f>$G516/5280*VLOOKUP($AC516,'Cost and Score'!$B$27:$O$40,12,0)</f>
        <v>39.772727272727273</v>
      </c>
      <c r="BR516" s="48">
        <f>$G516/5280*VLOOKUP($AC516,'Cost and Score'!$B$27:$O$40,13,0)</f>
        <v>47.727272727272727</v>
      </c>
      <c r="BS516" s="48">
        <f>$G516/5280*VLOOKUP($AC516,'Cost and Score'!$B$27:$O$40,14,0)</f>
        <v>0</v>
      </c>
      <c r="BT516" s="220">
        <f t="shared" si="287"/>
        <v>0.39772727272727271</v>
      </c>
      <c r="BU516" s="26"/>
      <c r="BV516" s="26"/>
      <c r="BW516" s="26"/>
      <c r="BX516" s="26"/>
      <c r="BY516" s="26"/>
      <c r="BZ516" s="26"/>
      <c r="CA516" s="26"/>
      <c r="CB516" s="26"/>
      <c r="CF516" s="112"/>
      <c r="CR516" s="112"/>
    </row>
    <row r="517" spans="1:103" s="112" customFormat="1" ht="14.45" hidden="1" customHeight="1" x14ac:dyDescent="0.25">
      <c r="A517" s="38" t="s">
        <v>1099</v>
      </c>
      <c r="B517" s="34" t="s">
        <v>1098</v>
      </c>
      <c r="C517" s="26" t="s">
        <v>1098</v>
      </c>
      <c r="D517" s="26"/>
      <c r="E517" s="26" t="s">
        <v>21</v>
      </c>
      <c r="F517" s="26" t="s">
        <v>20</v>
      </c>
      <c r="G517" s="29">
        <v>5335</v>
      </c>
      <c r="H517" s="29">
        <f t="shared" si="273"/>
        <v>20</v>
      </c>
      <c r="I517" s="26" t="s">
        <v>13</v>
      </c>
      <c r="J517" s="26" t="s">
        <v>17</v>
      </c>
      <c r="K517" s="26">
        <f t="shared" si="283"/>
        <v>0</v>
      </c>
      <c r="L517" s="42">
        <v>7</v>
      </c>
      <c r="M517" s="42">
        <v>7</v>
      </c>
      <c r="N517" s="42">
        <v>7</v>
      </c>
      <c r="O517" s="42">
        <v>7</v>
      </c>
      <c r="P517" s="42">
        <v>6</v>
      </c>
      <c r="Q517" s="42">
        <v>6</v>
      </c>
      <c r="R517" s="42">
        <v>6</v>
      </c>
      <c r="S517" s="42">
        <v>6</v>
      </c>
      <c r="T517" s="42">
        <v>8</v>
      </c>
      <c r="U517" s="42">
        <v>8</v>
      </c>
      <c r="V517" s="42"/>
      <c r="W517" s="42"/>
      <c r="X517" s="42"/>
      <c r="Y517" s="26">
        <v>9</v>
      </c>
      <c r="Z517" s="26">
        <f t="shared" si="274"/>
        <v>0</v>
      </c>
      <c r="AA517" s="26" t="s">
        <v>76</v>
      </c>
      <c r="AB517" s="111">
        <f t="shared" si="275"/>
        <v>4</v>
      </c>
      <c r="AC517" s="82" t="s">
        <v>2072</v>
      </c>
      <c r="AD517" s="47">
        <f t="shared" si="285"/>
        <v>46479.166666666664</v>
      </c>
      <c r="AE517" s="140"/>
      <c r="AF517" s="113">
        <f t="shared" si="271"/>
        <v>0</v>
      </c>
      <c r="AG517" s="26">
        <v>2027</v>
      </c>
      <c r="AH517" s="26" t="str">
        <f t="shared" si="257"/>
        <v/>
      </c>
      <c r="AI517" s="26" t="str">
        <f t="shared" si="278"/>
        <v/>
      </c>
      <c r="AJ517" s="26" t="str">
        <f t="shared" si="280"/>
        <v/>
      </c>
      <c r="AK517" s="26" t="str">
        <f t="shared" si="284"/>
        <v/>
      </c>
      <c r="AL517" s="26" t="str">
        <f t="shared" si="284"/>
        <v/>
      </c>
      <c r="AM517" s="26" t="str">
        <f t="shared" si="284"/>
        <v>Chip Seal - Triple</v>
      </c>
      <c r="AN517" s="26" t="str">
        <f t="shared" si="270"/>
        <v>Chip Seal - Triple</v>
      </c>
      <c r="AO517" s="26" t="str">
        <f t="shared" si="281"/>
        <v>Chip Seal and Fog</v>
      </c>
      <c r="AP517" s="26" t="str">
        <f t="shared" si="261"/>
        <v/>
      </c>
      <c r="AQ517" s="68">
        <f t="shared" si="276"/>
        <v>10</v>
      </c>
      <c r="AR517" s="68">
        <f t="shared" si="277"/>
        <v>8</v>
      </c>
      <c r="AS517" s="68">
        <f t="shared" si="262"/>
        <v>1.05</v>
      </c>
      <c r="AT517" s="68">
        <f t="shared" si="263"/>
        <v>1.05</v>
      </c>
      <c r="AU517" s="68">
        <f t="shared" si="264"/>
        <v>1.05</v>
      </c>
      <c r="AV517" s="68">
        <f t="shared" si="265"/>
        <v>1.05</v>
      </c>
      <c r="AW517" s="68">
        <f t="shared" si="266"/>
        <v>1.1000000000000001</v>
      </c>
      <c r="AX517" s="68">
        <f t="shared" ca="1" si="267"/>
        <v>3.1500000000000004</v>
      </c>
      <c r="AY517" s="68">
        <v>2021</v>
      </c>
      <c r="AZ517" s="68" t="s">
        <v>13</v>
      </c>
      <c r="BA517" s="106" t="str">
        <f t="shared" si="286"/>
        <v/>
      </c>
      <c r="BB517" s="178">
        <v>40</v>
      </c>
      <c r="BC517" s="178">
        <v>1</v>
      </c>
      <c r="BD517" s="178"/>
      <c r="BE517" s="178"/>
      <c r="BF517" s="178"/>
      <c r="BG517" s="178"/>
      <c r="BH517" s="178"/>
      <c r="BI517" s="33"/>
      <c r="BJ517" s="2"/>
      <c r="BK517" s="48">
        <f>$G517/5280*VLOOKUP($AC517,'Cost and Score'!$B$27:$O$40,6,0)</f>
        <v>0.60625000000000007</v>
      </c>
      <c r="BL517" s="48">
        <f>$G517/5280*VLOOKUP($AC517,'Cost and Score'!$B$27:$O$40,7,0)</f>
        <v>126.30208333333334</v>
      </c>
      <c r="BM517" s="48">
        <f>$G517/5280*VLOOKUP($AC517,'Cost and Score'!$B$27:$O$40,8,0)</f>
        <v>202.08333333333334</v>
      </c>
      <c r="BN517" s="48">
        <f>$G517/5280*VLOOKUP($AC517,'Cost and Score'!$B$27:$O$40,9,0)</f>
        <v>2020.8333333333335</v>
      </c>
      <c r="BO517" s="48">
        <f>$G517/5280*VLOOKUP($AC517,'Cost and Score'!$B$27:$O$40,10,0)</f>
        <v>505.20833333333337</v>
      </c>
      <c r="BP517" s="48">
        <f>$G517/5280*VLOOKUP($AC517,'Cost and Score'!$B$27:$O$40,11,0)</f>
        <v>101.04166666666667</v>
      </c>
      <c r="BQ517" s="48">
        <f>$G517/5280*VLOOKUP($AC517,'Cost and Score'!$B$27:$O$40,12,0)</f>
        <v>808.33333333333337</v>
      </c>
      <c r="BR517" s="48">
        <f>$G517/5280*VLOOKUP($AC517,'Cost and Score'!$B$27:$O$40,13,0)</f>
        <v>80.833333333333343</v>
      </c>
      <c r="BS517" s="48">
        <f>$G517/5280*VLOOKUP($AC517,'Cost and Score'!$B$27:$O$40,14,0)</f>
        <v>0</v>
      </c>
      <c r="BT517" s="220">
        <f t="shared" si="287"/>
        <v>1.0104166666666667</v>
      </c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N517" s="2"/>
      <c r="CO517" s="2"/>
      <c r="CP517" s="2"/>
      <c r="CQ517" s="2"/>
      <c r="CR517" s="2"/>
      <c r="CV517" s="2"/>
    </row>
    <row r="518" spans="1:103" s="2" customFormat="1" ht="14.45" customHeight="1" x14ac:dyDescent="0.25">
      <c r="A518" s="15" t="s">
        <v>927</v>
      </c>
      <c r="B518" s="34" t="s">
        <v>926</v>
      </c>
      <c r="C518" s="26" t="s">
        <v>926</v>
      </c>
      <c r="D518" s="26"/>
      <c r="E518" s="26" t="s">
        <v>25</v>
      </c>
      <c r="F518" s="26" t="s">
        <v>197</v>
      </c>
      <c r="G518" s="29">
        <v>5310</v>
      </c>
      <c r="H518" s="29">
        <f t="shared" si="273"/>
        <v>20</v>
      </c>
      <c r="I518" s="26" t="s">
        <v>13</v>
      </c>
      <c r="J518" s="26" t="s">
        <v>101</v>
      </c>
      <c r="K518" s="26">
        <v>0</v>
      </c>
      <c r="L518" s="42">
        <v>7</v>
      </c>
      <c r="M518" s="42">
        <v>7</v>
      </c>
      <c r="N518" s="42">
        <v>8</v>
      </c>
      <c r="O518" s="42">
        <v>8</v>
      </c>
      <c r="P518" s="42">
        <v>7</v>
      </c>
      <c r="Q518" s="42">
        <v>7</v>
      </c>
      <c r="R518" s="42">
        <v>7</v>
      </c>
      <c r="S518" s="42">
        <v>7</v>
      </c>
      <c r="T518" s="42">
        <v>7</v>
      </c>
      <c r="U518" s="42">
        <v>7</v>
      </c>
      <c r="V518" s="42"/>
      <c r="W518" s="42"/>
      <c r="X518" s="42"/>
      <c r="Y518" s="26">
        <v>50</v>
      </c>
      <c r="Z518" s="26">
        <f t="shared" si="274"/>
        <v>0</v>
      </c>
      <c r="AA518" s="26" t="s">
        <v>504</v>
      </c>
      <c r="AB518" s="111">
        <f t="shared" si="275"/>
        <v>3</v>
      </c>
      <c r="AC518" s="194" t="s">
        <v>13</v>
      </c>
      <c r="AD518" s="47">
        <f t="shared" si="285"/>
        <v>21119.31818181818</v>
      </c>
      <c r="AE518" s="140"/>
      <c r="AF518" s="113">
        <f t="shared" si="271"/>
        <v>0</v>
      </c>
      <c r="AG518" s="106">
        <v>2025</v>
      </c>
      <c r="AH518" s="26" t="str">
        <f t="shared" si="257"/>
        <v/>
      </c>
      <c r="AI518" s="26" t="str">
        <f t="shared" si="278"/>
        <v/>
      </c>
      <c r="AJ518" s="26" t="str">
        <f t="shared" si="280"/>
        <v/>
      </c>
      <c r="AK518" s="26" t="str">
        <f t="shared" si="284"/>
        <v>Chip Seal and Fog</v>
      </c>
      <c r="AL518" s="26" t="str">
        <f t="shared" si="284"/>
        <v/>
      </c>
      <c r="AM518" s="26" t="str">
        <f t="shared" si="284"/>
        <v/>
      </c>
      <c r="AN518" s="26" t="str">
        <f t="shared" si="270"/>
        <v>Chip Seal and Fog</v>
      </c>
      <c r="AO518" s="26" t="str">
        <f t="shared" si="281"/>
        <v/>
      </c>
      <c r="AP518" s="26" t="str">
        <f t="shared" si="261"/>
        <v/>
      </c>
      <c r="AQ518" s="68">
        <f t="shared" si="276"/>
        <v>12</v>
      </c>
      <c r="AR518" s="68">
        <f t="shared" si="277"/>
        <v>6</v>
      </c>
      <c r="AS518" s="68">
        <f t="shared" si="262"/>
        <v>1.05</v>
      </c>
      <c r="AT518" s="68">
        <f t="shared" si="263"/>
        <v>1.05</v>
      </c>
      <c r="AU518" s="68">
        <f t="shared" si="264"/>
        <v>1</v>
      </c>
      <c r="AV518" s="68">
        <f t="shared" si="265"/>
        <v>1</v>
      </c>
      <c r="AW518" s="68">
        <f t="shared" si="266"/>
        <v>1.05</v>
      </c>
      <c r="AX518" s="68">
        <f t="shared" ca="1" si="267"/>
        <v>1</v>
      </c>
      <c r="AY518" s="68">
        <v>2019</v>
      </c>
      <c r="AZ518" s="68" t="s">
        <v>2075</v>
      </c>
      <c r="BA518" s="106" t="str">
        <f t="shared" si="286"/>
        <v/>
      </c>
      <c r="BB518" s="178"/>
      <c r="BC518" s="178">
        <v>4</v>
      </c>
      <c r="BD518" s="178"/>
      <c r="BE518" s="178"/>
      <c r="BF518" s="178"/>
      <c r="BG518" s="178"/>
      <c r="BH518" s="178"/>
      <c r="BI518" s="33"/>
      <c r="BK518" s="48">
        <f>$G518/5280*VLOOKUP($AC518,'Cost and Score'!$B$27:$O$40,6,0)</f>
        <v>0.20113636363636364</v>
      </c>
      <c r="BL518" s="48">
        <f>$G518/5280*VLOOKUP($AC518,'Cost and Score'!$B$27:$O$40,7,0)</f>
        <v>22.125</v>
      </c>
      <c r="BM518" s="48">
        <f>$G518/5280*VLOOKUP($AC518,'Cost and Score'!$B$27:$O$40,8,0)</f>
        <v>0</v>
      </c>
      <c r="BN518" s="48">
        <f>$G518/5280*VLOOKUP($AC518,'Cost and Score'!$B$27:$O$40,9,0)</f>
        <v>4525.568181818182</v>
      </c>
      <c r="BO518" s="48">
        <f>$G518/5280*VLOOKUP($AC518,'Cost and Score'!$B$27:$O$40,10,0)</f>
        <v>1005.6818181818181</v>
      </c>
      <c r="BP518" s="48">
        <f>$G518/5280*VLOOKUP($AC518,'Cost and Score'!$B$27:$O$40,11,0)</f>
        <v>0</v>
      </c>
      <c r="BQ518" s="48">
        <f>$G518/5280*VLOOKUP($AC518,'Cost and Score'!$B$27:$O$40,12,0)</f>
        <v>100.56818181818181</v>
      </c>
      <c r="BR518" s="48">
        <f>$G518/5280*VLOOKUP($AC518,'Cost and Score'!$B$27:$O$40,13,0)</f>
        <v>120.68181818181817</v>
      </c>
      <c r="BS518" s="48">
        <f>$G518/5280*VLOOKUP($AC518,'Cost and Score'!$B$27:$O$40,14,0)</f>
        <v>0</v>
      </c>
      <c r="BT518" s="220">
        <f t="shared" si="287"/>
        <v>1.0056818181818181</v>
      </c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</row>
    <row r="519" spans="1:103" s="2" customFormat="1" ht="14.45" hidden="1" customHeight="1" x14ac:dyDescent="0.25">
      <c r="A519" s="38" t="s">
        <v>1102</v>
      </c>
      <c r="B519" s="34" t="s">
        <v>1101</v>
      </c>
      <c r="C519" s="26" t="s">
        <v>1101</v>
      </c>
      <c r="D519" s="82"/>
      <c r="E519" s="82" t="s">
        <v>297</v>
      </c>
      <c r="F519" s="82" t="s">
        <v>18</v>
      </c>
      <c r="G519" s="29">
        <v>5808</v>
      </c>
      <c r="H519" s="29">
        <f t="shared" si="273"/>
        <v>20</v>
      </c>
      <c r="I519" s="26" t="s">
        <v>8</v>
      </c>
      <c r="J519" s="26" t="s">
        <v>17</v>
      </c>
      <c r="K519" s="26">
        <f t="shared" ref="K519:K550" si="288">VLOOKUP(J519,TOWNSHIPS,2,FALSE)</f>
        <v>0</v>
      </c>
      <c r="L519" s="42">
        <v>7</v>
      </c>
      <c r="M519" s="42">
        <v>7</v>
      </c>
      <c r="N519" s="42">
        <v>7</v>
      </c>
      <c r="O519" s="83">
        <v>7</v>
      </c>
      <c r="P519" s="83">
        <v>7</v>
      </c>
      <c r="Q519" s="83">
        <v>6</v>
      </c>
      <c r="R519" s="83">
        <v>5</v>
      </c>
      <c r="S519" s="83">
        <v>5</v>
      </c>
      <c r="T519" s="83">
        <v>7</v>
      </c>
      <c r="U519" s="83">
        <v>7</v>
      </c>
      <c r="V519" s="42"/>
      <c r="W519" s="42"/>
      <c r="X519" s="42"/>
      <c r="Y519" s="26">
        <v>290</v>
      </c>
      <c r="Z519" s="26">
        <f t="shared" si="274"/>
        <v>0</v>
      </c>
      <c r="AA519" s="82" t="s">
        <v>35</v>
      </c>
      <c r="AB519" s="111">
        <f t="shared" si="275"/>
        <v>3</v>
      </c>
      <c r="AC519" s="82" t="s">
        <v>2072</v>
      </c>
      <c r="AD519" s="84">
        <f t="shared" si="285"/>
        <v>50600</v>
      </c>
      <c r="AE519" s="140"/>
      <c r="AF519" s="113">
        <f t="shared" si="271"/>
        <v>0</v>
      </c>
      <c r="AG519" s="26">
        <v>2027</v>
      </c>
      <c r="AH519" s="26" t="str">
        <f t="shared" si="257"/>
        <v/>
      </c>
      <c r="AI519" s="26" t="str">
        <f t="shared" si="278"/>
        <v/>
      </c>
      <c r="AJ519" s="26" t="str">
        <f t="shared" si="280"/>
        <v/>
      </c>
      <c r="AK519" s="26" t="str">
        <f t="shared" si="284"/>
        <v/>
      </c>
      <c r="AL519" s="26" t="str">
        <f t="shared" si="284"/>
        <v/>
      </c>
      <c r="AM519" s="26" t="str">
        <f t="shared" si="284"/>
        <v>Chip Seal - Triple</v>
      </c>
      <c r="AN519" s="26" t="str">
        <f t="shared" si="270"/>
        <v>Chip Seal - Triple</v>
      </c>
      <c r="AO519" s="26" t="str">
        <f t="shared" si="281"/>
        <v>Chip Seal and Fog</v>
      </c>
      <c r="AP519" s="26" t="str">
        <f t="shared" si="261"/>
        <v/>
      </c>
      <c r="AQ519" s="68">
        <f t="shared" si="276"/>
        <v>10</v>
      </c>
      <c r="AR519" s="68">
        <f t="shared" si="277"/>
        <v>8</v>
      </c>
      <c r="AS519" s="68">
        <f t="shared" si="262"/>
        <v>1.05</v>
      </c>
      <c r="AT519" s="68">
        <f t="shared" si="263"/>
        <v>1.05</v>
      </c>
      <c r="AU519" s="68">
        <f t="shared" si="264"/>
        <v>1.05</v>
      </c>
      <c r="AV519" s="68">
        <f t="shared" si="265"/>
        <v>1.05</v>
      </c>
      <c r="AW519" s="68">
        <f t="shared" si="266"/>
        <v>1.05</v>
      </c>
      <c r="AX519" s="68">
        <f t="shared" ca="1" si="267"/>
        <v>3.1500000000000004</v>
      </c>
      <c r="AY519" s="68">
        <v>2021</v>
      </c>
      <c r="AZ519" s="68" t="s">
        <v>13</v>
      </c>
      <c r="BA519" s="106" t="str">
        <f t="shared" si="286"/>
        <v/>
      </c>
      <c r="BB519" s="178">
        <v>41</v>
      </c>
      <c r="BC519" s="178">
        <v>5</v>
      </c>
      <c r="BD519" s="178"/>
      <c r="BE519" s="178"/>
      <c r="BF519" s="178"/>
      <c r="BG519" s="178"/>
      <c r="BH519" s="178"/>
      <c r="BI519" s="33"/>
      <c r="BK519" s="48">
        <f>$G519/5280*VLOOKUP($AC519,'Cost and Score'!$B$27:$O$40,6,0)</f>
        <v>0.66</v>
      </c>
      <c r="BL519" s="48">
        <f>$G519/5280*VLOOKUP($AC519,'Cost and Score'!$B$27:$O$40,7,0)</f>
        <v>137.5</v>
      </c>
      <c r="BM519" s="48">
        <f>$G519/5280*VLOOKUP($AC519,'Cost and Score'!$B$27:$O$40,8,0)</f>
        <v>220.00000000000003</v>
      </c>
      <c r="BN519" s="48">
        <f>$G519/5280*VLOOKUP($AC519,'Cost and Score'!$B$27:$O$40,9,0)</f>
        <v>2200</v>
      </c>
      <c r="BO519" s="48">
        <f>$G519/5280*VLOOKUP($AC519,'Cost and Score'!$B$27:$O$40,10,0)</f>
        <v>550</v>
      </c>
      <c r="BP519" s="48">
        <f>$G519/5280*VLOOKUP($AC519,'Cost and Score'!$B$27:$O$40,11,0)</f>
        <v>110.00000000000001</v>
      </c>
      <c r="BQ519" s="48">
        <f>$G519/5280*VLOOKUP($AC519,'Cost and Score'!$B$27:$O$40,12,0)</f>
        <v>880.00000000000011</v>
      </c>
      <c r="BR519" s="48">
        <f>$G519/5280*VLOOKUP($AC519,'Cost and Score'!$B$27:$O$40,13,0)</f>
        <v>88</v>
      </c>
      <c r="BS519" s="48">
        <f>$G519/5280*VLOOKUP($AC519,'Cost and Score'!$B$27:$O$40,14,0)</f>
        <v>0</v>
      </c>
      <c r="BT519" s="220">
        <f t="shared" si="287"/>
        <v>1.1000000000000001</v>
      </c>
    </row>
    <row r="520" spans="1:103" s="2" customFormat="1" ht="14.45" hidden="1" customHeight="1" x14ac:dyDescent="0.25">
      <c r="A520" s="38" t="s">
        <v>1104</v>
      </c>
      <c r="B520" s="34" t="s">
        <v>1103</v>
      </c>
      <c r="C520" s="26" t="s">
        <v>1103</v>
      </c>
      <c r="D520" s="26"/>
      <c r="E520" s="26" t="s">
        <v>18</v>
      </c>
      <c r="F520" s="26" t="s">
        <v>288</v>
      </c>
      <c r="G520" s="29">
        <v>3482</v>
      </c>
      <c r="H520" s="29">
        <f t="shared" si="273"/>
        <v>20</v>
      </c>
      <c r="I520" s="26" t="s">
        <v>8</v>
      </c>
      <c r="J520" s="26" t="s">
        <v>17</v>
      </c>
      <c r="K520" s="26">
        <f t="shared" si="288"/>
        <v>0</v>
      </c>
      <c r="L520" s="42">
        <v>5</v>
      </c>
      <c r="M520" s="42">
        <v>5</v>
      </c>
      <c r="N520" s="42">
        <v>5</v>
      </c>
      <c r="O520" s="42">
        <v>5</v>
      </c>
      <c r="P520" s="42">
        <v>5</v>
      </c>
      <c r="Q520" s="42">
        <v>9</v>
      </c>
      <c r="R520" s="42">
        <v>8</v>
      </c>
      <c r="S520" s="42">
        <v>8</v>
      </c>
      <c r="T520" s="42">
        <v>7</v>
      </c>
      <c r="U520" s="42">
        <v>7</v>
      </c>
      <c r="V520" s="42"/>
      <c r="W520" s="42"/>
      <c r="X520" s="42"/>
      <c r="Y520" s="26">
        <v>330</v>
      </c>
      <c r="Z520" s="26">
        <f t="shared" si="274"/>
        <v>0</v>
      </c>
      <c r="AA520" s="26" t="s">
        <v>35</v>
      </c>
      <c r="AB520" s="111">
        <f t="shared" si="275"/>
        <v>5</v>
      </c>
      <c r="AC520" s="26" t="s">
        <v>13</v>
      </c>
      <c r="AD520" s="47">
        <f t="shared" si="285"/>
        <v>13848.863636363636</v>
      </c>
      <c r="AE520" s="140">
        <v>1</v>
      </c>
      <c r="AF520" s="113">
        <f t="shared" si="271"/>
        <v>13848.863636363636</v>
      </c>
      <c r="AG520" s="26">
        <v>2024</v>
      </c>
      <c r="AH520" s="26" t="str">
        <f t="shared" si="257"/>
        <v/>
      </c>
      <c r="AI520" s="26" t="str">
        <f t="shared" si="278"/>
        <v/>
      </c>
      <c r="AJ520" s="26" t="str">
        <f t="shared" si="280"/>
        <v>Chip Seal and Fog</v>
      </c>
      <c r="AK520" s="26" t="str">
        <f t="shared" si="284"/>
        <v/>
      </c>
      <c r="AL520" s="26" t="str">
        <f t="shared" si="284"/>
        <v/>
      </c>
      <c r="AM520" s="26" t="str">
        <f t="shared" si="284"/>
        <v/>
      </c>
      <c r="AN520" s="26" t="str">
        <f t="shared" si="270"/>
        <v>Chip Seal and Fog</v>
      </c>
      <c r="AO520" s="26" t="str">
        <f t="shared" si="281"/>
        <v/>
      </c>
      <c r="AP520" s="26" t="str">
        <f t="shared" si="261"/>
        <v/>
      </c>
      <c r="AQ520" s="68">
        <f t="shared" si="276"/>
        <v>6</v>
      </c>
      <c r="AR520" s="68">
        <f t="shared" si="277"/>
        <v>6</v>
      </c>
      <c r="AS520" s="68">
        <f t="shared" si="262"/>
        <v>1.25</v>
      </c>
      <c r="AT520" s="68">
        <f t="shared" si="263"/>
        <v>1.25</v>
      </c>
      <c r="AU520" s="68">
        <f t="shared" si="264"/>
        <v>1.25</v>
      </c>
      <c r="AV520" s="68">
        <f t="shared" si="265"/>
        <v>1.25</v>
      </c>
      <c r="AW520" s="68">
        <f t="shared" si="266"/>
        <v>1.25</v>
      </c>
      <c r="AX520" s="68">
        <f t="shared" ca="1" si="267"/>
        <v>0</v>
      </c>
      <c r="AY520" s="68">
        <v>2015</v>
      </c>
      <c r="AZ520" s="68" t="s">
        <v>2072</v>
      </c>
      <c r="BA520" s="106" t="str">
        <f t="shared" si="286"/>
        <v/>
      </c>
      <c r="BB520" s="178"/>
      <c r="BC520" s="178">
        <v>5</v>
      </c>
      <c r="BD520" s="178"/>
      <c r="BE520" s="178"/>
      <c r="BF520" s="178"/>
      <c r="BG520" s="178"/>
      <c r="BH520" s="178"/>
      <c r="BI520" s="33"/>
      <c r="BK520" s="48">
        <f>$G520/5280*VLOOKUP($AC520,'Cost and Score'!$B$27:$O$40,6,0)</f>
        <v>0.1318939393939394</v>
      </c>
      <c r="BL520" s="48">
        <f>$G520/5280*VLOOKUP($AC520,'Cost and Score'!$B$27:$O$40,7,0)</f>
        <v>14.508333333333333</v>
      </c>
      <c r="BM520" s="48">
        <f>$G520/5280*VLOOKUP($AC520,'Cost and Score'!$B$27:$O$40,8,0)</f>
        <v>0</v>
      </c>
      <c r="BN520" s="48">
        <f>$G520/5280*VLOOKUP($AC520,'Cost and Score'!$B$27:$O$40,9,0)</f>
        <v>2967.613636363636</v>
      </c>
      <c r="BO520" s="48">
        <f>$G520/5280*VLOOKUP($AC520,'Cost and Score'!$B$27:$O$40,10,0)</f>
        <v>659.46969696969688</v>
      </c>
      <c r="BP520" s="48">
        <f>$G520/5280*VLOOKUP($AC520,'Cost and Score'!$B$27:$O$40,11,0)</f>
        <v>0</v>
      </c>
      <c r="BQ520" s="48">
        <f>$G520/5280*VLOOKUP($AC520,'Cost and Score'!$B$27:$O$40,12,0)</f>
        <v>65.946969696969688</v>
      </c>
      <c r="BR520" s="48">
        <f>$G520/5280*VLOOKUP($AC520,'Cost and Score'!$B$27:$O$40,13,0)</f>
        <v>79.136363636363626</v>
      </c>
      <c r="BS520" s="48">
        <f>$G520/5280*VLOOKUP($AC520,'Cost and Score'!$B$27:$O$40,14,0)</f>
        <v>0</v>
      </c>
      <c r="BT520" s="220">
        <f t="shared" si="287"/>
        <v>0.65946969696969693</v>
      </c>
    </row>
    <row r="521" spans="1:103" s="2" customFormat="1" ht="15" hidden="1" customHeight="1" x14ac:dyDescent="0.25">
      <c r="A521" s="38" t="s">
        <v>1106</v>
      </c>
      <c r="B521" s="34" t="s">
        <v>1105</v>
      </c>
      <c r="C521" s="26" t="s">
        <v>1105</v>
      </c>
      <c r="D521" s="82"/>
      <c r="E521" s="82" t="s">
        <v>44</v>
      </c>
      <c r="F521" s="82" t="s">
        <v>257</v>
      </c>
      <c r="G521" s="29">
        <v>2921</v>
      </c>
      <c r="H521" s="29">
        <f t="shared" si="273"/>
        <v>20</v>
      </c>
      <c r="I521" s="26" t="s">
        <v>13</v>
      </c>
      <c r="J521" s="26" t="s">
        <v>17</v>
      </c>
      <c r="K521" s="26">
        <f t="shared" si="288"/>
        <v>0</v>
      </c>
      <c r="L521" s="42">
        <v>6</v>
      </c>
      <c r="M521" s="42">
        <v>6</v>
      </c>
      <c r="N521" s="42">
        <v>6</v>
      </c>
      <c r="O521" s="83">
        <v>6</v>
      </c>
      <c r="P521" s="83">
        <v>6</v>
      </c>
      <c r="Q521" s="83">
        <v>9</v>
      </c>
      <c r="R521" s="83">
        <v>8</v>
      </c>
      <c r="S521" s="83">
        <v>8</v>
      </c>
      <c r="T521" s="83">
        <v>7</v>
      </c>
      <c r="U521" s="83">
        <v>7</v>
      </c>
      <c r="V521" s="42"/>
      <c r="W521" s="42"/>
      <c r="X521" s="42"/>
      <c r="Y521" s="26">
        <v>209</v>
      </c>
      <c r="Z521" s="26">
        <f t="shared" si="274"/>
        <v>0</v>
      </c>
      <c r="AA521" s="82" t="s">
        <v>35</v>
      </c>
      <c r="AB521" s="111">
        <f t="shared" si="275"/>
        <v>4</v>
      </c>
      <c r="AC521" s="82" t="s">
        <v>13</v>
      </c>
      <c r="AD521" s="84">
        <f t="shared" si="285"/>
        <v>11617.613636363636</v>
      </c>
      <c r="AE521" s="140">
        <v>1</v>
      </c>
      <c r="AF521" s="113">
        <f t="shared" si="271"/>
        <v>11617.613636363636</v>
      </c>
      <c r="AG521" s="82">
        <v>2023</v>
      </c>
      <c r="AH521" s="26" t="str">
        <f t="shared" si="257"/>
        <v/>
      </c>
      <c r="AI521" s="26" t="str">
        <f t="shared" si="278"/>
        <v>Chip Seal and Fog</v>
      </c>
      <c r="AJ521" s="26" t="str">
        <f t="shared" si="280"/>
        <v/>
      </c>
      <c r="AK521" s="26" t="str">
        <f t="shared" si="284"/>
        <v/>
      </c>
      <c r="AL521" s="26" t="str">
        <f t="shared" si="284"/>
        <v/>
      </c>
      <c r="AM521" s="26" t="str">
        <f t="shared" si="284"/>
        <v/>
      </c>
      <c r="AN521" s="26" t="str">
        <f t="shared" si="270"/>
        <v>Chip Seal and Fog</v>
      </c>
      <c r="AO521" s="26" t="str">
        <f t="shared" si="281"/>
        <v/>
      </c>
      <c r="AP521" s="26" t="str">
        <f t="shared" si="261"/>
        <v/>
      </c>
      <c r="AQ521" s="68">
        <f t="shared" si="276"/>
        <v>8</v>
      </c>
      <c r="AR521" s="68">
        <f t="shared" si="277"/>
        <v>6</v>
      </c>
      <c r="AS521" s="68">
        <f t="shared" si="262"/>
        <v>1.1000000000000001</v>
      </c>
      <c r="AT521" s="68">
        <f t="shared" si="263"/>
        <v>1.1000000000000001</v>
      </c>
      <c r="AU521" s="68">
        <f t="shared" si="264"/>
        <v>1.1000000000000001</v>
      </c>
      <c r="AV521" s="68">
        <f t="shared" si="265"/>
        <v>1.1000000000000001</v>
      </c>
      <c r="AW521" s="68">
        <f t="shared" si="266"/>
        <v>1.1000000000000001</v>
      </c>
      <c r="AX521" s="68">
        <f t="shared" ca="1" si="267"/>
        <v>-1.1000000000000001</v>
      </c>
      <c r="AY521" s="68">
        <v>2023</v>
      </c>
      <c r="AZ521" s="68" t="s">
        <v>13</v>
      </c>
      <c r="BA521" s="106" t="str">
        <f t="shared" si="286"/>
        <v/>
      </c>
      <c r="BB521" s="178"/>
      <c r="BC521" s="178">
        <v>5</v>
      </c>
      <c r="BD521" s="178"/>
      <c r="BE521" s="178"/>
      <c r="BF521" s="178"/>
      <c r="BG521" s="178"/>
      <c r="BH521" s="178"/>
      <c r="BI521" s="33"/>
      <c r="BK521" s="48">
        <f>$G521/5280*VLOOKUP($AC521,'Cost and Score'!$B$27:$O$40,6,0)</f>
        <v>0.11064393939393941</v>
      </c>
      <c r="BL521" s="48">
        <f>$G521/5280*VLOOKUP($AC521,'Cost and Score'!$B$27:$O$40,7,0)</f>
        <v>12.170833333333334</v>
      </c>
      <c r="BM521" s="48">
        <f>$G521/5280*VLOOKUP($AC521,'Cost and Score'!$B$27:$O$40,8,0)</f>
        <v>0</v>
      </c>
      <c r="BN521" s="48">
        <f>$G521/5280*VLOOKUP($AC521,'Cost and Score'!$B$27:$O$40,9,0)</f>
        <v>2489.4886363636365</v>
      </c>
      <c r="BO521" s="48">
        <f>$G521/5280*VLOOKUP($AC521,'Cost and Score'!$B$27:$O$40,10,0)</f>
        <v>553.219696969697</v>
      </c>
      <c r="BP521" s="48">
        <f>$G521/5280*VLOOKUP($AC521,'Cost and Score'!$B$27:$O$40,11,0)</f>
        <v>0</v>
      </c>
      <c r="BQ521" s="48">
        <f>$G521/5280*VLOOKUP($AC521,'Cost and Score'!$B$27:$O$40,12,0)</f>
        <v>55.321969696969695</v>
      </c>
      <c r="BR521" s="48">
        <f>$G521/5280*VLOOKUP($AC521,'Cost and Score'!$B$27:$O$40,13,0)</f>
        <v>66.38636363636364</v>
      </c>
      <c r="BS521" s="48">
        <f>$G521/5280*VLOOKUP($AC521,'Cost and Score'!$B$27:$O$40,14,0)</f>
        <v>0</v>
      </c>
      <c r="BT521" s="220">
        <f t="shared" si="287"/>
        <v>0.55321969696969697</v>
      </c>
    </row>
    <row r="522" spans="1:103" s="2" customFormat="1" ht="14.45" customHeight="1" x14ac:dyDescent="0.25">
      <c r="A522" s="15" t="s">
        <v>937</v>
      </c>
      <c r="B522" s="34" t="s">
        <v>936</v>
      </c>
      <c r="C522" s="26" t="s">
        <v>936</v>
      </c>
      <c r="D522" s="82"/>
      <c r="E522" s="82" t="s">
        <v>910</v>
      </c>
      <c r="F522" s="82" t="s">
        <v>39</v>
      </c>
      <c r="G522" s="29">
        <v>2650</v>
      </c>
      <c r="H522" s="29">
        <f t="shared" si="273"/>
        <v>20</v>
      </c>
      <c r="I522" s="26" t="s">
        <v>8</v>
      </c>
      <c r="J522" s="26" t="s">
        <v>62</v>
      </c>
      <c r="K522" s="26">
        <f t="shared" si="288"/>
        <v>0</v>
      </c>
      <c r="L522" s="42">
        <v>6</v>
      </c>
      <c r="M522" s="42">
        <v>5</v>
      </c>
      <c r="N522" s="42">
        <v>4</v>
      </c>
      <c r="O522" s="83">
        <v>4</v>
      </c>
      <c r="P522" s="83">
        <v>4</v>
      </c>
      <c r="Q522" s="83">
        <v>4</v>
      </c>
      <c r="R522" s="83">
        <v>9</v>
      </c>
      <c r="S522" s="83">
        <v>8</v>
      </c>
      <c r="T522" s="83">
        <v>8</v>
      </c>
      <c r="U522" s="83">
        <v>8</v>
      </c>
      <c r="V522" s="42"/>
      <c r="W522" s="42"/>
      <c r="X522" s="42"/>
      <c r="Y522" s="26">
        <v>50</v>
      </c>
      <c r="Z522" s="26">
        <f t="shared" si="274"/>
        <v>0</v>
      </c>
      <c r="AA522" s="82" t="s">
        <v>504</v>
      </c>
      <c r="AB522" s="111">
        <f t="shared" si="275"/>
        <v>6</v>
      </c>
      <c r="AC522" s="85" t="s">
        <v>13</v>
      </c>
      <c r="AD522" s="84">
        <f t="shared" si="285"/>
        <v>10539.772727272728</v>
      </c>
      <c r="AE522" s="140"/>
      <c r="AF522" s="113">
        <f t="shared" si="271"/>
        <v>0</v>
      </c>
      <c r="AG522" s="106">
        <v>2025</v>
      </c>
      <c r="AH522" s="26" t="str">
        <f t="shared" si="257"/>
        <v/>
      </c>
      <c r="AI522" s="26" t="str">
        <f t="shared" si="278"/>
        <v/>
      </c>
      <c r="AJ522" s="26" t="str">
        <f t="shared" si="280"/>
        <v/>
      </c>
      <c r="AK522" s="26" t="str">
        <f t="shared" si="284"/>
        <v>Chip Seal and Fog</v>
      </c>
      <c r="AL522" s="26" t="str">
        <f t="shared" si="284"/>
        <v/>
      </c>
      <c r="AM522" s="26" t="str">
        <f t="shared" si="284"/>
        <v/>
      </c>
      <c r="AN522" s="26" t="str">
        <f t="shared" si="270"/>
        <v>Chip Seal and Fog</v>
      </c>
      <c r="AO522" s="26" t="str">
        <f t="shared" si="281"/>
        <v/>
      </c>
      <c r="AP522" s="26" t="str">
        <f t="shared" si="261"/>
        <v/>
      </c>
      <c r="AQ522" s="68">
        <f t="shared" si="276"/>
        <v>3</v>
      </c>
      <c r="AR522" s="68">
        <f t="shared" si="277"/>
        <v>6</v>
      </c>
      <c r="AS522" s="68">
        <f t="shared" si="262"/>
        <v>1.1000000000000001</v>
      </c>
      <c r="AT522" s="68">
        <f t="shared" si="263"/>
        <v>1.25</v>
      </c>
      <c r="AU522" s="68">
        <f t="shared" si="264"/>
        <v>1.5</v>
      </c>
      <c r="AV522" s="68">
        <f t="shared" si="265"/>
        <v>1.5</v>
      </c>
      <c r="AW522" s="68">
        <f t="shared" si="266"/>
        <v>1.5</v>
      </c>
      <c r="AX522" s="68">
        <f t="shared" ca="1" si="267"/>
        <v>1.5</v>
      </c>
      <c r="AY522" s="68">
        <v>2019</v>
      </c>
      <c r="AZ522" s="68" t="s">
        <v>751</v>
      </c>
      <c r="BA522" s="106" t="str">
        <f t="shared" si="286"/>
        <v/>
      </c>
      <c r="BB522" s="178"/>
      <c r="BC522" s="178">
        <v>4</v>
      </c>
      <c r="BD522" s="178"/>
      <c r="BE522" s="178"/>
      <c r="BF522" s="178"/>
      <c r="BG522" s="178"/>
      <c r="BH522" s="178"/>
      <c r="BI522" s="33" t="s">
        <v>2474</v>
      </c>
      <c r="BK522" s="48">
        <f>$G522/5280*VLOOKUP($AC522,'Cost and Score'!$B$27:$O$40,6,0)</f>
        <v>0.1003787878787879</v>
      </c>
      <c r="BL522" s="48">
        <f>$G522/5280*VLOOKUP($AC522,'Cost and Score'!$B$27:$O$40,7,0)</f>
        <v>11.041666666666668</v>
      </c>
      <c r="BM522" s="48">
        <f>$G522/5280*VLOOKUP($AC522,'Cost and Score'!$B$27:$O$40,8,0)</f>
        <v>0</v>
      </c>
      <c r="BN522" s="48">
        <f>$G522/5280*VLOOKUP($AC522,'Cost and Score'!$B$27:$O$40,9,0)</f>
        <v>2258.5227272727275</v>
      </c>
      <c r="BO522" s="48">
        <f>$G522/5280*VLOOKUP($AC522,'Cost and Score'!$B$27:$O$40,10,0)</f>
        <v>501.89393939393943</v>
      </c>
      <c r="BP522" s="48">
        <f>$G522/5280*VLOOKUP($AC522,'Cost and Score'!$B$27:$O$40,11,0)</f>
        <v>0</v>
      </c>
      <c r="BQ522" s="48">
        <f>$G522/5280*VLOOKUP($AC522,'Cost and Score'!$B$27:$O$40,12,0)</f>
        <v>50.189393939393945</v>
      </c>
      <c r="BR522" s="48">
        <f>$G522/5280*VLOOKUP($AC522,'Cost and Score'!$B$27:$O$40,13,0)</f>
        <v>60.227272727272734</v>
      </c>
      <c r="BS522" s="48">
        <f>$G522/5280*VLOOKUP($AC522,'Cost and Score'!$B$27:$O$40,14,0)</f>
        <v>0</v>
      </c>
      <c r="BT522" s="220">
        <f t="shared" si="287"/>
        <v>0.50189393939393945</v>
      </c>
    </row>
    <row r="523" spans="1:103" s="2" customFormat="1" ht="18" hidden="1" customHeight="1" x14ac:dyDescent="0.25">
      <c r="A523" s="38" t="s">
        <v>2186</v>
      </c>
      <c r="B523" s="34" t="s">
        <v>1109</v>
      </c>
      <c r="C523" s="26" t="s">
        <v>1109</v>
      </c>
      <c r="D523" s="82"/>
      <c r="E523" s="82" t="s">
        <v>59</v>
      </c>
      <c r="F523" s="82" t="s">
        <v>461</v>
      </c>
      <c r="G523" s="29">
        <v>1288</v>
      </c>
      <c r="H523" s="29">
        <f t="shared" si="273"/>
        <v>20</v>
      </c>
      <c r="I523" s="26" t="s">
        <v>8</v>
      </c>
      <c r="J523" s="26" t="s">
        <v>62</v>
      </c>
      <c r="K523" s="26">
        <f t="shared" si="288"/>
        <v>0</v>
      </c>
      <c r="L523" s="42">
        <v>7</v>
      </c>
      <c r="M523" s="42">
        <v>7</v>
      </c>
      <c r="N523" s="42">
        <v>7</v>
      </c>
      <c r="O523" s="83">
        <v>5</v>
      </c>
      <c r="P523" s="83">
        <v>5</v>
      </c>
      <c r="Q523" s="83">
        <v>5</v>
      </c>
      <c r="R523" s="83">
        <v>6</v>
      </c>
      <c r="S523" s="83">
        <v>7</v>
      </c>
      <c r="T523" s="83">
        <v>7</v>
      </c>
      <c r="U523" s="83">
        <v>7</v>
      </c>
      <c r="V523" s="42"/>
      <c r="W523" s="42"/>
      <c r="X523" s="42"/>
      <c r="Y523" s="26">
        <v>177</v>
      </c>
      <c r="Z523" s="26">
        <f t="shared" si="274"/>
        <v>0</v>
      </c>
      <c r="AA523" s="82" t="s">
        <v>35</v>
      </c>
      <c r="AB523" s="111">
        <f t="shared" si="275"/>
        <v>5</v>
      </c>
      <c r="AC523" s="82" t="s">
        <v>13</v>
      </c>
      <c r="AD523" s="84">
        <f t="shared" si="285"/>
        <v>5122.727272727273</v>
      </c>
      <c r="AE523" s="140">
        <v>1</v>
      </c>
      <c r="AF523" s="113">
        <f t="shared" si="271"/>
        <v>5122.727272727273</v>
      </c>
      <c r="AG523" s="82">
        <v>2023</v>
      </c>
      <c r="AH523" s="26" t="str">
        <f t="shared" si="257"/>
        <v/>
      </c>
      <c r="AI523" s="26" t="str">
        <f t="shared" si="278"/>
        <v>Chip Seal and Fog</v>
      </c>
      <c r="AJ523" s="26" t="str">
        <f t="shared" si="280"/>
        <v/>
      </c>
      <c r="AK523" s="26" t="str">
        <f t="shared" si="284"/>
        <v/>
      </c>
      <c r="AL523" s="26" t="str">
        <f t="shared" si="284"/>
        <v/>
      </c>
      <c r="AM523" s="26" t="str">
        <f t="shared" si="284"/>
        <v/>
      </c>
      <c r="AN523" s="26" t="str">
        <f t="shared" si="270"/>
        <v>Chip Seal and Fog</v>
      </c>
      <c r="AO523" s="26" t="str">
        <f t="shared" si="281"/>
        <v/>
      </c>
      <c r="AP523" s="26" t="str">
        <f t="shared" si="261"/>
        <v/>
      </c>
      <c r="AQ523" s="68">
        <f t="shared" si="276"/>
        <v>6</v>
      </c>
      <c r="AR523" s="68">
        <f t="shared" si="277"/>
        <v>6</v>
      </c>
      <c r="AS523" s="68">
        <f t="shared" si="262"/>
        <v>1.05</v>
      </c>
      <c r="AT523" s="68">
        <f t="shared" si="263"/>
        <v>1.05</v>
      </c>
      <c r="AU523" s="68">
        <f t="shared" si="264"/>
        <v>1.05</v>
      </c>
      <c r="AV523" s="68">
        <f t="shared" si="265"/>
        <v>1.25</v>
      </c>
      <c r="AW523" s="68">
        <f t="shared" si="266"/>
        <v>1.25</v>
      </c>
      <c r="AX523" s="68">
        <f t="shared" ca="1" si="267"/>
        <v>-1.05</v>
      </c>
      <c r="AY523" s="68"/>
      <c r="AZ523" s="68"/>
      <c r="BA523" s="106" t="str">
        <f t="shared" si="286"/>
        <v/>
      </c>
      <c r="BB523" s="178"/>
      <c r="BC523" s="178">
        <v>3</v>
      </c>
      <c r="BD523" s="178"/>
      <c r="BE523" s="178"/>
      <c r="BF523" s="178"/>
      <c r="BG523" s="178"/>
      <c r="BH523" s="178"/>
      <c r="BI523" s="33"/>
      <c r="BK523" s="48">
        <f>$G523/5280*VLOOKUP($AC523,'Cost and Score'!$B$27:$O$40,6,0)</f>
        <v>4.878787878787879E-2</v>
      </c>
      <c r="BL523" s="48">
        <f>$G523/5280*VLOOKUP($AC523,'Cost and Score'!$B$27:$O$40,7,0)</f>
        <v>5.3666666666666663</v>
      </c>
      <c r="BM523" s="48">
        <f>$G523/5280*VLOOKUP($AC523,'Cost and Score'!$B$27:$O$40,8,0)</f>
        <v>0</v>
      </c>
      <c r="BN523" s="48">
        <f>$G523/5280*VLOOKUP($AC523,'Cost and Score'!$B$27:$O$40,9,0)</f>
        <v>1097.7272727272727</v>
      </c>
      <c r="BO523" s="48">
        <f>$G523/5280*VLOOKUP($AC523,'Cost and Score'!$B$27:$O$40,10,0)</f>
        <v>243.93939393939394</v>
      </c>
      <c r="BP523" s="48">
        <f>$G523/5280*VLOOKUP($AC523,'Cost and Score'!$B$27:$O$40,11,0)</f>
        <v>0</v>
      </c>
      <c r="BQ523" s="48">
        <f>$G523/5280*VLOOKUP($AC523,'Cost and Score'!$B$27:$O$40,12,0)</f>
        <v>24.393939393939394</v>
      </c>
      <c r="BR523" s="48">
        <f>$G523/5280*VLOOKUP($AC523,'Cost and Score'!$B$27:$O$40,13,0)</f>
        <v>29.27272727272727</v>
      </c>
      <c r="BS523" s="48">
        <f>$G523/5280*VLOOKUP($AC523,'Cost and Score'!$B$27:$O$40,14,0)</f>
        <v>0</v>
      </c>
      <c r="BT523" s="220">
        <f t="shared" si="287"/>
        <v>0.24393939393939393</v>
      </c>
      <c r="CS523" s="114"/>
      <c r="CT523" s="114"/>
      <c r="CU523" s="114"/>
      <c r="CW523" s="112"/>
      <c r="CX523" s="112"/>
      <c r="CY523" s="112"/>
    </row>
    <row r="524" spans="1:103" s="2" customFormat="1" ht="16.5" hidden="1" customHeight="1" x14ac:dyDescent="0.25">
      <c r="A524" s="38" t="s">
        <v>1111</v>
      </c>
      <c r="B524" s="108" t="s">
        <v>1110</v>
      </c>
      <c r="C524" s="106" t="s">
        <v>1110</v>
      </c>
      <c r="D524" s="106"/>
      <c r="E524" s="106" t="s">
        <v>64</v>
      </c>
      <c r="F524" s="106" t="s">
        <v>59</v>
      </c>
      <c r="G524" s="109">
        <v>5360</v>
      </c>
      <c r="H524" s="109">
        <f t="shared" si="273"/>
        <v>20</v>
      </c>
      <c r="I524" s="106" t="s">
        <v>751</v>
      </c>
      <c r="J524" s="106" t="s">
        <v>62</v>
      </c>
      <c r="K524" s="106">
        <f t="shared" si="288"/>
        <v>0</v>
      </c>
      <c r="L524" s="110">
        <v>6</v>
      </c>
      <c r="M524" s="110">
        <v>6</v>
      </c>
      <c r="N524" s="110">
        <v>5</v>
      </c>
      <c r="O524" s="110">
        <v>4</v>
      </c>
      <c r="P524" s="110">
        <v>9</v>
      </c>
      <c r="Q524" s="110">
        <v>8</v>
      </c>
      <c r="R524" s="110">
        <v>8</v>
      </c>
      <c r="S524" s="110">
        <v>7</v>
      </c>
      <c r="T524" s="110">
        <v>7</v>
      </c>
      <c r="U524" s="110">
        <v>7</v>
      </c>
      <c r="V524" s="110"/>
      <c r="W524" s="110"/>
      <c r="X524" s="110"/>
      <c r="Y524" s="106">
        <v>89</v>
      </c>
      <c r="Z524" s="106">
        <f t="shared" si="274"/>
        <v>0</v>
      </c>
      <c r="AA524" s="106" t="s">
        <v>35</v>
      </c>
      <c r="AB524" s="111">
        <f t="shared" si="275"/>
        <v>1</v>
      </c>
      <c r="AC524" s="85" t="s">
        <v>2075</v>
      </c>
      <c r="AD524" s="107">
        <f t="shared" si="285"/>
        <v>5481.818181818182</v>
      </c>
      <c r="AE524" s="198"/>
      <c r="AF524" s="113">
        <f t="shared" si="271"/>
        <v>0</v>
      </c>
      <c r="AG524" s="106">
        <v>2022</v>
      </c>
      <c r="AH524" s="26" t="str">
        <f t="shared" si="257"/>
        <v>Crack Seal</v>
      </c>
      <c r="AI524" s="26" t="str">
        <f t="shared" si="278"/>
        <v/>
      </c>
      <c r="AJ524" s="26" t="str">
        <f t="shared" si="280"/>
        <v/>
      </c>
      <c r="AK524" s="26" t="str">
        <f t="shared" si="284"/>
        <v/>
      </c>
      <c r="AL524" s="26" t="str">
        <f t="shared" si="284"/>
        <v/>
      </c>
      <c r="AM524" s="26" t="str">
        <f t="shared" si="284"/>
        <v/>
      </c>
      <c r="AN524" s="26" t="str">
        <f t="shared" si="270"/>
        <v>Crack Seal</v>
      </c>
      <c r="AO524" s="26" t="str">
        <f t="shared" si="281"/>
        <v/>
      </c>
      <c r="AP524" s="26" t="str">
        <f t="shared" si="261"/>
        <v/>
      </c>
      <c r="AQ524" s="68">
        <f t="shared" si="276"/>
        <v>3</v>
      </c>
      <c r="AR524" s="68">
        <f t="shared" si="277"/>
        <v>3</v>
      </c>
      <c r="AS524" s="68">
        <f t="shared" si="262"/>
        <v>1.1000000000000001</v>
      </c>
      <c r="AT524" s="68">
        <f t="shared" si="263"/>
        <v>1.1000000000000001</v>
      </c>
      <c r="AU524" s="68">
        <f t="shared" si="264"/>
        <v>1.25</v>
      </c>
      <c r="AV524" s="68">
        <f t="shared" si="265"/>
        <v>1.5</v>
      </c>
      <c r="AW524" s="68">
        <f t="shared" si="266"/>
        <v>1</v>
      </c>
      <c r="AX524" s="68">
        <f t="shared" ca="1" si="267"/>
        <v>-2.5</v>
      </c>
      <c r="AY524" s="106">
        <v>2017</v>
      </c>
      <c r="AZ524" s="106" t="s">
        <v>751</v>
      </c>
      <c r="BA524" s="106" t="str">
        <f t="shared" si="286"/>
        <v/>
      </c>
      <c r="BB524" s="177"/>
      <c r="BC524" s="177">
        <v>3</v>
      </c>
      <c r="BD524" s="177"/>
      <c r="BE524" s="177"/>
      <c r="BF524" s="177"/>
      <c r="BG524" s="177"/>
      <c r="BH524" s="177"/>
      <c r="BI524" s="33"/>
      <c r="BK524" s="48">
        <f>$G524/5280*VLOOKUP($AC524,'Cost and Score'!$B$27:$O$40,6,0)</f>
        <v>1.0151515151515151</v>
      </c>
      <c r="BL524" s="48">
        <f>$G524/5280*VLOOKUP($AC524,'Cost and Score'!$B$27:$O$40,7,0)</f>
        <v>0</v>
      </c>
      <c r="BM524" s="48">
        <f>$G524/5280*VLOOKUP($AC524,'Cost and Score'!$B$27:$O$40,8,0)</f>
        <v>0</v>
      </c>
      <c r="BN524" s="48">
        <f>$G524/5280*VLOOKUP($AC524,'Cost and Score'!$B$27:$O$40,9,0)</f>
        <v>0</v>
      </c>
      <c r="BO524" s="48">
        <f>$G524/5280*VLOOKUP($AC524,'Cost and Score'!$B$27:$O$40,10,0)</f>
        <v>0</v>
      </c>
      <c r="BP524" s="48">
        <f>$G524/5280*VLOOKUP($AC524,'Cost and Score'!$B$27:$O$40,11,0)</f>
        <v>0</v>
      </c>
      <c r="BQ524" s="48">
        <f>$G524/5280*VLOOKUP($AC524,'Cost and Score'!$B$27:$O$40,12,0)</f>
        <v>0</v>
      </c>
      <c r="BR524" s="48">
        <f>$G524/5280*VLOOKUP($AC524,'Cost and Score'!$B$27:$O$40,13,0)</f>
        <v>0</v>
      </c>
      <c r="BS524" s="48">
        <f>$G524/5280*VLOOKUP($AC524,'Cost and Score'!$B$27:$O$40,14,0)</f>
        <v>0</v>
      </c>
      <c r="BT524" s="220">
        <f t="shared" si="287"/>
        <v>1.0151515151515151</v>
      </c>
      <c r="CF524" s="112"/>
    </row>
    <row r="525" spans="1:103" s="112" customFormat="1" ht="14.45" hidden="1" customHeight="1" x14ac:dyDescent="0.25">
      <c r="A525" s="38" t="s">
        <v>1113</v>
      </c>
      <c r="B525" s="34" t="s">
        <v>1112</v>
      </c>
      <c r="C525" s="26" t="s">
        <v>1112</v>
      </c>
      <c r="D525" s="26"/>
      <c r="E525" s="26" t="s">
        <v>73</v>
      </c>
      <c r="F525" s="26" t="s">
        <v>64</v>
      </c>
      <c r="G525" s="29">
        <v>5290</v>
      </c>
      <c r="H525" s="29">
        <f t="shared" si="273"/>
        <v>20</v>
      </c>
      <c r="I525" s="26" t="s">
        <v>13</v>
      </c>
      <c r="J525" s="26" t="s">
        <v>62</v>
      </c>
      <c r="K525" s="26">
        <f t="shared" si="288"/>
        <v>0</v>
      </c>
      <c r="L525" s="42">
        <v>3</v>
      </c>
      <c r="M525" s="42">
        <v>6</v>
      </c>
      <c r="N525" s="42">
        <v>8</v>
      </c>
      <c r="O525" s="42">
        <v>8</v>
      </c>
      <c r="P525" s="42">
        <v>8</v>
      </c>
      <c r="Q525" s="42">
        <v>8</v>
      </c>
      <c r="R525" s="42">
        <v>7</v>
      </c>
      <c r="S525" s="42">
        <v>7</v>
      </c>
      <c r="T525" s="42">
        <v>6</v>
      </c>
      <c r="U525" s="42">
        <v>6</v>
      </c>
      <c r="V525" s="42"/>
      <c r="W525" s="42"/>
      <c r="X525" s="42"/>
      <c r="Y525" s="26">
        <v>78</v>
      </c>
      <c r="Z525" s="26">
        <f t="shared" si="274"/>
        <v>0</v>
      </c>
      <c r="AA525" s="26" t="s">
        <v>35</v>
      </c>
      <c r="AB525" s="111">
        <f t="shared" si="275"/>
        <v>2</v>
      </c>
      <c r="AC525" s="26" t="s">
        <v>2073</v>
      </c>
      <c r="AD525" s="47">
        <f t="shared" si="285"/>
        <v>32060.60606060606</v>
      </c>
      <c r="AE525" s="140">
        <v>1</v>
      </c>
      <c r="AF525" s="113">
        <f t="shared" si="271"/>
        <v>32060.60606060606</v>
      </c>
      <c r="AG525" s="26">
        <v>2023</v>
      </c>
      <c r="AH525" s="26" t="str">
        <f t="shared" ref="AH525:AH588" si="289">IF($AG525=AH$1,VLOOKUP($AC525,RSL,3,FALSE),"")</f>
        <v/>
      </c>
      <c r="AI525" s="26" t="str">
        <f t="shared" si="278"/>
        <v>Chip Seal - Double and Fog</v>
      </c>
      <c r="AJ525" s="26" t="str">
        <f t="shared" si="280"/>
        <v/>
      </c>
      <c r="AK525" s="26" t="str">
        <f t="shared" si="284"/>
        <v/>
      </c>
      <c r="AL525" s="26" t="str">
        <f t="shared" si="284"/>
        <v/>
      </c>
      <c r="AM525" s="26" t="str">
        <f t="shared" si="284"/>
        <v/>
      </c>
      <c r="AN525" s="26" t="str">
        <f t="shared" si="270"/>
        <v>Chip Seal - Double and Fog</v>
      </c>
      <c r="AO525" s="26" t="str">
        <f t="shared" si="281"/>
        <v/>
      </c>
      <c r="AP525" s="26" t="str">
        <f t="shared" si="261"/>
        <v/>
      </c>
      <c r="AQ525" s="68">
        <f t="shared" si="276"/>
        <v>12</v>
      </c>
      <c r="AR525" s="68">
        <f t="shared" si="277"/>
        <v>6</v>
      </c>
      <c r="AS525" s="68">
        <f t="shared" si="262"/>
        <v>1.75</v>
      </c>
      <c r="AT525" s="68">
        <f t="shared" si="263"/>
        <v>1.1000000000000001</v>
      </c>
      <c r="AU525" s="68">
        <f t="shared" si="264"/>
        <v>1</v>
      </c>
      <c r="AV525" s="68">
        <f t="shared" si="265"/>
        <v>1</v>
      </c>
      <c r="AW525" s="68">
        <f t="shared" si="266"/>
        <v>1</v>
      </c>
      <c r="AX525" s="68">
        <f t="shared" ca="1" si="267"/>
        <v>-1</v>
      </c>
      <c r="AY525" s="68">
        <v>2023</v>
      </c>
      <c r="AZ525" s="68" t="s">
        <v>2073</v>
      </c>
      <c r="BA525" s="106" t="str">
        <f t="shared" si="286"/>
        <v/>
      </c>
      <c r="BB525" s="178"/>
      <c r="BC525" s="178">
        <v>3</v>
      </c>
      <c r="BD525" s="178"/>
      <c r="BE525" s="178"/>
      <c r="BF525" s="178"/>
      <c r="BG525" s="178"/>
      <c r="BH525" s="178"/>
      <c r="BI525" s="33" t="s">
        <v>2192</v>
      </c>
      <c r="BJ525" s="2"/>
      <c r="BK525" s="48">
        <f>$G525/5280*VLOOKUP($AC525,'Cost and Score'!$B$27:$O$40,6,0)</f>
        <v>0.50094696969696972</v>
      </c>
      <c r="BL525" s="48">
        <f>$G525/5280*VLOOKUP($AC525,'Cost and Score'!$B$27:$O$40,7,0)</f>
        <v>50.094696969696969</v>
      </c>
      <c r="BM525" s="48">
        <f>$G525/5280*VLOOKUP($AC525,'Cost and Score'!$B$27:$O$40,8,0)</f>
        <v>0</v>
      </c>
      <c r="BN525" s="48">
        <f>$G525/5280*VLOOKUP($AC525,'Cost and Score'!$B$27:$O$40,9,0)</f>
        <v>9517.992424242424</v>
      </c>
      <c r="BO525" s="48">
        <f>$G525/5280*VLOOKUP($AC525,'Cost and Score'!$B$27:$O$40,10,0)</f>
        <v>1001.8939393939395</v>
      </c>
      <c r="BP525" s="48">
        <f>$G525/5280*VLOOKUP($AC525,'Cost and Score'!$B$27:$O$40,11,0)</f>
        <v>0</v>
      </c>
      <c r="BQ525" s="48">
        <f>$G525/5280*VLOOKUP($AC525,'Cost and Score'!$B$27:$O$40,12,0)</f>
        <v>200.37878787878788</v>
      </c>
      <c r="BR525" s="48">
        <f>$G525/5280*VLOOKUP($AC525,'Cost and Score'!$B$27:$O$40,13,0)</f>
        <v>180.34090909090909</v>
      </c>
      <c r="BS525" s="48">
        <f>$G525/5280*VLOOKUP($AC525,'Cost and Score'!$B$27:$O$40,14,0)</f>
        <v>240.45454545454547</v>
      </c>
      <c r="BT525" s="220">
        <f t="shared" si="287"/>
        <v>1.0018939393939394</v>
      </c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N525" s="2"/>
      <c r="CO525" s="2"/>
      <c r="CP525" s="2"/>
      <c r="CQ525" s="2"/>
      <c r="CR525" s="2"/>
      <c r="CV525" s="2"/>
      <c r="CW525" s="2"/>
      <c r="CX525" s="2"/>
      <c r="CY525" s="2"/>
    </row>
    <row r="526" spans="1:103" s="2" customFormat="1" ht="16.5" hidden="1" customHeight="1" x14ac:dyDescent="0.25">
      <c r="A526" s="38" t="s">
        <v>1115</v>
      </c>
      <c r="B526" s="34" t="s">
        <v>1114</v>
      </c>
      <c r="C526" s="26" t="s">
        <v>1114</v>
      </c>
      <c r="D526" s="26"/>
      <c r="E526" s="26" t="s">
        <v>1132</v>
      </c>
      <c r="F526" s="26" t="s">
        <v>138</v>
      </c>
      <c r="G526" s="29">
        <v>2700</v>
      </c>
      <c r="H526" s="29">
        <f t="shared" si="273"/>
        <v>20</v>
      </c>
      <c r="I526" s="26" t="s">
        <v>8</v>
      </c>
      <c r="J526" s="26" t="s">
        <v>11</v>
      </c>
      <c r="K526" s="26">
        <f t="shared" si="288"/>
        <v>0</v>
      </c>
      <c r="L526" s="42">
        <v>8</v>
      </c>
      <c r="M526" s="42">
        <v>7</v>
      </c>
      <c r="N526" s="42">
        <v>8</v>
      </c>
      <c r="O526" s="42">
        <v>8</v>
      </c>
      <c r="P526" s="42">
        <v>8</v>
      </c>
      <c r="Q526" s="42">
        <v>8</v>
      </c>
      <c r="R526" s="42">
        <v>7</v>
      </c>
      <c r="S526" s="42">
        <v>7</v>
      </c>
      <c r="T526" s="42">
        <v>7</v>
      </c>
      <c r="U526" s="42">
        <v>8</v>
      </c>
      <c r="V526" s="42"/>
      <c r="W526" s="42"/>
      <c r="X526" s="42" t="s">
        <v>2612</v>
      </c>
      <c r="Y526" s="26">
        <v>615</v>
      </c>
      <c r="Z526" s="26">
        <f t="shared" si="274"/>
        <v>0.5</v>
      </c>
      <c r="AA526" s="26" t="s">
        <v>35</v>
      </c>
      <c r="AB526" s="111">
        <f t="shared" si="275"/>
        <v>2.5</v>
      </c>
      <c r="AC526" s="85" t="s">
        <v>13</v>
      </c>
      <c r="AD526" s="47">
        <f t="shared" si="285"/>
        <v>10738.636363636364</v>
      </c>
      <c r="AE526" s="140"/>
      <c r="AF526" s="113">
        <f t="shared" si="271"/>
        <v>0</v>
      </c>
      <c r="AG526" s="85">
        <v>2026</v>
      </c>
      <c r="AH526" s="26" t="str">
        <f t="shared" si="289"/>
        <v/>
      </c>
      <c r="AI526" s="26" t="str">
        <f t="shared" si="278"/>
        <v/>
      </c>
      <c r="AJ526" s="26" t="str">
        <f t="shared" si="280"/>
        <v/>
      </c>
      <c r="AK526" s="26" t="str">
        <f t="shared" si="284"/>
        <v/>
      </c>
      <c r="AL526" s="26" t="str">
        <f t="shared" si="284"/>
        <v>Chip Seal and Fog</v>
      </c>
      <c r="AM526" s="26" t="str">
        <f t="shared" si="284"/>
        <v/>
      </c>
      <c r="AN526" s="26" t="str">
        <f t="shared" si="270"/>
        <v>Chip Seal and Fog</v>
      </c>
      <c r="AO526" s="26" t="str">
        <f t="shared" si="281"/>
        <v/>
      </c>
      <c r="AP526" s="26" t="str">
        <f t="shared" si="261"/>
        <v/>
      </c>
      <c r="AQ526" s="68">
        <f t="shared" si="276"/>
        <v>12</v>
      </c>
      <c r="AR526" s="68">
        <f t="shared" si="277"/>
        <v>6</v>
      </c>
      <c r="AS526" s="68">
        <f t="shared" si="262"/>
        <v>1</v>
      </c>
      <c r="AT526" s="68">
        <f t="shared" si="263"/>
        <v>1.05</v>
      </c>
      <c r="AU526" s="68">
        <f t="shared" si="264"/>
        <v>1</v>
      </c>
      <c r="AV526" s="68">
        <f t="shared" si="265"/>
        <v>1</v>
      </c>
      <c r="AW526" s="68">
        <f t="shared" si="266"/>
        <v>1</v>
      </c>
      <c r="AX526" s="68">
        <f t="shared" ca="1" si="267"/>
        <v>2</v>
      </c>
      <c r="AY526" s="68">
        <v>2016</v>
      </c>
      <c r="AZ526" s="68" t="s">
        <v>2075</v>
      </c>
      <c r="BA526" s="106" t="str">
        <f t="shared" si="286"/>
        <v/>
      </c>
      <c r="BB526" s="178"/>
      <c r="BC526" s="178">
        <v>2</v>
      </c>
      <c r="BD526" s="178"/>
      <c r="BE526" s="178"/>
      <c r="BF526" s="178"/>
      <c r="BG526" s="178"/>
      <c r="BH526" s="178"/>
      <c r="BI526" s="33"/>
      <c r="BJ526" s="2" t="s">
        <v>2606</v>
      </c>
      <c r="BK526" s="48"/>
      <c r="BL526" s="48"/>
      <c r="BM526" s="48"/>
      <c r="BN526" s="48"/>
      <c r="BO526" s="48"/>
      <c r="BP526" s="48"/>
      <c r="BQ526" s="48"/>
      <c r="BR526" s="48"/>
      <c r="BS526" s="48"/>
      <c r="BT526" s="220">
        <f t="shared" si="287"/>
        <v>0.51136363636363635</v>
      </c>
      <c r="CG526" s="112"/>
      <c r="CH526" s="112"/>
      <c r="CI526" s="112"/>
      <c r="CJ526" s="112"/>
      <c r="CK526" s="112"/>
      <c r="CL526" s="112"/>
      <c r="CM526" s="112"/>
      <c r="CV526" s="112"/>
      <c r="CW526" s="28"/>
      <c r="CX526" s="28"/>
      <c r="CY526" s="28"/>
    </row>
    <row r="527" spans="1:103" s="2" customFormat="1" ht="15.75" hidden="1" customHeight="1" x14ac:dyDescent="0.25">
      <c r="A527" s="36" t="s">
        <v>2188</v>
      </c>
      <c r="B527" s="34" t="s">
        <v>1116</v>
      </c>
      <c r="C527" s="26" t="s">
        <v>1116</v>
      </c>
      <c r="D527" s="26"/>
      <c r="E527" s="26" t="s">
        <v>1047</v>
      </c>
      <c r="F527" s="26" t="s">
        <v>140</v>
      </c>
      <c r="G527" s="29">
        <v>3340</v>
      </c>
      <c r="H527" s="29">
        <f t="shared" si="273"/>
        <v>20</v>
      </c>
      <c r="I527" s="26" t="s">
        <v>8</v>
      </c>
      <c r="J527" s="26" t="s">
        <v>17</v>
      </c>
      <c r="K527" s="26">
        <f t="shared" si="288"/>
        <v>0</v>
      </c>
      <c r="L527" s="42">
        <v>5</v>
      </c>
      <c r="M527" s="42">
        <v>7</v>
      </c>
      <c r="N527" s="42">
        <v>7</v>
      </c>
      <c r="O527" s="42">
        <v>7</v>
      </c>
      <c r="P527" s="42">
        <v>7</v>
      </c>
      <c r="Q527" s="42">
        <v>7</v>
      </c>
      <c r="R527" s="42">
        <v>7</v>
      </c>
      <c r="S527" s="42">
        <v>7</v>
      </c>
      <c r="T527" s="42">
        <v>7</v>
      </c>
      <c r="U527" s="42">
        <v>7</v>
      </c>
      <c r="V527" s="42"/>
      <c r="W527" s="42"/>
      <c r="X527" s="42"/>
      <c r="Y527" s="26">
        <v>456</v>
      </c>
      <c r="Z527" s="26">
        <f t="shared" si="274"/>
        <v>0</v>
      </c>
      <c r="AA527" s="26" t="s">
        <v>35</v>
      </c>
      <c r="AB527" s="111">
        <f t="shared" si="275"/>
        <v>3</v>
      </c>
      <c r="AC527" s="26" t="s">
        <v>13</v>
      </c>
      <c r="AD527" s="47">
        <f t="shared" si="285"/>
        <v>13284.09090909091</v>
      </c>
      <c r="AE527" s="140">
        <v>1</v>
      </c>
      <c r="AF527" s="113">
        <f t="shared" si="271"/>
        <v>13284.09090909091</v>
      </c>
      <c r="AG527" s="26">
        <v>2023</v>
      </c>
      <c r="AH527" s="26" t="str">
        <f t="shared" si="289"/>
        <v/>
      </c>
      <c r="AI527" s="26" t="str">
        <f t="shared" si="278"/>
        <v>Chip Seal and Fog</v>
      </c>
      <c r="AJ527" s="26" t="str">
        <f t="shared" si="280"/>
        <v/>
      </c>
      <c r="AK527" s="26" t="str">
        <f t="shared" si="284"/>
        <v/>
      </c>
      <c r="AL527" s="26" t="str">
        <f t="shared" si="284"/>
        <v/>
      </c>
      <c r="AM527" s="26" t="str">
        <f t="shared" si="284"/>
        <v/>
      </c>
      <c r="AN527" s="26" t="str">
        <f t="shared" si="270"/>
        <v>Chip Seal and Fog</v>
      </c>
      <c r="AO527" s="26" t="str">
        <f t="shared" si="281"/>
        <v/>
      </c>
      <c r="AP527" s="26" t="str">
        <f t="shared" si="261"/>
        <v/>
      </c>
      <c r="AQ527" s="68">
        <f t="shared" si="276"/>
        <v>10</v>
      </c>
      <c r="AR527" s="68">
        <f t="shared" si="277"/>
        <v>6</v>
      </c>
      <c r="AS527" s="68">
        <f t="shared" si="262"/>
        <v>1.25</v>
      </c>
      <c r="AT527" s="68">
        <f t="shared" si="263"/>
        <v>1.05</v>
      </c>
      <c r="AU527" s="68">
        <f t="shared" si="264"/>
        <v>1.05</v>
      </c>
      <c r="AV527" s="68">
        <f t="shared" si="265"/>
        <v>1.05</v>
      </c>
      <c r="AW527" s="68">
        <f t="shared" si="266"/>
        <v>1.05</v>
      </c>
      <c r="AX527" s="68">
        <f t="shared" ca="1" si="267"/>
        <v>-1.05</v>
      </c>
      <c r="AY527" s="68">
        <v>2023</v>
      </c>
      <c r="AZ527" s="68" t="s">
        <v>13</v>
      </c>
      <c r="BA527" s="106" t="str">
        <f t="shared" si="286"/>
        <v/>
      </c>
      <c r="BB527" s="178"/>
      <c r="BC527" s="178">
        <v>5</v>
      </c>
      <c r="BD527" s="178"/>
      <c r="BE527" s="178"/>
      <c r="BF527" s="178"/>
      <c r="BG527" s="178"/>
      <c r="BH527" s="178"/>
      <c r="BI527" s="33"/>
      <c r="BK527" s="48">
        <f>$G527/5280*VLOOKUP($AC527,'Cost and Score'!$B$27:$O$40,6,0)</f>
        <v>0.12651515151515152</v>
      </c>
      <c r="BL527" s="48">
        <f>$G527/5280*VLOOKUP($AC527,'Cost and Score'!$B$27:$O$40,7,0)</f>
        <v>13.916666666666666</v>
      </c>
      <c r="BM527" s="48">
        <f>$G527/5280*VLOOKUP($AC527,'Cost and Score'!$B$27:$O$40,8,0)</f>
        <v>0</v>
      </c>
      <c r="BN527" s="48">
        <f>$G527/5280*VLOOKUP($AC527,'Cost and Score'!$B$27:$O$40,9,0)</f>
        <v>2846.590909090909</v>
      </c>
      <c r="BO527" s="48">
        <f>$G527/5280*VLOOKUP($AC527,'Cost and Score'!$B$27:$O$40,10,0)</f>
        <v>632.57575757575762</v>
      </c>
      <c r="BP527" s="48">
        <f>$G527/5280*VLOOKUP($AC527,'Cost and Score'!$B$27:$O$40,11,0)</f>
        <v>0</v>
      </c>
      <c r="BQ527" s="48">
        <f>$G527/5280*VLOOKUP($AC527,'Cost and Score'!$B$27:$O$40,12,0)</f>
        <v>63.257575757575758</v>
      </c>
      <c r="BR527" s="48">
        <f>$G527/5280*VLOOKUP($AC527,'Cost and Score'!$B$27:$O$40,13,0)</f>
        <v>75.909090909090907</v>
      </c>
      <c r="BS527" s="48">
        <f>$G527/5280*VLOOKUP($AC527,'Cost and Score'!$B$27:$O$40,14,0)</f>
        <v>0</v>
      </c>
      <c r="BT527" s="220">
        <f t="shared" si="287"/>
        <v>0.63257575757575757</v>
      </c>
    </row>
    <row r="528" spans="1:103" s="2" customFormat="1" ht="15.75" hidden="1" customHeight="1" x14ac:dyDescent="0.25">
      <c r="A528" s="38" t="s">
        <v>1119</v>
      </c>
      <c r="B528" s="108" t="s">
        <v>1117</v>
      </c>
      <c r="C528" s="106" t="s">
        <v>1117</v>
      </c>
      <c r="D528" s="106"/>
      <c r="E528" s="106" t="s">
        <v>140</v>
      </c>
      <c r="F528" s="106" t="s">
        <v>1118</v>
      </c>
      <c r="G528" s="109">
        <v>1372</v>
      </c>
      <c r="H528" s="109">
        <f t="shared" si="273"/>
        <v>20</v>
      </c>
      <c r="I528" s="106" t="s">
        <v>13</v>
      </c>
      <c r="J528" s="106" t="s">
        <v>17</v>
      </c>
      <c r="K528" s="106">
        <f t="shared" si="288"/>
        <v>0</v>
      </c>
      <c r="L528" s="110">
        <v>6</v>
      </c>
      <c r="M528" s="110">
        <v>7</v>
      </c>
      <c r="N528" s="110">
        <v>7</v>
      </c>
      <c r="O528" s="110">
        <v>7</v>
      </c>
      <c r="P528" s="110">
        <v>7</v>
      </c>
      <c r="Q528" s="110">
        <v>7</v>
      </c>
      <c r="R528" s="110">
        <v>7</v>
      </c>
      <c r="S528" s="110">
        <v>7</v>
      </c>
      <c r="T528" s="110">
        <v>7</v>
      </c>
      <c r="U528" s="110">
        <v>7</v>
      </c>
      <c r="V528" s="110"/>
      <c r="W528" s="110"/>
      <c r="X528" s="110"/>
      <c r="Y528" s="106">
        <v>437</v>
      </c>
      <c r="Z528" s="106">
        <f t="shared" si="274"/>
        <v>0</v>
      </c>
      <c r="AA528" s="106" t="s">
        <v>35</v>
      </c>
      <c r="AB528" s="111">
        <f t="shared" si="275"/>
        <v>3</v>
      </c>
      <c r="AC528" s="26" t="s">
        <v>13</v>
      </c>
      <c r="AD528" s="107">
        <f t="shared" si="285"/>
        <v>5456.818181818182</v>
      </c>
      <c r="AE528" s="198">
        <v>1</v>
      </c>
      <c r="AF528" s="113">
        <f t="shared" si="271"/>
        <v>5456.818181818182</v>
      </c>
      <c r="AG528" s="26">
        <v>2023</v>
      </c>
      <c r="AH528" s="26" t="str">
        <f t="shared" si="289"/>
        <v/>
      </c>
      <c r="AI528" s="26" t="str">
        <f t="shared" si="278"/>
        <v>Chip Seal and Fog</v>
      </c>
      <c r="AJ528" s="26" t="str">
        <f t="shared" si="280"/>
        <v/>
      </c>
      <c r="AK528" s="26" t="str">
        <f t="shared" ref="AK528:AM547" si="290">IF($AG528=AK$1,VLOOKUP($AC528,RSL,3,FALSE),"")</f>
        <v/>
      </c>
      <c r="AL528" s="26" t="str">
        <f t="shared" si="290"/>
        <v/>
      </c>
      <c r="AM528" s="26" t="str">
        <f t="shared" si="290"/>
        <v/>
      </c>
      <c r="AN528" s="26" t="str">
        <f t="shared" si="270"/>
        <v>Chip Seal and Fog</v>
      </c>
      <c r="AO528" s="26" t="str">
        <f t="shared" si="281"/>
        <v/>
      </c>
      <c r="AP528" s="26" t="str">
        <f t="shared" ref="AP528:AP591" si="291">IF(AY528=AP$1,VLOOKUP(AZ528,RSL,3,FALSE),"")</f>
        <v/>
      </c>
      <c r="AQ528" s="68">
        <f t="shared" si="276"/>
        <v>10</v>
      </c>
      <c r="AR528" s="68">
        <f t="shared" si="277"/>
        <v>6</v>
      </c>
      <c r="AS528" s="68">
        <f t="shared" ref="AS528:AS591" si="292">IF(L528 &lt;&gt; "",VLOOKUP(L528,RSLloss,3,FALSE),0)</f>
        <v>1.1000000000000001</v>
      </c>
      <c r="AT528" s="68">
        <f t="shared" ref="AT528:AT591" si="293">IF(M528 &lt;&gt; "",VLOOKUP(M528,RSLloss,3,FALSE),0)</f>
        <v>1.05</v>
      </c>
      <c r="AU528" s="68">
        <f t="shared" ref="AU528:AU591" si="294">IF(N528 &lt;&gt; "",VLOOKUP(N528,RSLloss,3,FALSE),0)</f>
        <v>1.05</v>
      </c>
      <c r="AV528" s="68">
        <f t="shared" ref="AV528:AV591" si="295">IF(O528 &lt;&gt; "",VLOOKUP(O528,RSLloss,3,FALSE),0)</f>
        <v>1.05</v>
      </c>
      <c r="AW528" s="68">
        <f t="shared" ref="AW528:AW591" si="296">IF(P528 &lt;&gt; "",VLOOKUP(P528,RSLloss,3,FALSE),0)</f>
        <v>1.05</v>
      </c>
      <c r="AX528" s="68">
        <f t="shared" ref="AX528:AX591" ca="1" si="297">AU528*(AG528-YEAR(TODAY()))</f>
        <v>-1.05</v>
      </c>
      <c r="AY528" s="106">
        <v>2023</v>
      </c>
      <c r="AZ528" s="111" t="s">
        <v>13</v>
      </c>
      <c r="BA528" s="106" t="str">
        <f t="shared" si="286"/>
        <v/>
      </c>
      <c r="BB528" s="110"/>
      <c r="BC528" s="110">
        <v>5</v>
      </c>
      <c r="BD528" s="110"/>
      <c r="BE528" s="110"/>
      <c r="BF528" s="110"/>
      <c r="BG528" s="110"/>
      <c r="BH528" s="110"/>
      <c r="BI528" s="33"/>
      <c r="BK528" s="48">
        <f>$G528/5280*VLOOKUP($AC528,'Cost and Score'!$B$27:$O$40,6,0)</f>
        <v>5.1969696969696971E-2</v>
      </c>
      <c r="BL528" s="48">
        <f>$G528/5280*VLOOKUP($AC528,'Cost and Score'!$B$27:$O$40,7,0)</f>
        <v>5.7166666666666659</v>
      </c>
      <c r="BM528" s="48">
        <f>$G528/5280*VLOOKUP($AC528,'Cost and Score'!$B$27:$O$40,8,0)</f>
        <v>0</v>
      </c>
      <c r="BN528" s="48">
        <f>$G528/5280*VLOOKUP($AC528,'Cost and Score'!$B$27:$O$40,9,0)</f>
        <v>1169.3181818181818</v>
      </c>
      <c r="BO528" s="48">
        <f>$G528/5280*VLOOKUP($AC528,'Cost and Score'!$B$27:$O$40,10,0)</f>
        <v>259.84848484848482</v>
      </c>
      <c r="BP528" s="48">
        <f>$G528/5280*VLOOKUP($AC528,'Cost and Score'!$B$27:$O$40,11,0)</f>
        <v>0</v>
      </c>
      <c r="BQ528" s="48">
        <f>$G528/5280*VLOOKUP($AC528,'Cost and Score'!$B$27:$O$40,12,0)</f>
        <v>25.984848484848484</v>
      </c>
      <c r="BR528" s="48">
        <f>$G528/5280*VLOOKUP($AC528,'Cost and Score'!$B$27:$O$40,13,0)</f>
        <v>31.18181818181818</v>
      </c>
      <c r="BS528" s="48">
        <f>$G528/5280*VLOOKUP($AC528,'Cost and Score'!$B$27:$O$40,14,0)</f>
        <v>0</v>
      </c>
      <c r="BT528" s="220">
        <f t="shared" si="287"/>
        <v>0.25984848484848483</v>
      </c>
      <c r="CF528" s="112"/>
      <c r="CR528" s="112"/>
    </row>
    <row r="529" spans="1:103" s="112" customFormat="1" ht="13.5" hidden="1" customHeight="1" x14ac:dyDescent="0.25">
      <c r="A529" s="38" t="s">
        <v>1121</v>
      </c>
      <c r="B529" s="108" t="s">
        <v>1120</v>
      </c>
      <c r="C529" s="106" t="s">
        <v>1120</v>
      </c>
      <c r="D529" s="106"/>
      <c r="E529" s="106" t="s">
        <v>1118</v>
      </c>
      <c r="F529" s="106" t="s">
        <v>147</v>
      </c>
      <c r="G529" s="109">
        <v>676</v>
      </c>
      <c r="H529" s="109">
        <f t="shared" si="273"/>
        <v>20</v>
      </c>
      <c r="I529" s="106" t="s">
        <v>13</v>
      </c>
      <c r="J529" s="106" t="s">
        <v>17</v>
      </c>
      <c r="K529" s="106">
        <f t="shared" si="288"/>
        <v>0</v>
      </c>
      <c r="L529" s="110">
        <v>6</v>
      </c>
      <c r="M529" s="110">
        <v>7</v>
      </c>
      <c r="N529" s="110">
        <v>7</v>
      </c>
      <c r="O529" s="110">
        <v>7</v>
      </c>
      <c r="P529" s="110">
        <v>7</v>
      </c>
      <c r="Q529" s="110">
        <v>7</v>
      </c>
      <c r="R529" s="110">
        <v>7</v>
      </c>
      <c r="S529" s="110">
        <v>7</v>
      </c>
      <c r="T529" s="110">
        <v>7</v>
      </c>
      <c r="U529" s="110">
        <v>7</v>
      </c>
      <c r="V529" s="110"/>
      <c r="W529" s="110"/>
      <c r="X529" s="110"/>
      <c r="Y529" s="106">
        <v>437</v>
      </c>
      <c r="Z529" s="106">
        <f t="shared" si="274"/>
        <v>0</v>
      </c>
      <c r="AA529" s="106" t="s">
        <v>35</v>
      </c>
      <c r="AB529" s="111">
        <f t="shared" si="275"/>
        <v>3</v>
      </c>
      <c r="AC529" s="26" t="s">
        <v>13</v>
      </c>
      <c r="AD529" s="107">
        <f t="shared" si="285"/>
        <v>2688.6363636363635</v>
      </c>
      <c r="AE529" s="198">
        <v>1</v>
      </c>
      <c r="AF529" s="113">
        <f t="shared" si="271"/>
        <v>2688.6363636363635</v>
      </c>
      <c r="AG529" s="26">
        <v>2023</v>
      </c>
      <c r="AH529" s="26" t="str">
        <f t="shared" si="289"/>
        <v/>
      </c>
      <c r="AI529" s="26" t="str">
        <f t="shared" si="278"/>
        <v>Chip Seal and Fog</v>
      </c>
      <c r="AJ529" s="26" t="str">
        <f t="shared" si="280"/>
        <v/>
      </c>
      <c r="AK529" s="26" t="str">
        <f t="shared" si="290"/>
        <v/>
      </c>
      <c r="AL529" s="26" t="str">
        <f t="shared" si="290"/>
        <v/>
      </c>
      <c r="AM529" s="26" t="str">
        <f t="shared" si="290"/>
        <v/>
      </c>
      <c r="AN529" s="26" t="str">
        <f t="shared" si="270"/>
        <v>Chip Seal and Fog</v>
      </c>
      <c r="AO529" s="26" t="str">
        <f t="shared" si="281"/>
        <v/>
      </c>
      <c r="AP529" s="26" t="str">
        <f t="shared" si="291"/>
        <v/>
      </c>
      <c r="AQ529" s="68">
        <f t="shared" si="276"/>
        <v>10</v>
      </c>
      <c r="AR529" s="68">
        <f t="shared" si="277"/>
        <v>6</v>
      </c>
      <c r="AS529" s="68">
        <f t="shared" si="292"/>
        <v>1.1000000000000001</v>
      </c>
      <c r="AT529" s="68">
        <f t="shared" si="293"/>
        <v>1.05</v>
      </c>
      <c r="AU529" s="68">
        <f t="shared" si="294"/>
        <v>1.05</v>
      </c>
      <c r="AV529" s="68">
        <f t="shared" si="295"/>
        <v>1.05</v>
      </c>
      <c r="AW529" s="68">
        <f t="shared" si="296"/>
        <v>1.05</v>
      </c>
      <c r="AX529" s="68">
        <f t="shared" ca="1" si="297"/>
        <v>-1.05</v>
      </c>
      <c r="AY529" s="106">
        <v>2017</v>
      </c>
      <c r="AZ529" s="111" t="s">
        <v>2073</v>
      </c>
      <c r="BA529" s="106" t="str">
        <f t="shared" si="286"/>
        <v/>
      </c>
      <c r="BB529" s="110"/>
      <c r="BC529" s="110">
        <v>5</v>
      </c>
      <c r="BD529" s="110"/>
      <c r="BE529" s="110"/>
      <c r="BF529" s="110"/>
      <c r="BG529" s="110"/>
      <c r="BH529" s="110"/>
      <c r="BI529" s="33"/>
      <c r="BJ529" s="2"/>
      <c r="BK529" s="48">
        <f>$G529/5280*VLOOKUP($AC529,'Cost and Score'!$B$27:$O$40,6,0)</f>
        <v>2.5606060606060604E-2</v>
      </c>
      <c r="BL529" s="48">
        <f>$G529/5280*VLOOKUP($AC529,'Cost and Score'!$B$27:$O$40,7,0)</f>
        <v>2.8166666666666664</v>
      </c>
      <c r="BM529" s="48">
        <f>$G529/5280*VLOOKUP($AC529,'Cost and Score'!$B$27:$O$40,8,0)</f>
        <v>0</v>
      </c>
      <c r="BN529" s="48">
        <f>$G529/5280*VLOOKUP($AC529,'Cost and Score'!$B$27:$O$40,9,0)</f>
        <v>576.13636363636363</v>
      </c>
      <c r="BO529" s="48">
        <f>$G529/5280*VLOOKUP($AC529,'Cost and Score'!$B$27:$O$40,10,0)</f>
        <v>128.03030303030303</v>
      </c>
      <c r="BP529" s="48">
        <f>$G529/5280*VLOOKUP($AC529,'Cost and Score'!$B$27:$O$40,11,0)</f>
        <v>0</v>
      </c>
      <c r="BQ529" s="48">
        <f>$G529/5280*VLOOKUP($AC529,'Cost and Score'!$B$27:$O$40,12,0)</f>
        <v>12.803030303030303</v>
      </c>
      <c r="BR529" s="48">
        <f>$G529/5280*VLOOKUP($AC529,'Cost and Score'!$B$27:$O$40,13,0)</f>
        <v>15.363636363636363</v>
      </c>
      <c r="BS529" s="48">
        <f>$G529/5280*VLOOKUP($AC529,'Cost and Score'!$B$27:$O$40,14,0)</f>
        <v>0</v>
      </c>
      <c r="BT529" s="220">
        <f t="shared" si="287"/>
        <v>0.12803030303030302</v>
      </c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N529" s="2"/>
      <c r="CO529" s="2"/>
      <c r="CP529" s="2"/>
      <c r="CQ529" s="2"/>
      <c r="CV529" s="2"/>
    </row>
    <row r="530" spans="1:103" s="112" customFormat="1" ht="14.45" hidden="1" customHeight="1" x14ac:dyDescent="0.25">
      <c r="A530" s="38"/>
      <c r="B530" s="34" t="s">
        <v>1122</v>
      </c>
      <c r="C530" s="26" t="s">
        <v>1122</v>
      </c>
      <c r="D530" s="82"/>
      <c r="E530" s="82" t="s">
        <v>147</v>
      </c>
      <c r="F530" s="82" t="s">
        <v>1051</v>
      </c>
      <c r="G530" s="29">
        <v>4118</v>
      </c>
      <c r="H530" s="29">
        <f t="shared" si="273"/>
        <v>20</v>
      </c>
      <c r="I530" s="26" t="s">
        <v>8</v>
      </c>
      <c r="J530" s="26" t="s">
        <v>17</v>
      </c>
      <c r="K530" s="26">
        <f t="shared" si="288"/>
        <v>0</v>
      </c>
      <c r="L530" s="42">
        <v>7</v>
      </c>
      <c r="M530" s="42">
        <v>6</v>
      </c>
      <c r="N530" s="42">
        <v>6</v>
      </c>
      <c r="O530" s="83">
        <v>6</v>
      </c>
      <c r="P530" s="83">
        <v>6</v>
      </c>
      <c r="Q530" s="83">
        <v>5</v>
      </c>
      <c r="R530" s="83">
        <v>5</v>
      </c>
      <c r="S530" s="83">
        <v>5</v>
      </c>
      <c r="T530" s="83">
        <v>8</v>
      </c>
      <c r="U530" s="83">
        <v>8</v>
      </c>
      <c r="V530" s="42"/>
      <c r="W530" s="42"/>
      <c r="X530" s="42"/>
      <c r="Y530" s="26">
        <v>251</v>
      </c>
      <c r="Z530" s="26">
        <f t="shared" si="274"/>
        <v>0</v>
      </c>
      <c r="AA530" s="82" t="s">
        <v>35</v>
      </c>
      <c r="AB530" s="111">
        <f t="shared" si="275"/>
        <v>4</v>
      </c>
      <c r="AC530" s="82" t="s">
        <v>2072</v>
      </c>
      <c r="AD530" s="84">
        <f t="shared" si="285"/>
        <v>35876.515151515152</v>
      </c>
      <c r="AE530" s="140"/>
      <c r="AF530" s="113">
        <f t="shared" si="271"/>
        <v>0</v>
      </c>
      <c r="AG530" s="26">
        <v>2027</v>
      </c>
      <c r="AH530" s="26" t="str">
        <f t="shared" si="289"/>
        <v/>
      </c>
      <c r="AI530" s="26" t="str">
        <f t="shared" si="278"/>
        <v/>
      </c>
      <c r="AJ530" s="26" t="str">
        <f t="shared" si="280"/>
        <v/>
      </c>
      <c r="AK530" s="26" t="str">
        <f t="shared" si="290"/>
        <v/>
      </c>
      <c r="AL530" s="26" t="str">
        <f t="shared" si="290"/>
        <v/>
      </c>
      <c r="AM530" s="26" t="str">
        <f t="shared" si="290"/>
        <v>Chip Seal - Triple</v>
      </c>
      <c r="AN530" s="26" t="str">
        <f t="shared" si="270"/>
        <v>Chip Seal - Triple</v>
      </c>
      <c r="AO530" s="26" t="str">
        <f t="shared" si="281"/>
        <v>Chip Seal and Fog</v>
      </c>
      <c r="AP530" s="26" t="str">
        <f t="shared" si="291"/>
        <v/>
      </c>
      <c r="AQ530" s="68">
        <f t="shared" si="276"/>
        <v>8</v>
      </c>
      <c r="AR530" s="68">
        <f t="shared" si="277"/>
        <v>8</v>
      </c>
      <c r="AS530" s="68">
        <f t="shared" si="292"/>
        <v>1.05</v>
      </c>
      <c r="AT530" s="68">
        <f t="shared" si="293"/>
        <v>1.1000000000000001</v>
      </c>
      <c r="AU530" s="68">
        <f t="shared" si="294"/>
        <v>1.1000000000000001</v>
      </c>
      <c r="AV530" s="68">
        <f t="shared" si="295"/>
        <v>1.1000000000000001</v>
      </c>
      <c r="AW530" s="68">
        <f t="shared" si="296"/>
        <v>1.1000000000000001</v>
      </c>
      <c r="AX530" s="68">
        <f t="shared" ca="1" si="297"/>
        <v>3.3000000000000003</v>
      </c>
      <c r="AY530" s="68">
        <v>2021</v>
      </c>
      <c r="AZ530" s="68" t="s">
        <v>13</v>
      </c>
      <c r="BA530" s="106" t="str">
        <f t="shared" si="286"/>
        <v/>
      </c>
      <c r="BB530" s="178">
        <v>43</v>
      </c>
      <c r="BC530" s="178">
        <v>5</v>
      </c>
      <c r="BD530" s="178"/>
      <c r="BE530" s="178"/>
      <c r="BF530" s="178"/>
      <c r="BG530" s="178"/>
      <c r="BH530" s="178"/>
      <c r="BI530" s="33"/>
      <c r="BJ530" s="2"/>
      <c r="BK530" s="48">
        <f>$G530/5280*VLOOKUP($AC530,'Cost and Score'!$B$27:$O$40,6,0)</f>
        <v>0.4679545454545454</v>
      </c>
      <c r="BL530" s="48">
        <f>$G530/5280*VLOOKUP($AC530,'Cost and Score'!$B$27:$O$40,7,0)</f>
        <v>97.490530303030297</v>
      </c>
      <c r="BM530" s="48">
        <f>$G530/5280*VLOOKUP($AC530,'Cost and Score'!$B$27:$O$40,8,0)</f>
        <v>155.98484848484847</v>
      </c>
      <c r="BN530" s="48">
        <f>$G530/5280*VLOOKUP($AC530,'Cost and Score'!$B$27:$O$40,9,0)</f>
        <v>1559.8484848484848</v>
      </c>
      <c r="BO530" s="48">
        <f>$G530/5280*VLOOKUP($AC530,'Cost and Score'!$B$27:$O$40,10,0)</f>
        <v>389.96212121212119</v>
      </c>
      <c r="BP530" s="48">
        <f>$G530/5280*VLOOKUP($AC530,'Cost and Score'!$B$27:$O$40,11,0)</f>
        <v>77.992424242424235</v>
      </c>
      <c r="BQ530" s="48">
        <f>$G530/5280*VLOOKUP($AC530,'Cost and Score'!$B$27:$O$40,12,0)</f>
        <v>623.93939393939388</v>
      </c>
      <c r="BR530" s="48">
        <f>$G530/5280*VLOOKUP($AC530,'Cost and Score'!$B$27:$O$40,13,0)</f>
        <v>62.393939393939391</v>
      </c>
      <c r="BS530" s="48">
        <f>$G530/5280*VLOOKUP($AC530,'Cost and Score'!$B$27:$O$40,14,0)</f>
        <v>0</v>
      </c>
      <c r="BT530" s="220">
        <f t="shared" si="287"/>
        <v>0.77992424242424241</v>
      </c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R530" s="2"/>
      <c r="CW530" s="2"/>
      <c r="CX530" s="2"/>
      <c r="CY530" s="2"/>
    </row>
    <row r="531" spans="1:103" s="2" customFormat="1" ht="14.45" hidden="1" customHeight="1" x14ac:dyDescent="0.25">
      <c r="A531" s="38" t="s">
        <v>1124</v>
      </c>
      <c r="B531" s="34" t="s">
        <v>1123</v>
      </c>
      <c r="C531" s="26" t="s">
        <v>1123</v>
      </c>
      <c r="D531" s="82"/>
      <c r="E531" s="82" t="s">
        <v>1051</v>
      </c>
      <c r="F531" s="82" t="s">
        <v>297</v>
      </c>
      <c r="G531" s="29">
        <v>2270</v>
      </c>
      <c r="H531" s="29">
        <f t="shared" si="273"/>
        <v>20</v>
      </c>
      <c r="I531" s="26" t="s">
        <v>8</v>
      </c>
      <c r="J531" s="26" t="s">
        <v>17</v>
      </c>
      <c r="K531" s="26">
        <f t="shared" si="288"/>
        <v>0</v>
      </c>
      <c r="L531" s="42">
        <v>7</v>
      </c>
      <c r="M531" s="42">
        <v>6</v>
      </c>
      <c r="N531" s="42">
        <v>6</v>
      </c>
      <c r="O531" s="83">
        <v>6</v>
      </c>
      <c r="P531" s="83">
        <v>6</v>
      </c>
      <c r="Q531" s="83">
        <v>6</v>
      </c>
      <c r="R531" s="83">
        <v>5</v>
      </c>
      <c r="S531" s="83">
        <v>5</v>
      </c>
      <c r="T531" s="83">
        <v>8</v>
      </c>
      <c r="U531" s="83">
        <v>8</v>
      </c>
      <c r="V531" s="42"/>
      <c r="W531" s="42"/>
      <c r="X531" s="42"/>
      <c r="Y531" s="26">
        <v>297</v>
      </c>
      <c r="Z531" s="26">
        <f t="shared" si="274"/>
        <v>0</v>
      </c>
      <c r="AA531" s="82" t="s">
        <v>35</v>
      </c>
      <c r="AB531" s="111">
        <f t="shared" si="275"/>
        <v>4</v>
      </c>
      <c r="AC531" s="82" t="s">
        <v>2072</v>
      </c>
      <c r="AD531" s="84">
        <f t="shared" si="285"/>
        <v>19776.515151515152</v>
      </c>
      <c r="AE531" s="140"/>
      <c r="AF531" s="113">
        <f t="shared" si="271"/>
        <v>0</v>
      </c>
      <c r="AG531" s="26">
        <v>2027</v>
      </c>
      <c r="AH531" s="26" t="str">
        <f t="shared" si="289"/>
        <v/>
      </c>
      <c r="AI531" s="26" t="str">
        <f t="shared" si="278"/>
        <v/>
      </c>
      <c r="AJ531" s="26" t="str">
        <f t="shared" si="280"/>
        <v/>
      </c>
      <c r="AK531" s="26" t="str">
        <f t="shared" si="290"/>
        <v/>
      </c>
      <c r="AL531" s="26" t="str">
        <f t="shared" si="290"/>
        <v/>
      </c>
      <c r="AM531" s="26" t="str">
        <f t="shared" si="290"/>
        <v>Chip Seal - Triple</v>
      </c>
      <c r="AN531" s="26" t="str">
        <f t="shared" si="270"/>
        <v>Chip Seal - Triple</v>
      </c>
      <c r="AO531" s="26" t="str">
        <f t="shared" si="281"/>
        <v>Chip Seal and Fog</v>
      </c>
      <c r="AP531" s="26" t="str">
        <f t="shared" si="291"/>
        <v/>
      </c>
      <c r="AQ531" s="68">
        <f t="shared" si="276"/>
        <v>8</v>
      </c>
      <c r="AR531" s="68">
        <f t="shared" si="277"/>
        <v>8</v>
      </c>
      <c r="AS531" s="68">
        <f t="shared" si="292"/>
        <v>1.05</v>
      </c>
      <c r="AT531" s="68">
        <f t="shared" si="293"/>
        <v>1.1000000000000001</v>
      </c>
      <c r="AU531" s="68">
        <f t="shared" si="294"/>
        <v>1.1000000000000001</v>
      </c>
      <c r="AV531" s="68">
        <f t="shared" si="295"/>
        <v>1.1000000000000001</v>
      </c>
      <c r="AW531" s="68">
        <f t="shared" si="296"/>
        <v>1.1000000000000001</v>
      </c>
      <c r="AX531" s="68">
        <f t="shared" ca="1" si="297"/>
        <v>3.3000000000000003</v>
      </c>
      <c r="AY531" s="68">
        <v>2021</v>
      </c>
      <c r="AZ531" s="68" t="s">
        <v>13</v>
      </c>
      <c r="BA531" s="106" t="str">
        <f t="shared" si="286"/>
        <v/>
      </c>
      <c r="BB531" s="178">
        <v>42</v>
      </c>
      <c r="BC531" s="178">
        <v>5</v>
      </c>
      <c r="BD531" s="178"/>
      <c r="BE531" s="178"/>
      <c r="BF531" s="178"/>
      <c r="BG531" s="178"/>
      <c r="BH531" s="178"/>
      <c r="BI531" s="33"/>
      <c r="BK531" s="48">
        <f>$G531/5280*VLOOKUP($AC531,'Cost and Score'!$B$27:$O$40,6,0)</f>
        <v>0.25795454545454544</v>
      </c>
      <c r="BL531" s="48">
        <f>$G531/5280*VLOOKUP($AC531,'Cost and Score'!$B$27:$O$40,7,0)</f>
        <v>53.740530303030305</v>
      </c>
      <c r="BM531" s="48">
        <f>$G531/5280*VLOOKUP($AC531,'Cost and Score'!$B$27:$O$40,8,0)</f>
        <v>85.984848484848484</v>
      </c>
      <c r="BN531" s="48">
        <f>$G531/5280*VLOOKUP($AC531,'Cost and Score'!$B$27:$O$40,9,0)</f>
        <v>859.84848484848487</v>
      </c>
      <c r="BO531" s="48">
        <f>$G531/5280*VLOOKUP($AC531,'Cost and Score'!$B$27:$O$40,10,0)</f>
        <v>214.96212121212122</v>
      </c>
      <c r="BP531" s="48">
        <f>$G531/5280*VLOOKUP($AC531,'Cost and Score'!$B$27:$O$40,11,0)</f>
        <v>42.992424242424242</v>
      </c>
      <c r="BQ531" s="48">
        <f>$G531/5280*VLOOKUP($AC531,'Cost and Score'!$B$27:$O$40,12,0)</f>
        <v>343.93939393939394</v>
      </c>
      <c r="BR531" s="48">
        <f>$G531/5280*VLOOKUP($AC531,'Cost and Score'!$B$27:$O$40,13,0)</f>
        <v>34.393939393939391</v>
      </c>
      <c r="BS531" s="48">
        <f>$G531/5280*VLOOKUP($AC531,'Cost and Score'!$B$27:$O$40,14,0)</f>
        <v>0</v>
      </c>
      <c r="BT531" s="220">
        <f t="shared" si="287"/>
        <v>0.42992424242424243</v>
      </c>
      <c r="CN531" s="112"/>
      <c r="CO531" s="112"/>
      <c r="CP531" s="112"/>
      <c r="CQ531" s="112"/>
      <c r="CV531" s="112"/>
    </row>
    <row r="532" spans="1:103" s="2" customFormat="1" ht="14.45" hidden="1" customHeight="1" x14ac:dyDescent="0.25">
      <c r="A532" s="38" t="s">
        <v>2189</v>
      </c>
      <c r="B532" s="34" t="s">
        <v>1125</v>
      </c>
      <c r="C532" s="26" t="s">
        <v>1125</v>
      </c>
      <c r="D532" s="82"/>
      <c r="E532" s="82" t="s">
        <v>1126</v>
      </c>
      <c r="F532" s="82" t="s">
        <v>1047</v>
      </c>
      <c r="G532" s="29">
        <v>865</v>
      </c>
      <c r="H532" s="29">
        <f t="shared" si="273"/>
        <v>20</v>
      </c>
      <c r="I532" s="26" t="s">
        <v>8</v>
      </c>
      <c r="J532" s="26" t="s">
        <v>17</v>
      </c>
      <c r="K532" s="26">
        <f t="shared" si="288"/>
        <v>0</v>
      </c>
      <c r="L532" s="42">
        <v>6</v>
      </c>
      <c r="M532" s="42">
        <v>6</v>
      </c>
      <c r="N532" s="42">
        <v>6</v>
      </c>
      <c r="O532" s="83">
        <v>8</v>
      </c>
      <c r="P532" s="83">
        <v>8</v>
      </c>
      <c r="Q532" s="83">
        <v>8</v>
      </c>
      <c r="R532" s="83">
        <v>8</v>
      </c>
      <c r="S532" s="83">
        <v>7</v>
      </c>
      <c r="T532" s="83">
        <v>7</v>
      </c>
      <c r="U532" s="83">
        <v>7</v>
      </c>
      <c r="V532" s="42"/>
      <c r="W532" s="42"/>
      <c r="X532" s="42"/>
      <c r="Y532" s="26">
        <v>478</v>
      </c>
      <c r="Z532" s="26">
        <f t="shared" si="274"/>
        <v>0</v>
      </c>
      <c r="AA532" s="82" t="s">
        <v>35</v>
      </c>
      <c r="AB532" s="111">
        <f t="shared" si="275"/>
        <v>2</v>
      </c>
      <c r="AC532" s="82" t="s">
        <v>13</v>
      </c>
      <c r="AD532" s="84">
        <f t="shared" si="285"/>
        <v>3440.340909090909</v>
      </c>
      <c r="AE532" s="140">
        <v>1</v>
      </c>
      <c r="AF532" s="113">
        <f t="shared" si="271"/>
        <v>3440.340909090909</v>
      </c>
      <c r="AG532" s="82">
        <v>2023</v>
      </c>
      <c r="AH532" s="26" t="str">
        <f t="shared" si="289"/>
        <v/>
      </c>
      <c r="AI532" s="26" t="str">
        <f t="shared" si="278"/>
        <v>Chip Seal and Fog</v>
      </c>
      <c r="AJ532" s="26" t="str">
        <f t="shared" si="280"/>
        <v/>
      </c>
      <c r="AK532" s="26" t="str">
        <f t="shared" si="290"/>
        <v/>
      </c>
      <c r="AL532" s="26" t="str">
        <f t="shared" si="290"/>
        <v/>
      </c>
      <c r="AM532" s="26" t="str">
        <f t="shared" si="290"/>
        <v/>
      </c>
      <c r="AN532" s="26" t="str">
        <f t="shared" si="270"/>
        <v>Chip Seal and Fog</v>
      </c>
      <c r="AO532" s="26" t="str">
        <f t="shared" si="281"/>
        <v/>
      </c>
      <c r="AP532" s="26" t="str">
        <f t="shared" si="291"/>
        <v/>
      </c>
      <c r="AQ532" s="68">
        <f t="shared" si="276"/>
        <v>12</v>
      </c>
      <c r="AR532" s="68">
        <f t="shared" si="277"/>
        <v>6</v>
      </c>
      <c r="AS532" s="68">
        <f t="shared" si="292"/>
        <v>1.1000000000000001</v>
      </c>
      <c r="AT532" s="68">
        <f t="shared" si="293"/>
        <v>1.1000000000000001</v>
      </c>
      <c r="AU532" s="68">
        <f t="shared" si="294"/>
        <v>1.1000000000000001</v>
      </c>
      <c r="AV532" s="68">
        <f t="shared" si="295"/>
        <v>1</v>
      </c>
      <c r="AW532" s="68">
        <f t="shared" si="296"/>
        <v>1</v>
      </c>
      <c r="AX532" s="68">
        <f t="shared" ca="1" si="297"/>
        <v>-1.1000000000000001</v>
      </c>
      <c r="AY532" s="68">
        <v>2023</v>
      </c>
      <c r="AZ532" s="68" t="s">
        <v>13</v>
      </c>
      <c r="BA532" s="106" t="str">
        <f t="shared" si="286"/>
        <v/>
      </c>
      <c r="BB532" s="178"/>
      <c r="BC532" s="178">
        <v>5</v>
      </c>
      <c r="BD532" s="178"/>
      <c r="BE532" s="178"/>
      <c r="BF532" s="178"/>
      <c r="BG532" s="178"/>
      <c r="BH532" s="178"/>
      <c r="BI532" s="33"/>
      <c r="BK532" s="48">
        <f>$G532/5280*VLOOKUP($AC532,'Cost and Score'!$B$27:$O$40,6,0)</f>
        <v>3.2765151515151518E-2</v>
      </c>
      <c r="BL532" s="48">
        <f>$G532/5280*VLOOKUP($AC532,'Cost and Score'!$B$27:$O$40,7,0)</f>
        <v>3.6041666666666665</v>
      </c>
      <c r="BM532" s="48">
        <f>$G532/5280*VLOOKUP($AC532,'Cost and Score'!$B$27:$O$40,8,0)</f>
        <v>0</v>
      </c>
      <c r="BN532" s="48">
        <f>$G532/5280*VLOOKUP($AC532,'Cost and Score'!$B$27:$O$40,9,0)</f>
        <v>737.21590909090901</v>
      </c>
      <c r="BO532" s="48">
        <f>$G532/5280*VLOOKUP($AC532,'Cost and Score'!$B$27:$O$40,10,0)</f>
        <v>163.82575757575756</v>
      </c>
      <c r="BP532" s="48">
        <f>$G532/5280*VLOOKUP($AC532,'Cost and Score'!$B$27:$O$40,11,0)</f>
        <v>0</v>
      </c>
      <c r="BQ532" s="48">
        <f>$G532/5280*VLOOKUP($AC532,'Cost and Score'!$B$27:$O$40,12,0)</f>
        <v>16.382575757575758</v>
      </c>
      <c r="BR532" s="48">
        <f>$G532/5280*VLOOKUP($AC532,'Cost and Score'!$B$27:$O$40,13,0)</f>
        <v>19.659090909090907</v>
      </c>
      <c r="BS532" s="48">
        <f>$G532/5280*VLOOKUP($AC532,'Cost and Score'!$B$27:$O$40,14,0)</f>
        <v>0</v>
      </c>
      <c r="BT532" s="220">
        <f t="shared" si="287"/>
        <v>0.16382575757575757</v>
      </c>
    </row>
    <row r="533" spans="1:103" s="2" customFormat="1" ht="14.45" hidden="1" customHeight="1" x14ac:dyDescent="0.25">
      <c r="A533" s="38" t="s">
        <v>1128</v>
      </c>
      <c r="B533" s="34" t="s">
        <v>1127</v>
      </c>
      <c r="C533" s="26" t="s">
        <v>1127</v>
      </c>
      <c r="D533" s="82"/>
      <c r="E533" s="82" t="s">
        <v>288</v>
      </c>
      <c r="F533" s="82" t="s">
        <v>44</v>
      </c>
      <c r="G533" s="29">
        <v>1225</v>
      </c>
      <c r="H533" s="29">
        <f t="shared" si="273"/>
        <v>20</v>
      </c>
      <c r="I533" s="26" t="s">
        <v>8</v>
      </c>
      <c r="J533" s="26" t="s">
        <v>17</v>
      </c>
      <c r="K533" s="26">
        <f t="shared" si="288"/>
        <v>0</v>
      </c>
      <c r="L533" s="42">
        <v>6</v>
      </c>
      <c r="M533" s="42">
        <v>6</v>
      </c>
      <c r="N533" s="42">
        <v>6</v>
      </c>
      <c r="O533" s="83">
        <v>5</v>
      </c>
      <c r="P533" s="83">
        <v>5</v>
      </c>
      <c r="Q533" s="83">
        <v>9</v>
      </c>
      <c r="R533" s="83">
        <v>8</v>
      </c>
      <c r="S533" s="83">
        <v>7</v>
      </c>
      <c r="T533" s="83">
        <v>7</v>
      </c>
      <c r="U533" s="83">
        <v>7</v>
      </c>
      <c r="V533" s="42"/>
      <c r="W533" s="42"/>
      <c r="X533" s="42"/>
      <c r="Y533" s="26">
        <v>290</v>
      </c>
      <c r="Z533" s="26">
        <f t="shared" si="274"/>
        <v>0</v>
      </c>
      <c r="AA533" s="82" t="s">
        <v>35</v>
      </c>
      <c r="AB533" s="111">
        <f t="shared" si="275"/>
        <v>5</v>
      </c>
      <c r="AC533" s="85" t="s">
        <v>13</v>
      </c>
      <c r="AD533" s="84">
        <f t="shared" si="285"/>
        <v>4872.159090909091</v>
      </c>
      <c r="AE533" s="140">
        <v>1</v>
      </c>
      <c r="AF533" s="113">
        <f t="shared" si="271"/>
        <v>4872.159090909091</v>
      </c>
      <c r="AG533" s="26">
        <v>2024</v>
      </c>
      <c r="AH533" s="26" t="str">
        <f t="shared" si="289"/>
        <v/>
      </c>
      <c r="AI533" s="26" t="str">
        <f t="shared" si="278"/>
        <v/>
      </c>
      <c r="AJ533" s="26" t="str">
        <f t="shared" si="280"/>
        <v>Chip Seal and Fog</v>
      </c>
      <c r="AK533" s="26" t="str">
        <f t="shared" si="290"/>
        <v/>
      </c>
      <c r="AL533" s="26" t="str">
        <f t="shared" si="290"/>
        <v/>
      </c>
      <c r="AM533" s="26" t="str">
        <f t="shared" si="290"/>
        <v/>
      </c>
      <c r="AN533" s="26" t="str">
        <f t="shared" ref="AN533:AN596" si="298">VLOOKUP($AC533,RSL,3,FALSE)</f>
        <v>Chip Seal and Fog</v>
      </c>
      <c r="AO533" s="26" t="str">
        <f t="shared" si="281"/>
        <v/>
      </c>
      <c r="AP533" s="26" t="str">
        <f t="shared" si="291"/>
        <v/>
      </c>
      <c r="AQ533" s="68">
        <f t="shared" si="276"/>
        <v>6</v>
      </c>
      <c r="AR533" s="68">
        <f t="shared" si="277"/>
        <v>6</v>
      </c>
      <c r="AS533" s="68">
        <f t="shared" si="292"/>
        <v>1.1000000000000001</v>
      </c>
      <c r="AT533" s="68">
        <f t="shared" si="293"/>
        <v>1.1000000000000001</v>
      </c>
      <c r="AU533" s="68">
        <f t="shared" si="294"/>
        <v>1.1000000000000001</v>
      </c>
      <c r="AV533" s="68">
        <f t="shared" si="295"/>
        <v>1.25</v>
      </c>
      <c r="AW533" s="68">
        <f t="shared" si="296"/>
        <v>1.25</v>
      </c>
      <c r="AX533" s="68">
        <f t="shared" ca="1" si="297"/>
        <v>0</v>
      </c>
      <c r="AY533" s="68">
        <v>2018</v>
      </c>
      <c r="AZ533" s="68" t="s">
        <v>751</v>
      </c>
      <c r="BA533" s="106" t="str">
        <f t="shared" si="286"/>
        <v>P</v>
      </c>
      <c r="BB533" s="178"/>
      <c r="BC533" s="178">
        <v>5</v>
      </c>
      <c r="BD533" s="178"/>
      <c r="BE533" s="178"/>
      <c r="BF533" s="178"/>
      <c r="BG533" s="178"/>
      <c r="BH533" s="178"/>
      <c r="BI533" s="33"/>
      <c r="BK533" s="48">
        <f>$G533/5280*VLOOKUP($AC533,'Cost and Score'!$B$27:$O$40,6,0)</f>
        <v>4.6401515151515152E-2</v>
      </c>
      <c r="BL533" s="48">
        <f>$G533/5280*VLOOKUP($AC533,'Cost and Score'!$B$27:$O$40,7,0)</f>
        <v>5.1041666666666661</v>
      </c>
      <c r="BM533" s="48">
        <f>$G533/5280*VLOOKUP($AC533,'Cost and Score'!$B$27:$O$40,8,0)</f>
        <v>0</v>
      </c>
      <c r="BN533" s="48">
        <f>$G533/5280*VLOOKUP($AC533,'Cost and Score'!$B$27:$O$40,9,0)</f>
        <v>1044.0340909090908</v>
      </c>
      <c r="BO533" s="48">
        <f>$G533/5280*VLOOKUP($AC533,'Cost and Score'!$B$27:$O$40,10,0)</f>
        <v>232.00757575757575</v>
      </c>
      <c r="BP533" s="48">
        <f>$G533/5280*VLOOKUP($AC533,'Cost and Score'!$B$27:$O$40,11,0)</f>
        <v>0</v>
      </c>
      <c r="BQ533" s="48">
        <f>$G533/5280*VLOOKUP($AC533,'Cost and Score'!$B$27:$O$40,12,0)</f>
        <v>23.200757575757574</v>
      </c>
      <c r="BR533" s="48">
        <f>$G533/5280*VLOOKUP($AC533,'Cost and Score'!$B$27:$O$40,13,0)</f>
        <v>27.84090909090909</v>
      </c>
      <c r="BS533" s="48">
        <f>$G533/5280*VLOOKUP($AC533,'Cost and Score'!$B$27:$O$40,14,0)</f>
        <v>0</v>
      </c>
      <c r="BT533" s="220">
        <f t="shared" si="287"/>
        <v>0.23200757575757575</v>
      </c>
      <c r="CN533" s="112"/>
      <c r="CO533" s="112"/>
      <c r="CP533" s="112"/>
      <c r="CQ533" s="112"/>
      <c r="CW533" s="112"/>
      <c r="CX533" s="112"/>
      <c r="CY533" s="112"/>
    </row>
    <row r="534" spans="1:103" s="2" customFormat="1" ht="14.45" hidden="1" customHeight="1" x14ac:dyDescent="0.25">
      <c r="A534" s="36" t="s">
        <v>2187</v>
      </c>
      <c r="B534" s="34" t="s">
        <v>1129</v>
      </c>
      <c r="C534" s="26" t="s">
        <v>1129</v>
      </c>
      <c r="D534" s="26"/>
      <c r="E534" s="26" t="s">
        <v>73</v>
      </c>
      <c r="F534" s="26" t="s">
        <v>1126</v>
      </c>
      <c r="G534" s="29">
        <v>1076</v>
      </c>
      <c r="H534" s="29">
        <f t="shared" si="273"/>
        <v>20</v>
      </c>
      <c r="I534" s="26" t="s">
        <v>8</v>
      </c>
      <c r="J534" s="26" t="s">
        <v>17</v>
      </c>
      <c r="K534" s="26">
        <f t="shared" si="288"/>
        <v>0</v>
      </c>
      <c r="L534" s="42">
        <v>5</v>
      </c>
      <c r="M534" s="42">
        <v>6</v>
      </c>
      <c r="N534" s="42">
        <v>8</v>
      </c>
      <c r="O534" s="42">
        <v>8</v>
      </c>
      <c r="P534" s="42">
        <v>8</v>
      </c>
      <c r="Q534" s="42">
        <v>8</v>
      </c>
      <c r="R534" s="42">
        <v>8</v>
      </c>
      <c r="S534" s="42">
        <v>7</v>
      </c>
      <c r="T534" s="42">
        <v>7</v>
      </c>
      <c r="U534" s="42">
        <v>7</v>
      </c>
      <c r="V534" s="42"/>
      <c r="W534" s="42"/>
      <c r="X534" s="42"/>
      <c r="Y534" s="26">
        <v>478</v>
      </c>
      <c r="Z534" s="26">
        <f t="shared" si="274"/>
        <v>0</v>
      </c>
      <c r="AA534" s="26" t="s">
        <v>35</v>
      </c>
      <c r="AB534" s="111">
        <f t="shared" si="275"/>
        <v>2</v>
      </c>
      <c r="AC534" s="26" t="s">
        <v>13</v>
      </c>
      <c r="AD534" s="47">
        <f t="shared" si="285"/>
        <v>4279.545454545455</v>
      </c>
      <c r="AE534" s="140">
        <v>1</v>
      </c>
      <c r="AF534" s="113">
        <f t="shared" si="271"/>
        <v>4279.545454545455</v>
      </c>
      <c r="AG534" s="26">
        <v>2023</v>
      </c>
      <c r="AH534" s="26" t="str">
        <f t="shared" si="289"/>
        <v/>
      </c>
      <c r="AI534" s="26" t="str">
        <f t="shared" si="278"/>
        <v>Chip Seal and Fog</v>
      </c>
      <c r="AJ534" s="26" t="str">
        <f t="shared" si="280"/>
        <v/>
      </c>
      <c r="AK534" s="26" t="str">
        <f t="shared" si="290"/>
        <v/>
      </c>
      <c r="AL534" s="26" t="str">
        <f t="shared" si="290"/>
        <v/>
      </c>
      <c r="AM534" s="26" t="str">
        <f t="shared" si="290"/>
        <v/>
      </c>
      <c r="AN534" s="26" t="str">
        <f t="shared" si="298"/>
        <v>Chip Seal and Fog</v>
      </c>
      <c r="AO534" s="26" t="str">
        <f t="shared" si="281"/>
        <v/>
      </c>
      <c r="AP534" s="26" t="str">
        <f t="shared" si="291"/>
        <v/>
      </c>
      <c r="AQ534" s="68">
        <f t="shared" si="276"/>
        <v>12</v>
      </c>
      <c r="AR534" s="68">
        <f t="shared" si="277"/>
        <v>6</v>
      </c>
      <c r="AS534" s="68">
        <f t="shared" si="292"/>
        <v>1.25</v>
      </c>
      <c r="AT534" s="68">
        <f t="shared" si="293"/>
        <v>1.1000000000000001</v>
      </c>
      <c r="AU534" s="68">
        <f t="shared" si="294"/>
        <v>1</v>
      </c>
      <c r="AV534" s="68">
        <f t="shared" si="295"/>
        <v>1</v>
      </c>
      <c r="AW534" s="68">
        <f t="shared" si="296"/>
        <v>1</v>
      </c>
      <c r="AX534" s="68">
        <f t="shared" ca="1" si="297"/>
        <v>-1</v>
      </c>
      <c r="AY534" s="68">
        <v>2023</v>
      </c>
      <c r="AZ534" s="68" t="s">
        <v>13</v>
      </c>
      <c r="BA534" s="106" t="str">
        <f t="shared" si="286"/>
        <v/>
      </c>
      <c r="BB534" s="178"/>
      <c r="BC534" s="178">
        <v>5</v>
      </c>
      <c r="BD534" s="178"/>
      <c r="BE534" s="178"/>
      <c r="BF534" s="178"/>
      <c r="BG534" s="178"/>
      <c r="BH534" s="178"/>
      <c r="BI534" s="33"/>
      <c r="BK534" s="48">
        <f>$G534/5280*VLOOKUP($AC534,'Cost and Score'!$B$27:$O$40,6,0)</f>
        <v>4.0757575757575763E-2</v>
      </c>
      <c r="BL534" s="48">
        <f>$G534/5280*VLOOKUP($AC534,'Cost and Score'!$B$27:$O$40,7,0)</f>
        <v>4.4833333333333334</v>
      </c>
      <c r="BM534" s="48">
        <f>$G534/5280*VLOOKUP($AC534,'Cost and Score'!$B$27:$O$40,8,0)</f>
        <v>0</v>
      </c>
      <c r="BN534" s="48">
        <f>$G534/5280*VLOOKUP($AC534,'Cost and Score'!$B$27:$O$40,9,0)</f>
        <v>917.04545454545462</v>
      </c>
      <c r="BO534" s="48">
        <f>$G534/5280*VLOOKUP($AC534,'Cost and Score'!$B$27:$O$40,10,0)</f>
        <v>203.78787878787878</v>
      </c>
      <c r="BP534" s="48">
        <f>$G534/5280*VLOOKUP($AC534,'Cost and Score'!$B$27:$O$40,11,0)</f>
        <v>0</v>
      </c>
      <c r="BQ534" s="48">
        <f>$G534/5280*VLOOKUP($AC534,'Cost and Score'!$B$27:$O$40,12,0)</f>
        <v>20.378787878787879</v>
      </c>
      <c r="BR534" s="48">
        <f>$G534/5280*VLOOKUP($AC534,'Cost and Score'!$B$27:$O$40,13,0)</f>
        <v>24.454545454545457</v>
      </c>
      <c r="BS534" s="48">
        <f>$G534/5280*VLOOKUP($AC534,'Cost and Score'!$B$27:$O$40,14,0)</f>
        <v>0</v>
      </c>
      <c r="BT534" s="220">
        <f t="shared" si="287"/>
        <v>0.2037878787878788</v>
      </c>
      <c r="CW534" s="112"/>
      <c r="CX534" s="112"/>
      <c r="CY534" s="112"/>
    </row>
    <row r="535" spans="1:103" s="2" customFormat="1" ht="14.45" customHeight="1" x14ac:dyDescent="0.25">
      <c r="A535" s="38" t="s">
        <v>1251</v>
      </c>
      <c r="B535" s="34" t="s">
        <v>1250</v>
      </c>
      <c r="C535" s="26" t="s">
        <v>1250</v>
      </c>
      <c r="D535" s="82"/>
      <c r="E535" s="82" t="s">
        <v>504</v>
      </c>
      <c r="F535" s="82" t="s">
        <v>504</v>
      </c>
      <c r="G535" s="29">
        <v>894</v>
      </c>
      <c r="H535" s="29">
        <f t="shared" si="273"/>
        <v>20</v>
      </c>
      <c r="I535" s="26" t="s">
        <v>13</v>
      </c>
      <c r="J535" s="26" t="s">
        <v>62</v>
      </c>
      <c r="K535" s="26">
        <f t="shared" si="288"/>
        <v>0</v>
      </c>
      <c r="L535" s="42">
        <v>6</v>
      </c>
      <c r="M535" s="42">
        <v>6</v>
      </c>
      <c r="N535" s="42">
        <v>6</v>
      </c>
      <c r="O535" s="83">
        <v>6</v>
      </c>
      <c r="P535" s="83">
        <v>5</v>
      </c>
      <c r="Q535" s="83">
        <v>5</v>
      </c>
      <c r="R535" s="83">
        <v>9</v>
      </c>
      <c r="S535" s="83">
        <v>8</v>
      </c>
      <c r="T535" s="83">
        <v>7</v>
      </c>
      <c r="U535" s="83">
        <v>7</v>
      </c>
      <c r="V535" s="42"/>
      <c r="W535" s="42"/>
      <c r="X535" s="42"/>
      <c r="Y535" s="26">
        <v>50</v>
      </c>
      <c r="Z535" s="26">
        <f t="shared" si="274"/>
        <v>0</v>
      </c>
      <c r="AA535" s="82" t="s">
        <v>910</v>
      </c>
      <c r="AB535" s="111">
        <f t="shared" si="275"/>
        <v>5</v>
      </c>
      <c r="AC535" s="85" t="s">
        <v>13</v>
      </c>
      <c r="AD535" s="84">
        <f t="shared" si="285"/>
        <v>3555.681818181818</v>
      </c>
      <c r="AE535" s="140"/>
      <c r="AF535" s="113">
        <f t="shared" si="271"/>
        <v>0</v>
      </c>
      <c r="AG535" s="106">
        <v>2025</v>
      </c>
      <c r="AH535" s="26" t="str">
        <f t="shared" si="289"/>
        <v/>
      </c>
      <c r="AI535" s="26" t="str">
        <f t="shared" si="278"/>
        <v/>
      </c>
      <c r="AJ535" s="26" t="str">
        <f t="shared" si="280"/>
        <v/>
      </c>
      <c r="AK535" s="26" t="str">
        <f t="shared" si="290"/>
        <v>Chip Seal and Fog</v>
      </c>
      <c r="AL535" s="26" t="str">
        <f t="shared" si="290"/>
        <v/>
      </c>
      <c r="AM535" s="26" t="str">
        <f t="shared" si="290"/>
        <v/>
      </c>
      <c r="AN535" s="26" t="str">
        <f t="shared" si="298"/>
        <v>Chip Seal and Fog</v>
      </c>
      <c r="AO535" s="26" t="str">
        <f t="shared" si="281"/>
        <v/>
      </c>
      <c r="AP535" s="26" t="str">
        <f t="shared" si="291"/>
        <v/>
      </c>
      <c r="AQ535" s="68">
        <f t="shared" si="276"/>
        <v>8</v>
      </c>
      <c r="AR535" s="68">
        <f t="shared" si="277"/>
        <v>6</v>
      </c>
      <c r="AS535" s="68">
        <f t="shared" si="292"/>
        <v>1.1000000000000001</v>
      </c>
      <c r="AT535" s="68">
        <f t="shared" si="293"/>
        <v>1.1000000000000001</v>
      </c>
      <c r="AU535" s="68">
        <f t="shared" si="294"/>
        <v>1.1000000000000001</v>
      </c>
      <c r="AV535" s="68">
        <f t="shared" si="295"/>
        <v>1.1000000000000001</v>
      </c>
      <c r="AW535" s="68">
        <f t="shared" si="296"/>
        <v>1.25</v>
      </c>
      <c r="AX535" s="68">
        <f t="shared" ca="1" si="297"/>
        <v>1.1000000000000001</v>
      </c>
      <c r="AY535" s="68">
        <v>2019</v>
      </c>
      <c r="AZ535" s="68" t="s">
        <v>751</v>
      </c>
      <c r="BA535" s="106" t="str">
        <f t="shared" si="286"/>
        <v/>
      </c>
      <c r="BB535" s="178">
        <v>55</v>
      </c>
      <c r="BC535" s="178">
        <v>4</v>
      </c>
      <c r="BD535" s="178"/>
      <c r="BE535" s="178"/>
      <c r="BF535" s="178"/>
      <c r="BG535" s="178"/>
      <c r="BH535" s="178"/>
      <c r="BI535" s="33"/>
      <c r="BK535" s="48">
        <f>$G535/5280*VLOOKUP($AC535,'Cost and Score'!$B$27:$O$40,6,0)</f>
        <v>3.3863636363636367E-2</v>
      </c>
      <c r="BL535" s="48">
        <f>$G535/5280*VLOOKUP($AC535,'Cost and Score'!$B$27:$O$40,7,0)</f>
        <v>3.7249999999999996</v>
      </c>
      <c r="BM535" s="48">
        <f>$G535/5280*VLOOKUP($AC535,'Cost and Score'!$B$27:$O$40,8,0)</f>
        <v>0</v>
      </c>
      <c r="BN535" s="48">
        <f>$G535/5280*VLOOKUP($AC535,'Cost and Score'!$B$27:$O$40,9,0)</f>
        <v>761.93181818181813</v>
      </c>
      <c r="BO535" s="48">
        <f>$G535/5280*VLOOKUP($AC535,'Cost and Score'!$B$27:$O$40,10,0)</f>
        <v>169.31818181818181</v>
      </c>
      <c r="BP535" s="48">
        <f>$G535/5280*VLOOKUP($AC535,'Cost and Score'!$B$27:$O$40,11,0)</f>
        <v>0</v>
      </c>
      <c r="BQ535" s="48">
        <f>$G535/5280*VLOOKUP($AC535,'Cost and Score'!$B$27:$O$40,12,0)</f>
        <v>16.93181818181818</v>
      </c>
      <c r="BR535" s="48">
        <f>$G535/5280*VLOOKUP($AC535,'Cost and Score'!$B$27:$O$40,13,0)</f>
        <v>20.318181818181817</v>
      </c>
      <c r="BS535" s="48">
        <f>$G535/5280*VLOOKUP($AC535,'Cost and Score'!$B$27:$O$40,14,0)</f>
        <v>0</v>
      </c>
      <c r="BT535" s="220">
        <f t="shared" si="287"/>
        <v>0.16931818181818181</v>
      </c>
    </row>
    <row r="536" spans="1:103" s="2" customFormat="1" ht="14.45" hidden="1" customHeight="1" x14ac:dyDescent="0.25">
      <c r="A536" s="38" t="s">
        <v>1134</v>
      </c>
      <c r="B536" s="34" t="s">
        <v>1133</v>
      </c>
      <c r="C536" s="26" t="s">
        <v>1133</v>
      </c>
      <c r="D536" s="82"/>
      <c r="E536" s="82" t="s">
        <v>20</v>
      </c>
      <c r="F536" s="82" t="s">
        <v>281</v>
      </c>
      <c r="G536" s="29">
        <v>2677</v>
      </c>
      <c r="H536" s="29">
        <f t="shared" si="273"/>
        <v>20</v>
      </c>
      <c r="I536" s="26" t="s">
        <v>8</v>
      </c>
      <c r="J536" s="26" t="s">
        <v>17</v>
      </c>
      <c r="K536" s="26">
        <f t="shared" si="288"/>
        <v>0</v>
      </c>
      <c r="L536" s="42">
        <v>5</v>
      </c>
      <c r="M536" s="42">
        <v>7</v>
      </c>
      <c r="N536" s="42">
        <v>7</v>
      </c>
      <c r="O536" s="83">
        <v>7</v>
      </c>
      <c r="P536" s="83">
        <v>7</v>
      </c>
      <c r="Q536" s="83">
        <v>7</v>
      </c>
      <c r="R536" s="83">
        <v>7</v>
      </c>
      <c r="S536" s="83">
        <v>6</v>
      </c>
      <c r="T536" s="83">
        <v>8</v>
      </c>
      <c r="U536" s="83">
        <v>8</v>
      </c>
      <c r="V536" s="42"/>
      <c r="W536" s="42"/>
      <c r="X536" s="42"/>
      <c r="Y536" s="26">
        <v>100</v>
      </c>
      <c r="Z536" s="26">
        <f t="shared" si="274"/>
        <v>0</v>
      </c>
      <c r="AA536" s="82" t="s">
        <v>79</v>
      </c>
      <c r="AB536" s="111">
        <f t="shared" si="275"/>
        <v>3</v>
      </c>
      <c r="AC536" s="82" t="s">
        <v>2072</v>
      </c>
      <c r="AD536" s="84">
        <f t="shared" si="285"/>
        <v>23322.348484848484</v>
      </c>
      <c r="AE536" s="140"/>
      <c r="AF536" s="113">
        <f t="shared" ref="AF536:AF599" si="299">AD536*AE536</f>
        <v>0</v>
      </c>
      <c r="AG536" s="26">
        <v>2027</v>
      </c>
      <c r="AH536" s="26" t="str">
        <f t="shared" si="289"/>
        <v/>
      </c>
      <c r="AI536" s="26" t="str">
        <f t="shared" si="278"/>
        <v/>
      </c>
      <c r="AJ536" s="26" t="str">
        <f t="shared" si="280"/>
        <v/>
      </c>
      <c r="AK536" s="26" t="str">
        <f t="shared" si="290"/>
        <v/>
      </c>
      <c r="AL536" s="26" t="str">
        <f t="shared" si="290"/>
        <v/>
      </c>
      <c r="AM536" s="26" t="str">
        <f t="shared" si="290"/>
        <v>Chip Seal - Triple</v>
      </c>
      <c r="AN536" s="26" t="str">
        <f t="shared" si="298"/>
        <v>Chip Seal - Triple</v>
      </c>
      <c r="AO536" s="26" t="str">
        <f t="shared" si="281"/>
        <v>Chip Seal and Fog</v>
      </c>
      <c r="AP536" s="26" t="str">
        <f t="shared" si="291"/>
        <v/>
      </c>
      <c r="AQ536" s="68">
        <f t="shared" si="276"/>
        <v>10</v>
      </c>
      <c r="AR536" s="68">
        <f t="shared" si="277"/>
        <v>8</v>
      </c>
      <c r="AS536" s="68">
        <f t="shared" si="292"/>
        <v>1.25</v>
      </c>
      <c r="AT536" s="68">
        <f t="shared" si="293"/>
        <v>1.05</v>
      </c>
      <c r="AU536" s="68">
        <f t="shared" si="294"/>
        <v>1.05</v>
      </c>
      <c r="AV536" s="68">
        <f t="shared" si="295"/>
        <v>1.05</v>
      </c>
      <c r="AW536" s="68">
        <f t="shared" si="296"/>
        <v>1.05</v>
      </c>
      <c r="AX536" s="68">
        <f t="shared" ca="1" si="297"/>
        <v>3.1500000000000004</v>
      </c>
      <c r="AY536" s="68">
        <v>2021</v>
      </c>
      <c r="AZ536" s="68" t="s">
        <v>13</v>
      </c>
      <c r="BA536" s="106" t="str">
        <f t="shared" si="286"/>
        <v/>
      </c>
      <c r="BB536" s="178"/>
      <c r="BC536" s="178">
        <v>1</v>
      </c>
      <c r="BD536" s="178"/>
      <c r="BE536" s="178"/>
      <c r="BF536" s="178"/>
      <c r="BG536" s="178"/>
      <c r="BH536" s="178"/>
      <c r="BI536" s="33"/>
      <c r="BK536" s="48">
        <f>$G536/5280*VLOOKUP($AC536,'Cost and Score'!$B$27:$O$40,6,0)</f>
        <v>0.30420454545454539</v>
      </c>
      <c r="BL536" s="48">
        <f>$G536/5280*VLOOKUP($AC536,'Cost and Score'!$B$27:$O$40,7,0)</f>
        <v>63.375946969696962</v>
      </c>
      <c r="BM536" s="48">
        <f>$G536/5280*VLOOKUP($AC536,'Cost and Score'!$B$27:$O$40,8,0)</f>
        <v>101.40151515151514</v>
      </c>
      <c r="BN536" s="48">
        <f>$G536/5280*VLOOKUP($AC536,'Cost and Score'!$B$27:$O$40,9,0)</f>
        <v>1014.0151515151514</v>
      </c>
      <c r="BO536" s="48">
        <f>$G536/5280*VLOOKUP($AC536,'Cost and Score'!$B$27:$O$40,10,0)</f>
        <v>253.50378787878785</v>
      </c>
      <c r="BP536" s="48">
        <f>$G536/5280*VLOOKUP($AC536,'Cost and Score'!$B$27:$O$40,11,0)</f>
        <v>50.700757575757571</v>
      </c>
      <c r="BQ536" s="48">
        <f>$G536/5280*VLOOKUP($AC536,'Cost and Score'!$B$27:$O$40,12,0)</f>
        <v>405.60606060606057</v>
      </c>
      <c r="BR536" s="48">
        <f>$G536/5280*VLOOKUP($AC536,'Cost and Score'!$B$27:$O$40,13,0)</f>
        <v>40.560606060606055</v>
      </c>
      <c r="BS536" s="48">
        <f>$G536/5280*VLOOKUP($AC536,'Cost and Score'!$B$27:$O$40,14,0)</f>
        <v>0</v>
      </c>
      <c r="BT536" s="220">
        <f t="shared" si="287"/>
        <v>0.50700757575757571</v>
      </c>
    </row>
    <row r="537" spans="1:103" s="2" customFormat="1" ht="14.45" hidden="1" customHeight="1" x14ac:dyDescent="0.25">
      <c r="A537" s="38" t="s">
        <v>1136</v>
      </c>
      <c r="B537" s="34" t="s">
        <v>1135</v>
      </c>
      <c r="C537" s="26" t="s">
        <v>1135</v>
      </c>
      <c r="D537" s="82"/>
      <c r="E537" s="82" t="s">
        <v>100</v>
      </c>
      <c r="F537" s="82" t="s">
        <v>99</v>
      </c>
      <c r="G537" s="29">
        <v>5300</v>
      </c>
      <c r="H537" s="29">
        <f t="shared" si="273"/>
        <v>20</v>
      </c>
      <c r="I537" s="26" t="s">
        <v>13</v>
      </c>
      <c r="J537" s="26" t="s">
        <v>172</v>
      </c>
      <c r="K537" s="26">
        <f t="shared" si="288"/>
        <v>0</v>
      </c>
      <c r="L537" s="42">
        <v>4</v>
      </c>
      <c r="M537" s="42">
        <v>7</v>
      </c>
      <c r="N537" s="42">
        <v>7</v>
      </c>
      <c r="O537" s="83">
        <v>7</v>
      </c>
      <c r="P537" s="83">
        <v>6</v>
      </c>
      <c r="Q537" s="83">
        <v>6</v>
      </c>
      <c r="R537" s="83">
        <v>6</v>
      </c>
      <c r="S537" s="83">
        <v>6</v>
      </c>
      <c r="T537" s="83">
        <v>7</v>
      </c>
      <c r="U537" s="83">
        <v>7</v>
      </c>
      <c r="V537" s="42"/>
      <c r="W537" s="42"/>
      <c r="X537" s="42"/>
      <c r="Y537" s="26">
        <v>50</v>
      </c>
      <c r="Z537" s="26">
        <f t="shared" si="274"/>
        <v>0</v>
      </c>
      <c r="AA537" s="82" t="s">
        <v>79</v>
      </c>
      <c r="AB537" s="111">
        <f t="shared" si="275"/>
        <v>4</v>
      </c>
      <c r="AC537" s="85" t="s">
        <v>13</v>
      </c>
      <c r="AD537" s="84">
        <f t="shared" si="285"/>
        <v>21079.545454545456</v>
      </c>
      <c r="AE537" s="140"/>
      <c r="AF537" s="113">
        <f t="shared" si="299"/>
        <v>0</v>
      </c>
      <c r="AG537" s="85">
        <v>2026</v>
      </c>
      <c r="AH537" s="26" t="str">
        <f t="shared" si="289"/>
        <v/>
      </c>
      <c r="AI537" s="26" t="str">
        <f t="shared" si="278"/>
        <v/>
      </c>
      <c r="AJ537" s="26" t="str">
        <f t="shared" si="280"/>
        <v/>
      </c>
      <c r="AK537" s="26" t="str">
        <f t="shared" si="290"/>
        <v/>
      </c>
      <c r="AL537" s="26" t="str">
        <f t="shared" si="290"/>
        <v>Chip Seal and Fog</v>
      </c>
      <c r="AM537" s="26" t="str">
        <f t="shared" si="290"/>
        <v/>
      </c>
      <c r="AN537" s="26" t="str">
        <f t="shared" si="298"/>
        <v>Chip Seal and Fog</v>
      </c>
      <c r="AO537" s="26" t="str">
        <f t="shared" si="281"/>
        <v/>
      </c>
      <c r="AP537" s="26" t="str">
        <f t="shared" si="291"/>
        <v/>
      </c>
      <c r="AQ537" s="68">
        <f t="shared" si="276"/>
        <v>10</v>
      </c>
      <c r="AR537" s="68">
        <f t="shared" si="277"/>
        <v>6</v>
      </c>
      <c r="AS537" s="68">
        <f t="shared" si="292"/>
        <v>1.5</v>
      </c>
      <c r="AT537" s="68">
        <f t="shared" si="293"/>
        <v>1.05</v>
      </c>
      <c r="AU537" s="68">
        <f t="shared" si="294"/>
        <v>1.05</v>
      </c>
      <c r="AV537" s="68">
        <f t="shared" si="295"/>
        <v>1.05</v>
      </c>
      <c r="AW537" s="68">
        <f t="shared" si="296"/>
        <v>1.1000000000000001</v>
      </c>
      <c r="AX537" s="68">
        <f t="shared" ca="1" si="297"/>
        <v>2.1</v>
      </c>
      <c r="AY537" s="68">
        <v>2020</v>
      </c>
      <c r="AZ537" s="68" t="s">
        <v>2072</v>
      </c>
      <c r="BA537" s="106" t="str">
        <f t="shared" si="286"/>
        <v/>
      </c>
      <c r="BB537" s="178"/>
      <c r="BC537" s="178">
        <v>7</v>
      </c>
      <c r="BD537" s="178"/>
      <c r="BE537" s="178"/>
      <c r="BF537" s="178"/>
      <c r="BG537" s="178"/>
      <c r="BH537" s="178"/>
      <c r="BI537" s="33"/>
      <c r="BK537" s="48">
        <f>$G537/5280*VLOOKUP($AC537,'Cost and Score'!$B$27:$O$40,6,0)</f>
        <v>0.2007575757575758</v>
      </c>
      <c r="BL537" s="48">
        <f>$G537/5280*VLOOKUP($AC537,'Cost and Score'!$B$27:$O$40,7,0)</f>
        <v>22.083333333333336</v>
      </c>
      <c r="BM537" s="48">
        <f>$G537/5280*VLOOKUP($AC537,'Cost and Score'!$B$27:$O$40,8,0)</f>
        <v>0</v>
      </c>
      <c r="BN537" s="48">
        <f>$G537/5280*VLOOKUP($AC537,'Cost and Score'!$B$27:$O$40,9,0)</f>
        <v>4517.045454545455</v>
      </c>
      <c r="BO537" s="48">
        <f>$G537/5280*VLOOKUP($AC537,'Cost and Score'!$B$27:$O$40,10,0)</f>
        <v>1003.7878787878789</v>
      </c>
      <c r="BP537" s="48">
        <f>$G537/5280*VLOOKUP($AC537,'Cost and Score'!$B$27:$O$40,11,0)</f>
        <v>0</v>
      </c>
      <c r="BQ537" s="48">
        <f>$G537/5280*VLOOKUP($AC537,'Cost and Score'!$B$27:$O$40,12,0)</f>
        <v>100.37878787878789</v>
      </c>
      <c r="BR537" s="48">
        <f>$G537/5280*VLOOKUP($AC537,'Cost and Score'!$B$27:$O$40,13,0)</f>
        <v>120.45454545454547</v>
      </c>
      <c r="BS537" s="48">
        <f>$G537/5280*VLOOKUP($AC537,'Cost and Score'!$B$27:$O$40,14,0)</f>
        <v>0</v>
      </c>
      <c r="BT537" s="220">
        <f t="shared" si="287"/>
        <v>1.0037878787878789</v>
      </c>
    </row>
    <row r="538" spans="1:103" s="2" customFormat="1" ht="14.45" hidden="1" customHeight="1" x14ac:dyDescent="0.25">
      <c r="A538" s="38" t="s">
        <v>1138</v>
      </c>
      <c r="B538" s="34" t="s">
        <v>1137</v>
      </c>
      <c r="C538" s="26" t="s">
        <v>1137</v>
      </c>
      <c r="D538" s="82"/>
      <c r="E538" s="82" t="s">
        <v>39</v>
      </c>
      <c r="F538" s="82" t="s">
        <v>38</v>
      </c>
      <c r="G538" s="29">
        <v>5300</v>
      </c>
      <c r="H538" s="29">
        <f t="shared" ref="H538:H601" si="300">IF(I538="NC",26,20)</f>
        <v>20</v>
      </c>
      <c r="I538" s="26" t="s">
        <v>8</v>
      </c>
      <c r="J538" s="26" t="s">
        <v>17</v>
      </c>
      <c r="K538" s="26">
        <f t="shared" si="288"/>
        <v>0</v>
      </c>
      <c r="L538" s="42">
        <v>6</v>
      </c>
      <c r="M538" s="42">
        <v>7</v>
      </c>
      <c r="N538" s="42">
        <v>7</v>
      </c>
      <c r="O538" s="83">
        <v>7</v>
      </c>
      <c r="P538" s="83">
        <v>7</v>
      </c>
      <c r="Q538" s="83">
        <v>7</v>
      </c>
      <c r="R538" s="83">
        <v>7</v>
      </c>
      <c r="S538" s="83">
        <v>6</v>
      </c>
      <c r="T538" s="83">
        <v>8</v>
      </c>
      <c r="U538" s="83">
        <v>8</v>
      </c>
      <c r="V538" s="42"/>
      <c r="W538" s="42"/>
      <c r="X538" s="42"/>
      <c r="Y538" s="26">
        <v>145</v>
      </c>
      <c r="Z538" s="26">
        <f t="shared" ref="Z538:Z601" si="301">VLOOKUP(Y538,AADT,2)</f>
        <v>0</v>
      </c>
      <c r="AA538" s="82" t="s">
        <v>79</v>
      </c>
      <c r="AB538" s="111">
        <f t="shared" ref="AB538:AB601" si="302">(10-P538)+Z538+K538</f>
        <v>3</v>
      </c>
      <c r="AC538" s="82" t="s">
        <v>2072</v>
      </c>
      <c r="AD538" s="84">
        <f t="shared" si="285"/>
        <v>46174.242424242424</v>
      </c>
      <c r="AE538" s="140"/>
      <c r="AF538" s="113">
        <f t="shared" si="299"/>
        <v>0</v>
      </c>
      <c r="AG538" s="26">
        <v>2027</v>
      </c>
      <c r="AH538" s="26" t="str">
        <f t="shared" si="289"/>
        <v/>
      </c>
      <c r="AI538" s="26" t="str">
        <f t="shared" si="278"/>
        <v/>
      </c>
      <c r="AJ538" s="26" t="str">
        <f t="shared" si="280"/>
        <v/>
      </c>
      <c r="AK538" s="26" t="str">
        <f t="shared" si="290"/>
        <v/>
      </c>
      <c r="AL538" s="26" t="str">
        <f t="shared" si="290"/>
        <v/>
      </c>
      <c r="AM538" s="26" t="str">
        <f t="shared" si="290"/>
        <v>Chip Seal - Triple</v>
      </c>
      <c r="AN538" s="26" t="str">
        <f t="shared" si="298"/>
        <v>Chip Seal - Triple</v>
      </c>
      <c r="AO538" s="26" t="str">
        <f t="shared" si="281"/>
        <v>Chip Seal - Double and Fog</v>
      </c>
      <c r="AP538" s="26" t="str">
        <f t="shared" si="291"/>
        <v/>
      </c>
      <c r="AQ538" s="68">
        <f t="shared" ref="AQ538:AQ601" si="303">VLOOKUP(O538,RSLrem,2,FALSE)</f>
        <v>10</v>
      </c>
      <c r="AR538" s="68">
        <f t="shared" ref="AR538:AR601" si="304">VLOOKUP(AC538,RSL,5,FALSE)</f>
        <v>8</v>
      </c>
      <c r="AS538" s="68">
        <f t="shared" si="292"/>
        <v>1.1000000000000001</v>
      </c>
      <c r="AT538" s="68">
        <f t="shared" si="293"/>
        <v>1.05</v>
      </c>
      <c r="AU538" s="68">
        <f t="shared" si="294"/>
        <v>1.05</v>
      </c>
      <c r="AV538" s="68">
        <f t="shared" si="295"/>
        <v>1.05</v>
      </c>
      <c r="AW538" s="68">
        <f t="shared" si="296"/>
        <v>1.05</v>
      </c>
      <c r="AX538" s="68">
        <f t="shared" ca="1" si="297"/>
        <v>3.1500000000000004</v>
      </c>
      <c r="AY538" s="68">
        <v>2021</v>
      </c>
      <c r="AZ538" s="68" t="s">
        <v>2073</v>
      </c>
      <c r="BA538" s="106" t="str">
        <f t="shared" si="286"/>
        <v/>
      </c>
      <c r="BB538" s="178"/>
      <c r="BC538" s="178">
        <v>1</v>
      </c>
      <c r="BD538" s="178"/>
      <c r="BE538" s="178"/>
      <c r="BF538" s="178"/>
      <c r="BG538" s="178"/>
      <c r="BH538" s="178"/>
      <c r="BI538" s="33"/>
      <c r="BK538" s="48">
        <f>$G538/5280*VLOOKUP($AC538,'Cost and Score'!$B$27:$O$40,6,0)</f>
        <v>0.60227272727272729</v>
      </c>
      <c r="BL538" s="48">
        <f>$G538/5280*VLOOKUP($AC538,'Cost and Score'!$B$27:$O$40,7,0)</f>
        <v>125.47348484848486</v>
      </c>
      <c r="BM538" s="48">
        <f>$G538/5280*VLOOKUP($AC538,'Cost and Score'!$B$27:$O$40,8,0)</f>
        <v>200.75757575757578</v>
      </c>
      <c r="BN538" s="48">
        <f>$G538/5280*VLOOKUP($AC538,'Cost and Score'!$B$27:$O$40,9,0)</f>
        <v>2007.5757575757577</v>
      </c>
      <c r="BO538" s="48">
        <f>$G538/5280*VLOOKUP($AC538,'Cost and Score'!$B$27:$O$40,10,0)</f>
        <v>501.89393939393943</v>
      </c>
      <c r="BP538" s="48">
        <f>$G538/5280*VLOOKUP($AC538,'Cost and Score'!$B$27:$O$40,11,0)</f>
        <v>100.37878787878789</v>
      </c>
      <c r="BQ538" s="48">
        <f>$G538/5280*VLOOKUP($AC538,'Cost and Score'!$B$27:$O$40,12,0)</f>
        <v>803.03030303030312</v>
      </c>
      <c r="BR538" s="48">
        <f>$G538/5280*VLOOKUP($AC538,'Cost and Score'!$B$27:$O$40,13,0)</f>
        <v>80.303030303030312</v>
      </c>
      <c r="BS538" s="48">
        <f>$G538/5280*VLOOKUP($AC538,'Cost and Score'!$B$27:$O$40,14,0)</f>
        <v>0</v>
      </c>
      <c r="BT538" s="220">
        <f t="shared" si="287"/>
        <v>1.0037878787878789</v>
      </c>
    </row>
    <row r="539" spans="1:103" s="2" customFormat="1" ht="14.45" hidden="1" customHeight="1" x14ac:dyDescent="0.25">
      <c r="A539" s="38" t="s">
        <v>1140</v>
      </c>
      <c r="B539" s="34" t="s">
        <v>1139</v>
      </c>
      <c r="C539" s="26" t="s">
        <v>1139</v>
      </c>
      <c r="D539" s="82"/>
      <c r="E539" s="82" t="s">
        <v>281</v>
      </c>
      <c r="F539" s="82" t="s">
        <v>38</v>
      </c>
      <c r="G539" s="29">
        <v>2682</v>
      </c>
      <c r="H539" s="29">
        <f t="shared" si="300"/>
        <v>20</v>
      </c>
      <c r="I539" s="26" t="s">
        <v>8</v>
      </c>
      <c r="J539" s="26" t="s">
        <v>17</v>
      </c>
      <c r="K539" s="26">
        <f t="shared" si="288"/>
        <v>0</v>
      </c>
      <c r="L539" s="42">
        <v>7</v>
      </c>
      <c r="M539" s="42">
        <v>7</v>
      </c>
      <c r="N539" s="42">
        <v>7</v>
      </c>
      <c r="O539" s="83">
        <v>7</v>
      </c>
      <c r="P539" s="83">
        <v>6</v>
      </c>
      <c r="Q539" s="83">
        <v>5</v>
      </c>
      <c r="R539" s="83">
        <v>5</v>
      </c>
      <c r="S539" s="83">
        <v>5</v>
      </c>
      <c r="T539" s="83">
        <v>8</v>
      </c>
      <c r="U539" s="83">
        <v>8</v>
      </c>
      <c r="V539" s="42"/>
      <c r="W539" s="42"/>
      <c r="X539" s="42"/>
      <c r="Y539" s="26">
        <v>100</v>
      </c>
      <c r="Z539" s="26">
        <f t="shared" si="301"/>
        <v>0</v>
      </c>
      <c r="AA539" s="82" t="s">
        <v>79</v>
      </c>
      <c r="AB539" s="111">
        <f t="shared" si="302"/>
        <v>4</v>
      </c>
      <c r="AC539" s="82" t="s">
        <v>751</v>
      </c>
      <c r="AD539" s="84">
        <f t="shared" si="285"/>
        <v>55875</v>
      </c>
      <c r="AE539" s="140"/>
      <c r="AF539" s="113">
        <f t="shared" si="299"/>
        <v>0</v>
      </c>
      <c r="AG539" s="26">
        <v>2027</v>
      </c>
      <c r="AH539" s="26" t="str">
        <f t="shared" si="289"/>
        <v/>
      </c>
      <c r="AI539" s="26" t="str">
        <f t="shared" si="278"/>
        <v/>
      </c>
      <c r="AJ539" s="26" t="str">
        <f t="shared" si="280"/>
        <v/>
      </c>
      <c r="AK539" s="26" t="str">
        <f t="shared" si="290"/>
        <v/>
      </c>
      <c r="AL539" s="26" t="str">
        <f t="shared" si="290"/>
        <v/>
      </c>
      <c r="AM539" s="26" t="str">
        <f t="shared" si="290"/>
        <v>Overlay - 2"</v>
      </c>
      <c r="AN539" s="26" t="str">
        <f t="shared" si="298"/>
        <v>Overlay - 2"</v>
      </c>
      <c r="AO539" s="26" t="str">
        <f t="shared" si="281"/>
        <v>Chip Seal - Triple</v>
      </c>
      <c r="AP539" s="26" t="str">
        <f t="shared" si="291"/>
        <v/>
      </c>
      <c r="AQ539" s="68">
        <f t="shared" si="303"/>
        <v>10</v>
      </c>
      <c r="AR539" s="68">
        <f t="shared" si="304"/>
        <v>12</v>
      </c>
      <c r="AS539" s="68">
        <f t="shared" si="292"/>
        <v>1.05</v>
      </c>
      <c r="AT539" s="68">
        <f t="shared" si="293"/>
        <v>1.05</v>
      </c>
      <c r="AU539" s="68">
        <f t="shared" si="294"/>
        <v>1.05</v>
      </c>
      <c r="AV539" s="68">
        <f t="shared" si="295"/>
        <v>1.05</v>
      </c>
      <c r="AW539" s="68">
        <f t="shared" si="296"/>
        <v>1.1000000000000001</v>
      </c>
      <c r="AX539" s="68">
        <f t="shared" ca="1" si="297"/>
        <v>3.1500000000000004</v>
      </c>
      <c r="AY539" s="68">
        <v>2021</v>
      </c>
      <c r="AZ539" s="68" t="s">
        <v>2072</v>
      </c>
      <c r="BA539" s="106" t="str">
        <f t="shared" si="286"/>
        <v/>
      </c>
      <c r="BB539" s="178">
        <v>44</v>
      </c>
      <c r="BC539" s="178">
        <v>1</v>
      </c>
      <c r="BD539" s="178"/>
      <c r="BE539" s="178"/>
      <c r="BF539" s="178"/>
      <c r="BG539" s="178"/>
      <c r="BH539" s="178"/>
      <c r="BI539" s="33"/>
      <c r="BK539" s="48">
        <f>$G539/5280*VLOOKUP($AC539,'Cost and Score'!$B$27:$O$40,6,0)</f>
        <v>1.1428977272727272</v>
      </c>
      <c r="BL539" s="48">
        <f>$G539/5280*VLOOKUP($AC539,'Cost and Score'!$B$27:$O$40,7,0)</f>
        <v>106.67045454545455</v>
      </c>
      <c r="BM539" s="48">
        <f>$G539/5280*VLOOKUP($AC539,'Cost and Score'!$B$27:$O$40,8,0)</f>
        <v>177.78409090909091</v>
      </c>
      <c r="BN539" s="48">
        <f>$G539/5280*VLOOKUP($AC539,'Cost and Score'!$B$27:$O$40,9,0)</f>
        <v>0</v>
      </c>
      <c r="BO539" s="48">
        <f>$G539/5280*VLOOKUP($AC539,'Cost and Score'!$B$27:$O$40,10,0)</f>
        <v>0</v>
      </c>
      <c r="BP539" s="48">
        <f>$G539/5280*VLOOKUP($AC539,'Cost and Score'!$B$27:$O$40,11,0)</f>
        <v>101.59090909090909</v>
      </c>
      <c r="BQ539" s="48">
        <f>$G539/5280*VLOOKUP($AC539,'Cost and Score'!$B$27:$O$40,12,0)</f>
        <v>863.52272727272725</v>
      </c>
      <c r="BR539" s="48">
        <f>$G539/5280*VLOOKUP($AC539,'Cost and Score'!$B$27:$O$40,13,0)</f>
        <v>0</v>
      </c>
      <c r="BS539" s="48">
        <f>$G539/5280*VLOOKUP($AC539,'Cost and Score'!$B$27:$O$40,14,0)</f>
        <v>0</v>
      </c>
      <c r="BT539" s="220">
        <f t="shared" si="287"/>
        <v>0.50795454545454544</v>
      </c>
    </row>
    <row r="540" spans="1:103" s="2" customFormat="1" ht="14.45" hidden="1" customHeight="1" x14ac:dyDescent="0.25">
      <c r="A540" s="38" t="s">
        <v>1142</v>
      </c>
      <c r="B540" s="34" t="s">
        <v>1141</v>
      </c>
      <c r="C540" s="26" t="s">
        <v>1141</v>
      </c>
      <c r="D540" s="82"/>
      <c r="E540" s="82" t="s">
        <v>240</v>
      </c>
      <c r="F540" s="82" t="s">
        <v>100</v>
      </c>
      <c r="G540" s="29">
        <v>5419</v>
      </c>
      <c r="H540" s="29">
        <f t="shared" si="300"/>
        <v>20</v>
      </c>
      <c r="I540" s="26" t="s">
        <v>13</v>
      </c>
      <c r="J540" s="26" t="s">
        <v>172</v>
      </c>
      <c r="K540" s="26">
        <f t="shared" si="288"/>
        <v>0</v>
      </c>
      <c r="L540" s="42">
        <v>8</v>
      </c>
      <c r="M540" s="42">
        <v>7</v>
      </c>
      <c r="N540" s="42">
        <v>7</v>
      </c>
      <c r="O540" s="83">
        <v>7</v>
      </c>
      <c r="P540" s="83">
        <v>6</v>
      </c>
      <c r="Q540" s="83">
        <v>6</v>
      </c>
      <c r="R540" s="83">
        <v>6</v>
      </c>
      <c r="S540" s="83">
        <v>6</v>
      </c>
      <c r="T540" s="83">
        <v>7</v>
      </c>
      <c r="U540" s="83">
        <v>7</v>
      </c>
      <c r="V540" s="42"/>
      <c r="W540" s="42"/>
      <c r="X540" s="42"/>
      <c r="Y540" s="26">
        <v>50</v>
      </c>
      <c r="Z540" s="26">
        <f t="shared" si="301"/>
        <v>0</v>
      </c>
      <c r="AA540" s="82" t="s">
        <v>79</v>
      </c>
      <c r="AB540" s="111">
        <f t="shared" si="302"/>
        <v>4</v>
      </c>
      <c r="AC540" s="82" t="s">
        <v>2072</v>
      </c>
      <c r="AD540" s="84">
        <f t="shared" si="285"/>
        <v>47210.984848484848</v>
      </c>
      <c r="AE540" s="140"/>
      <c r="AF540" s="113">
        <f t="shared" si="299"/>
        <v>0</v>
      </c>
      <c r="AG540" s="26">
        <v>2027</v>
      </c>
      <c r="AH540" s="26" t="str">
        <f t="shared" si="289"/>
        <v/>
      </c>
      <c r="AI540" s="26" t="str">
        <f t="shared" si="278"/>
        <v/>
      </c>
      <c r="AJ540" s="26" t="str">
        <f t="shared" si="280"/>
        <v/>
      </c>
      <c r="AK540" s="26" t="str">
        <f t="shared" si="290"/>
        <v/>
      </c>
      <c r="AL540" s="26" t="str">
        <f t="shared" si="290"/>
        <v/>
      </c>
      <c r="AM540" s="26" t="str">
        <f t="shared" si="290"/>
        <v>Chip Seal - Triple</v>
      </c>
      <c r="AN540" s="26" t="str">
        <f t="shared" si="298"/>
        <v>Chip Seal - Triple</v>
      </c>
      <c r="AO540" s="26" t="str">
        <f t="shared" si="281"/>
        <v>Chip Seal - Double and Fog</v>
      </c>
      <c r="AP540" s="26" t="str">
        <f t="shared" si="291"/>
        <v/>
      </c>
      <c r="AQ540" s="68">
        <f t="shared" si="303"/>
        <v>10</v>
      </c>
      <c r="AR540" s="68">
        <f t="shared" si="304"/>
        <v>8</v>
      </c>
      <c r="AS540" s="68">
        <f t="shared" si="292"/>
        <v>1</v>
      </c>
      <c r="AT540" s="68">
        <f t="shared" si="293"/>
        <v>1.05</v>
      </c>
      <c r="AU540" s="68">
        <f t="shared" si="294"/>
        <v>1.05</v>
      </c>
      <c r="AV540" s="68">
        <f t="shared" si="295"/>
        <v>1.05</v>
      </c>
      <c r="AW540" s="68">
        <f t="shared" si="296"/>
        <v>1.1000000000000001</v>
      </c>
      <c r="AX540" s="68">
        <f t="shared" ca="1" si="297"/>
        <v>3.1500000000000004</v>
      </c>
      <c r="AY540" s="68">
        <v>2021</v>
      </c>
      <c r="AZ540" s="68" t="s">
        <v>2073</v>
      </c>
      <c r="BA540" s="106" t="str">
        <f t="shared" si="286"/>
        <v/>
      </c>
      <c r="BB540" s="178">
        <v>45</v>
      </c>
      <c r="BC540" s="178">
        <v>7</v>
      </c>
      <c r="BD540" s="178"/>
      <c r="BE540" s="178"/>
      <c r="BF540" s="178"/>
      <c r="BG540" s="178"/>
      <c r="BH540" s="178"/>
      <c r="BI540" s="33"/>
      <c r="BK540" s="48">
        <f>$G540/5280*VLOOKUP($AC540,'Cost and Score'!$B$27:$O$40,6,0)</f>
        <v>0.61579545454545459</v>
      </c>
      <c r="BL540" s="48">
        <f>$G540/5280*VLOOKUP($AC540,'Cost and Score'!$B$27:$O$40,7,0)</f>
        <v>128.29071969696969</v>
      </c>
      <c r="BM540" s="48">
        <f>$G540/5280*VLOOKUP($AC540,'Cost and Score'!$B$27:$O$40,8,0)</f>
        <v>205.26515151515153</v>
      </c>
      <c r="BN540" s="48">
        <f>$G540/5280*VLOOKUP($AC540,'Cost and Score'!$B$27:$O$40,9,0)</f>
        <v>2052.651515151515</v>
      </c>
      <c r="BO540" s="48">
        <f>$G540/5280*VLOOKUP($AC540,'Cost and Score'!$B$27:$O$40,10,0)</f>
        <v>513.16287878787875</v>
      </c>
      <c r="BP540" s="48">
        <f>$G540/5280*VLOOKUP($AC540,'Cost and Score'!$B$27:$O$40,11,0)</f>
        <v>102.63257575757576</v>
      </c>
      <c r="BQ540" s="48">
        <f>$G540/5280*VLOOKUP($AC540,'Cost and Score'!$B$27:$O$40,12,0)</f>
        <v>821.06060606060612</v>
      </c>
      <c r="BR540" s="48">
        <f>$G540/5280*VLOOKUP($AC540,'Cost and Score'!$B$27:$O$40,13,0)</f>
        <v>82.106060606060609</v>
      </c>
      <c r="BS540" s="48">
        <f>$G540/5280*VLOOKUP($AC540,'Cost and Score'!$B$27:$O$40,14,0)</f>
        <v>0</v>
      </c>
      <c r="BT540" s="220">
        <f t="shared" si="287"/>
        <v>1.0263257575757576</v>
      </c>
      <c r="CW540" s="112"/>
      <c r="CX540" s="112"/>
      <c r="CY540" s="112"/>
    </row>
    <row r="541" spans="1:103" s="2" customFormat="1" ht="14.45" hidden="1" customHeight="1" x14ac:dyDescent="0.25">
      <c r="A541" s="38" t="s">
        <v>1144</v>
      </c>
      <c r="B541" s="34" t="s">
        <v>1143</v>
      </c>
      <c r="C541" s="26" t="s">
        <v>1143</v>
      </c>
      <c r="D541" s="82"/>
      <c r="E541" s="82" t="s">
        <v>20</v>
      </c>
      <c r="F541" s="82" t="s">
        <v>91</v>
      </c>
      <c r="G541" s="29">
        <v>4640</v>
      </c>
      <c r="H541" s="29">
        <f t="shared" si="300"/>
        <v>20</v>
      </c>
      <c r="I541" s="26" t="s">
        <v>8</v>
      </c>
      <c r="J541" s="26" t="s">
        <v>17</v>
      </c>
      <c r="K541" s="26">
        <f t="shared" si="288"/>
        <v>0</v>
      </c>
      <c r="L541" s="42">
        <v>7</v>
      </c>
      <c r="M541" s="42">
        <v>8</v>
      </c>
      <c r="N541" s="42">
        <v>8</v>
      </c>
      <c r="O541" s="83">
        <v>8</v>
      </c>
      <c r="P541" s="83">
        <v>7</v>
      </c>
      <c r="Q541" s="83">
        <v>7</v>
      </c>
      <c r="R541" s="83">
        <v>6</v>
      </c>
      <c r="S541" s="83">
        <v>6</v>
      </c>
      <c r="T541" s="83">
        <v>8</v>
      </c>
      <c r="U541" s="83">
        <v>8</v>
      </c>
      <c r="V541" s="42"/>
      <c r="W541" s="42"/>
      <c r="X541" s="42"/>
      <c r="Y541" s="26">
        <v>93</v>
      </c>
      <c r="Z541" s="26">
        <f t="shared" si="301"/>
        <v>0</v>
      </c>
      <c r="AA541" s="82" t="s">
        <v>79</v>
      </c>
      <c r="AB541" s="111">
        <f t="shared" si="302"/>
        <v>3</v>
      </c>
      <c r="AC541" s="82" t="s">
        <v>2072</v>
      </c>
      <c r="AD541" s="84">
        <f t="shared" si="285"/>
        <v>40424.242424242424</v>
      </c>
      <c r="AE541" s="140"/>
      <c r="AF541" s="113">
        <f t="shared" si="299"/>
        <v>0</v>
      </c>
      <c r="AG541" s="26">
        <v>2027</v>
      </c>
      <c r="AH541" s="26" t="str">
        <f t="shared" si="289"/>
        <v/>
      </c>
      <c r="AI541" s="26" t="str">
        <f t="shared" si="278"/>
        <v/>
      </c>
      <c r="AJ541" s="26" t="str">
        <f t="shared" si="280"/>
        <v/>
      </c>
      <c r="AK541" s="26" t="str">
        <f t="shared" si="290"/>
        <v/>
      </c>
      <c r="AL541" s="26" t="str">
        <f t="shared" si="290"/>
        <v/>
      </c>
      <c r="AM541" s="26" t="str">
        <f t="shared" si="290"/>
        <v>Chip Seal - Triple</v>
      </c>
      <c r="AN541" s="26" t="str">
        <f t="shared" si="298"/>
        <v>Chip Seal - Triple</v>
      </c>
      <c r="AO541" s="26" t="str">
        <f t="shared" si="281"/>
        <v>Chip Seal and Fog</v>
      </c>
      <c r="AP541" s="26" t="str">
        <f t="shared" si="291"/>
        <v/>
      </c>
      <c r="AQ541" s="68">
        <f t="shared" si="303"/>
        <v>12</v>
      </c>
      <c r="AR541" s="68">
        <f t="shared" si="304"/>
        <v>8</v>
      </c>
      <c r="AS541" s="68">
        <f t="shared" si="292"/>
        <v>1.05</v>
      </c>
      <c r="AT541" s="68">
        <f t="shared" si="293"/>
        <v>1</v>
      </c>
      <c r="AU541" s="68">
        <f t="shared" si="294"/>
        <v>1</v>
      </c>
      <c r="AV541" s="68">
        <f t="shared" si="295"/>
        <v>1</v>
      </c>
      <c r="AW541" s="68">
        <f t="shared" si="296"/>
        <v>1.05</v>
      </c>
      <c r="AX541" s="68">
        <f t="shared" ca="1" si="297"/>
        <v>3</v>
      </c>
      <c r="AY541" s="68">
        <v>2021</v>
      </c>
      <c r="AZ541" s="68" t="s">
        <v>13</v>
      </c>
      <c r="BA541" s="106" t="str">
        <f t="shared" si="286"/>
        <v/>
      </c>
      <c r="BB541" s="178">
        <v>103</v>
      </c>
      <c r="BC541" s="178">
        <v>1</v>
      </c>
      <c r="BD541" s="178"/>
      <c r="BE541" s="178"/>
      <c r="BF541" s="178"/>
      <c r="BG541" s="178"/>
      <c r="BH541" s="178"/>
      <c r="BI541" s="33"/>
      <c r="BK541" s="48">
        <f>$G541/5280*VLOOKUP($AC541,'Cost and Score'!$B$27:$O$40,6,0)</f>
        <v>0.52727272727272723</v>
      </c>
      <c r="BL541" s="48">
        <f>$G541/5280*VLOOKUP($AC541,'Cost and Score'!$B$27:$O$40,7,0)</f>
        <v>109.84848484848484</v>
      </c>
      <c r="BM541" s="48">
        <f>$G541/5280*VLOOKUP($AC541,'Cost and Score'!$B$27:$O$40,8,0)</f>
        <v>175.75757575757575</v>
      </c>
      <c r="BN541" s="48">
        <f>$G541/5280*VLOOKUP($AC541,'Cost and Score'!$B$27:$O$40,9,0)</f>
        <v>1757.5757575757575</v>
      </c>
      <c r="BO541" s="48">
        <f>$G541/5280*VLOOKUP($AC541,'Cost and Score'!$B$27:$O$40,10,0)</f>
        <v>439.39393939393938</v>
      </c>
      <c r="BP541" s="48">
        <f>$G541/5280*VLOOKUP($AC541,'Cost and Score'!$B$27:$O$40,11,0)</f>
        <v>87.878787878787875</v>
      </c>
      <c r="BQ541" s="48">
        <f>$G541/5280*VLOOKUP($AC541,'Cost and Score'!$B$27:$O$40,12,0)</f>
        <v>703.030303030303</v>
      </c>
      <c r="BR541" s="48">
        <f>$G541/5280*VLOOKUP($AC541,'Cost and Score'!$B$27:$O$40,13,0)</f>
        <v>70.303030303030297</v>
      </c>
      <c r="BS541" s="48">
        <f>$G541/5280*VLOOKUP($AC541,'Cost and Score'!$B$27:$O$40,14,0)</f>
        <v>0</v>
      </c>
      <c r="BT541" s="220">
        <f t="shared" si="287"/>
        <v>0.87878787878787878</v>
      </c>
    </row>
    <row r="542" spans="1:103" s="2" customFormat="1" ht="14.45" hidden="1" customHeight="1" x14ac:dyDescent="0.25">
      <c r="A542" s="38" t="s">
        <v>1146</v>
      </c>
      <c r="B542" s="34" t="s">
        <v>1145</v>
      </c>
      <c r="C542" s="26" t="s">
        <v>1145</v>
      </c>
      <c r="D542" s="82"/>
      <c r="E542" s="82" t="s">
        <v>307</v>
      </c>
      <c r="F542" s="82" t="s">
        <v>240</v>
      </c>
      <c r="G542" s="29">
        <v>1382</v>
      </c>
      <c r="H542" s="29">
        <f t="shared" si="300"/>
        <v>20</v>
      </c>
      <c r="I542" s="26" t="s">
        <v>13</v>
      </c>
      <c r="J542" s="26" t="s">
        <v>26</v>
      </c>
      <c r="K542" s="26">
        <f t="shared" si="288"/>
        <v>0</v>
      </c>
      <c r="L542" s="42">
        <v>8</v>
      </c>
      <c r="M542" s="42">
        <v>7</v>
      </c>
      <c r="N542" s="42">
        <v>7</v>
      </c>
      <c r="O542" s="83">
        <v>7</v>
      </c>
      <c r="P542" s="83">
        <v>7</v>
      </c>
      <c r="Q542" s="83">
        <v>7</v>
      </c>
      <c r="R542" s="83">
        <v>7</v>
      </c>
      <c r="S542" s="83">
        <v>6</v>
      </c>
      <c r="T542" s="83">
        <v>6</v>
      </c>
      <c r="U542" s="83">
        <v>7</v>
      </c>
      <c r="V542" s="42"/>
      <c r="W542" s="42"/>
      <c r="X542" s="42"/>
      <c r="Y542" s="26">
        <v>50</v>
      </c>
      <c r="Z542" s="26">
        <f t="shared" si="301"/>
        <v>0</v>
      </c>
      <c r="AA542" s="82" t="s">
        <v>79</v>
      </c>
      <c r="AB542" s="111">
        <f t="shared" si="302"/>
        <v>3</v>
      </c>
      <c r="AC542" s="82" t="s">
        <v>2072</v>
      </c>
      <c r="AD542" s="84">
        <f t="shared" si="285"/>
        <v>12040.151515151516</v>
      </c>
      <c r="AE542" s="140"/>
      <c r="AF542" s="113">
        <f t="shared" si="299"/>
        <v>0</v>
      </c>
      <c r="AG542" s="26">
        <v>2027</v>
      </c>
      <c r="AH542" s="26" t="str">
        <f t="shared" si="289"/>
        <v/>
      </c>
      <c r="AI542" s="26" t="str">
        <f t="shared" ref="AI542:AI605" si="305">IF($AG542=AI$1,VLOOKUP($AC542,RSL,3,FALSE),"")</f>
        <v/>
      </c>
      <c r="AJ542" s="26" t="str">
        <f t="shared" si="280"/>
        <v/>
      </c>
      <c r="AK542" s="26" t="str">
        <f t="shared" si="290"/>
        <v/>
      </c>
      <c r="AL542" s="26" t="str">
        <f t="shared" si="290"/>
        <v/>
      </c>
      <c r="AM542" s="26" t="str">
        <f t="shared" si="290"/>
        <v>Chip Seal - Triple</v>
      </c>
      <c r="AN542" s="26" t="str">
        <f t="shared" si="298"/>
        <v>Chip Seal - Triple</v>
      </c>
      <c r="AO542" s="26" t="str">
        <f t="shared" si="281"/>
        <v>Chip Seal - Double and Fog</v>
      </c>
      <c r="AP542" s="26" t="str">
        <f t="shared" si="291"/>
        <v/>
      </c>
      <c r="AQ542" s="68">
        <f t="shared" si="303"/>
        <v>10</v>
      </c>
      <c r="AR542" s="68">
        <f t="shared" si="304"/>
        <v>8</v>
      </c>
      <c r="AS542" s="68">
        <f t="shared" si="292"/>
        <v>1</v>
      </c>
      <c r="AT542" s="68">
        <f t="shared" si="293"/>
        <v>1.05</v>
      </c>
      <c r="AU542" s="68">
        <f t="shared" si="294"/>
        <v>1.05</v>
      </c>
      <c r="AV542" s="68">
        <f t="shared" si="295"/>
        <v>1.05</v>
      </c>
      <c r="AW542" s="68">
        <f t="shared" si="296"/>
        <v>1.05</v>
      </c>
      <c r="AX542" s="68">
        <f t="shared" ca="1" si="297"/>
        <v>3.1500000000000004</v>
      </c>
      <c r="AY542" s="68">
        <v>2021</v>
      </c>
      <c r="AZ542" s="68" t="s">
        <v>2073</v>
      </c>
      <c r="BA542" s="106" t="str">
        <f t="shared" si="286"/>
        <v/>
      </c>
      <c r="BB542" s="178"/>
      <c r="BC542" s="178">
        <v>7</v>
      </c>
      <c r="BD542" s="178"/>
      <c r="BE542" s="178"/>
      <c r="BF542" s="178"/>
      <c r="BG542" s="178"/>
      <c r="BH542" s="178"/>
      <c r="BI542" s="33"/>
      <c r="BK542" s="48">
        <f>$G542/5280*VLOOKUP($AC542,'Cost and Score'!$B$27:$O$40,6,0)</f>
        <v>0.15704545454545452</v>
      </c>
      <c r="BL542" s="48">
        <f>$G542/5280*VLOOKUP($AC542,'Cost and Score'!$B$27:$O$40,7,0)</f>
        <v>32.717803030303031</v>
      </c>
      <c r="BM542" s="48">
        <f>$G542/5280*VLOOKUP($AC542,'Cost and Score'!$B$27:$O$40,8,0)</f>
        <v>52.348484848484844</v>
      </c>
      <c r="BN542" s="48">
        <f>$G542/5280*VLOOKUP($AC542,'Cost and Score'!$B$27:$O$40,9,0)</f>
        <v>523.4848484848485</v>
      </c>
      <c r="BO542" s="48">
        <f>$G542/5280*VLOOKUP($AC542,'Cost and Score'!$B$27:$O$40,10,0)</f>
        <v>130.87121212121212</v>
      </c>
      <c r="BP542" s="48">
        <f>$G542/5280*VLOOKUP($AC542,'Cost and Score'!$B$27:$O$40,11,0)</f>
        <v>26.174242424242422</v>
      </c>
      <c r="BQ542" s="48">
        <f>$G542/5280*VLOOKUP($AC542,'Cost and Score'!$B$27:$O$40,12,0)</f>
        <v>209.39393939393938</v>
      </c>
      <c r="BR542" s="48">
        <f>$G542/5280*VLOOKUP($AC542,'Cost and Score'!$B$27:$O$40,13,0)</f>
        <v>20.939393939393938</v>
      </c>
      <c r="BS542" s="48">
        <f>$G542/5280*VLOOKUP($AC542,'Cost and Score'!$B$27:$O$40,14,0)</f>
        <v>0</v>
      </c>
      <c r="BT542" s="220">
        <f t="shared" si="287"/>
        <v>0.26174242424242422</v>
      </c>
    </row>
    <row r="543" spans="1:103" s="2" customFormat="1" ht="14.45" hidden="1" customHeight="1" x14ac:dyDescent="0.25">
      <c r="A543" s="38" t="s">
        <v>1148</v>
      </c>
      <c r="B543" s="34" t="s">
        <v>1147</v>
      </c>
      <c r="C543" s="26" t="s">
        <v>1147</v>
      </c>
      <c r="D543" s="82"/>
      <c r="E543" s="82" t="s">
        <v>984</v>
      </c>
      <c r="F543" s="82" t="s">
        <v>210</v>
      </c>
      <c r="G543" s="29">
        <v>6710</v>
      </c>
      <c r="H543" s="29">
        <f t="shared" si="300"/>
        <v>20</v>
      </c>
      <c r="I543" s="26" t="s">
        <v>62</v>
      </c>
      <c r="J543" s="26" t="s">
        <v>160</v>
      </c>
      <c r="K543" s="26">
        <f t="shared" si="288"/>
        <v>0</v>
      </c>
      <c r="L543" s="42">
        <v>5</v>
      </c>
      <c r="M543" s="42">
        <v>5</v>
      </c>
      <c r="N543" s="42">
        <v>3</v>
      </c>
      <c r="O543" s="83">
        <v>3</v>
      </c>
      <c r="P543" s="83">
        <v>6</v>
      </c>
      <c r="Q543" s="83">
        <v>8</v>
      </c>
      <c r="R543" s="83">
        <v>7</v>
      </c>
      <c r="S543" s="83">
        <v>7</v>
      </c>
      <c r="T543" s="83">
        <v>6</v>
      </c>
      <c r="U543" s="83">
        <v>6</v>
      </c>
      <c r="V543" s="42"/>
      <c r="W543" s="42"/>
      <c r="X543" s="42"/>
      <c r="Y543" s="26">
        <v>36</v>
      </c>
      <c r="Z543" s="26">
        <f t="shared" si="301"/>
        <v>0</v>
      </c>
      <c r="AA543" s="82" t="s">
        <v>1066</v>
      </c>
      <c r="AB543" s="111">
        <f t="shared" si="302"/>
        <v>4</v>
      </c>
      <c r="AC543" s="85" t="s">
        <v>751</v>
      </c>
      <c r="AD543" s="84">
        <f t="shared" si="285"/>
        <v>139791.66666666666</v>
      </c>
      <c r="AE543" s="140">
        <v>1</v>
      </c>
      <c r="AF543" s="113">
        <f t="shared" si="299"/>
        <v>139791.66666666666</v>
      </c>
      <c r="AG543" s="82">
        <v>2023</v>
      </c>
      <c r="AH543" s="26" t="str">
        <f t="shared" si="289"/>
        <v/>
      </c>
      <c r="AI543" s="26" t="str">
        <f t="shared" si="305"/>
        <v>Overlay - 2"</v>
      </c>
      <c r="AJ543" s="26" t="str">
        <f t="shared" si="280"/>
        <v/>
      </c>
      <c r="AK543" s="26" t="str">
        <f t="shared" si="290"/>
        <v/>
      </c>
      <c r="AL543" s="26" t="str">
        <f t="shared" si="290"/>
        <v/>
      </c>
      <c r="AM543" s="26" t="str">
        <f t="shared" si="290"/>
        <v/>
      </c>
      <c r="AN543" s="26" t="str">
        <f t="shared" si="298"/>
        <v>Overlay - 2"</v>
      </c>
      <c r="AO543" s="26" t="str">
        <f t="shared" si="281"/>
        <v/>
      </c>
      <c r="AP543" s="26" t="str">
        <f t="shared" si="291"/>
        <v/>
      </c>
      <c r="AQ543" s="68">
        <f t="shared" si="303"/>
        <v>1</v>
      </c>
      <c r="AR543" s="68">
        <f t="shared" si="304"/>
        <v>12</v>
      </c>
      <c r="AS543" s="68">
        <f t="shared" si="292"/>
        <v>1.25</v>
      </c>
      <c r="AT543" s="68">
        <f t="shared" si="293"/>
        <v>1.25</v>
      </c>
      <c r="AU543" s="68">
        <f t="shared" si="294"/>
        <v>1.75</v>
      </c>
      <c r="AV543" s="68">
        <f t="shared" si="295"/>
        <v>1.75</v>
      </c>
      <c r="AW543" s="68">
        <f t="shared" si="296"/>
        <v>1.1000000000000001</v>
      </c>
      <c r="AX543" s="68">
        <f t="shared" ca="1" si="297"/>
        <v>-1.75</v>
      </c>
      <c r="AY543" s="68">
        <v>2023</v>
      </c>
      <c r="AZ543" s="68" t="s">
        <v>751</v>
      </c>
      <c r="BA543" s="106" t="str">
        <f t="shared" si="286"/>
        <v/>
      </c>
      <c r="BB543" s="178"/>
      <c r="BC543" s="178">
        <v>8</v>
      </c>
      <c r="BD543" s="178"/>
      <c r="BE543" s="178"/>
      <c r="BF543" s="178"/>
      <c r="BG543" s="178"/>
      <c r="BH543" s="178"/>
      <c r="BI543" s="33" t="s">
        <v>2435</v>
      </c>
      <c r="BK543" s="48">
        <f>$G543/5280*VLOOKUP($AC543,'Cost and Score'!$B$27:$O$40,6,0)</f>
        <v>2.859375</v>
      </c>
      <c r="BL543" s="48">
        <f>$G543/5280*VLOOKUP($AC543,'Cost and Score'!$B$27:$O$40,7,0)</f>
        <v>266.875</v>
      </c>
      <c r="BM543" s="48">
        <f>$G543/5280*VLOOKUP($AC543,'Cost and Score'!$B$27:$O$40,8,0)</f>
        <v>444.79166666666663</v>
      </c>
      <c r="BN543" s="48">
        <f>$G543/5280*VLOOKUP($AC543,'Cost and Score'!$B$27:$O$40,9,0)</f>
        <v>0</v>
      </c>
      <c r="BO543" s="48">
        <f>$G543/5280*VLOOKUP($AC543,'Cost and Score'!$B$27:$O$40,10,0)</f>
        <v>0</v>
      </c>
      <c r="BP543" s="48">
        <f>$G543/5280*VLOOKUP($AC543,'Cost and Score'!$B$27:$O$40,11,0)</f>
        <v>254.16666666666666</v>
      </c>
      <c r="BQ543" s="48">
        <f>$G543/5280*VLOOKUP($AC543,'Cost and Score'!$B$27:$O$40,12,0)</f>
        <v>2160.4166666666665</v>
      </c>
      <c r="BR543" s="48">
        <f>$G543/5280*VLOOKUP($AC543,'Cost and Score'!$B$27:$O$40,13,0)</f>
        <v>0</v>
      </c>
      <c r="BS543" s="48">
        <f>$G543/5280*VLOOKUP($AC543,'Cost and Score'!$B$27:$O$40,14,0)</f>
        <v>0</v>
      </c>
      <c r="BT543" s="220">
        <f t="shared" si="287"/>
        <v>1.2708333333333333</v>
      </c>
      <c r="CW543" s="112"/>
      <c r="CX543" s="112"/>
      <c r="CY543" s="112"/>
    </row>
    <row r="544" spans="1:103" s="2" customFormat="1" ht="14.45" hidden="1" customHeight="1" x14ac:dyDescent="0.25">
      <c r="A544" s="38" t="s">
        <v>1150</v>
      </c>
      <c r="B544" s="34" t="s">
        <v>1149</v>
      </c>
      <c r="C544" s="26" t="s">
        <v>1149</v>
      </c>
      <c r="D544" s="82"/>
      <c r="E544" s="85" t="s">
        <v>307</v>
      </c>
      <c r="F544" s="82" t="s">
        <v>119</v>
      </c>
      <c r="G544" s="29">
        <v>4170</v>
      </c>
      <c r="H544" s="29">
        <f t="shared" si="300"/>
        <v>20</v>
      </c>
      <c r="I544" s="26" t="s">
        <v>8</v>
      </c>
      <c r="J544" s="26" t="s">
        <v>26</v>
      </c>
      <c r="K544" s="26">
        <f t="shared" si="288"/>
        <v>0</v>
      </c>
      <c r="L544" s="42">
        <v>7</v>
      </c>
      <c r="M544" s="42">
        <v>7</v>
      </c>
      <c r="N544" s="42">
        <v>7</v>
      </c>
      <c r="O544" s="83">
        <v>7</v>
      </c>
      <c r="P544" s="83">
        <v>6</v>
      </c>
      <c r="Q544" s="83">
        <v>6</v>
      </c>
      <c r="R544" s="83">
        <v>6</v>
      </c>
      <c r="S544" s="83">
        <v>6</v>
      </c>
      <c r="T544" s="83">
        <v>7</v>
      </c>
      <c r="U544" s="83">
        <v>7</v>
      </c>
      <c r="V544" s="42"/>
      <c r="W544" s="42"/>
      <c r="X544" s="42"/>
      <c r="Y544" s="26">
        <v>120</v>
      </c>
      <c r="Z544" s="26">
        <f t="shared" si="301"/>
        <v>0</v>
      </c>
      <c r="AA544" s="82" t="s">
        <v>140</v>
      </c>
      <c r="AB544" s="111">
        <f t="shared" si="302"/>
        <v>4</v>
      </c>
      <c r="AC544" s="82" t="s">
        <v>2072</v>
      </c>
      <c r="AD544" s="84">
        <f t="shared" si="285"/>
        <v>36329.545454545456</v>
      </c>
      <c r="AE544" s="140"/>
      <c r="AF544" s="113">
        <f t="shared" si="299"/>
        <v>0</v>
      </c>
      <c r="AG544" s="26">
        <v>2027</v>
      </c>
      <c r="AH544" s="26" t="str">
        <f t="shared" si="289"/>
        <v/>
      </c>
      <c r="AI544" s="26" t="str">
        <f t="shared" si="305"/>
        <v/>
      </c>
      <c r="AJ544" s="26" t="str">
        <f t="shared" si="280"/>
        <v/>
      </c>
      <c r="AK544" s="26" t="str">
        <f t="shared" si="290"/>
        <v/>
      </c>
      <c r="AL544" s="26" t="str">
        <f t="shared" si="290"/>
        <v/>
      </c>
      <c r="AM544" s="26" t="str">
        <f t="shared" si="290"/>
        <v>Chip Seal - Triple</v>
      </c>
      <c r="AN544" s="26" t="str">
        <f t="shared" si="298"/>
        <v>Chip Seal - Triple</v>
      </c>
      <c r="AO544" s="26" t="str">
        <f t="shared" si="281"/>
        <v>Chip Seal - Triple</v>
      </c>
      <c r="AP544" s="26" t="str">
        <f t="shared" si="291"/>
        <v/>
      </c>
      <c r="AQ544" s="68">
        <f t="shared" si="303"/>
        <v>10</v>
      </c>
      <c r="AR544" s="68">
        <f t="shared" si="304"/>
        <v>8</v>
      </c>
      <c r="AS544" s="68">
        <f t="shared" si="292"/>
        <v>1.05</v>
      </c>
      <c r="AT544" s="68">
        <f t="shared" si="293"/>
        <v>1.05</v>
      </c>
      <c r="AU544" s="68">
        <f t="shared" si="294"/>
        <v>1.05</v>
      </c>
      <c r="AV544" s="68">
        <f t="shared" si="295"/>
        <v>1.05</v>
      </c>
      <c r="AW544" s="68">
        <f t="shared" si="296"/>
        <v>1.1000000000000001</v>
      </c>
      <c r="AX544" s="68">
        <f t="shared" ca="1" si="297"/>
        <v>3.1500000000000004</v>
      </c>
      <c r="AY544" s="68">
        <v>2021</v>
      </c>
      <c r="AZ544" s="68" t="s">
        <v>2072</v>
      </c>
      <c r="BA544" s="106" t="str">
        <f t="shared" si="286"/>
        <v/>
      </c>
      <c r="BB544" s="178">
        <v>52</v>
      </c>
      <c r="BC544" s="178">
        <v>7</v>
      </c>
      <c r="BD544" s="178"/>
      <c r="BE544" s="178"/>
      <c r="BF544" s="178"/>
      <c r="BG544" s="178"/>
      <c r="BH544" s="178"/>
      <c r="BI544" s="33"/>
      <c r="BK544" s="48">
        <f>$G544/5280*VLOOKUP($AC544,'Cost and Score'!$B$27:$O$40,6,0)</f>
        <v>0.47386363636363638</v>
      </c>
      <c r="BL544" s="48">
        <f>$G544/5280*VLOOKUP($AC544,'Cost and Score'!$B$27:$O$40,7,0)</f>
        <v>98.721590909090907</v>
      </c>
      <c r="BM544" s="48">
        <f>$G544/5280*VLOOKUP($AC544,'Cost and Score'!$B$27:$O$40,8,0)</f>
        <v>157.95454545454547</v>
      </c>
      <c r="BN544" s="48">
        <f>$G544/5280*VLOOKUP($AC544,'Cost and Score'!$B$27:$O$40,9,0)</f>
        <v>1579.5454545454545</v>
      </c>
      <c r="BO544" s="48">
        <f>$G544/5280*VLOOKUP($AC544,'Cost and Score'!$B$27:$O$40,10,0)</f>
        <v>394.88636363636363</v>
      </c>
      <c r="BP544" s="48">
        <f>$G544/5280*VLOOKUP($AC544,'Cost and Score'!$B$27:$O$40,11,0)</f>
        <v>78.977272727272734</v>
      </c>
      <c r="BQ544" s="48">
        <f>$G544/5280*VLOOKUP($AC544,'Cost and Score'!$B$27:$O$40,12,0)</f>
        <v>631.81818181818187</v>
      </c>
      <c r="BR544" s="48">
        <f>$G544/5280*VLOOKUP($AC544,'Cost and Score'!$B$27:$O$40,13,0)</f>
        <v>63.181818181818187</v>
      </c>
      <c r="BS544" s="48">
        <f>$G544/5280*VLOOKUP($AC544,'Cost and Score'!$B$27:$O$40,14,0)</f>
        <v>0</v>
      </c>
      <c r="BT544" s="220">
        <f t="shared" si="287"/>
        <v>0.78977272727272729</v>
      </c>
      <c r="CW544" s="112"/>
      <c r="CX544" s="112"/>
      <c r="CY544" s="112"/>
    </row>
    <row r="545" spans="1:103" s="2" customFormat="1" ht="14.45" hidden="1" customHeight="1" x14ac:dyDescent="0.25">
      <c r="A545" s="38"/>
      <c r="B545" s="34" t="s">
        <v>1151</v>
      </c>
      <c r="C545" s="26" t="s">
        <v>1151</v>
      </c>
      <c r="D545" s="82"/>
      <c r="E545" s="82" t="s">
        <v>119</v>
      </c>
      <c r="F545" s="82" t="s">
        <v>217</v>
      </c>
      <c r="G545" s="29">
        <v>2962</v>
      </c>
      <c r="H545" s="29">
        <f t="shared" si="300"/>
        <v>20</v>
      </c>
      <c r="I545" s="26" t="s">
        <v>8</v>
      </c>
      <c r="J545" s="26" t="s">
        <v>26</v>
      </c>
      <c r="K545" s="26">
        <f t="shared" si="288"/>
        <v>0</v>
      </c>
      <c r="L545" s="42">
        <v>7</v>
      </c>
      <c r="M545" s="42">
        <v>7</v>
      </c>
      <c r="N545" s="42">
        <v>7</v>
      </c>
      <c r="O545" s="83">
        <v>7</v>
      </c>
      <c r="P545" s="83">
        <v>6</v>
      </c>
      <c r="Q545" s="83">
        <v>6</v>
      </c>
      <c r="R545" s="83">
        <v>6</v>
      </c>
      <c r="S545" s="83">
        <v>6</v>
      </c>
      <c r="T545" s="83">
        <v>7</v>
      </c>
      <c r="U545" s="83">
        <v>7</v>
      </c>
      <c r="V545" s="42"/>
      <c r="W545" s="42"/>
      <c r="X545" s="42"/>
      <c r="Y545" s="26">
        <v>50</v>
      </c>
      <c r="Z545" s="26">
        <f t="shared" si="301"/>
        <v>0</v>
      </c>
      <c r="AA545" s="82" t="s">
        <v>140</v>
      </c>
      <c r="AB545" s="111">
        <f t="shared" si="302"/>
        <v>4</v>
      </c>
      <c r="AC545" s="82" t="s">
        <v>2072</v>
      </c>
      <c r="AD545" s="84">
        <f t="shared" si="285"/>
        <v>25805.303030303032</v>
      </c>
      <c r="AE545" s="140"/>
      <c r="AF545" s="113">
        <f t="shared" si="299"/>
        <v>0</v>
      </c>
      <c r="AG545" s="26">
        <v>2027</v>
      </c>
      <c r="AH545" s="26" t="str">
        <f t="shared" si="289"/>
        <v/>
      </c>
      <c r="AI545" s="26" t="str">
        <f t="shared" si="305"/>
        <v/>
      </c>
      <c r="AJ545" s="26" t="str">
        <f t="shared" si="280"/>
        <v/>
      </c>
      <c r="AK545" s="26" t="str">
        <f t="shared" si="290"/>
        <v/>
      </c>
      <c r="AL545" s="26" t="str">
        <f t="shared" si="290"/>
        <v/>
      </c>
      <c r="AM545" s="26" t="str">
        <f t="shared" si="290"/>
        <v>Chip Seal - Triple</v>
      </c>
      <c r="AN545" s="26" t="str">
        <f t="shared" si="298"/>
        <v>Chip Seal - Triple</v>
      </c>
      <c r="AO545" s="26" t="str">
        <f t="shared" si="281"/>
        <v>Chip Seal and Fog</v>
      </c>
      <c r="AP545" s="26" t="str">
        <f t="shared" si="291"/>
        <v/>
      </c>
      <c r="AQ545" s="68">
        <f t="shared" si="303"/>
        <v>10</v>
      </c>
      <c r="AR545" s="68">
        <f t="shared" si="304"/>
        <v>8</v>
      </c>
      <c r="AS545" s="68">
        <f t="shared" si="292"/>
        <v>1.05</v>
      </c>
      <c r="AT545" s="68">
        <f t="shared" si="293"/>
        <v>1.05</v>
      </c>
      <c r="AU545" s="68">
        <f t="shared" si="294"/>
        <v>1.05</v>
      </c>
      <c r="AV545" s="68">
        <f t="shared" si="295"/>
        <v>1.05</v>
      </c>
      <c r="AW545" s="68">
        <f t="shared" si="296"/>
        <v>1.1000000000000001</v>
      </c>
      <c r="AX545" s="68">
        <f t="shared" ca="1" si="297"/>
        <v>3.1500000000000004</v>
      </c>
      <c r="AY545" s="68">
        <v>2021</v>
      </c>
      <c r="AZ545" s="68" t="s">
        <v>13</v>
      </c>
      <c r="BA545" s="106" t="str">
        <f t="shared" si="286"/>
        <v/>
      </c>
      <c r="BB545" s="178">
        <v>50</v>
      </c>
      <c r="BC545" s="178">
        <v>7</v>
      </c>
      <c r="BD545" s="178"/>
      <c r="BE545" s="178"/>
      <c r="BF545" s="178"/>
      <c r="BG545" s="178"/>
      <c r="BH545" s="178"/>
      <c r="BI545" s="33"/>
      <c r="BK545" s="48">
        <f>$G545/5280*VLOOKUP($AC545,'Cost and Score'!$B$27:$O$40,6,0)</f>
        <v>0.33659090909090911</v>
      </c>
      <c r="BL545" s="48">
        <f>$G545/5280*VLOOKUP($AC545,'Cost and Score'!$B$27:$O$40,7,0)</f>
        <v>70.123106060606062</v>
      </c>
      <c r="BM545" s="48">
        <f>$G545/5280*VLOOKUP($AC545,'Cost and Score'!$B$27:$O$40,8,0)</f>
        <v>112.1969696969697</v>
      </c>
      <c r="BN545" s="48">
        <f>$G545/5280*VLOOKUP($AC545,'Cost and Score'!$B$27:$O$40,9,0)</f>
        <v>1121.969696969697</v>
      </c>
      <c r="BO545" s="48">
        <f>$G545/5280*VLOOKUP($AC545,'Cost and Score'!$B$27:$O$40,10,0)</f>
        <v>280.49242424242425</v>
      </c>
      <c r="BP545" s="48">
        <f>$G545/5280*VLOOKUP($AC545,'Cost and Score'!$B$27:$O$40,11,0)</f>
        <v>56.098484848484851</v>
      </c>
      <c r="BQ545" s="48">
        <f>$G545/5280*VLOOKUP($AC545,'Cost and Score'!$B$27:$O$40,12,0)</f>
        <v>448.78787878787881</v>
      </c>
      <c r="BR545" s="48">
        <f>$G545/5280*VLOOKUP($AC545,'Cost and Score'!$B$27:$O$40,13,0)</f>
        <v>44.878787878787882</v>
      </c>
      <c r="BS545" s="48">
        <f>$G545/5280*VLOOKUP($AC545,'Cost and Score'!$B$27:$O$40,14,0)</f>
        <v>0</v>
      </c>
      <c r="BT545" s="220">
        <f t="shared" si="287"/>
        <v>0.56098484848484853</v>
      </c>
      <c r="CW545" s="112"/>
      <c r="CX545" s="112"/>
      <c r="CY545" s="112"/>
    </row>
    <row r="546" spans="1:103" s="2" customFormat="1" ht="14.45" hidden="1" customHeight="1" x14ac:dyDescent="0.25">
      <c r="A546" s="38" t="s">
        <v>1153</v>
      </c>
      <c r="B546" s="34" t="s">
        <v>1152</v>
      </c>
      <c r="C546" s="26" t="s">
        <v>1152</v>
      </c>
      <c r="D546" s="82"/>
      <c r="E546" s="82" t="s">
        <v>217</v>
      </c>
      <c r="F546" s="82" t="s">
        <v>193</v>
      </c>
      <c r="G546" s="29">
        <v>2992</v>
      </c>
      <c r="H546" s="29">
        <f t="shared" si="300"/>
        <v>20</v>
      </c>
      <c r="I546" s="26" t="s">
        <v>8</v>
      </c>
      <c r="J546" s="26" t="s">
        <v>26</v>
      </c>
      <c r="K546" s="26">
        <f t="shared" si="288"/>
        <v>0</v>
      </c>
      <c r="L546" s="42">
        <v>6</v>
      </c>
      <c r="M546" s="42">
        <v>7</v>
      </c>
      <c r="N546" s="42">
        <v>7</v>
      </c>
      <c r="O546" s="83">
        <v>6</v>
      </c>
      <c r="P546" s="83">
        <v>6</v>
      </c>
      <c r="Q546" s="83">
        <v>6</v>
      </c>
      <c r="R546" s="83">
        <v>6</v>
      </c>
      <c r="S546" s="83">
        <v>6</v>
      </c>
      <c r="T546" s="83">
        <v>7</v>
      </c>
      <c r="U546" s="83">
        <v>7</v>
      </c>
      <c r="V546" s="42"/>
      <c r="W546" s="42"/>
      <c r="X546" s="42"/>
      <c r="Y546" s="26">
        <v>50</v>
      </c>
      <c r="Z546" s="26">
        <f t="shared" si="301"/>
        <v>0</v>
      </c>
      <c r="AA546" s="82" t="s">
        <v>140</v>
      </c>
      <c r="AB546" s="111">
        <f t="shared" si="302"/>
        <v>4</v>
      </c>
      <c r="AC546" s="85" t="s">
        <v>13</v>
      </c>
      <c r="AD546" s="221">
        <f t="shared" si="285"/>
        <v>11900</v>
      </c>
      <c r="AE546" s="140"/>
      <c r="AF546" s="113">
        <f t="shared" si="299"/>
        <v>0</v>
      </c>
      <c r="AG546" s="26">
        <v>2027</v>
      </c>
      <c r="AH546" s="26" t="str">
        <f t="shared" si="289"/>
        <v/>
      </c>
      <c r="AI546" s="26" t="str">
        <f t="shared" si="305"/>
        <v/>
      </c>
      <c r="AJ546" s="26" t="str">
        <f t="shared" si="280"/>
        <v/>
      </c>
      <c r="AK546" s="26" t="str">
        <f t="shared" si="290"/>
        <v/>
      </c>
      <c r="AL546" s="26" t="str">
        <f t="shared" si="290"/>
        <v/>
      </c>
      <c r="AM546" s="26" t="str">
        <f t="shared" si="290"/>
        <v>Chip Seal and Fog</v>
      </c>
      <c r="AN546" s="26" t="str">
        <f t="shared" si="298"/>
        <v>Chip Seal and Fog</v>
      </c>
      <c r="AO546" s="26" t="str">
        <f t="shared" si="281"/>
        <v>Overlay - 2"</v>
      </c>
      <c r="AP546" s="26" t="str">
        <f t="shared" si="291"/>
        <v/>
      </c>
      <c r="AQ546" s="68">
        <f t="shared" si="303"/>
        <v>8</v>
      </c>
      <c r="AR546" s="68">
        <f t="shared" si="304"/>
        <v>6</v>
      </c>
      <c r="AS546" s="68">
        <f t="shared" si="292"/>
        <v>1.1000000000000001</v>
      </c>
      <c r="AT546" s="68">
        <f t="shared" si="293"/>
        <v>1.05</v>
      </c>
      <c r="AU546" s="68">
        <f t="shared" si="294"/>
        <v>1.05</v>
      </c>
      <c r="AV546" s="68">
        <f t="shared" si="295"/>
        <v>1.1000000000000001</v>
      </c>
      <c r="AW546" s="68">
        <f t="shared" si="296"/>
        <v>1.1000000000000001</v>
      </c>
      <c r="AX546" s="68">
        <f t="shared" ca="1" si="297"/>
        <v>3.1500000000000004</v>
      </c>
      <c r="AY546" s="68">
        <v>2021</v>
      </c>
      <c r="AZ546" s="68" t="s">
        <v>751</v>
      </c>
      <c r="BA546" s="106" t="str">
        <f t="shared" si="286"/>
        <v/>
      </c>
      <c r="BB546" s="178"/>
      <c r="BC546" s="178">
        <v>7</v>
      </c>
      <c r="BD546" s="178"/>
      <c r="BE546" s="178"/>
      <c r="BF546" s="178"/>
      <c r="BG546" s="178"/>
      <c r="BH546" s="178"/>
      <c r="BI546" s="33"/>
      <c r="BK546" s="48">
        <f>$G546/5280*VLOOKUP($AC546,'Cost and Score'!$B$27:$O$40,6,0)</f>
        <v>0.11333333333333334</v>
      </c>
      <c r="BL546" s="48">
        <f>$G546/5280*VLOOKUP($AC546,'Cost and Score'!$B$27:$O$40,7,0)</f>
        <v>12.466666666666667</v>
      </c>
      <c r="BM546" s="48">
        <f>$G546/5280*VLOOKUP($AC546,'Cost and Score'!$B$27:$O$40,8,0)</f>
        <v>0</v>
      </c>
      <c r="BN546" s="48">
        <f>$G546/5280*VLOOKUP($AC546,'Cost and Score'!$B$27:$O$40,9,0)</f>
        <v>2550</v>
      </c>
      <c r="BO546" s="48">
        <f>$G546/5280*VLOOKUP($AC546,'Cost and Score'!$B$27:$O$40,10,0)</f>
        <v>566.66666666666663</v>
      </c>
      <c r="BP546" s="48">
        <f>$G546/5280*VLOOKUP($AC546,'Cost and Score'!$B$27:$O$40,11,0)</f>
        <v>0</v>
      </c>
      <c r="BQ546" s="48">
        <f>$G546/5280*VLOOKUP($AC546,'Cost and Score'!$B$27:$O$40,12,0)</f>
        <v>56.666666666666664</v>
      </c>
      <c r="BR546" s="48">
        <f>$G546/5280*VLOOKUP($AC546,'Cost and Score'!$B$27:$O$40,13,0)</f>
        <v>68</v>
      </c>
      <c r="BS546" s="48">
        <f>$G546/5280*VLOOKUP($AC546,'Cost and Score'!$B$27:$O$40,14,0)</f>
        <v>0</v>
      </c>
      <c r="BT546" s="220">
        <f t="shared" si="287"/>
        <v>0.56666666666666665</v>
      </c>
      <c r="CW546" s="112"/>
      <c r="CX546" s="112"/>
      <c r="CY546" s="112"/>
    </row>
    <row r="547" spans="1:103" s="2" customFormat="1" ht="14.45" hidden="1" customHeight="1" x14ac:dyDescent="0.25">
      <c r="A547" s="38" t="s">
        <v>1155</v>
      </c>
      <c r="B547" s="34" t="s">
        <v>1154</v>
      </c>
      <c r="C547" s="26" t="s">
        <v>1154</v>
      </c>
      <c r="D547" s="82"/>
      <c r="E547" s="82" t="s">
        <v>99</v>
      </c>
      <c r="F547" s="82" t="s">
        <v>440</v>
      </c>
      <c r="G547" s="29">
        <v>2665</v>
      </c>
      <c r="H547" s="29">
        <f t="shared" si="300"/>
        <v>20</v>
      </c>
      <c r="I547" s="26" t="s">
        <v>13</v>
      </c>
      <c r="J547" s="26" t="s">
        <v>172</v>
      </c>
      <c r="K547" s="26">
        <f t="shared" si="288"/>
        <v>0</v>
      </c>
      <c r="L547" s="42">
        <v>6</v>
      </c>
      <c r="M547" s="42">
        <v>7</v>
      </c>
      <c r="N547" s="42">
        <v>7</v>
      </c>
      <c r="O547" s="83">
        <v>5</v>
      </c>
      <c r="P547" s="83">
        <v>5</v>
      </c>
      <c r="Q547" s="83">
        <v>5</v>
      </c>
      <c r="R547" s="83">
        <v>5</v>
      </c>
      <c r="S547" s="83">
        <v>5</v>
      </c>
      <c r="T547" s="83">
        <v>8</v>
      </c>
      <c r="U547" s="83">
        <v>8</v>
      </c>
      <c r="V547" s="42"/>
      <c r="W547" s="42"/>
      <c r="X547" s="42"/>
      <c r="Y547" s="26">
        <v>50</v>
      </c>
      <c r="Z547" s="26">
        <f t="shared" si="301"/>
        <v>0</v>
      </c>
      <c r="AA547" s="82" t="s">
        <v>140</v>
      </c>
      <c r="AB547" s="111">
        <f t="shared" si="302"/>
        <v>5</v>
      </c>
      <c r="AC547" s="85" t="s">
        <v>13</v>
      </c>
      <c r="AD547" s="221">
        <f t="shared" si="285"/>
        <v>10599.431818181818</v>
      </c>
      <c r="AE547" s="140"/>
      <c r="AF547" s="113">
        <f t="shared" si="299"/>
        <v>0</v>
      </c>
      <c r="AG547" s="26">
        <v>2027</v>
      </c>
      <c r="AH547" s="26" t="str">
        <f t="shared" si="289"/>
        <v/>
      </c>
      <c r="AI547" s="26" t="str">
        <f t="shared" si="305"/>
        <v/>
      </c>
      <c r="AJ547" s="26" t="str">
        <f t="shared" si="280"/>
        <v/>
      </c>
      <c r="AK547" s="26" t="str">
        <f t="shared" si="290"/>
        <v/>
      </c>
      <c r="AL547" s="26" t="str">
        <f t="shared" si="290"/>
        <v/>
      </c>
      <c r="AM547" s="26" t="str">
        <f t="shared" si="290"/>
        <v>Chip Seal and Fog</v>
      </c>
      <c r="AN547" s="26" t="str">
        <f t="shared" si="298"/>
        <v>Chip Seal and Fog</v>
      </c>
      <c r="AO547" s="26" t="str">
        <f t="shared" si="281"/>
        <v>Overlay - 2"</v>
      </c>
      <c r="AP547" s="26" t="str">
        <f t="shared" si="291"/>
        <v/>
      </c>
      <c r="AQ547" s="68">
        <f t="shared" si="303"/>
        <v>6</v>
      </c>
      <c r="AR547" s="68">
        <f t="shared" si="304"/>
        <v>6</v>
      </c>
      <c r="AS547" s="68">
        <f t="shared" si="292"/>
        <v>1.1000000000000001</v>
      </c>
      <c r="AT547" s="68">
        <f t="shared" si="293"/>
        <v>1.05</v>
      </c>
      <c r="AU547" s="68">
        <f t="shared" si="294"/>
        <v>1.05</v>
      </c>
      <c r="AV547" s="68">
        <f t="shared" si="295"/>
        <v>1.25</v>
      </c>
      <c r="AW547" s="68">
        <f t="shared" si="296"/>
        <v>1.25</v>
      </c>
      <c r="AX547" s="68">
        <f t="shared" ca="1" si="297"/>
        <v>3.1500000000000004</v>
      </c>
      <c r="AY547" s="68">
        <v>2021</v>
      </c>
      <c r="AZ547" s="68" t="s">
        <v>751</v>
      </c>
      <c r="BA547" s="106" t="str">
        <f t="shared" si="286"/>
        <v/>
      </c>
      <c r="BB547" s="178"/>
      <c r="BC547" s="178">
        <v>7</v>
      </c>
      <c r="BD547" s="178"/>
      <c r="BE547" s="178"/>
      <c r="BF547" s="178"/>
      <c r="BG547" s="178"/>
      <c r="BH547" s="178"/>
      <c r="BI547" s="33"/>
      <c r="BK547" s="48">
        <f>$G547/5280*VLOOKUP($AC547,'Cost and Score'!$B$27:$O$40,6,0)</f>
        <v>0.1009469696969697</v>
      </c>
      <c r="BL547" s="48">
        <f>$G547/5280*VLOOKUP($AC547,'Cost and Score'!$B$27:$O$40,7,0)</f>
        <v>11.104166666666668</v>
      </c>
      <c r="BM547" s="48">
        <f>$G547/5280*VLOOKUP($AC547,'Cost and Score'!$B$27:$O$40,8,0)</f>
        <v>0</v>
      </c>
      <c r="BN547" s="48">
        <f>$G547/5280*VLOOKUP($AC547,'Cost and Score'!$B$27:$O$40,9,0)</f>
        <v>2271.3068181818185</v>
      </c>
      <c r="BO547" s="48">
        <f>$G547/5280*VLOOKUP($AC547,'Cost and Score'!$B$27:$O$40,10,0)</f>
        <v>504.7348484848485</v>
      </c>
      <c r="BP547" s="48">
        <f>$G547/5280*VLOOKUP($AC547,'Cost and Score'!$B$27:$O$40,11,0)</f>
        <v>0</v>
      </c>
      <c r="BQ547" s="48">
        <f>$G547/5280*VLOOKUP($AC547,'Cost and Score'!$B$27:$O$40,12,0)</f>
        <v>50.473484848484851</v>
      </c>
      <c r="BR547" s="48">
        <f>$G547/5280*VLOOKUP($AC547,'Cost and Score'!$B$27:$O$40,13,0)</f>
        <v>60.56818181818182</v>
      </c>
      <c r="BS547" s="48">
        <f>$G547/5280*VLOOKUP($AC547,'Cost and Score'!$B$27:$O$40,14,0)</f>
        <v>0</v>
      </c>
      <c r="BT547" s="220">
        <f t="shared" si="287"/>
        <v>0.50473484848484851</v>
      </c>
      <c r="CW547" s="112"/>
      <c r="CX547" s="112"/>
      <c r="CY547" s="112"/>
    </row>
    <row r="548" spans="1:103" s="2" customFormat="1" ht="14.45" hidden="1" customHeight="1" x14ac:dyDescent="0.25">
      <c r="A548" s="38"/>
      <c r="B548" s="34" t="s">
        <v>1156</v>
      </c>
      <c r="C548" s="26" t="s">
        <v>1156</v>
      </c>
      <c r="D548" s="82"/>
      <c r="E548" s="82" t="s">
        <v>193</v>
      </c>
      <c r="F548" s="82" t="s">
        <v>222</v>
      </c>
      <c r="G548" s="29">
        <v>2693</v>
      </c>
      <c r="H548" s="29">
        <f t="shared" si="300"/>
        <v>20</v>
      </c>
      <c r="I548" s="26" t="s">
        <v>8</v>
      </c>
      <c r="J548" s="26" t="s">
        <v>26</v>
      </c>
      <c r="K548" s="26">
        <f t="shared" si="288"/>
        <v>0</v>
      </c>
      <c r="L548" s="42">
        <v>7</v>
      </c>
      <c r="M548" s="42">
        <v>7</v>
      </c>
      <c r="N548" s="42">
        <v>6</v>
      </c>
      <c r="O548" s="83">
        <v>6</v>
      </c>
      <c r="P548" s="83">
        <v>6</v>
      </c>
      <c r="Q548" s="83">
        <v>6</v>
      </c>
      <c r="R548" s="83">
        <v>6</v>
      </c>
      <c r="S548" s="83">
        <v>6</v>
      </c>
      <c r="T548" s="83">
        <v>7</v>
      </c>
      <c r="U548" s="83">
        <v>7</v>
      </c>
      <c r="V548" s="42"/>
      <c r="W548" s="42"/>
      <c r="X548" s="42"/>
      <c r="Y548" s="26">
        <v>50</v>
      </c>
      <c r="Z548" s="26">
        <f t="shared" si="301"/>
        <v>0</v>
      </c>
      <c r="AA548" s="82" t="s">
        <v>140</v>
      </c>
      <c r="AB548" s="111">
        <f t="shared" si="302"/>
        <v>4</v>
      </c>
      <c r="AC548" s="82" t="s">
        <v>2072</v>
      </c>
      <c r="AD548" s="84">
        <f t="shared" si="285"/>
        <v>23461.742424242424</v>
      </c>
      <c r="AE548" s="140"/>
      <c r="AF548" s="113">
        <f t="shared" si="299"/>
        <v>0</v>
      </c>
      <c r="AG548" s="26">
        <v>2027</v>
      </c>
      <c r="AH548" s="26" t="str">
        <f t="shared" si="289"/>
        <v/>
      </c>
      <c r="AI548" s="26" t="str">
        <f t="shared" si="305"/>
        <v/>
      </c>
      <c r="AJ548" s="26" t="str">
        <f t="shared" si="280"/>
        <v/>
      </c>
      <c r="AK548" s="26" t="str">
        <f t="shared" ref="AK548:AM567" si="306">IF($AG548=AK$1,VLOOKUP($AC548,RSL,3,FALSE),"")</f>
        <v/>
      </c>
      <c r="AL548" s="26" t="str">
        <f t="shared" si="306"/>
        <v/>
      </c>
      <c r="AM548" s="26" t="str">
        <f t="shared" si="306"/>
        <v>Chip Seal - Triple</v>
      </c>
      <c r="AN548" s="26" t="str">
        <f t="shared" si="298"/>
        <v>Chip Seal - Triple</v>
      </c>
      <c r="AO548" s="26" t="str">
        <f t="shared" si="281"/>
        <v>Chip Seal - Triple</v>
      </c>
      <c r="AP548" s="26" t="str">
        <f t="shared" si="291"/>
        <v/>
      </c>
      <c r="AQ548" s="68">
        <f t="shared" si="303"/>
        <v>8</v>
      </c>
      <c r="AR548" s="68">
        <f t="shared" si="304"/>
        <v>8</v>
      </c>
      <c r="AS548" s="68">
        <f t="shared" si="292"/>
        <v>1.05</v>
      </c>
      <c r="AT548" s="68">
        <f t="shared" si="293"/>
        <v>1.05</v>
      </c>
      <c r="AU548" s="68">
        <f t="shared" si="294"/>
        <v>1.1000000000000001</v>
      </c>
      <c r="AV548" s="68">
        <f t="shared" si="295"/>
        <v>1.1000000000000001</v>
      </c>
      <c r="AW548" s="68">
        <f t="shared" si="296"/>
        <v>1.1000000000000001</v>
      </c>
      <c r="AX548" s="68">
        <f t="shared" ca="1" si="297"/>
        <v>3.3000000000000003</v>
      </c>
      <c r="AY548" s="68">
        <v>2021</v>
      </c>
      <c r="AZ548" s="68" t="s">
        <v>2072</v>
      </c>
      <c r="BA548" s="106" t="str">
        <f t="shared" si="286"/>
        <v/>
      </c>
      <c r="BB548" s="178">
        <v>51</v>
      </c>
      <c r="BC548" s="178">
        <v>7</v>
      </c>
      <c r="BD548" s="178"/>
      <c r="BE548" s="178"/>
      <c r="BF548" s="178"/>
      <c r="BG548" s="178"/>
      <c r="BH548" s="178"/>
      <c r="BI548" s="33"/>
      <c r="BK548" s="48">
        <f>$G548/5280*VLOOKUP($AC548,'Cost and Score'!$B$27:$O$40,6,0)</f>
        <v>0.30602272727272722</v>
      </c>
      <c r="BL548" s="48">
        <f>$G548/5280*VLOOKUP($AC548,'Cost and Score'!$B$27:$O$40,7,0)</f>
        <v>63.754734848484844</v>
      </c>
      <c r="BM548" s="48">
        <f>$G548/5280*VLOOKUP($AC548,'Cost and Score'!$B$27:$O$40,8,0)</f>
        <v>102.00757575757575</v>
      </c>
      <c r="BN548" s="48">
        <f>$G548/5280*VLOOKUP($AC548,'Cost and Score'!$B$27:$O$40,9,0)</f>
        <v>1020.0757575757575</v>
      </c>
      <c r="BO548" s="48">
        <f>$G548/5280*VLOOKUP($AC548,'Cost and Score'!$B$27:$O$40,10,0)</f>
        <v>255.01893939393938</v>
      </c>
      <c r="BP548" s="48">
        <f>$G548/5280*VLOOKUP($AC548,'Cost and Score'!$B$27:$O$40,11,0)</f>
        <v>51.003787878787875</v>
      </c>
      <c r="BQ548" s="48">
        <f>$G548/5280*VLOOKUP($AC548,'Cost and Score'!$B$27:$O$40,12,0)</f>
        <v>408.030303030303</v>
      </c>
      <c r="BR548" s="48">
        <f>$G548/5280*VLOOKUP($AC548,'Cost and Score'!$B$27:$O$40,13,0)</f>
        <v>40.803030303030297</v>
      </c>
      <c r="BS548" s="48">
        <f>$G548/5280*VLOOKUP($AC548,'Cost and Score'!$B$27:$O$40,14,0)</f>
        <v>0</v>
      </c>
      <c r="BT548" s="220">
        <f t="shared" si="287"/>
        <v>0.51003787878787876</v>
      </c>
      <c r="CW548" s="115"/>
      <c r="CX548" s="115"/>
      <c r="CY548" s="115"/>
    </row>
    <row r="549" spans="1:103" s="2" customFormat="1" ht="14.45" hidden="1" customHeight="1" x14ac:dyDescent="0.25">
      <c r="A549" s="38" t="s">
        <v>1158</v>
      </c>
      <c r="B549" s="34" t="s">
        <v>1157</v>
      </c>
      <c r="C549" s="26" t="s">
        <v>1157</v>
      </c>
      <c r="D549" s="82"/>
      <c r="E549" s="82" t="s">
        <v>440</v>
      </c>
      <c r="F549" s="82" t="s">
        <v>104</v>
      </c>
      <c r="G549" s="29">
        <v>2640</v>
      </c>
      <c r="H549" s="29">
        <f t="shared" si="300"/>
        <v>20</v>
      </c>
      <c r="I549" s="26" t="s">
        <v>8</v>
      </c>
      <c r="J549" s="26" t="s">
        <v>172</v>
      </c>
      <c r="K549" s="26">
        <f t="shared" si="288"/>
        <v>0</v>
      </c>
      <c r="L549" s="42">
        <v>5</v>
      </c>
      <c r="M549" s="42">
        <v>5</v>
      </c>
      <c r="N549" s="42">
        <v>5</v>
      </c>
      <c r="O549" s="83">
        <v>3</v>
      </c>
      <c r="P549" s="83">
        <v>3</v>
      </c>
      <c r="Q549" s="83">
        <v>8</v>
      </c>
      <c r="R549" s="83">
        <v>7</v>
      </c>
      <c r="S549" s="83">
        <v>7</v>
      </c>
      <c r="T549" s="83">
        <v>7</v>
      </c>
      <c r="U549" s="83">
        <v>7</v>
      </c>
      <c r="V549" s="42"/>
      <c r="W549" s="42"/>
      <c r="X549" s="42"/>
      <c r="Y549" s="26">
        <v>50</v>
      </c>
      <c r="Z549" s="26">
        <f t="shared" si="301"/>
        <v>0</v>
      </c>
      <c r="AA549" s="82" t="s">
        <v>140</v>
      </c>
      <c r="AB549" s="111">
        <f t="shared" si="302"/>
        <v>7</v>
      </c>
      <c r="AC549" s="85" t="s">
        <v>13</v>
      </c>
      <c r="AD549" s="84">
        <f t="shared" si="285"/>
        <v>10500</v>
      </c>
      <c r="AE549" s="140"/>
      <c r="AF549" s="113">
        <f t="shared" si="299"/>
        <v>0</v>
      </c>
      <c r="AG549" s="26">
        <v>2024</v>
      </c>
      <c r="AH549" s="26" t="str">
        <f t="shared" si="289"/>
        <v/>
      </c>
      <c r="AI549" s="26" t="str">
        <f t="shared" si="305"/>
        <v/>
      </c>
      <c r="AJ549" s="26" t="str">
        <f t="shared" si="280"/>
        <v>Chip Seal and Fog</v>
      </c>
      <c r="AK549" s="26" t="str">
        <f t="shared" si="306"/>
        <v/>
      </c>
      <c r="AL549" s="26" t="str">
        <f t="shared" si="306"/>
        <v/>
      </c>
      <c r="AM549" s="26" t="str">
        <f t="shared" si="306"/>
        <v/>
      </c>
      <c r="AN549" s="26" t="str">
        <f t="shared" si="298"/>
        <v>Chip Seal and Fog</v>
      </c>
      <c r="AO549" s="26" t="str">
        <f t="shared" si="281"/>
        <v/>
      </c>
      <c r="AP549" s="26" t="str">
        <f t="shared" si="291"/>
        <v/>
      </c>
      <c r="AQ549" s="68">
        <f t="shared" si="303"/>
        <v>1</v>
      </c>
      <c r="AR549" s="68">
        <f t="shared" si="304"/>
        <v>6</v>
      </c>
      <c r="AS549" s="68">
        <f t="shared" si="292"/>
        <v>1.25</v>
      </c>
      <c r="AT549" s="68">
        <f t="shared" si="293"/>
        <v>1.25</v>
      </c>
      <c r="AU549" s="68">
        <f t="shared" si="294"/>
        <v>1.25</v>
      </c>
      <c r="AV549" s="68">
        <f t="shared" si="295"/>
        <v>1.75</v>
      </c>
      <c r="AW549" s="68">
        <f t="shared" si="296"/>
        <v>1.75</v>
      </c>
      <c r="AX549" s="68">
        <f t="shared" ca="1" si="297"/>
        <v>0</v>
      </c>
      <c r="AY549" s="106">
        <v>2018</v>
      </c>
      <c r="AZ549" s="106" t="s">
        <v>2072</v>
      </c>
      <c r="BA549" s="106" t="str">
        <f t="shared" si="286"/>
        <v>SP/CS</v>
      </c>
      <c r="BB549" s="177"/>
      <c r="BC549" s="177">
        <v>7</v>
      </c>
      <c r="BD549" s="177"/>
      <c r="BE549" s="177"/>
      <c r="BF549" s="177"/>
      <c r="BG549" s="177"/>
      <c r="BH549" s="177"/>
      <c r="BI549" s="33"/>
      <c r="BK549" s="48">
        <f>$G549/5280*VLOOKUP($AC549,'Cost and Score'!$B$27:$O$40,6,0)</f>
        <v>0.1</v>
      </c>
      <c r="BL549" s="48">
        <f>$G549/5280*VLOOKUP($AC549,'Cost and Score'!$B$27:$O$40,7,0)</f>
        <v>11</v>
      </c>
      <c r="BM549" s="48">
        <f>$G549/5280*VLOOKUP($AC549,'Cost and Score'!$B$27:$O$40,8,0)</f>
        <v>0</v>
      </c>
      <c r="BN549" s="48">
        <f>$G549/5280*VLOOKUP($AC549,'Cost and Score'!$B$27:$O$40,9,0)</f>
        <v>2250</v>
      </c>
      <c r="BO549" s="48">
        <f>$G549/5280*VLOOKUP($AC549,'Cost and Score'!$B$27:$O$40,10,0)</f>
        <v>500</v>
      </c>
      <c r="BP549" s="48">
        <f>$G549/5280*VLOOKUP($AC549,'Cost and Score'!$B$27:$O$40,11,0)</f>
        <v>0</v>
      </c>
      <c r="BQ549" s="48">
        <f>$G549/5280*VLOOKUP($AC549,'Cost and Score'!$B$27:$O$40,12,0)</f>
        <v>50</v>
      </c>
      <c r="BR549" s="48">
        <f>$G549/5280*VLOOKUP($AC549,'Cost and Score'!$B$27:$O$40,13,0)</f>
        <v>60</v>
      </c>
      <c r="BS549" s="48">
        <f>$G549/5280*VLOOKUP($AC549,'Cost and Score'!$B$27:$O$40,14,0)</f>
        <v>0</v>
      </c>
      <c r="BT549" s="220">
        <f t="shared" si="287"/>
        <v>0.5</v>
      </c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S549" s="112"/>
      <c r="CT549" s="112"/>
      <c r="CU549" s="112"/>
    </row>
    <row r="550" spans="1:103" s="2" customFormat="1" ht="14.45" hidden="1" customHeight="1" x14ac:dyDescent="0.25">
      <c r="A550" s="38" t="s">
        <v>1160</v>
      </c>
      <c r="B550" s="34" t="s">
        <v>1159</v>
      </c>
      <c r="C550" s="26" t="s">
        <v>1159</v>
      </c>
      <c r="D550" s="82"/>
      <c r="E550" s="82" t="s">
        <v>104</v>
      </c>
      <c r="F550" s="82" t="s">
        <v>107</v>
      </c>
      <c r="G550" s="29">
        <v>5255</v>
      </c>
      <c r="H550" s="29">
        <f t="shared" si="300"/>
        <v>20</v>
      </c>
      <c r="I550" s="26" t="s">
        <v>13</v>
      </c>
      <c r="J550" s="26" t="s">
        <v>172</v>
      </c>
      <c r="K550" s="26">
        <f t="shared" si="288"/>
        <v>0</v>
      </c>
      <c r="L550" s="42">
        <v>6</v>
      </c>
      <c r="M550" s="42">
        <v>7</v>
      </c>
      <c r="N550" s="42">
        <v>7</v>
      </c>
      <c r="O550" s="83">
        <v>6</v>
      </c>
      <c r="P550" s="83">
        <v>6</v>
      </c>
      <c r="Q550" s="83">
        <v>6</v>
      </c>
      <c r="R550" s="83">
        <v>6</v>
      </c>
      <c r="S550" s="83">
        <v>6</v>
      </c>
      <c r="T550" s="83">
        <v>7</v>
      </c>
      <c r="U550" s="83">
        <v>7</v>
      </c>
      <c r="V550" s="42"/>
      <c r="W550" s="42"/>
      <c r="X550" s="42"/>
      <c r="Y550" s="26">
        <v>50</v>
      </c>
      <c r="Z550" s="26">
        <f t="shared" si="301"/>
        <v>0</v>
      </c>
      <c r="AA550" s="82" t="s">
        <v>140</v>
      </c>
      <c r="AB550" s="111">
        <f t="shared" si="302"/>
        <v>4</v>
      </c>
      <c r="AC550" s="82" t="s">
        <v>751</v>
      </c>
      <c r="AD550" s="221">
        <f t="shared" si="285"/>
        <v>109479.16666666667</v>
      </c>
      <c r="AE550" s="140">
        <v>1</v>
      </c>
      <c r="AF550" s="113">
        <f t="shared" si="299"/>
        <v>109479.16666666667</v>
      </c>
      <c r="AG550" s="82">
        <v>2023</v>
      </c>
      <c r="AH550" s="26" t="str">
        <f t="shared" si="289"/>
        <v/>
      </c>
      <c r="AI550" s="26" t="str">
        <f t="shared" si="305"/>
        <v>Overlay - 2"</v>
      </c>
      <c r="AJ550" s="26" t="str">
        <f t="shared" si="280"/>
        <v/>
      </c>
      <c r="AK550" s="26" t="str">
        <f t="shared" si="306"/>
        <v/>
      </c>
      <c r="AL550" s="26" t="str">
        <f t="shared" si="306"/>
        <v/>
      </c>
      <c r="AM550" s="26" t="str">
        <f t="shared" si="306"/>
        <v/>
      </c>
      <c r="AN550" s="26" t="str">
        <f t="shared" si="298"/>
        <v>Overlay - 2"</v>
      </c>
      <c r="AO550" s="26" t="str">
        <f t="shared" si="281"/>
        <v/>
      </c>
      <c r="AP550" s="26" t="str">
        <f t="shared" si="291"/>
        <v/>
      </c>
      <c r="AQ550" s="68">
        <f t="shared" si="303"/>
        <v>8</v>
      </c>
      <c r="AR550" s="68">
        <f t="shared" si="304"/>
        <v>12</v>
      </c>
      <c r="AS550" s="68">
        <f t="shared" si="292"/>
        <v>1.1000000000000001</v>
      </c>
      <c r="AT550" s="68">
        <f t="shared" si="293"/>
        <v>1.05</v>
      </c>
      <c r="AU550" s="68">
        <f t="shared" si="294"/>
        <v>1.05</v>
      </c>
      <c r="AV550" s="68">
        <f t="shared" si="295"/>
        <v>1.1000000000000001</v>
      </c>
      <c r="AW550" s="68">
        <f t="shared" si="296"/>
        <v>1.1000000000000001</v>
      </c>
      <c r="AX550" s="68">
        <f t="shared" ca="1" si="297"/>
        <v>-1.05</v>
      </c>
      <c r="AY550" s="68">
        <v>2023</v>
      </c>
      <c r="AZ550" s="68" t="s">
        <v>751</v>
      </c>
      <c r="BA550" s="106" t="str">
        <f t="shared" si="286"/>
        <v/>
      </c>
      <c r="BB550" s="178"/>
      <c r="BC550" s="178">
        <v>7</v>
      </c>
      <c r="BD550" s="178"/>
      <c r="BE550" s="178"/>
      <c r="BF550" s="178"/>
      <c r="BG550" s="178"/>
      <c r="BH550" s="178"/>
      <c r="BI550" s="33"/>
      <c r="BK550" s="48">
        <f>$G550/5280*VLOOKUP($AC550,'Cost and Score'!$B$27:$O$40,6,0)</f>
        <v>2.2393465909090908</v>
      </c>
      <c r="BL550" s="48">
        <f>$G550/5280*VLOOKUP($AC550,'Cost and Score'!$B$27:$O$40,7,0)</f>
        <v>209.00568181818181</v>
      </c>
      <c r="BM550" s="48">
        <f>$G550/5280*VLOOKUP($AC550,'Cost and Score'!$B$27:$O$40,8,0)</f>
        <v>348.342803030303</v>
      </c>
      <c r="BN550" s="48">
        <f>$G550/5280*VLOOKUP($AC550,'Cost and Score'!$B$27:$O$40,9,0)</f>
        <v>0</v>
      </c>
      <c r="BO550" s="48">
        <f>$G550/5280*VLOOKUP($AC550,'Cost and Score'!$B$27:$O$40,10,0)</f>
        <v>0</v>
      </c>
      <c r="BP550" s="48">
        <f>$G550/5280*VLOOKUP($AC550,'Cost and Score'!$B$27:$O$40,11,0)</f>
        <v>199.05303030303031</v>
      </c>
      <c r="BQ550" s="48">
        <f>$G550/5280*VLOOKUP($AC550,'Cost and Score'!$B$27:$O$40,12,0)</f>
        <v>1691.9507575757575</v>
      </c>
      <c r="BR550" s="48">
        <f>$G550/5280*VLOOKUP($AC550,'Cost and Score'!$B$27:$O$40,13,0)</f>
        <v>0</v>
      </c>
      <c r="BS550" s="48">
        <f>$G550/5280*VLOOKUP($AC550,'Cost and Score'!$B$27:$O$40,14,0)</f>
        <v>0</v>
      </c>
      <c r="BT550" s="220">
        <f t="shared" si="287"/>
        <v>0.99526515151515149</v>
      </c>
    </row>
    <row r="551" spans="1:103" s="2" customFormat="1" ht="14.45" hidden="1" customHeight="1" x14ac:dyDescent="0.25">
      <c r="A551" s="38" t="s">
        <v>1162</v>
      </c>
      <c r="B551" s="34" t="s">
        <v>1161</v>
      </c>
      <c r="C551" s="26" t="s">
        <v>1161</v>
      </c>
      <c r="D551" s="26"/>
      <c r="E551" s="26" t="s">
        <v>197</v>
      </c>
      <c r="F551" s="26" t="s">
        <v>25</v>
      </c>
      <c r="G551" s="29">
        <v>5270</v>
      </c>
      <c r="H551" s="29">
        <f t="shared" si="300"/>
        <v>20</v>
      </c>
      <c r="I551" s="26" t="s">
        <v>2073</v>
      </c>
      <c r="J551" s="26" t="s">
        <v>26</v>
      </c>
      <c r="K551" s="26">
        <f t="shared" ref="K551:K582" si="307">VLOOKUP(J551,TOWNSHIPS,2,FALSE)</f>
        <v>0</v>
      </c>
      <c r="L551" s="42">
        <v>4</v>
      </c>
      <c r="M551" s="42">
        <v>2</v>
      </c>
      <c r="N551" s="42">
        <v>10</v>
      </c>
      <c r="O551" s="42">
        <v>9</v>
      </c>
      <c r="P551" s="42">
        <v>9</v>
      </c>
      <c r="Q551" s="42">
        <v>8</v>
      </c>
      <c r="R551" s="42">
        <v>7</v>
      </c>
      <c r="S551" s="42">
        <v>6</v>
      </c>
      <c r="T551" s="42">
        <v>7</v>
      </c>
      <c r="U551" s="42">
        <v>7</v>
      </c>
      <c r="V551" s="42"/>
      <c r="W551" s="42"/>
      <c r="X551" s="42"/>
      <c r="Y551" s="26">
        <v>10</v>
      </c>
      <c r="Z551" s="26">
        <f t="shared" si="301"/>
        <v>0</v>
      </c>
      <c r="AA551" s="26" t="s">
        <v>140</v>
      </c>
      <c r="AB551" s="111">
        <f t="shared" si="302"/>
        <v>1</v>
      </c>
      <c r="AC551" s="26" t="s">
        <v>2073</v>
      </c>
      <c r="AD551" s="47">
        <f t="shared" si="285"/>
        <v>31939.39393939394</v>
      </c>
      <c r="AE551" s="140"/>
      <c r="AF551" s="113">
        <f t="shared" si="299"/>
        <v>0</v>
      </c>
      <c r="AG551" s="26">
        <v>2022</v>
      </c>
      <c r="AH551" s="26" t="str">
        <f t="shared" si="289"/>
        <v>Chip Seal - Double and Fog</v>
      </c>
      <c r="AI551" s="26" t="str">
        <f t="shared" si="305"/>
        <v/>
      </c>
      <c r="AJ551" s="26" t="str">
        <f t="shared" ref="AJ551:AJ614" si="308">IF($AG551=AJ$1,VLOOKUP($AC551,RSL,3,FALSE),"")</f>
        <v/>
      </c>
      <c r="AK551" s="26" t="str">
        <f t="shared" si="306"/>
        <v/>
      </c>
      <c r="AL551" s="26" t="str">
        <f t="shared" si="306"/>
        <v/>
      </c>
      <c r="AM551" s="26" t="str">
        <f t="shared" si="306"/>
        <v/>
      </c>
      <c r="AN551" s="26" t="str">
        <f t="shared" si="298"/>
        <v>Chip Seal - Double and Fog</v>
      </c>
      <c r="AO551" s="26" t="str">
        <f t="shared" ref="AO551:AO614" si="309">IF(AY551=AO$1,VLOOKUP(AZ551,RSL,3,FALSE),"")</f>
        <v/>
      </c>
      <c r="AP551" s="26" t="str">
        <f t="shared" si="291"/>
        <v>Chip Seal - Double and Fog</v>
      </c>
      <c r="AQ551" s="68">
        <f t="shared" si="303"/>
        <v>14</v>
      </c>
      <c r="AR551" s="68">
        <f t="shared" si="304"/>
        <v>6</v>
      </c>
      <c r="AS551" s="68">
        <f t="shared" si="292"/>
        <v>1.5</v>
      </c>
      <c r="AT551" s="68">
        <f t="shared" si="293"/>
        <v>2</v>
      </c>
      <c r="AU551" s="68">
        <f t="shared" si="294"/>
        <v>1</v>
      </c>
      <c r="AV551" s="68">
        <f t="shared" si="295"/>
        <v>1</v>
      </c>
      <c r="AW551" s="68">
        <f t="shared" si="296"/>
        <v>1</v>
      </c>
      <c r="AX551" s="68">
        <f t="shared" ca="1" si="297"/>
        <v>-2</v>
      </c>
      <c r="AY551" s="68">
        <v>2022</v>
      </c>
      <c r="AZ551" s="68" t="s">
        <v>2073</v>
      </c>
      <c r="BA551" s="106" t="str">
        <f t="shared" si="286"/>
        <v/>
      </c>
      <c r="BB551" s="178"/>
      <c r="BC551" s="178">
        <v>5</v>
      </c>
      <c r="BD551" s="178"/>
      <c r="BE551" s="178"/>
      <c r="BF551" s="178"/>
      <c r="BG551" s="178"/>
      <c r="BH551" s="178"/>
      <c r="BI551" s="33" t="s">
        <v>2192</v>
      </c>
      <c r="BK551" s="48">
        <f>$G551/5280*VLOOKUP($AC551,'Cost and Score'!$B$27:$O$40,6,0)</f>
        <v>0.49905303030303028</v>
      </c>
      <c r="BL551" s="48">
        <f>$G551/5280*VLOOKUP($AC551,'Cost and Score'!$B$27:$O$40,7,0)</f>
        <v>49.905303030303031</v>
      </c>
      <c r="BM551" s="48">
        <f>$G551/5280*VLOOKUP($AC551,'Cost and Score'!$B$27:$O$40,8,0)</f>
        <v>0</v>
      </c>
      <c r="BN551" s="48">
        <f>$G551/5280*VLOOKUP($AC551,'Cost and Score'!$B$27:$O$40,9,0)</f>
        <v>9482.007575757576</v>
      </c>
      <c r="BO551" s="48">
        <f>$G551/5280*VLOOKUP($AC551,'Cost and Score'!$B$27:$O$40,10,0)</f>
        <v>998.10606060606051</v>
      </c>
      <c r="BP551" s="48">
        <f>$G551/5280*VLOOKUP($AC551,'Cost and Score'!$B$27:$O$40,11,0)</f>
        <v>0</v>
      </c>
      <c r="BQ551" s="48">
        <f>$G551/5280*VLOOKUP($AC551,'Cost and Score'!$B$27:$O$40,12,0)</f>
        <v>199.62121212121212</v>
      </c>
      <c r="BR551" s="48">
        <f>$G551/5280*VLOOKUP($AC551,'Cost and Score'!$B$27:$O$40,13,0)</f>
        <v>179.65909090909091</v>
      </c>
      <c r="BS551" s="48">
        <f>$G551/5280*VLOOKUP($AC551,'Cost and Score'!$B$27:$O$40,14,0)</f>
        <v>239.54545454545453</v>
      </c>
      <c r="BT551" s="220">
        <f t="shared" si="287"/>
        <v>0.99810606060606055</v>
      </c>
      <c r="CW551" s="112"/>
      <c r="CX551" s="112"/>
      <c r="CY551" s="112"/>
    </row>
    <row r="552" spans="1:103" s="2" customFormat="1" ht="14.45" hidden="1" customHeight="1" x14ac:dyDescent="0.25">
      <c r="A552" s="38" t="s">
        <v>1164</v>
      </c>
      <c r="B552" s="34" t="s">
        <v>1163</v>
      </c>
      <c r="C552" s="26" t="s">
        <v>1163</v>
      </c>
      <c r="D552" s="82"/>
      <c r="E552" s="82" t="s">
        <v>107</v>
      </c>
      <c r="F552" s="82" t="s">
        <v>785</v>
      </c>
      <c r="G552" s="29">
        <v>2635</v>
      </c>
      <c r="H552" s="29">
        <f t="shared" si="300"/>
        <v>20</v>
      </c>
      <c r="I552" s="26" t="s">
        <v>13</v>
      </c>
      <c r="J552" s="26" t="s">
        <v>172</v>
      </c>
      <c r="K552" s="26">
        <f t="shared" si="307"/>
        <v>0</v>
      </c>
      <c r="L552" s="42">
        <v>6</v>
      </c>
      <c r="M552" s="42">
        <v>6</v>
      </c>
      <c r="N552" s="42">
        <v>6</v>
      </c>
      <c r="O552" s="83">
        <v>6</v>
      </c>
      <c r="P552" s="83">
        <v>5</v>
      </c>
      <c r="Q552" s="83">
        <v>6</v>
      </c>
      <c r="R552" s="83">
        <v>5</v>
      </c>
      <c r="S552" s="83">
        <v>5</v>
      </c>
      <c r="T552" s="83">
        <v>8</v>
      </c>
      <c r="U552" s="83">
        <v>8</v>
      </c>
      <c r="V552" s="42"/>
      <c r="W552" s="42"/>
      <c r="X552" s="42"/>
      <c r="Y552" s="26">
        <v>50</v>
      </c>
      <c r="Z552" s="26">
        <f t="shared" si="301"/>
        <v>0</v>
      </c>
      <c r="AA552" s="82" t="s">
        <v>140</v>
      </c>
      <c r="AB552" s="111">
        <f t="shared" si="302"/>
        <v>5</v>
      </c>
      <c r="AC552" s="85" t="s">
        <v>13</v>
      </c>
      <c r="AD552" s="221">
        <f t="shared" si="285"/>
        <v>10480.113636363636</v>
      </c>
      <c r="AE552" s="140"/>
      <c r="AF552" s="113">
        <f t="shared" si="299"/>
        <v>0</v>
      </c>
      <c r="AG552" s="26">
        <v>2027</v>
      </c>
      <c r="AH552" s="26" t="str">
        <f t="shared" si="289"/>
        <v/>
      </c>
      <c r="AI552" s="26" t="str">
        <f t="shared" si="305"/>
        <v/>
      </c>
      <c r="AJ552" s="26" t="str">
        <f t="shared" si="308"/>
        <v/>
      </c>
      <c r="AK552" s="26" t="str">
        <f t="shared" si="306"/>
        <v/>
      </c>
      <c r="AL552" s="26" t="str">
        <f t="shared" si="306"/>
        <v/>
      </c>
      <c r="AM552" s="26" t="str">
        <f t="shared" si="306"/>
        <v>Chip Seal and Fog</v>
      </c>
      <c r="AN552" s="26" t="str">
        <f t="shared" si="298"/>
        <v>Chip Seal and Fog</v>
      </c>
      <c r="AO552" s="26" t="str">
        <f t="shared" si="309"/>
        <v>Overlay - 2"</v>
      </c>
      <c r="AP552" s="26" t="str">
        <f t="shared" si="291"/>
        <v/>
      </c>
      <c r="AQ552" s="68">
        <f t="shared" si="303"/>
        <v>8</v>
      </c>
      <c r="AR552" s="68">
        <f t="shared" si="304"/>
        <v>6</v>
      </c>
      <c r="AS552" s="68">
        <f t="shared" si="292"/>
        <v>1.1000000000000001</v>
      </c>
      <c r="AT552" s="68">
        <f t="shared" si="293"/>
        <v>1.1000000000000001</v>
      </c>
      <c r="AU552" s="68">
        <f t="shared" si="294"/>
        <v>1.1000000000000001</v>
      </c>
      <c r="AV552" s="68">
        <f t="shared" si="295"/>
        <v>1.1000000000000001</v>
      </c>
      <c r="AW552" s="68">
        <f t="shared" si="296"/>
        <v>1.25</v>
      </c>
      <c r="AX552" s="68">
        <f t="shared" ca="1" si="297"/>
        <v>3.3000000000000003</v>
      </c>
      <c r="AY552" s="68">
        <v>2021</v>
      </c>
      <c r="AZ552" s="68" t="s">
        <v>751</v>
      </c>
      <c r="BA552" s="106" t="str">
        <f t="shared" si="286"/>
        <v/>
      </c>
      <c r="BB552" s="178"/>
      <c r="BC552" s="178">
        <v>7</v>
      </c>
      <c r="BD552" s="178"/>
      <c r="BE552" s="178"/>
      <c r="BF552" s="178"/>
      <c r="BG552" s="178"/>
      <c r="BH552" s="178"/>
      <c r="BI552" s="33"/>
      <c r="BK552" s="48">
        <f>$G552/5280*VLOOKUP($AC552,'Cost and Score'!$B$27:$O$40,6,0)</f>
        <v>9.9810606060606058E-2</v>
      </c>
      <c r="BL552" s="48">
        <f>$G552/5280*VLOOKUP($AC552,'Cost and Score'!$B$27:$O$40,7,0)</f>
        <v>10.979166666666666</v>
      </c>
      <c r="BM552" s="48">
        <f>$G552/5280*VLOOKUP($AC552,'Cost and Score'!$B$27:$O$40,8,0)</f>
        <v>0</v>
      </c>
      <c r="BN552" s="48">
        <f>$G552/5280*VLOOKUP($AC552,'Cost and Score'!$B$27:$O$40,9,0)</f>
        <v>2245.738636363636</v>
      </c>
      <c r="BO552" s="48">
        <f>$G552/5280*VLOOKUP($AC552,'Cost and Score'!$B$27:$O$40,10,0)</f>
        <v>499.05303030303025</v>
      </c>
      <c r="BP552" s="48">
        <f>$G552/5280*VLOOKUP($AC552,'Cost and Score'!$B$27:$O$40,11,0)</f>
        <v>0</v>
      </c>
      <c r="BQ552" s="48">
        <f>$G552/5280*VLOOKUP($AC552,'Cost and Score'!$B$27:$O$40,12,0)</f>
        <v>49.905303030303031</v>
      </c>
      <c r="BR552" s="48">
        <f>$G552/5280*VLOOKUP($AC552,'Cost and Score'!$B$27:$O$40,13,0)</f>
        <v>59.886363636363633</v>
      </c>
      <c r="BS552" s="48">
        <f>$G552/5280*VLOOKUP($AC552,'Cost and Score'!$B$27:$O$40,14,0)</f>
        <v>0</v>
      </c>
      <c r="BT552" s="220">
        <f t="shared" si="287"/>
        <v>0.49905303030303028</v>
      </c>
      <c r="CW552" s="112"/>
      <c r="CX552" s="112"/>
      <c r="CY552" s="112"/>
    </row>
    <row r="553" spans="1:103" s="2" customFormat="1" ht="14.45" customHeight="1" x14ac:dyDescent="0.25">
      <c r="A553" s="38" t="s">
        <v>1279</v>
      </c>
      <c r="B553" s="34" t="s">
        <v>1278</v>
      </c>
      <c r="C553" s="26" t="s">
        <v>1278</v>
      </c>
      <c r="D553" s="82"/>
      <c r="E553" s="82" t="s">
        <v>197</v>
      </c>
      <c r="F553" s="82" t="s">
        <v>25</v>
      </c>
      <c r="G553" s="29">
        <v>4134</v>
      </c>
      <c r="H553" s="29">
        <f t="shared" si="300"/>
        <v>20</v>
      </c>
      <c r="I553" s="26" t="s">
        <v>62</v>
      </c>
      <c r="J553" s="26" t="s">
        <v>26</v>
      </c>
      <c r="K553" s="26">
        <f t="shared" si="307"/>
        <v>0</v>
      </c>
      <c r="L553" s="42">
        <v>7</v>
      </c>
      <c r="M553" s="42">
        <v>6</v>
      </c>
      <c r="N553" s="42">
        <v>6</v>
      </c>
      <c r="O553" s="83">
        <v>7</v>
      </c>
      <c r="P553" s="83">
        <v>7</v>
      </c>
      <c r="Q553" s="83">
        <v>7</v>
      </c>
      <c r="R553" s="83">
        <v>5</v>
      </c>
      <c r="S553" s="83">
        <v>7</v>
      </c>
      <c r="T553" s="83">
        <v>7</v>
      </c>
      <c r="U553" s="83">
        <v>7</v>
      </c>
      <c r="V553" s="42"/>
      <c r="W553" s="42"/>
      <c r="X553" s="42"/>
      <c r="Y553" s="26">
        <v>50</v>
      </c>
      <c r="Z553" s="26">
        <f t="shared" si="301"/>
        <v>0</v>
      </c>
      <c r="AA553" s="82" t="s">
        <v>147</v>
      </c>
      <c r="AB553" s="111">
        <f t="shared" si="302"/>
        <v>3</v>
      </c>
      <c r="AC553" s="194" t="s">
        <v>13</v>
      </c>
      <c r="AD553" s="84">
        <f t="shared" si="285"/>
        <v>16442.045454545456</v>
      </c>
      <c r="AE553" s="140"/>
      <c r="AF553" s="113">
        <f t="shared" si="299"/>
        <v>0</v>
      </c>
      <c r="AG553" s="106">
        <v>2025</v>
      </c>
      <c r="AH553" s="26" t="str">
        <f t="shared" si="289"/>
        <v/>
      </c>
      <c r="AI553" s="26" t="str">
        <f t="shared" si="305"/>
        <v/>
      </c>
      <c r="AJ553" s="26" t="str">
        <f t="shared" si="308"/>
        <v/>
      </c>
      <c r="AK553" s="26" t="str">
        <f t="shared" si="306"/>
        <v>Chip Seal and Fog</v>
      </c>
      <c r="AL553" s="26" t="str">
        <f t="shared" si="306"/>
        <v/>
      </c>
      <c r="AM553" s="26" t="str">
        <f t="shared" si="306"/>
        <v/>
      </c>
      <c r="AN553" s="26" t="str">
        <f t="shared" si="298"/>
        <v>Chip Seal and Fog</v>
      </c>
      <c r="AO553" s="26" t="str">
        <f t="shared" si="309"/>
        <v/>
      </c>
      <c r="AP553" s="26" t="str">
        <f t="shared" si="291"/>
        <v/>
      </c>
      <c r="AQ553" s="68">
        <f t="shared" si="303"/>
        <v>10</v>
      </c>
      <c r="AR553" s="68">
        <f t="shared" si="304"/>
        <v>6</v>
      </c>
      <c r="AS553" s="68">
        <f t="shared" si="292"/>
        <v>1.05</v>
      </c>
      <c r="AT553" s="68">
        <f t="shared" si="293"/>
        <v>1.1000000000000001</v>
      </c>
      <c r="AU553" s="68">
        <f t="shared" si="294"/>
        <v>1.1000000000000001</v>
      </c>
      <c r="AV553" s="68">
        <f t="shared" si="295"/>
        <v>1.05</v>
      </c>
      <c r="AW553" s="68">
        <f t="shared" si="296"/>
        <v>1.05</v>
      </c>
      <c r="AX553" s="68">
        <f t="shared" ca="1" si="297"/>
        <v>1.1000000000000001</v>
      </c>
      <c r="AY553" s="68">
        <v>2019</v>
      </c>
      <c r="AZ553" s="68" t="s">
        <v>2073</v>
      </c>
      <c r="BA553" s="106" t="str">
        <f t="shared" si="286"/>
        <v/>
      </c>
      <c r="BB553" s="178"/>
      <c r="BC553" s="178">
        <v>5</v>
      </c>
      <c r="BD553" s="178"/>
      <c r="BE553" s="178"/>
      <c r="BF553" s="178"/>
      <c r="BG553" s="178"/>
      <c r="BH553" s="178"/>
      <c r="BI553" s="33"/>
      <c r="BK553" s="48">
        <f>$G553/5280*VLOOKUP($AC553,'Cost and Score'!$B$27:$O$40,6,0)</f>
        <v>0.15659090909090911</v>
      </c>
      <c r="BL553" s="48">
        <f>$G553/5280*VLOOKUP($AC553,'Cost and Score'!$B$27:$O$40,7,0)</f>
        <v>17.225000000000001</v>
      </c>
      <c r="BM553" s="48">
        <f>$G553/5280*VLOOKUP($AC553,'Cost and Score'!$B$27:$O$40,8,0)</f>
        <v>0</v>
      </c>
      <c r="BN553" s="48">
        <f>$G553/5280*VLOOKUP($AC553,'Cost and Score'!$B$27:$O$40,9,0)</f>
        <v>3523.2954545454545</v>
      </c>
      <c r="BO553" s="48">
        <f>$G553/5280*VLOOKUP($AC553,'Cost and Score'!$B$27:$O$40,10,0)</f>
        <v>782.9545454545455</v>
      </c>
      <c r="BP553" s="48">
        <f>$G553/5280*VLOOKUP($AC553,'Cost and Score'!$B$27:$O$40,11,0)</f>
        <v>0</v>
      </c>
      <c r="BQ553" s="48">
        <f>$G553/5280*VLOOKUP($AC553,'Cost and Score'!$B$27:$O$40,12,0)</f>
        <v>78.295454545454547</v>
      </c>
      <c r="BR553" s="48">
        <f>$G553/5280*VLOOKUP($AC553,'Cost and Score'!$B$27:$O$40,13,0)</f>
        <v>93.954545454545453</v>
      </c>
      <c r="BS553" s="48">
        <f>$G553/5280*VLOOKUP($AC553,'Cost and Score'!$B$27:$O$40,14,0)</f>
        <v>0</v>
      </c>
      <c r="BT553" s="220">
        <f t="shared" si="287"/>
        <v>0.78295454545454546</v>
      </c>
    </row>
    <row r="554" spans="1:103" s="2" customFormat="1" ht="14.45" hidden="1" customHeight="1" x14ac:dyDescent="0.25">
      <c r="A554" s="38" t="s">
        <v>1168</v>
      </c>
      <c r="B554" s="34" t="s">
        <v>1167</v>
      </c>
      <c r="C554" s="26" t="s">
        <v>1167</v>
      </c>
      <c r="D554" s="82"/>
      <c r="E554" s="82" t="s">
        <v>9</v>
      </c>
      <c r="F554" s="82" t="s">
        <v>28</v>
      </c>
      <c r="G554" s="29">
        <v>5030</v>
      </c>
      <c r="H554" s="29">
        <f t="shared" si="300"/>
        <v>20</v>
      </c>
      <c r="I554" s="26" t="s">
        <v>8</v>
      </c>
      <c r="J554" s="26" t="s">
        <v>26</v>
      </c>
      <c r="K554" s="26">
        <f t="shared" si="307"/>
        <v>0</v>
      </c>
      <c r="L554" s="42">
        <v>6</v>
      </c>
      <c r="M554" s="42">
        <v>6</v>
      </c>
      <c r="N554" s="42">
        <v>5</v>
      </c>
      <c r="O554" s="83">
        <v>4</v>
      </c>
      <c r="P554" s="83">
        <v>4</v>
      </c>
      <c r="Q554" s="83">
        <v>8</v>
      </c>
      <c r="R554" s="83">
        <v>8</v>
      </c>
      <c r="S554" s="83">
        <v>7</v>
      </c>
      <c r="T554" s="83">
        <v>7</v>
      </c>
      <c r="U554" s="83">
        <v>7</v>
      </c>
      <c r="V554" s="42"/>
      <c r="W554" s="42"/>
      <c r="X554" s="42"/>
      <c r="Y554" s="26">
        <v>45</v>
      </c>
      <c r="Z554" s="26">
        <f t="shared" si="301"/>
        <v>0</v>
      </c>
      <c r="AA554" s="82" t="s">
        <v>140</v>
      </c>
      <c r="AB554" s="111">
        <f t="shared" si="302"/>
        <v>6</v>
      </c>
      <c r="AC554" s="85" t="s">
        <v>13</v>
      </c>
      <c r="AD554" s="84">
        <f t="shared" si="285"/>
        <v>20005.68181818182</v>
      </c>
      <c r="AE554" s="140"/>
      <c r="AF554" s="113">
        <f t="shared" si="299"/>
        <v>0</v>
      </c>
      <c r="AG554" s="26">
        <v>2026</v>
      </c>
      <c r="AH554" s="26" t="str">
        <f t="shared" si="289"/>
        <v/>
      </c>
      <c r="AI554" s="26" t="str">
        <f t="shared" si="305"/>
        <v/>
      </c>
      <c r="AJ554" s="26" t="str">
        <f t="shared" si="308"/>
        <v/>
      </c>
      <c r="AK554" s="26" t="str">
        <f t="shared" si="306"/>
        <v/>
      </c>
      <c r="AL554" s="26" t="str">
        <f t="shared" si="306"/>
        <v>Chip Seal and Fog</v>
      </c>
      <c r="AM554" s="26" t="str">
        <f t="shared" si="306"/>
        <v/>
      </c>
      <c r="AN554" s="26" t="str">
        <f t="shared" si="298"/>
        <v>Chip Seal and Fog</v>
      </c>
      <c r="AO554" s="26" t="str">
        <f t="shared" si="309"/>
        <v/>
      </c>
      <c r="AP554" s="26" t="str">
        <f t="shared" si="291"/>
        <v/>
      </c>
      <c r="AQ554" s="68">
        <f t="shared" si="303"/>
        <v>3</v>
      </c>
      <c r="AR554" s="68">
        <f t="shared" si="304"/>
        <v>6</v>
      </c>
      <c r="AS554" s="68">
        <f t="shared" si="292"/>
        <v>1.1000000000000001</v>
      </c>
      <c r="AT554" s="68">
        <f t="shared" si="293"/>
        <v>1.1000000000000001</v>
      </c>
      <c r="AU554" s="68">
        <f t="shared" si="294"/>
        <v>1.25</v>
      </c>
      <c r="AV554" s="68">
        <f t="shared" si="295"/>
        <v>1.5</v>
      </c>
      <c r="AW554" s="68">
        <f t="shared" si="296"/>
        <v>1.5</v>
      </c>
      <c r="AX554" s="68">
        <f t="shared" ca="1" si="297"/>
        <v>2.5</v>
      </c>
      <c r="AY554" s="68">
        <v>2018</v>
      </c>
      <c r="AZ554" s="68" t="s">
        <v>2072</v>
      </c>
      <c r="BA554" s="106" t="str">
        <f t="shared" si="286"/>
        <v>SP/CS</v>
      </c>
      <c r="BB554" s="178"/>
      <c r="BC554" s="178">
        <v>5</v>
      </c>
      <c r="BD554" s="178"/>
      <c r="BE554" s="178"/>
      <c r="BF554" s="178"/>
      <c r="BG554" s="178"/>
      <c r="BH554" s="178"/>
      <c r="BI554" s="33"/>
      <c r="BK554" s="48">
        <f>$G554/5280*VLOOKUP($AC554,'Cost and Score'!$B$27:$O$40,6,0)</f>
        <v>0.19053030303030305</v>
      </c>
      <c r="BL554" s="48">
        <f>$G554/5280*VLOOKUP($AC554,'Cost and Score'!$B$27:$O$40,7,0)</f>
        <v>20.958333333333332</v>
      </c>
      <c r="BM554" s="48">
        <f>$G554/5280*VLOOKUP($AC554,'Cost and Score'!$B$27:$O$40,8,0)</f>
        <v>0</v>
      </c>
      <c r="BN554" s="48">
        <f>$G554/5280*VLOOKUP($AC554,'Cost and Score'!$B$27:$O$40,9,0)</f>
        <v>4286.931818181818</v>
      </c>
      <c r="BO554" s="48">
        <f>$G554/5280*VLOOKUP($AC554,'Cost and Score'!$B$27:$O$40,10,0)</f>
        <v>952.65151515151513</v>
      </c>
      <c r="BP554" s="48">
        <f>$G554/5280*VLOOKUP($AC554,'Cost and Score'!$B$27:$O$40,11,0)</f>
        <v>0</v>
      </c>
      <c r="BQ554" s="48">
        <f>$G554/5280*VLOOKUP($AC554,'Cost and Score'!$B$27:$O$40,12,0)</f>
        <v>95.265151515151516</v>
      </c>
      <c r="BR554" s="48">
        <f>$G554/5280*VLOOKUP($AC554,'Cost and Score'!$B$27:$O$40,13,0)</f>
        <v>114.31818181818181</v>
      </c>
      <c r="BS554" s="48">
        <f>$G554/5280*VLOOKUP($AC554,'Cost and Score'!$B$27:$O$40,14,0)</f>
        <v>0</v>
      </c>
      <c r="BT554" s="220">
        <f t="shared" si="287"/>
        <v>0.95265151515151514</v>
      </c>
    </row>
    <row r="555" spans="1:103" s="2" customFormat="1" ht="14.45" hidden="1" customHeight="1" x14ac:dyDescent="0.25">
      <c r="A555" s="38" t="s">
        <v>1170</v>
      </c>
      <c r="B555" s="34" t="s">
        <v>1169</v>
      </c>
      <c r="C555" s="26" t="s">
        <v>1169</v>
      </c>
      <c r="D555" s="26"/>
      <c r="E555" s="26" t="s">
        <v>9</v>
      </c>
      <c r="F555" s="26" t="s">
        <v>35</v>
      </c>
      <c r="G555" s="29">
        <v>2655</v>
      </c>
      <c r="H555" s="29">
        <f t="shared" si="300"/>
        <v>20</v>
      </c>
      <c r="I555" s="26" t="s">
        <v>13</v>
      </c>
      <c r="J555" s="26" t="s">
        <v>17</v>
      </c>
      <c r="K555" s="26">
        <f t="shared" si="307"/>
        <v>0</v>
      </c>
      <c r="L555" s="42">
        <v>7</v>
      </c>
      <c r="M555" s="42">
        <v>7</v>
      </c>
      <c r="N555" s="42">
        <v>7</v>
      </c>
      <c r="O555" s="42">
        <v>6</v>
      </c>
      <c r="P555" s="42">
        <v>6</v>
      </c>
      <c r="Q555" s="42">
        <v>5</v>
      </c>
      <c r="R555" s="42">
        <v>5</v>
      </c>
      <c r="S555" s="42">
        <v>5</v>
      </c>
      <c r="T555" s="42">
        <v>8</v>
      </c>
      <c r="U555" s="42">
        <v>8</v>
      </c>
      <c r="V555" s="42"/>
      <c r="W555" s="42"/>
      <c r="X555" s="42"/>
      <c r="Y555" s="26">
        <v>50</v>
      </c>
      <c r="Z555" s="26">
        <f t="shared" si="301"/>
        <v>0</v>
      </c>
      <c r="AA555" s="26" t="s">
        <v>140</v>
      </c>
      <c r="AB555" s="111">
        <f t="shared" si="302"/>
        <v>4</v>
      </c>
      <c r="AC555" s="82" t="s">
        <v>2072</v>
      </c>
      <c r="AD555" s="47">
        <f t="shared" si="285"/>
        <v>23130.68181818182</v>
      </c>
      <c r="AE555" s="140"/>
      <c r="AF555" s="113">
        <f t="shared" si="299"/>
        <v>0</v>
      </c>
      <c r="AG555" s="26">
        <v>2027</v>
      </c>
      <c r="AH555" s="26" t="str">
        <f t="shared" si="289"/>
        <v/>
      </c>
      <c r="AI555" s="26" t="str">
        <f t="shared" si="305"/>
        <v/>
      </c>
      <c r="AJ555" s="26" t="str">
        <f t="shared" si="308"/>
        <v/>
      </c>
      <c r="AK555" s="26" t="str">
        <f t="shared" si="306"/>
        <v/>
      </c>
      <c r="AL555" s="26" t="str">
        <f t="shared" si="306"/>
        <v/>
      </c>
      <c r="AM555" s="26" t="str">
        <f t="shared" si="306"/>
        <v>Chip Seal - Triple</v>
      </c>
      <c r="AN555" s="26" t="str">
        <f t="shared" si="298"/>
        <v>Chip Seal - Triple</v>
      </c>
      <c r="AO555" s="26" t="str">
        <f t="shared" si="309"/>
        <v>Chip Seal - Double and Fog</v>
      </c>
      <c r="AP555" s="26" t="str">
        <f t="shared" si="291"/>
        <v/>
      </c>
      <c r="AQ555" s="68">
        <f t="shared" si="303"/>
        <v>8</v>
      </c>
      <c r="AR555" s="68">
        <f t="shared" si="304"/>
        <v>8</v>
      </c>
      <c r="AS555" s="68">
        <f t="shared" si="292"/>
        <v>1.05</v>
      </c>
      <c r="AT555" s="68">
        <f t="shared" si="293"/>
        <v>1.05</v>
      </c>
      <c r="AU555" s="68">
        <f t="shared" si="294"/>
        <v>1.05</v>
      </c>
      <c r="AV555" s="68">
        <f t="shared" si="295"/>
        <v>1.1000000000000001</v>
      </c>
      <c r="AW555" s="68">
        <f t="shared" si="296"/>
        <v>1.1000000000000001</v>
      </c>
      <c r="AX555" s="68">
        <f t="shared" ca="1" si="297"/>
        <v>3.1500000000000004</v>
      </c>
      <c r="AY555" s="68">
        <v>2021</v>
      </c>
      <c r="AZ555" s="68" t="s">
        <v>2073</v>
      </c>
      <c r="BA555" s="106" t="str">
        <f t="shared" si="286"/>
        <v/>
      </c>
      <c r="BB555" s="178">
        <v>53</v>
      </c>
      <c r="BC555" s="178">
        <v>5</v>
      </c>
      <c r="BD555" s="178"/>
      <c r="BE555" s="178"/>
      <c r="BF555" s="178"/>
      <c r="BG555" s="178"/>
      <c r="BH555" s="178"/>
      <c r="BI555" s="33"/>
      <c r="BK555" s="48">
        <f>$G555/5280*VLOOKUP($AC555,'Cost and Score'!$B$27:$O$40,6,0)</f>
        <v>0.30170454545454545</v>
      </c>
      <c r="BL555" s="48">
        <f>$G555/5280*VLOOKUP($AC555,'Cost and Score'!$B$27:$O$40,7,0)</f>
        <v>62.855113636363633</v>
      </c>
      <c r="BM555" s="48">
        <f>$G555/5280*VLOOKUP($AC555,'Cost and Score'!$B$27:$O$40,8,0)</f>
        <v>100.56818181818181</v>
      </c>
      <c r="BN555" s="48">
        <f>$G555/5280*VLOOKUP($AC555,'Cost and Score'!$B$27:$O$40,9,0)</f>
        <v>1005.6818181818181</v>
      </c>
      <c r="BO555" s="48">
        <f>$G555/5280*VLOOKUP($AC555,'Cost and Score'!$B$27:$O$40,10,0)</f>
        <v>251.42045454545453</v>
      </c>
      <c r="BP555" s="48">
        <f>$G555/5280*VLOOKUP($AC555,'Cost and Score'!$B$27:$O$40,11,0)</f>
        <v>50.284090909090907</v>
      </c>
      <c r="BQ555" s="48">
        <f>$G555/5280*VLOOKUP($AC555,'Cost and Score'!$B$27:$O$40,12,0)</f>
        <v>402.27272727272725</v>
      </c>
      <c r="BR555" s="48">
        <f>$G555/5280*VLOOKUP($AC555,'Cost and Score'!$B$27:$O$40,13,0)</f>
        <v>40.227272727272727</v>
      </c>
      <c r="BS555" s="48">
        <f>$G555/5280*VLOOKUP($AC555,'Cost and Score'!$B$27:$O$40,14,0)</f>
        <v>0</v>
      </c>
      <c r="BT555" s="220">
        <f t="shared" si="287"/>
        <v>0.50284090909090906</v>
      </c>
    </row>
    <row r="556" spans="1:103" s="2" customFormat="1" ht="14.45" hidden="1" customHeight="1" x14ac:dyDescent="0.25">
      <c r="A556" s="38" t="s">
        <v>1173</v>
      </c>
      <c r="B556" s="34" t="s">
        <v>1171</v>
      </c>
      <c r="C556" s="26" t="s">
        <v>1171</v>
      </c>
      <c r="D556" s="82"/>
      <c r="E556" s="82" t="s">
        <v>1172</v>
      </c>
      <c r="F556" s="82" t="s">
        <v>257</v>
      </c>
      <c r="G556" s="29">
        <v>3960</v>
      </c>
      <c r="H556" s="29">
        <f t="shared" si="300"/>
        <v>20</v>
      </c>
      <c r="I556" s="26" t="s">
        <v>8</v>
      </c>
      <c r="J556" s="26" t="s">
        <v>17</v>
      </c>
      <c r="K556" s="26">
        <f t="shared" si="307"/>
        <v>0</v>
      </c>
      <c r="L556" s="42">
        <v>7</v>
      </c>
      <c r="M556" s="42">
        <v>7</v>
      </c>
      <c r="N556" s="42">
        <v>7</v>
      </c>
      <c r="O556" s="83">
        <v>7</v>
      </c>
      <c r="P556" s="83">
        <v>6</v>
      </c>
      <c r="Q556" s="83">
        <v>9</v>
      </c>
      <c r="R556" s="83">
        <v>8</v>
      </c>
      <c r="S556" s="83">
        <v>8</v>
      </c>
      <c r="T556" s="83">
        <v>7</v>
      </c>
      <c r="U556" s="83">
        <v>7</v>
      </c>
      <c r="V556" s="42">
        <v>2024</v>
      </c>
      <c r="W556" s="42">
        <v>2019</v>
      </c>
      <c r="X556" s="42" t="s">
        <v>2612</v>
      </c>
      <c r="Y556" s="26">
        <v>1081</v>
      </c>
      <c r="Z556" s="26">
        <f t="shared" si="301"/>
        <v>0.5</v>
      </c>
      <c r="AA556" s="82" t="s">
        <v>213</v>
      </c>
      <c r="AB556" s="111">
        <f t="shared" si="302"/>
        <v>4.5</v>
      </c>
      <c r="AC556" s="82" t="s">
        <v>13</v>
      </c>
      <c r="AD556" s="84">
        <f t="shared" si="285"/>
        <v>15750</v>
      </c>
      <c r="AE556" s="140">
        <v>1</v>
      </c>
      <c r="AF556" s="113">
        <f t="shared" si="299"/>
        <v>15750</v>
      </c>
      <c r="AG556" s="82">
        <v>2024</v>
      </c>
      <c r="AH556" s="26" t="str">
        <f t="shared" si="289"/>
        <v/>
      </c>
      <c r="AI556" s="26" t="str">
        <f t="shared" si="305"/>
        <v/>
      </c>
      <c r="AJ556" s="26" t="str">
        <f t="shared" si="308"/>
        <v>Chip Seal and Fog</v>
      </c>
      <c r="AK556" s="26" t="str">
        <f t="shared" si="306"/>
        <v/>
      </c>
      <c r="AL556" s="26" t="str">
        <f t="shared" si="306"/>
        <v/>
      </c>
      <c r="AM556" s="26" t="str">
        <f t="shared" si="306"/>
        <v/>
      </c>
      <c r="AN556" s="26" t="str">
        <f t="shared" si="298"/>
        <v>Chip Seal and Fog</v>
      </c>
      <c r="AO556" s="26" t="str">
        <f t="shared" si="309"/>
        <v/>
      </c>
      <c r="AP556" s="26" t="str">
        <f t="shared" si="291"/>
        <v/>
      </c>
      <c r="AQ556" s="68">
        <f t="shared" si="303"/>
        <v>10</v>
      </c>
      <c r="AR556" s="68">
        <f t="shared" si="304"/>
        <v>6</v>
      </c>
      <c r="AS556" s="68">
        <f t="shared" si="292"/>
        <v>1.05</v>
      </c>
      <c r="AT556" s="68">
        <f t="shared" si="293"/>
        <v>1.05</v>
      </c>
      <c r="AU556" s="68">
        <f t="shared" si="294"/>
        <v>1.05</v>
      </c>
      <c r="AV556" s="68">
        <f t="shared" si="295"/>
        <v>1.05</v>
      </c>
      <c r="AW556" s="68">
        <f t="shared" si="296"/>
        <v>1.1000000000000001</v>
      </c>
      <c r="AX556" s="68">
        <f t="shared" ca="1" si="297"/>
        <v>0</v>
      </c>
      <c r="AY556" s="68">
        <v>2018</v>
      </c>
      <c r="AZ556" s="68" t="s">
        <v>13</v>
      </c>
      <c r="BA556" s="106" t="str">
        <f t="shared" si="286"/>
        <v>CS</v>
      </c>
      <c r="BB556" s="178"/>
      <c r="BC556" s="178">
        <v>5</v>
      </c>
      <c r="BD556" s="178"/>
      <c r="BE556" s="178"/>
      <c r="BF556" s="178"/>
      <c r="BG556" s="178"/>
      <c r="BH556" s="178"/>
      <c r="BI556" s="33"/>
      <c r="BK556" s="48">
        <f>$G556/5280*VLOOKUP($AC556,'Cost and Score'!$B$27:$O$40,6,0)</f>
        <v>0.15000000000000002</v>
      </c>
      <c r="BL556" s="48">
        <f>$G556/5280*VLOOKUP($AC556,'Cost and Score'!$B$27:$O$40,7,0)</f>
        <v>16.5</v>
      </c>
      <c r="BM556" s="48">
        <f>$G556/5280*VLOOKUP($AC556,'Cost and Score'!$B$27:$O$40,8,0)</f>
        <v>0</v>
      </c>
      <c r="BN556" s="48">
        <f>$G556/5280*VLOOKUP($AC556,'Cost and Score'!$B$27:$O$40,9,0)</f>
        <v>3375</v>
      </c>
      <c r="BO556" s="48">
        <f>$G556/5280*VLOOKUP($AC556,'Cost and Score'!$B$27:$O$40,10,0)</f>
        <v>750</v>
      </c>
      <c r="BP556" s="48">
        <f>$G556/5280*VLOOKUP($AC556,'Cost and Score'!$B$27:$O$40,11,0)</f>
        <v>0</v>
      </c>
      <c r="BQ556" s="48">
        <f>$G556/5280*VLOOKUP($AC556,'Cost and Score'!$B$27:$O$40,12,0)</f>
        <v>75</v>
      </c>
      <c r="BR556" s="48">
        <f>$G556/5280*VLOOKUP($AC556,'Cost and Score'!$B$27:$O$40,13,0)</f>
        <v>90</v>
      </c>
      <c r="BS556" s="48">
        <f>$G556/5280*VLOOKUP($AC556,'Cost and Score'!$B$27:$O$40,14,0)</f>
        <v>0</v>
      </c>
      <c r="BT556" s="220">
        <f t="shared" si="287"/>
        <v>0.75</v>
      </c>
    </row>
    <row r="557" spans="1:103" s="2" customFormat="1" ht="14.45" hidden="1" customHeight="1" x14ac:dyDescent="0.25">
      <c r="A557" s="38" t="s">
        <v>1175</v>
      </c>
      <c r="B557" s="34" t="s">
        <v>1174</v>
      </c>
      <c r="C557" s="26" t="s">
        <v>1174</v>
      </c>
      <c r="D557" s="82"/>
      <c r="E557" s="82" t="s">
        <v>257</v>
      </c>
      <c r="F557" s="82" t="s">
        <v>52</v>
      </c>
      <c r="G557" s="29">
        <v>4080</v>
      </c>
      <c r="H557" s="29">
        <f t="shared" si="300"/>
        <v>20</v>
      </c>
      <c r="I557" s="26" t="s">
        <v>8</v>
      </c>
      <c r="J557" s="26" t="s">
        <v>17</v>
      </c>
      <c r="K557" s="26">
        <f t="shared" si="307"/>
        <v>0</v>
      </c>
      <c r="L557" s="42">
        <v>7</v>
      </c>
      <c r="M557" s="42">
        <v>7</v>
      </c>
      <c r="N557" s="42">
        <v>7</v>
      </c>
      <c r="O557" s="83">
        <v>7</v>
      </c>
      <c r="P557" s="83">
        <v>6</v>
      </c>
      <c r="Q557" s="83">
        <v>9</v>
      </c>
      <c r="R557" s="83">
        <v>8</v>
      </c>
      <c r="S557" s="83">
        <v>8</v>
      </c>
      <c r="T557" s="83">
        <v>7</v>
      </c>
      <c r="U557" s="83">
        <v>7</v>
      </c>
      <c r="V557" s="42">
        <v>2024</v>
      </c>
      <c r="W557" s="42">
        <v>2019</v>
      </c>
      <c r="X557" s="42" t="s">
        <v>2612</v>
      </c>
      <c r="Y557" s="26">
        <v>1110</v>
      </c>
      <c r="Z557" s="26">
        <f t="shared" si="301"/>
        <v>0.5</v>
      </c>
      <c r="AA557" s="82" t="s">
        <v>213</v>
      </c>
      <c r="AB557" s="111">
        <f t="shared" si="302"/>
        <v>4.5</v>
      </c>
      <c r="AC557" s="82" t="s">
        <v>13</v>
      </c>
      <c r="AD557" s="84">
        <f t="shared" si="285"/>
        <v>16227.272727272728</v>
      </c>
      <c r="AE557" s="140">
        <v>1</v>
      </c>
      <c r="AF557" s="113">
        <f t="shared" si="299"/>
        <v>16227.272727272728</v>
      </c>
      <c r="AG557" s="82">
        <v>2024</v>
      </c>
      <c r="AH557" s="26" t="str">
        <f t="shared" si="289"/>
        <v/>
      </c>
      <c r="AI557" s="26" t="str">
        <f t="shared" si="305"/>
        <v/>
      </c>
      <c r="AJ557" s="26" t="str">
        <f t="shared" si="308"/>
        <v>Chip Seal and Fog</v>
      </c>
      <c r="AK557" s="26" t="str">
        <f t="shared" si="306"/>
        <v/>
      </c>
      <c r="AL557" s="26" t="str">
        <f t="shared" si="306"/>
        <v/>
      </c>
      <c r="AM557" s="26" t="str">
        <f t="shared" si="306"/>
        <v/>
      </c>
      <c r="AN557" s="26" t="str">
        <f t="shared" si="298"/>
        <v>Chip Seal and Fog</v>
      </c>
      <c r="AO557" s="26" t="str">
        <f t="shared" si="309"/>
        <v/>
      </c>
      <c r="AP557" s="26" t="str">
        <f t="shared" si="291"/>
        <v/>
      </c>
      <c r="AQ557" s="68">
        <f t="shared" si="303"/>
        <v>10</v>
      </c>
      <c r="AR557" s="68">
        <f t="shared" si="304"/>
        <v>6</v>
      </c>
      <c r="AS557" s="68">
        <f t="shared" si="292"/>
        <v>1.05</v>
      </c>
      <c r="AT557" s="68">
        <f t="shared" si="293"/>
        <v>1.05</v>
      </c>
      <c r="AU557" s="68">
        <f t="shared" si="294"/>
        <v>1.05</v>
      </c>
      <c r="AV557" s="68">
        <f t="shared" si="295"/>
        <v>1.05</v>
      </c>
      <c r="AW557" s="68">
        <f t="shared" si="296"/>
        <v>1.1000000000000001</v>
      </c>
      <c r="AX557" s="68">
        <f t="shared" ca="1" si="297"/>
        <v>0</v>
      </c>
      <c r="AY557" s="68">
        <v>2018</v>
      </c>
      <c r="AZ557" s="68" t="s">
        <v>13</v>
      </c>
      <c r="BA557" s="106" t="str">
        <f t="shared" si="286"/>
        <v>CS</v>
      </c>
      <c r="BB557" s="178"/>
      <c r="BC557" s="178">
        <v>5</v>
      </c>
      <c r="BD557" s="178"/>
      <c r="BE557" s="178"/>
      <c r="BF557" s="178"/>
      <c r="BG557" s="178"/>
      <c r="BH557" s="178"/>
      <c r="BI557" s="33"/>
      <c r="BK557" s="48">
        <f>$G557/5280*VLOOKUP($AC557,'Cost and Score'!$B$27:$O$40,6,0)</f>
        <v>0.15454545454545454</v>
      </c>
      <c r="BL557" s="48">
        <f>$G557/5280*VLOOKUP($AC557,'Cost and Score'!$B$27:$O$40,7,0)</f>
        <v>17</v>
      </c>
      <c r="BM557" s="48">
        <f>$G557/5280*VLOOKUP($AC557,'Cost and Score'!$B$27:$O$40,8,0)</f>
        <v>0</v>
      </c>
      <c r="BN557" s="48">
        <f>$G557/5280*VLOOKUP($AC557,'Cost and Score'!$B$27:$O$40,9,0)</f>
        <v>3477.272727272727</v>
      </c>
      <c r="BO557" s="48">
        <f>$G557/5280*VLOOKUP($AC557,'Cost and Score'!$B$27:$O$40,10,0)</f>
        <v>772.72727272727275</v>
      </c>
      <c r="BP557" s="48">
        <f>$G557/5280*VLOOKUP($AC557,'Cost and Score'!$B$27:$O$40,11,0)</f>
        <v>0</v>
      </c>
      <c r="BQ557" s="48">
        <f>$G557/5280*VLOOKUP($AC557,'Cost and Score'!$B$27:$O$40,12,0)</f>
        <v>77.272727272727266</v>
      </c>
      <c r="BR557" s="48">
        <f>$G557/5280*VLOOKUP($AC557,'Cost and Score'!$B$27:$O$40,13,0)</f>
        <v>92.72727272727272</v>
      </c>
      <c r="BS557" s="48">
        <f>$G557/5280*VLOOKUP($AC557,'Cost and Score'!$B$27:$O$40,14,0)</f>
        <v>0</v>
      </c>
      <c r="BT557" s="220">
        <f t="shared" si="287"/>
        <v>0.77272727272727271</v>
      </c>
      <c r="CG557" s="112"/>
      <c r="CH557" s="112"/>
      <c r="CI557" s="112"/>
      <c r="CJ557" s="112"/>
      <c r="CK557" s="112"/>
      <c r="CL557" s="112"/>
      <c r="CM557" s="112"/>
      <c r="CR557" s="112"/>
      <c r="CW557" s="112"/>
      <c r="CX557" s="112"/>
      <c r="CY557" s="112"/>
    </row>
    <row r="558" spans="1:103" s="2" customFormat="1" ht="14.45" hidden="1" customHeight="1" x14ac:dyDescent="0.25">
      <c r="A558" s="38" t="s">
        <v>1183</v>
      </c>
      <c r="B558" s="34" t="s">
        <v>2621</v>
      </c>
      <c r="C558" s="34" t="s">
        <v>2621</v>
      </c>
      <c r="D558" s="82"/>
      <c r="E558" s="82" t="s">
        <v>121</v>
      </c>
      <c r="F558" s="82" t="s">
        <v>124</v>
      </c>
      <c r="G558" s="29">
        <v>2692</v>
      </c>
      <c r="H558" s="29">
        <f t="shared" si="300"/>
        <v>20</v>
      </c>
      <c r="I558" s="26" t="s">
        <v>8</v>
      </c>
      <c r="J558" s="26" t="s">
        <v>11</v>
      </c>
      <c r="K558" s="26">
        <f t="shared" si="307"/>
        <v>0</v>
      </c>
      <c r="L558" s="42">
        <v>7</v>
      </c>
      <c r="M558" s="42">
        <v>7</v>
      </c>
      <c r="N558" s="42">
        <v>7</v>
      </c>
      <c r="O558" s="83">
        <v>6</v>
      </c>
      <c r="P558" s="83">
        <v>8</v>
      </c>
      <c r="Q558" s="83">
        <v>7</v>
      </c>
      <c r="R558" s="83">
        <v>7</v>
      </c>
      <c r="S558" s="83">
        <v>7</v>
      </c>
      <c r="T558" s="83">
        <v>6</v>
      </c>
      <c r="U558" s="83">
        <v>7</v>
      </c>
      <c r="V558" s="42"/>
      <c r="W558" s="42"/>
      <c r="X558" s="42"/>
      <c r="Y558" s="26">
        <v>282</v>
      </c>
      <c r="Z558" s="26">
        <f t="shared" si="301"/>
        <v>0</v>
      </c>
      <c r="AA558" s="82" t="s">
        <v>213</v>
      </c>
      <c r="AB558" s="111">
        <f t="shared" si="302"/>
        <v>2</v>
      </c>
      <c r="AC558" s="82" t="s">
        <v>2073</v>
      </c>
      <c r="AD558" s="84">
        <f t="shared" si="285"/>
        <v>16315.151515151516</v>
      </c>
      <c r="AE558" s="140">
        <v>1</v>
      </c>
      <c r="AF558" s="113">
        <f t="shared" si="299"/>
        <v>16315.151515151516</v>
      </c>
      <c r="AG558" s="26">
        <v>2023</v>
      </c>
      <c r="AH558" s="26" t="str">
        <f t="shared" si="289"/>
        <v/>
      </c>
      <c r="AI558" s="26" t="str">
        <f t="shared" si="305"/>
        <v>Chip Seal - Double and Fog</v>
      </c>
      <c r="AJ558" s="26" t="str">
        <f t="shared" si="308"/>
        <v/>
      </c>
      <c r="AK558" s="26" t="str">
        <f t="shared" si="306"/>
        <v/>
      </c>
      <c r="AL558" s="26" t="str">
        <f t="shared" si="306"/>
        <v/>
      </c>
      <c r="AM558" s="26" t="str">
        <f t="shared" si="306"/>
        <v/>
      </c>
      <c r="AN558" s="26" t="str">
        <f t="shared" si="298"/>
        <v>Chip Seal - Double and Fog</v>
      </c>
      <c r="AO558" s="26" t="str">
        <f t="shared" si="309"/>
        <v/>
      </c>
      <c r="AP558" s="26" t="str">
        <f t="shared" si="291"/>
        <v/>
      </c>
      <c r="AQ558" s="68">
        <f t="shared" si="303"/>
        <v>8</v>
      </c>
      <c r="AR558" s="68">
        <f t="shared" si="304"/>
        <v>6</v>
      </c>
      <c r="AS558" s="68">
        <f t="shared" si="292"/>
        <v>1.05</v>
      </c>
      <c r="AT558" s="68">
        <f t="shared" si="293"/>
        <v>1.05</v>
      </c>
      <c r="AU558" s="68">
        <f t="shared" si="294"/>
        <v>1.05</v>
      </c>
      <c r="AV558" s="68">
        <f t="shared" si="295"/>
        <v>1.1000000000000001</v>
      </c>
      <c r="AW558" s="68">
        <f t="shared" si="296"/>
        <v>1</v>
      </c>
      <c r="AX558" s="68">
        <f t="shared" ca="1" si="297"/>
        <v>-1.05</v>
      </c>
      <c r="AY558" s="68">
        <v>2023</v>
      </c>
      <c r="AZ558" s="68" t="s">
        <v>2073</v>
      </c>
      <c r="BA558" s="106" t="str">
        <f t="shared" si="286"/>
        <v/>
      </c>
      <c r="BB558" s="178">
        <v>46</v>
      </c>
      <c r="BC558" s="178">
        <v>2</v>
      </c>
      <c r="BD558" s="178"/>
      <c r="BE558" s="178"/>
      <c r="BF558" s="178"/>
      <c r="BG558" s="178"/>
      <c r="BH558" s="178"/>
      <c r="BI558" s="33"/>
      <c r="BK558" s="48">
        <f>$G558/5280*VLOOKUP($AC558,'Cost and Score'!$B$27:$O$40,6,0)</f>
        <v>0.25492424242424244</v>
      </c>
      <c r="BL558" s="48">
        <f>$G558/5280*VLOOKUP($AC558,'Cost and Score'!$B$27:$O$40,7,0)</f>
        <v>25.492424242424246</v>
      </c>
      <c r="BM558" s="48">
        <f>$G558/5280*VLOOKUP($AC558,'Cost and Score'!$B$27:$O$40,8,0)</f>
        <v>0</v>
      </c>
      <c r="BN558" s="48">
        <f>$G558/5280*VLOOKUP($AC558,'Cost and Score'!$B$27:$O$40,9,0)</f>
        <v>4843.560606060606</v>
      </c>
      <c r="BO558" s="48">
        <f>$G558/5280*VLOOKUP($AC558,'Cost and Score'!$B$27:$O$40,10,0)</f>
        <v>509.84848484848487</v>
      </c>
      <c r="BP558" s="48">
        <f>$G558/5280*VLOOKUP($AC558,'Cost and Score'!$B$27:$O$40,11,0)</f>
        <v>0</v>
      </c>
      <c r="BQ558" s="48">
        <f>$G558/5280*VLOOKUP($AC558,'Cost and Score'!$B$27:$O$40,12,0)</f>
        <v>101.96969696969698</v>
      </c>
      <c r="BR558" s="48">
        <f>$G558/5280*VLOOKUP($AC558,'Cost and Score'!$B$27:$O$40,13,0)</f>
        <v>91.77272727272728</v>
      </c>
      <c r="BS558" s="48">
        <f>$G558/5280*VLOOKUP($AC558,'Cost and Score'!$B$27:$O$40,14,0)</f>
        <v>122.36363636363637</v>
      </c>
      <c r="BT558" s="220">
        <f t="shared" si="287"/>
        <v>0.50984848484848488</v>
      </c>
    </row>
    <row r="559" spans="1:103" s="2" customFormat="1" ht="14.45" hidden="1" customHeight="1" x14ac:dyDescent="0.25">
      <c r="A559" s="38" t="s">
        <v>1177</v>
      </c>
      <c r="B559" s="34" t="s">
        <v>1176</v>
      </c>
      <c r="C559" s="26" t="s">
        <v>1176</v>
      </c>
      <c r="D559" s="82"/>
      <c r="E559" s="82" t="s">
        <v>418</v>
      </c>
      <c r="F559" s="82" t="s">
        <v>86</v>
      </c>
      <c r="G559" s="29">
        <v>3590</v>
      </c>
      <c r="H559" s="29">
        <f t="shared" si="300"/>
        <v>20</v>
      </c>
      <c r="I559" s="26" t="s">
        <v>8</v>
      </c>
      <c r="J559" s="26" t="s">
        <v>62</v>
      </c>
      <c r="K559" s="26">
        <f t="shared" si="307"/>
        <v>0</v>
      </c>
      <c r="L559" s="42">
        <v>7</v>
      </c>
      <c r="M559" s="42">
        <v>8</v>
      </c>
      <c r="N559" s="42">
        <v>8</v>
      </c>
      <c r="O559" s="83">
        <v>8</v>
      </c>
      <c r="P559" s="83">
        <v>8</v>
      </c>
      <c r="Q559" s="83">
        <v>7</v>
      </c>
      <c r="R559" s="83">
        <v>7</v>
      </c>
      <c r="S559" s="83">
        <v>7</v>
      </c>
      <c r="T559" s="83">
        <v>7</v>
      </c>
      <c r="U559" s="83">
        <v>7</v>
      </c>
      <c r="V559" s="42"/>
      <c r="W559" s="42"/>
      <c r="X559" s="42"/>
      <c r="Y559" s="26">
        <v>377</v>
      </c>
      <c r="Z559" s="26">
        <f t="shared" si="301"/>
        <v>0</v>
      </c>
      <c r="AA559" s="82" t="s">
        <v>213</v>
      </c>
      <c r="AB559" s="111">
        <f t="shared" si="302"/>
        <v>2</v>
      </c>
      <c r="AC559" s="82" t="s">
        <v>13</v>
      </c>
      <c r="AD559" s="84">
        <f t="shared" si="285"/>
        <v>14278.40909090909</v>
      </c>
      <c r="AE559" s="140">
        <v>1</v>
      </c>
      <c r="AF559" s="113">
        <f t="shared" si="299"/>
        <v>14278.40909090909</v>
      </c>
      <c r="AG559" s="26">
        <v>2023</v>
      </c>
      <c r="AH559" s="26" t="str">
        <f t="shared" si="289"/>
        <v/>
      </c>
      <c r="AI559" s="26" t="str">
        <f t="shared" si="305"/>
        <v>Chip Seal and Fog</v>
      </c>
      <c r="AJ559" s="26" t="str">
        <f t="shared" si="308"/>
        <v/>
      </c>
      <c r="AK559" s="26" t="str">
        <f t="shared" si="306"/>
        <v/>
      </c>
      <c r="AL559" s="26" t="str">
        <f t="shared" si="306"/>
        <v/>
      </c>
      <c r="AM559" s="26" t="str">
        <f t="shared" si="306"/>
        <v/>
      </c>
      <c r="AN559" s="26" t="str">
        <f t="shared" si="298"/>
        <v>Chip Seal and Fog</v>
      </c>
      <c r="AO559" s="26" t="str">
        <f t="shared" si="309"/>
        <v/>
      </c>
      <c r="AP559" s="26" t="str">
        <f t="shared" si="291"/>
        <v/>
      </c>
      <c r="AQ559" s="68">
        <f t="shared" si="303"/>
        <v>12</v>
      </c>
      <c r="AR559" s="68">
        <f t="shared" si="304"/>
        <v>6</v>
      </c>
      <c r="AS559" s="68">
        <f t="shared" si="292"/>
        <v>1.05</v>
      </c>
      <c r="AT559" s="68">
        <f t="shared" si="293"/>
        <v>1</v>
      </c>
      <c r="AU559" s="68">
        <f t="shared" si="294"/>
        <v>1</v>
      </c>
      <c r="AV559" s="68">
        <f t="shared" si="295"/>
        <v>1</v>
      </c>
      <c r="AW559" s="68">
        <f t="shared" si="296"/>
        <v>1</v>
      </c>
      <c r="AX559" s="68">
        <f t="shared" ca="1" si="297"/>
        <v>-1</v>
      </c>
      <c r="AY559" s="68">
        <v>2023</v>
      </c>
      <c r="AZ559" s="68" t="s">
        <v>13</v>
      </c>
      <c r="BA559" s="106" t="str">
        <f t="shared" si="286"/>
        <v/>
      </c>
      <c r="BB559" s="178">
        <v>48</v>
      </c>
      <c r="BC559" s="178">
        <v>3</v>
      </c>
      <c r="BD559" s="178"/>
      <c r="BE559" s="178"/>
      <c r="BF559" s="178"/>
      <c r="BG559" s="178"/>
      <c r="BH559" s="178"/>
      <c r="BI559" s="33"/>
      <c r="BK559" s="48">
        <f>$G559/5280*VLOOKUP($AC559,'Cost and Score'!$B$27:$O$40,6,0)</f>
        <v>0.13598484848484849</v>
      </c>
      <c r="BL559" s="48">
        <f>$G559/5280*VLOOKUP($AC559,'Cost and Score'!$B$27:$O$40,7,0)</f>
        <v>14.958333333333334</v>
      </c>
      <c r="BM559" s="48">
        <f>$G559/5280*VLOOKUP($AC559,'Cost and Score'!$B$27:$O$40,8,0)</f>
        <v>0</v>
      </c>
      <c r="BN559" s="48">
        <f>$G559/5280*VLOOKUP($AC559,'Cost and Score'!$B$27:$O$40,9,0)</f>
        <v>3059.659090909091</v>
      </c>
      <c r="BO559" s="48">
        <f>$G559/5280*VLOOKUP($AC559,'Cost and Score'!$B$27:$O$40,10,0)</f>
        <v>679.92424242424238</v>
      </c>
      <c r="BP559" s="48">
        <f>$G559/5280*VLOOKUP($AC559,'Cost and Score'!$B$27:$O$40,11,0)</f>
        <v>0</v>
      </c>
      <c r="BQ559" s="48">
        <f>$G559/5280*VLOOKUP($AC559,'Cost and Score'!$B$27:$O$40,12,0)</f>
        <v>67.992424242424249</v>
      </c>
      <c r="BR559" s="48">
        <f>$G559/5280*VLOOKUP($AC559,'Cost and Score'!$B$27:$O$40,13,0)</f>
        <v>81.590909090909093</v>
      </c>
      <c r="BS559" s="48">
        <f>$G559/5280*VLOOKUP($AC559,'Cost and Score'!$B$27:$O$40,14,0)</f>
        <v>0</v>
      </c>
      <c r="BT559" s="220">
        <f t="shared" si="287"/>
        <v>0.67992424242424243</v>
      </c>
    </row>
    <row r="560" spans="1:103" s="2" customFormat="1" hidden="1" x14ac:dyDescent="0.25">
      <c r="A560" s="36" t="s">
        <v>1179</v>
      </c>
      <c r="B560" s="34" t="s">
        <v>1178</v>
      </c>
      <c r="C560" s="85" t="s">
        <v>1178</v>
      </c>
      <c r="D560" s="85"/>
      <c r="E560" s="85" t="s">
        <v>461</v>
      </c>
      <c r="F560" s="85" t="s">
        <v>418</v>
      </c>
      <c r="G560" s="29">
        <v>2693</v>
      </c>
      <c r="H560" s="29">
        <f t="shared" si="300"/>
        <v>20</v>
      </c>
      <c r="I560" s="85" t="s">
        <v>8</v>
      </c>
      <c r="J560" s="85" t="s">
        <v>62</v>
      </c>
      <c r="K560" s="85">
        <f t="shared" si="307"/>
        <v>0</v>
      </c>
      <c r="L560" s="74">
        <v>8</v>
      </c>
      <c r="M560" s="74">
        <v>8</v>
      </c>
      <c r="N560" s="74">
        <v>7</v>
      </c>
      <c r="O560" s="74">
        <v>7</v>
      </c>
      <c r="P560" s="74">
        <v>7</v>
      </c>
      <c r="Q560" s="74">
        <v>7</v>
      </c>
      <c r="R560" s="74">
        <v>7</v>
      </c>
      <c r="S560" s="74">
        <v>7</v>
      </c>
      <c r="T560" s="74">
        <v>7</v>
      </c>
      <c r="U560" s="74">
        <v>7</v>
      </c>
      <c r="V560" s="74"/>
      <c r="W560" s="74"/>
      <c r="X560" s="74"/>
      <c r="Y560" s="85">
        <v>324</v>
      </c>
      <c r="Z560" s="85">
        <f t="shared" si="301"/>
        <v>0</v>
      </c>
      <c r="AA560" s="85" t="s">
        <v>213</v>
      </c>
      <c r="AB560" s="111">
        <f t="shared" si="302"/>
        <v>3</v>
      </c>
      <c r="AC560" s="85" t="s">
        <v>13</v>
      </c>
      <c r="AD560" s="47">
        <f t="shared" si="285"/>
        <v>10710.795454545454</v>
      </c>
      <c r="AE560" s="140"/>
      <c r="AF560" s="113">
        <f t="shared" si="299"/>
        <v>0</v>
      </c>
      <c r="AG560" s="85">
        <v>2026</v>
      </c>
      <c r="AH560" s="26" t="str">
        <f t="shared" si="289"/>
        <v/>
      </c>
      <c r="AI560" s="26" t="str">
        <f t="shared" si="305"/>
        <v/>
      </c>
      <c r="AJ560" s="26" t="str">
        <f t="shared" si="308"/>
        <v/>
      </c>
      <c r="AK560" s="26" t="str">
        <f t="shared" si="306"/>
        <v/>
      </c>
      <c r="AL560" s="26" t="str">
        <f t="shared" si="306"/>
        <v>Chip Seal and Fog</v>
      </c>
      <c r="AM560" s="26" t="str">
        <f t="shared" si="306"/>
        <v/>
      </c>
      <c r="AN560" s="26" t="str">
        <f t="shared" si="298"/>
        <v>Chip Seal and Fog</v>
      </c>
      <c r="AO560" s="26" t="str">
        <f t="shared" si="309"/>
        <v/>
      </c>
      <c r="AP560" s="26" t="str">
        <f t="shared" si="291"/>
        <v/>
      </c>
      <c r="AQ560" s="68">
        <f t="shared" si="303"/>
        <v>10</v>
      </c>
      <c r="AR560" s="68">
        <f t="shared" si="304"/>
        <v>6</v>
      </c>
      <c r="AS560" s="68">
        <f t="shared" si="292"/>
        <v>1</v>
      </c>
      <c r="AT560" s="68">
        <f t="shared" si="293"/>
        <v>1</v>
      </c>
      <c r="AU560" s="68">
        <f t="shared" si="294"/>
        <v>1.05</v>
      </c>
      <c r="AV560" s="68">
        <f t="shared" si="295"/>
        <v>1.05</v>
      </c>
      <c r="AW560" s="68">
        <f t="shared" si="296"/>
        <v>1.05</v>
      </c>
      <c r="AX560" s="68">
        <f t="shared" ca="1" si="297"/>
        <v>2.1</v>
      </c>
      <c r="AY560" s="68">
        <v>2020</v>
      </c>
      <c r="AZ560" s="68" t="s">
        <v>2075</v>
      </c>
      <c r="BA560" s="106" t="str">
        <f t="shared" si="286"/>
        <v/>
      </c>
      <c r="BB560" s="178"/>
      <c r="BC560" s="178">
        <v>3</v>
      </c>
      <c r="BD560" s="178"/>
      <c r="BE560" s="178"/>
      <c r="BF560" s="178"/>
      <c r="BG560" s="178"/>
      <c r="BH560" s="178"/>
      <c r="BI560" s="33"/>
      <c r="BK560" s="48">
        <f>$G560/5280*VLOOKUP($AC560,'Cost and Score'!$B$27:$O$40,6,0)</f>
        <v>0.10200757575757576</v>
      </c>
      <c r="BL560" s="48">
        <f>$G560/5280*VLOOKUP($AC560,'Cost and Score'!$B$27:$O$40,7,0)</f>
        <v>11.220833333333333</v>
      </c>
      <c r="BM560" s="48">
        <f>$G560/5280*VLOOKUP($AC560,'Cost and Score'!$B$27:$O$40,8,0)</f>
        <v>0</v>
      </c>
      <c r="BN560" s="48">
        <f>$G560/5280*VLOOKUP($AC560,'Cost and Score'!$B$27:$O$40,9,0)</f>
        <v>2295.1704545454545</v>
      </c>
      <c r="BO560" s="48">
        <f>$G560/5280*VLOOKUP($AC560,'Cost and Score'!$B$27:$O$40,10,0)</f>
        <v>510.03787878787875</v>
      </c>
      <c r="BP560" s="48">
        <f>$G560/5280*VLOOKUP($AC560,'Cost and Score'!$B$27:$O$40,11,0)</f>
        <v>0</v>
      </c>
      <c r="BQ560" s="48">
        <f>$G560/5280*VLOOKUP($AC560,'Cost and Score'!$B$27:$O$40,12,0)</f>
        <v>51.003787878787875</v>
      </c>
      <c r="BR560" s="48">
        <f>$G560/5280*VLOOKUP($AC560,'Cost and Score'!$B$27:$O$40,13,0)</f>
        <v>61.204545454545453</v>
      </c>
      <c r="BS560" s="48">
        <f>$G560/5280*VLOOKUP($AC560,'Cost and Score'!$B$27:$O$40,14,0)</f>
        <v>0</v>
      </c>
      <c r="BT560" s="220">
        <f t="shared" si="287"/>
        <v>0.51003787878787876</v>
      </c>
    </row>
    <row r="561" spans="1:103" s="2" customFormat="1" ht="14.45" hidden="1" customHeight="1" x14ac:dyDescent="0.25">
      <c r="A561" s="36" t="s">
        <v>1181</v>
      </c>
      <c r="B561" s="34" t="s">
        <v>1180</v>
      </c>
      <c r="C561" s="85" t="s">
        <v>1180</v>
      </c>
      <c r="D561" s="85"/>
      <c r="E561" s="85" t="s">
        <v>124</v>
      </c>
      <c r="F561" s="85" t="s">
        <v>127</v>
      </c>
      <c r="G561" s="29">
        <v>2692</v>
      </c>
      <c r="H561" s="29">
        <f t="shared" si="300"/>
        <v>20</v>
      </c>
      <c r="I561" s="85" t="s">
        <v>8</v>
      </c>
      <c r="J561" s="85" t="s">
        <v>11</v>
      </c>
      <c r="K561" s="85">
        <f t="shared" si="307"/>
        <v>0</v>
      </c>
      <c r="L561" s="74">
        <v>8</v>
      </c>
      <c r="M561" s="74">
        <v>7</v>
      </c>
      <c r="N561" s="74">
        <v>7</v>
      </c>
      <c r="O561" s="74">
        <v>6</v>
      </c>
      <c r="P561" s="74">
        <v>8</v>
      </c>
      <c r="Q561" s="74">
        <v>7</v>
      </c>
      <c r="R561" s="74">
        <v>7</v>
      </c>
      <c r="S561" s="74">
        <v>7</v>
      </c>
      <c r="T561" s="74">
        <v>6</v>
      </c>
      <c r="U561" s="74">
        <v>7</v>
      </c>
      <c r="V561" s="74"/>
      <c r="W561" s="74"/>
      <c r="X561" s="74"/>
      <c r="Y561" s="85">
        <v>292</v>
      </c>
      <c r="Z561" s="85">
        <f t="shared" si="301"/>
        <v>0</v>
      </c>
      <c r="AA561" s="85" t="s">
        <v>213</v>
      </c>
      <c r="AB561" s="111">
        <f t="shared" si="302"/>
        <v>2</v>
      </c>
      <c r="AC561" s="85" t="s">
        <v>13</v>
      </c>
      <c r="AD561" s="47">
        <f t="shared" si="285"/>
        <v>10706.818181818182</v>
      </c>
      <c r="AE561" s="140"/>
      <c r="AF561" s="113">
        <f t="shared" si="299"/>
        <v>0</v>
      </c>
      <c r="AG561" s="85">
        <v>2024</v>
      </c>
      <c r="AH561" s="26" t="str">
        <f t="shared" si="289"/>
        <v/>
      </c>
      <c r="AI561" s="26" t="str">
        <f t="shared" si="305"/>
        <v/>
      </c>
      <c r="AJ561" s="26" t="str">
        <f t="shared" si="308"/>
        <v>Chip Seal and Fog</v>
      </c>
      <c r="AK561" s="26" t="str">
        <f t="shared" si="306"/>
        <v/>
      </c>
      <c r="AL561" s="26" t="str">
        <f t="shared" si="306"/>
        <v/>
      </c>
      <c r="AM561" s="26" t="str">
        <f t="shared" si="306"/>
        <v/>
      </c>
      <c r="AN561" s="26" t="str">
        <f t="shared" si="298"/>
        <v>Chip Seal and Fog</v>
      </c>
      <c r="AO561" s="26" t="str">
        <f t="shared" si="309"/>
        <v/>
      </c>
      <c r="AP561" s="26" t="str">
        <f t="shared" si="291"/>
        <v/>
      </c>
      <c r="AQ561" s="68">
        <f t="shared" si="303"/>
        <v>8</v>
      </c>
      <c r="AR561" s="68">
        <f t="shared" si="304"/>
        <v>6</v>
      </c>
      <c r="AS561" s="68">
        <f t="shared" si="292"/>
        <v>1</v>
      </c>
      <c r="AT561" s="68">
        <f t="shared" si="293"/>
        <v>1.05</v>
      </c>
      <c r="AU561" s="68">
        <f t="shared" si="294"/>
        <v>1.05</v>
      </c>
      <c r="AV561" s="68">
        <f t="shared" si="295"/>
        <v>1.1000000000000001</v>
      </c>
      <c r="AW561" s="68">
        <f t="shared" si="296"/>
        <v>1</v>
      </c>
      <c r="AX561" s="68">
        <f t="shared" ca="1" si="297"/>
        <v>0</v>
      </c>
      <c r="AY561" s="68">
        <v>2018</v>
      </c>
      <c r="AZ561" s="68" t="s">
        <v>2075</v>
      </c>
      <c r="BA561" s="106" t="str">
        <f t="shared" si="286"/>
        <v>CRACK</v>
      </c>
      <c r="BB561" s="178"/>
      <c r="BC561" s="178">
        <v>2</v>
      </c>
      <c r="BD561" s="178"/>
      <c r="BE561" s="178"/>
      <c r="BF561" s="178"/>
      <c r="BG561" s="178"/>
      <c r="BH561" s="178"/>
      <c r="BI561" s="33"/>
      <c r="BK561" s="48">
        <f>$G561/5280*VLOOKUP($AC561,'Cost and Score'!$B$27:$O$40,6,0)</f>
        <v>0.10196969696969699</v>
      </c>
      <c r="BL561" s="48">
        <f>$G561/5280*VLOOKUP($AC561,'Cost and Score'!$B$27:$O$40,7,0)</f>
        <v>11.216666666666667</v>
      </c>
      <c r="BM561" s="48">
        <f>$G561/5280*VLOOKUP($AC561,'Cost and Score'!$B$27:$O$40,8,0)</f>
        <v>0</v>
      </c>
      <c r="BN561" s="48">
        <f>$G561/5280*VLOOKUP($AC561,'Cost and Score'!$B$27:$O$40,9,0)</f>
        <v>2294.318181818182</v>
      </c>
      <c r="BO561" s="48">
        <f>$G561/5280*VLOOKUP($AC561,'Cost and Score'!$B$27:$O$40,10,0)</f>
        <v>509.84848484848487</v>
      </c>
      <c r="BP561" s="48">
        <f>$G561/5280*VLOOKUP($AC561,'Cost and Score'!$B$27:$O$40,11,0)</f>
        <v>0</v>
      </c>
      <c r="BQ561" s="48">
        <f>$G561/5280*VLOOKUP($AC561,'Cost and Score'!$B$27:$O$40,12,0)</f>
        <v>50.984848484848492</v>
      </c>
      <c r="BR561" s="48">
        <f>$G561/5280*VLOOKUP($AC561,'Cost and Score'!$B$27:$O$40,13,0)</f>
        <v>61.181818181818187</v>
      </c>
      <c r="BS561" s="48">
        <f>$G561/5280*VLOOKUP($AC561,'Cost and Score'!$B$27:$O$40,14,0)</f>
        <v>0</v>
      </c>
      <c r="BT561" s="220">
        <f t="shared" si="287"/>
        <v>0.50984848484848488</v>
      </c>
    </row>
    <row r="562" spans="1:103" s="2" customFormat="1" ht="14.45" hidden="1" customHeight="1" x14ac:dyDescent="0.25">
      <c r="A562" s="38" t="s">
        <v>1183</v>
      </c>
      <c r="B562" s="34" t="s">
        <v>1182</v>
      </c>
      <c r="C562" s="26" t="s">
        <v>1182</v>
      </c>
      <c r="D562" s="82"/>
      <c r="E562" s="82" t="s">
        <v>127</v>
      </c>
      <c r="F562" s="82" t="s">
        <v>129</v>
      </c>
      <c r="G562" s="29">
        <v>2692</v>
      </c>
      <c r="H562" s="29">
        <f t="shared" si="300"/>
        <v>20</v>
      </c>
      <c r="I562" s="26" t="s">
        <v>8</v>
      </c>
      <c r="J562" s="26" t="s">
        <v>11</v>
      </c>
      <c r="K562" s="26">
        <f t="shared" si="307"/>
        <v>0</v>
      </c>
      <c r="L562" s="42">
        <v>7</v>
      </c>
      <c r="M562" s="42">
        <v>7</v>
      </c>
      <c r="N562" s="42">
        <v>7</v>
      </c>
      <c r="O562" s="83">
        <v>6</v>
      </c>
      <c r="P562" s="83">
        <v>8</v>
      </c>
      <c r="Q562" s="83">
        <v>7</v>
      </c>
      <c r="R562" s="83">
        <v>7</v>
      </c>
      <c r="S562" s="83">
        <v>7</v>
      </c>
      <c r="T562" s="83">
        <v>6</v>
      </c>
      <c r="U562" s="83">
        <v>7</v>
      </c>
      <c r="V562" s="42"/>
      <c r="W562" s="42"/>
      <c r="X562" s="42"/>
      <c r="Y562" s="26">
        <v>282</v>
      </c>
      <c r="Z562" s="26">
        <f t="shared" si="301"/>
        <v>0</v>
      </c>
      <c r="AA562" s="82" t="s">
        <v>213</v>
      </c>
      <c r="AB562" s="111">
        <f t="shared" si="302"/>
        <v>2</v>
      </c>
      <c r="AC562" s="82" t="s">
        <v>2073</v>
      </c>
      <c r="AD562" s="84">
        <f t="shared" si="285"/>
        <v>16315.151515151516</v>
      </c>
      <c r="AE562" s="140">
        <v>1</v>
      </c>
      <c r="AF562" s="113">
        <f t="shared" si="299"/>
        <v>16315.151515151516</v>
      </c>
      <c r="AG562" s="26">
        <v>2023</v>
      </c>
      <c r="AH562" s="26" t="str">
        <f t="shared" si="289"/>
        <v/>
      </c>
      <c r="AI562" s="26" t="str">
        <f t="shared" si="305"/>
        <v>Chip Seal - Double and Fog</v>
      </c>
      <c r="AJ562" s="26" t="str">
        <f t="shared" si="308"/>
        <v/>
      </c>
      <c r="AK562" s="26" t="str">
        <f t="shared" si="306"/>
        <v/>
      </c>
      <c r="AL562" s="26" t="str">
        <f t="shared" si="306"/>
        <v/>
      </c>
      <c r="AM562" s="26" t="str">
        <f t="shared" si="306"/>
        <v/>
      </c>
      <c r="AN562" s="26" t="str">
        <f t="shared" si="298"/>
        <v>Chip Seal - Double and Fog</v>
      </c>
      <c r="AO562" s="26" t="str">
        <f t="shared" si="309"/>
        <v/>
      </c>
      <c r="AP562" s="26" t="str">
        <f t="shared" si="291"/>
        <v/>
      </c>
      <c r="AQ562" s="68">
        <f t="shared" si="303"/>
        <v>8</v>
      </c>
      <c r="AR562" s="68">
        <f t="shared" si="304"/>
        <v>6</v>
      </c>
      <c r="AS562" s="68">
        <f t="shared" si="292"/>
        <v>1.05</v>
      </c>
      <c r="AT562" s="68">
        <f t="shared" si="293"/>
        <v>1.05</v>
      </c>
      <c r="AU562" s="68">
        <f t="shared" si="294"/>
        <v>1.05</v>
      </c>
      <c r="AV562" s="68">
        <f t="shared" si="295"/>
        <v>1.1000000000000001</v>
      </c>
      <c r="AW562" s="68">
        <f t="shared" si="296"/>
        <v>1</v>
      </c>
      <c r="AX562" s="68">
        <f t="shared" ca="1" si="297"/>
        <v>-1.05</v>
      </c>
      <c r="AY562" s="68">
        <v>2023</v>
      </c>
      <c r="AZ562" s="68" t="s">
        <v>2073</v>
      </c>
      <c r="BA562" s="106" t="str">
        <f t="shared" si="286"/>
        <v/>
      </c>
      <c r="BB562" s="178">
        <v>46</v>
      </c>
      <c r="BC562" s="178">
        <v>2</v>
      </c>
      <c r="BD562" s="178"/>
      <c r="BE562" s="178"/>
      <c r="BF562" s="178"/>
      <c r="BG562" s="178"/>
      <c r="BH562" s="178"/>
      <c r="BI562" s="33"/>
      <c r="BK562" s="48">
        <f>$G562/5280*VLOOKUP($AC562,'Cost and Score'!$B$27:$O$40,6,0)</f>
        <v>0.25492424242424244</v>
      </c>
      <c r="BL562" s="48">
        <f>$G562/5280*VLOOKUP($AC562,'Cost and Score'!$B$27:$O$40,7,0)</f>
        <v>25.492424242424246</v>
      </c>
      <c r="BM562" s="48">
        <f>$G562/5280*VLOOKUP($AC562,'Cost and Score'!$B$27:$O$40,8,0)</f>
        <v>0</v>
      </c>
      <c r="BN562" s="48">
        <f>$G562/5280*VLOOKUP($AC562,'Cost and Score'!$B$27:$O$40,9,0)</f>
        <v>4843.560606060606</v>
      </c>
      <c r="BO562" s="48">
        <f>$G562/5280*VLOOKUP($AC562,'Cost and Score'!$B$27:$O$40,10,0)</f>
        <v>509.84848484848487</v>
      </c>
      <c r="BP562" s="48">
        <f>$G562/5280*VLOOKUP($AC562,'Cost and Score'!$B$27:$O$40,11,0)</f>
        <v>0</v>
      </c>
      <c r="BQ562" s="48">
        <f>$G562/5280*VLOOKUP($AC562,'Cost and Score'!$B$27:$O$40,12,0)</f>
        <v>101.96969696969698</v>
      </c>
      <c r="BR562" s="48">
        <f>$G562/5280*VLOOKUP($AC562,'Cost and Score'!$B$27:$O$40,13,0)</f>
        <v>91.77272727272728</v>
      </c>
      <c r="BS562" s="48">
        <f>$G562/5280*VLOOKUP($AC562,'Cost and Score'!$B$27:$O$40,14,0)</f>
        <v>122.36363636363637</v>
      </c>
      <c r="BT562" s="220">
        <f t="shared" si="287"/>
        <v>0.50984848484848488</v>
      </c>
    </row>
    <row r="563" spans="1:103" s="2" customFormat="1" ht="14.45" hidden="1" customHeight="1" x14ac:dyDescent="0.25">
      <c r="A563" s="38" t="s">
        <v>1186</v>
      </c>
      <c r="B563" s="108" t="s">
        <v>1184</v>
      </c>
      <c r="C563" s="106" t="s">
        <v>1184</v>
      </c>
      <c r="D563" s="106"/>
      <c r="E563" s="106" t="s">
        <v>59</v>
      </c>
      <c r="F563" s="106" t="s">
        <v>1185</v>
      </c>
      <c r="G563" s="109">
        <v>2700</v>
      </c>
      <c r="H563" s="109">
        <f t="shared" si="300"/>
        <v>20</v>
      </c>
      <c r="I563" s="106" t="s">
        <v>13</v>
      </c>
      <c r="J563" s="106" t="s">
        <v>62</v>
      </c>
      <c r="K563" s="106">
        <f t="shared" si="307"/>
        <v>0</v>
      </c>
      <c r="L563" s="110">
        <v>5</v>
      </c>
      <c r="M563" s="110">
        <v>5</v>
      </c>
      <c r="N563" s="110">
        <v>5</v>
      </c>
      <c r="O563" s="110">
        <v>9</v>
      </c>
      <c r="P563" s="110">
        <v>8</v>
      </c>
      <c r="Q563" s="110">
        <v>8</v>
      </c>
      <c r="R563" s="110">
        <v>8</v>
      </c>
      <c r="S563" s="110">
        <v>7</v>
      </c>
      <c r="T563" s="110">
        <v>7</v>
      </c>
      <c r="U563" s="110">
        <v>7</v>
      </c>
      <c r="V563" s="110"/>
      <c r="W563" s="110"/>
      <c r="X563" s="110"/>
      <c r="Y563" s="106">
        <v>233</v>
      </c>
      <c r="Z563" s="106">
        <f t="shared" si="301"/>
        <v>0</v>
      </c>
      <c r="AA563" s="106" t="s">
        <v>213</v>
      </c>
      <c r="AB563" s="111">
        <f t="shared" si="302"/>
        <v>2</v>
      </c>
      <c r="AC563" s="26" t="s">
        <v>13</v>
      </c>
      <c r="AD563" s="107">
        <f t="shared" si="285"/>
        <v>10738.636363636364</v>
      </c>
      <c r="AE563" s="198">
        <v>1</v>
      </c>
      <c r="AF563" s="113">
        <f t="shared" si="299"/>
        <v>10738.636363636364</v>
      </c>
      <c r="AG563" s="106">
        <v>2023</v>
      </c>
      <c r="AH563" s="26" t="str">
        <f t="shared" si="289"/>
        <v/>
      </c>
      <c r="AI563" s="26" t="str">
        <f t="shared" si="305"/>
        <v>Chip Seal and Fog</v>
      </c>
      <c r="AJ563" s="26" t="str">
        <f t="shared" si="308"/>
        <v/>
      </c>
      <c r="AK563" s="26" t="str">
        <f t="shared" si="306"/>
        <v/>
      </c>
      <c r="AL563" s="26" t="str">
        <f t="shared" si="306"/>
        <v/>
      </c>
      <c r="AM563" s="26" t="str">
        <f t="shared" si="306"/>
        <v/>
      </c>
      <c r="AN563" s="26" t="str">
        <f t="shared" si="298"/>
        <v>Chip Seal and Fog</v>
      </c>
      <c r="AO563" s="26" t="str">
        <f t="shared" si="309"/>
        <v/>
      </c>
      <c r="AP563" s="26" t="str">
        <f t="shared" si="291"/>
        <v/>
      </c>
      <c r="AQ563" s="68">
        <f t="shared" si="303"/>
        <v>14</v>
      </c>
      <c r="AR563" s="68">
        <f t="shared" si="304"/>
        <v>6</v>
      </c>
      <c r="AS563" s="68">
        <f t="shared" si="292"/>
        <v>1.25</v>
      </c>
      <c r="AT563" s="68">
        <f t="shared" si="293"/>
        <v>1.25</v>
      </c>
      <c r="AU563" s="68">
        <f t="shared" si="294"/>
        <v>1.25</v>
      </c>
      <c r="AV563" s="68">
        <f t="shared" si="295"/>
        <v>1</v>
      </c>
      <c r="AW563" s="68">
        <f t="shared" si="296"/>
        <v>1</v>
      </c>
      <c r="AX563" s="68">
        <f t="shared" ca="1" si="297"/>
        <v>-1.25</v>
      </c>
      <c r="AY563" s="106">
        <v>2023</v>
      </c>
      <c r="AZ563" s="106" t="s">
        <v>13</v>
      </c>
      <c r="BA563" s="106" t="str">
        <f t="shared" si="286"/>
        <v/>
      </c>
      <c r="BB563" s="177"/>
      <c r="BC563" s="177">
        <v>3</v>
      </c>
      <c r="BD563" s="177"/>
      <c r="BE563" s="177"/>
      <c r="BF563" s="177"/>
      <c r="BG563" s="177"/>
      <c r="BH563" s="177"/>
      <c r="BI563" s="33"/>
      <c r="BK563" s="48">
        <f>$G563/5280*VLOOKUP($AC563,'Cost and Score'!$B$27:$O$40,6,0)</f>
        <v>0.10227272727272728</v>
      </c>
      <c r="BL563" s="48">
        <f>$G563/5280*VLOOKUP($AC563,'Cost and Score'!$B$27:$O$40,7,0)</f>
        <v>11.25</v>
      </c>
      <c r="BM563" s="48">
        <f>$G563/5280*VLOOKUP($AC563,'Cost and Score'!$B$27:$O$40,8,0)</f>
        <v>0</v>
      </c>
      <c r="BN563" s="48">
        <f>$G563/5280*VLOOKUP($AC563,'Cost and Score'!$B$27:$O$40,9,0)</f>
        <v>2301.1363636363635</v>
      </c>
      <c r="BO563" s="48">
        <f>$G563/5280*VLOOKUP($AC563,'Cost and Score'!$B$27:$O$40,10,0)</f>
        <v>511.36363636363637</v>
      </c>
      <c r="BP563" s="48">
        <f>$G563/5280*VLOOKUP($AC563,'Cost and Score'!$B$27:$O$40,11,0)</f>
        <v>0</v>
      </c>
      <c r="BQ563" s="48">
        <f>$G563/5280*VLOOKUP($AC563,'Cost and Score'!$B$27:$O$40,12,0)</f>
        <v>51.136363636363633</v>
      </c>
      <c r="BR563" s="48">
        <f>$G563/5280*VLOOKUP($AC563,'Cost and Score'!$B$27:$O$40,13,0)</f>
        <v>61.36363636363636</v>
      </c>
      <c r="BS563" s="48">
        <f>$G563/5280*VLOOKUP($AC563,'Cost and Score'!$B$27:$O$40,14,0)</f>
        <v>0</v>
      </c>
      <c r="BT563" s="220">
        <f t="shared" si="287"/>
        <v>0.51136363636363635</v>
      </c>
      <c r="CF563" s="112"/>
      <c r="CR563" s="112"/>
    </row>
    <row r="564" spans="1:103" s="112" customFormat="1" ht="14.45" hidden="1" customHeight="1" x14ac:dyDescent="0.25">
      <c r="A564" s="38" t="s">
        <v>1188</v>
      </c>
      <c r="B564" s="108" t="s">
        <v>1187</v>
      </c>
      <c r="C564" s="106" t="s">
        <v>1187</v>
      </c>
      <c r="D564" s="106"/>
      <c r="E564" s="106" t="s">
        <v>129</v>
      </c>
      <c r="F564" s="106" t="s">
        <v>795</v>
      </c>
      <c r="G564" s="109">
        <v>2602</v>
      </c>
      <c r="H564" s="109">
        <f t="shared" si="300"/>
        <v>20</v>
      </c>
      <c r="I564" s="106" t="s">
        <v>13</v>
      </c>
      <c r="J564" s="106" t="s">
        <v>11</v>
      </c>
      <c r="K564" s="106">
        <f t="shared" si="307"/>
        <v>0</v>
      </c>
      <c r="L564" s="110">
        <v>6</v>
      </c>
      <c r="M564" s="110">
        <v>6</v>
      </c>
      <c r="N564" s="110">
        <v>6</v>
      </c>
      <c r="O564" s="110">
        <v>6</v>
      </c>
      <c r="P564" s="110">
        <v>8</v>
      </c>
      <c r="Q564" s="110">
        <v>7</v>
      </c>
      <c r="R564" s="110">
        <v>7</v>
      </c>
      <c r="S564" s="110">
        <v>7</v>
      </c>
      <c r="T564" s="110">
        <v>6</v>
      </c>
      <c r="U564" s="110">
        <v>7</v>
      </c>
      <c r="V564" s="110"/>
      <c r="W564" s="110"/>
      <c r="X564" s="110"/>
      <c r="Y564" s="106">
        <v>294</v>
      </c>
      <c r="Z564" s="106">
        <f t="shared" si="301"/>
        <v>0</v>
      </c>
      <c r="AA564" s="106" t="s">
        <v>213</v>
      </c>
      <c r="AB564" s="111">
        <f t="shared" si="302"/>
        <v>2</v>
      </c>
      <c r="AC564" s="26" t="s">
        <v>13</v>
      </c>
      <c r="AD564" s="107">
        <f t="shared" si="285"/>
        <v>10348.863636363636</v>
      </c>
      <c r="AE564" s="198">
        <v>1</v>
      </c>
      <c r="AF564" s="113">
        <f t="shared" si="299"/>
        <v>10348.863636363636</v>
      </c>
      <c r="AG564" s="26">
        <v>2023</v>
      </c>
      <c r="AH564" s="26" t="str">
        <f t="shared" si="289"/>
        <v/>
      </c>
      <c r="AI564" s="26" t="str">
        <f t="shared" si="305"/>
        <v>Chip Seal and Fog</v>
      </c>
      <c r="AJ564" s="26" t="str">
        <f t="shared" si="308"/>
        <v/>
      </c>
      <c r="AK564" s="26" t="str">
        <f t="shared" si="306"/>
        <v/>
      </c>
      <c r="AL564" s="26" t="str">
        <f t="shared" si="306"/>
        <v/>
      </c>
      <c r="AM564" s="26" t="str">
        <f t="shared" si="306"/>
        <v/>
      </c>
      <c r="AN564" s="26" t="str">
        <f t="shared" si="298"/>
        <v>Chip Seal and Fog</v>
      </c>
      <c r="AO564" s="26" t="str">
        <f t="shared" si="309"/>
        <v/>
      </c>
      <c r="AP564" s="26" t="str">
        <f t="shared" si="291"/>
        <v/>
      </c>
      <c r="AQ564" s="68">
        <f t="shared" si="303"/>
        <v>8</v>
      </c>
      <c r="AR564" s="68">
        <f t="shared" si="304"/>
        <v>6</v>
      </c>
      <c r="AS564" s="68">
        <f t="shared" si="292"/>
        <v>1.1000000000000001</v>
      </c>
      <c r="AT564" s="68">
        <f t="shared" si="293"/>
        <v>1.1000000000000001</v>
      </c>
      <c r="AU564" s="68">
        <f t="shared" si="294"/>
        <v>1.1000000000000001</v>
      </c>
      <c r="AV564" s="68">
        <f t="shared" si="295"/>
        <v>1.1000000000000001</v>
      </c>
      <c r="AW564" s="68">
        <f t="shared" si="296"/>
        <v>1</v>
      </c>
      <c r="AX564" s="68">
        <f t="shared" ca="1" si="297"/>
        <v>-1.1000000000000001</v>
      </c>
      <c r="AY564" s="106">
        <v>2023</v>
      </c>
      <c r="AZ564" s="111" t="s">
        <v>13</v>
      </c>
      <c r="BA564" s="106" t="str">
        <f t="shared" si="286"/>
        <v/>
      </c>
      <c r="BB564" s="110"/>
      <c r="BC564" s="110">
        <v>2</v>
      </c>
      <c r="BD564" s="110"/>
      <c r="BE564" s="110"/>
      <c r="BF564" s="110"/>
      <c r="BG564" s="110"/>
      <c r="BH564" s="110"/>
      <c r="BI564" s="33"/>
      <c r="BJ564" s="2"/>
      <c r="BK564" s="48">
        <f>$G564/5280*VLOOKUP($AC564,'Cost and Score'!$B$27:$O$40,6,0)</f>
        <v>9.8560606060606071E-2</v>
      </c>
      <c r="BL564" s="48">
        <f>$G564/5280*VLOOKUP($AC564,'Cost and Score'!$B$27:$O$40,7,0)</f>
        <v>10.841666666666667</v>
      </c>
      <c r="BM564" s="48">
        <f>$G564/5280*VLOOKUP($AC564,'Cost and Score'!$B$27:$O$40,8,0)</f>
        <v>0</v>
      </c>
      <c r="BN564" s="48">
        <f>$G564/5280*VLOOKUP($AC564,'Cost and Score'!$B$27:$O$40,9,0)</f>
        <v>2217.6136363636365</v>
      </c>
      <c r="BO564" s="48">
        <f>$G564/5280*VLOOKUP($AC564,'Cost and Score'!$B$27:$O$40,10,0)</f>
        <v>492.80303030303031</v>
      </c>
      <c r="BP564" s="48">
        <f>$G564/5280*VLOOKUP($AC564,'Cost and Score'!$B$27:$O$40,11,0)</f>
        <v>0</v>
      </c>
      <c r="BQ564" s="48">
        <f>$G564/5280*VLOOKUP($AC564,'Cost and Score'!$B$27:$O$40,12,0)</f>
        <v>49.280303030303031</v>
      </c>
      <c r="BR564" s="48">
        <f>$G564/5280*VLOOKUP($AC564,'Cost and Score'!$B$27:$O$40,13,0)</f>
        <v>59.136363636363633</v>
      </c>
      <c r="BS564" s="48">
        <f>$G564/5280*VLOOKUP($AC564,'Cost and Score'!$B$27:$O$40,14,0)</f>
        <v>0</v>
      </c>
      <c r="BT564" s="220">
        <f t="shared" si="287"/>
        <v>0.4928030303030303</v>
      </c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N564" s="2"/>
      <c r="CO564" s="2"/>
      <c r="CP564" s="2"/>
      <c r="CQ564" s="2"/>
      <c r="CV564" s="2"/>
      <c r="CW564" s="2"/>
      <c r="CX564" s="2"/>
      <c r="CY564" s="2"/>
    </row>
    <row r="565" spans="1:103" s="112" customFormat="1" ht="14.45" hidden="1" customHeight="1" x14ac:dyDescent="0.25">
      <c r="A565" s="38" t="s">
        <v>1190</v>
      </c>
      <c r="B565" s="34" t="s">
        <v>1189</v>
      </c>
      <c r="C565" s="26" t="s">
        <v>1189</v>
      </c>
      <c r="D565" s="82"/>
      <c r="E565" s="82" t="s">
        <v>795</v>
      </c>
      <c r="F565" s="82" t="s">
        <v>168</v>
      </c>
      <c r="G565" s="29">
        <v>1372</v>
      </c>
      <c r="H565" s="29">
        <f t="shared" si="300"/>
        <v>20</v>
      </c>
      <c r="I565" s="26" t="s">
        <v>8</v>
      </c>
      <c r="J565" s="26" t="s">
        <v>11</v>
      </c>
      <c r="K565" s="26">
        <f t="shared" si="307"/>
        <v>0</v>
      </c>
      <c r="L565" s="42">
        <v>7</v>
      </c>
      <c r="M565" s="42">
        <v>7</v>
      </c>
      <c r="N565" s="42">
        <v>7</v>
      </c>
      <c r="O565" s="83">
        <v>7</v>
      </c>
      <c r="P565" s="83">
        <v>7</v>
      </c>
      <c r="Q565" s="83">
        <v>6</v>
      </c>
      <c r="R565" s="83">
        <v>7</v>
      </c>
      <c r="S565" s="83">
        <v>7</v>
      </c>
      <c r="T565" s="83">
        <v>6</v>
      </c>
      <c r="U565" s="83">
        <v>7</v>
      </c>
      <c r="V565" s="42"/>
      <c r="W565" s="42"/>
      <c r="X565" s="42"/>
      <c r="Y565" s="26">
        <v>342</v>
      </c>
      <c r="Z565" s="26">
        <f t="shared" si="301"/>
        <v>0</v>
      </c>
      <c r="AA565" s="82" t="s">
        <v>213</v>
      </c>
      <c r="AB565" s="111">
        <f t="shared" si="302"/>
        <v>3</v>
      </c>
      <c r="AC565" s="82" t="s">
        <v>13</v>
      </c>
      <c r="AD565" s="84">
        <f t="shared" si="285"/>
        <v>5456.818181818182</v>
      </c>
      <c r="AE565" s="140"/>
      <c r="AF565" s="113">
        <f t="shared" si="299"/>
        <v>0</v>
      </c>
      <c r="AG565" s="85">
        <v>2026</v>
      </c>
      <c r="AH565" s="26" t="str">
        <f t="shared" si="289"/>
        <v/>
      </c>
      <c r="AI565" s="26" t="str">
        <f t="shared" si="305"/>
        <v/>
      </c>
      <c r="AJ565" s="26" t="str">
        <f t="shared" si="308"/>
        <v/>
      </c>
      <c r="AK565" s="26" t="str">
        <f t="shared" si="306"/>
        <v/>
      </c>
      <c r="AL565" s="26" t="str">
        <f t="shared" si="306"/>
        <v>Chip Seal and Fog</v>
      </c>
      <c r="AM565" s="26" t="str">
        <f t="shared" si="306"/>
        <v/>
      </c>
      <c r="AN565" s="26" t="str">
        <f t="shared" si="298"/>
        <v>Chip Seal and Fog</v>
      </c>
      <c r="AO565" s="26" t="str">
        <f t="shared" si="309"/>
        <v/>
      </c>
      <c r="AP565" s="26" t="str">
        <f t="shared" si="291"/>
        <v/>
      </c>
      <c r="AQ565" s="68">
        <f t="shared" si="303"/>
        <v>10</v>
      </c>
      <c r="AR565" s="68">
        <f t="shared" si="304"/>
        <v>6</v>
      </c>
      <c r="AS565" s="68">
        <f t="shared" si="292"/>
        <v>1.05</v>
      </c>
      <c r="AT565" s="68">
        <f t="shared" si="293"/>
        <v>1.05</v>
      </c>
      <c r="AU565" s="68">
        <f t="shared" si="294"/>
        <v>1.05</v>
      </c>
      <c r="AV565" s="68">
        <f t="shared" si="295"/>
        <v>1.05</v>
      </c>
      <c r="AW565" s="68">
        <f t="shared" si="296"/>
        <v>1.05</v>
      </c>
      <c r="AX565" s="68">
        <f t="shared" ca="1" si="297"/>
        <v>2.1</v>
      </c>
      <c r="AY565" s="68">
        <v>2020</v>
      </c>
      <c r="AZ565" s="68" t="s">
        <v>13</v>
      </c>
      <c r="BA565" s="106" t="str">
        <f t="shared" si="286"/>
        <v/>
      </c>
      <c r="BB565" s="178"/>
      <c r="BC565" s="178">
        <v>2</v>
      </c>
      <c r="BD565" s="178"/>
      <c r="BE565" s="178"/>
      <c r="BF565" s="178"/>
      <c r="BG565" s="178"/>
      <c r="BH565" s="178"/>
      <c r="BI565" s="33"/>
      <c r="BJ565" s="2"/>
      <c r="BK565" s="48">
        <f>$G565/5280*VLOOKUP($AC565,'Cost and Score'!$B$27:$O$40,6,0)</f>
        <v>5.1969696969696971E-2</v>
      </c>
      <c r="BL565" s="48">
        <f>$G565/5280*VLOOKUP($AC565,'Cost and Score'!$B$27:$O$40,7,0)</f>
        <v>5.7166666666666659</v>
      </c>
      <c r="BM565" s="48">
        <f>$G565/5280*VLOOKUP($AC565,'Cost and Score'!$B$27:$O$40,8,0)</f>
        <v>0</v>
      </c>
      <c r="BN565" s="48">
        <f>$G565/5280*VLOOKUP($AC565,'Cost and Score'!$B$27:$O$40,9,0)</f>
        <v>1169.3181818181818</v>
      </c>
      <c r="BO565" s="48">
        <f>$G565/5280*VLOOKUP($AC565,'Cost and Score'!$B$27:$O$40,10,0)</f>
        <v>259.84848484848482</v>
      </c>
      <c r="BP565" s="48">
        <f>$G565/5280*VLOOKUP($AC565,'Cost and Score'!$B$27:$O$40,11,0)</f>
        <v>0</v>
      </c>
      <c r="BQ565" s="48">
        <f>$G565/5280*VLOOKUP($AC565,'Cost and Score'!$B$27:$O$40,12,0)</f>
        <v>25.984848484848484</v>
      </c>
      <c r="BR565" s="48">
        <f>$G565/5280*VLOOKUP($AC565,'Cost and Score'!$B$27:$O$40,13,0)</f>
        <v>31.18181818181818</v>
      </c>
      <c r="BS565" s="48">
        <f>$G565/5280*VLOOKUP($AC565,'Cost and Score'!$B$27:$O$40,14,0)</f>
        <v>0</v>
      </c>
      <c r="BT565" s="220">
        <f t="shared" si="287"/>
        <v>0.25984848484848483</v>
      </c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R565" s="2"/>
      <c r="CW565" s="2"/>
      <c r="CX565" s="2"/>
      <c r="CY565" s="2"/>
    </row>
    <row r="566" spans="1:103" s="2" customFormat="1" ht="14.45" hidden="1" customHeight="1" x14ac:dyDescent="0.25">
      <c r="A566" s="38" t="s">
        <v>1192</v>
      </c>
      <c r="B566" s="34" t="s">
        <v>1191</v>
      </c>
      <c r="C566" s="26" t="s">
        <v>1191</v>
      </c>
      <c r="D566" s="26"/>
      <c r="E566" s="26" t="s">
        <v>64</v>
      </c>
      <c r="F566" s="26" t="s">
        <v>59</v>
      </c>
      <c r="G566" s="29">
        <v>6758</v>
      </c>
      <c r="H566" s="29">
        <f t="shared" si="300"/>
        <v>20</v>
      </c>
      <c r="I566" s="106" t="s">
        <v>751</v>
      </c>
      <c r="J566" s="26" t="s">
        <v>62</v>
      </c>
      <c r="K566" s="26">
        <f t="shared" si="307"/>
        <v>0</v>
      </c>
      <c r="L566" s="42">
        <v>5</v>
      </c>
      <c r="M566" s="42">
        <v>3</v>
      </c>
      <c r="N566" s="42">
        <v>10</v>
      </c>
      <c r="O566" s="42">
        <v>9</v>
      </c>
      <c r="P566" s="42">
        <v>8</v>
      </c>
      <c r="Q566" s="42">
        <v>7</v>
      </c>
      <c r="R566" s="42">
        <v>7</v>
      </c>
      <c r="S566" s="42">
        <v>7</v>
      </c>
      <c r="T566" s="42">
        <v>7</v>
      </c>
      <c r="U566" s="42">
        <v>7</v>
      </c>
      <c r="V566" s="42"/>
      <c r="W566" s="42"/>
      <c r="X566" s="42"/>
      <c r="Y566" s="26">
        <v>111</v>
      </c>
      <c r="Z566" s="26">
        <f t="shared" si="301"/>
        <v>0</v>
      </c>
      <c r="AA566" s="26" t="s">
        <v>213</v>
      </c>
      <c r="AB566" s="111">
        <f t="shared" si="302"/>
        <v>2</v>
      </c>
      <c r="AC566" s="85" t="s">
        <v>2073</v>
      </c>
      <c r="AD566" s="47">
        <f t="shared" si="285"/>
        <v>40957.57575757576</v>
      </c>
      <c r="AE566" s="140"/>
      <c r="AF566" s="113">
        <f t="shared" si="299"/>
        <v>0</v>
      </c>
      <c r="AG566" s="26">
        <v>2027</v>
      </c>
      <c r="AH566" s="26" t="str">
        <f t="shared" si="289"/>
        <v/>
      </c>
      <c r="AI566" s="26" t="str">
        <f t="shared" si="305"/>
        <v/>
      </c>
      <c r="AJ566" s="26" t="str">
        <f t="shared" si="308"/>
        <v/>
      </c>
      <c r="AK566" s="26" t="str">
        <f t="shared" si="306"/>
        <v/>
      </c>
      <c r="AL566" s="26" t="str">
        <f t="shared" si="306"/>
        <v/>
      </c>
      <c r="AM566" s="26" t="str">
        <f t="shared" si="306"/>
        <v>Chip Seal - Double and Fog</v>
      </c>
      <c r="AN566" s="26" t="str">
        <f t="shared" si="298"/>
        <v>Chip Seal - Double and Fog</v>
      </c>
      <c r="AO566" s="26" t="str">
        <f t="shared" si="309"/>
        <v>Crack Seal</v>
      </c>
      <c r="AP566" s="26" t="str">
        <f t="shared" si="291"/>
        <v/>
      </c>
      <c r="AQ566" s="68">
        <f t="shared" si="303"/>
        <v>14</v>
      </c>
      <c r="AR566" s="68">
        <f t="shared" si="304"/>
        <v>6</v>
      </c>
      <c r="AS566" s="68">
        <f t="shared" si="292"/>
        <v>1.25</v>
      </c>
      <c r="AT566" s="68">
        <f t="shared" si="293"/>
        <v>1.75</v>
      </c>
      <c r="AU566" s="68">
        <f t="shared" si="294"/>
        <v>1</v>
      </c>
      <c r="AV566" s="68">
        <f t="shared" si="295"/>
        <v>1</v>
      </c>
      <c r="AW566" s="68">
        <f t="shared" si="296"/>
        <v>1</v>
      </c>
      <c r="AX566" s="68">
        <f t="shared" ca="1" si="297"/>
        <v>3</v>
      </c>
      <c r="AY566" s="68">
        <v>2021</v>
      </c>
      <c r="AZ566" s="68" t="s">
        <v>2075</v>
      </c>
      <c r="BA566" s="106" t="str">
        <f t="shared" si="286"/>
        <v/>
      </c>
      <c r="BB566" s="178"/>
      <c r="BC566" s="178">
        <v>3</v>
      </c>
      <c r="BD566" s="178"/>
      <c r="BE566" s="178"/>
      <c r="BF566" s="178"/>
      <c r="BG566" s="178"/>
      <c r="BH566" s="178"/>
      <c r="BI566" s="33" t="s">
        <v>2192</v>
      </c>
      <c r="BK566" s="48">
        <f>$G566/5280*VLOOKUP($AC566,'Cost and Score'!$B$27:$O$40,6,0)</f>
        <v>0.63996212121212126</v>
      </c>
      <c r="BL566" s="48">
        <f>$G566/5280*VLOOKUP($AC566,'Cost and Score'!$B$27:$O$40,7,0)</f>
        <v>63.996212121212125</v>
      </c>
      <c r="BM566" s="48">
        <f>$G566/5280*VLOOKUP($AC566,'Cost and Score'!$B$27:$O$40,8,0)</f>
        <v>0</v>
      </c>
      <c r="BN566" s="48">
        <f>$G566/5280*VLOOKUP($AC566,'Cost and Score'!$B$27:$O$40,9,0)</f>
        <v>12159.280303030304</v>
      </c>
      <c r="BO566" s="48">
        <f>$G566/5280*VLOOKUP($AC566,'Cost and Score'!$B$27:$O$40,10,0)</f>
        <v>1279.9242424242425</v>
      </c>
      <c r="BP566" s="48">
        <f>$G566/5280*VLOOKUP($AC566,'Cost and Score'!$B$27:$O$40,11,0)</f>
        <v>0</v>
      </c>
      <c r="BQ566" s="48">
        <f>$G566/5280*VLOOKUP($AC566,'Cost and Score'!$B$27:$O$40,12,0)</f>
        <v>255.9848484848485</v>
      </c>
      <c r="BR566" s="48">
        <f>$G566/5280*VLOOKUP($AC566,'Cost and Score'!$B$27:$O$40,13,0)</f>
        <v>230.38636363636365</v>
      </c>
      <c r="BS566" s="48">
        <f>$G566/5280*VLOOKUP($AC566,'Cost and Score'!$B$27:$O$40,14,0)</f>
        <v>307.18181818181819</v>
      </c>
      <c r="BT566" s="220">
        <f t="shared" si="287"/>
        <v>1.2799242424242425</v>
      </c>
      <c r="CN566" s="112"/>
      <c r="CO566" s="112"/>
      <c r="CP566" s="112"/>
      <c r="CQ566" s="112"/>
      <c r="CV566" s="112"/>
      <c r="CW566" s="112"/>
      <c r="CX566" s="112"/>
      <c r="CY566" s="112"/>
    </row>
    <row r="567" spans="1:103" s="2" customFormat="1" ht="14.45" hidden="1" customHeight="1" x14ac:dyDescent="0.25">
      <c r="A567" s="38" t="s">
        <v>1194</v>
      </c>
      <c r="B567" s="34" t="s">
        <v>1193</v>
      </c>
      <c r="C567" s="26" t="s">
        <v>1193</v>
      </c>
      <c r="D567" s="82"/>
      <c r="E567" s="82" t="s">
        <v>135</v>
      </c>
      <c r="F567" s="82" t="s">
        <v>168</v>
      </c>
      <c r="G567" s="29">
        <v>4636</v>
      </c>
      <c r="H567" s="29">
        <f t="shared" si="300"/>
        <v>20</v>
      </c>
      <c r="I567" s="26" t="s">
        <v>8</v>
      </c>
      <c r="J567" s="26" t="s">
        <v>11</v>
      </c>
      <c r="K567" s="26">
        <f t="shared" si="307"/>
        <v>0</v>
      </c>
      <c r="L567" s="42">
        <v>7</v>
      </c>
      <c r="M567" s="42">
        <v>7</v>
      </c>
      <c r="N567" s="42">
        <v>7</v>
      </c>
      <c r="O567" s="83">
        <v>7</v>
      </c>
      <c r="P567" s="83">
        <v>7</v>
      </c>
      <c r="Q567" s="83">
        <v>7</v>
      </c>
      <c r="R567" s="83">
        <v>7</v>
      </c>
      <c r="S567" s="83">
        <v>7</v>
      </c>
      <c r="T567" s="83">
        <v>7</v>
      </c>
      <c r="U567" s="83">
        <v>7</v>
      </c>
      <c r="V567" s="42"/>
      <c r="W567" s="42"/>
      <c r="X567" s="42"/>
      <c r="Y567" s="26">
        <v>343</v>
      </c>
      <c r="Z567" s="26">
        <f t="shared" si="301"/>
        <v>0</v>
      </c>
      <c r="AA567" s="82" t="s">
        <v>213</v>
      </c>
      <c r="AB567" s="111">
        <f t="shared" si="302"/>
        <v>3</v>
      </c>
      <c r="AC567" s="82" t="s">
        <v>13</v>
      </c>
      <c r="AD567" s="84">
        <f t="shared" si="285"/>
        <v>18438.636363636364</v>
      </c>
      <c r="AE567" s="140"/>
      <c r="AF567" s="113">
        <f t="shared" si="299"/>
        <v>0</v>
      </c>
      <c r="AG567" s="85">
        <v>2026</v>
      </c>
      <c r="AH567" s="26" t="str">
        <f t="shared" si="289"/>
        <v/>
      </c>
      <c r="AI567" s="26" t="str">
        <f t="shared" si="305"/>
        <v/>
      </c>
      <c r="AJ567" s="26" t="str">
        <f t="shared" si="308"/>
        <v/>
      </c>
      <c r="AK567" s="26" t="str">
        <f t="shared" si="306"/>
        <v/>
      </c>
      <c r="AL567" s="26" t="str">
        <f t="shared" si="306"/>
        <v>Chip Seal and Fog</v>
      </c>
      <c r="AM567" s="26" t="str">
        <f t="shared" si="306"/>
        <v/>
      </c>
      <c r="AN567" s="26" t="str">
        <f t="shared" si="298"/>
        <v>Chip Seal and Fog</v>
      </c>
      <c r="AO567" s="26" t="str">
        <f t="shared" si="309"/>
        <v/>
      </c>
      <c r="AP567" s="26" t="str">
        <f t="shared" si="291"/>
        <v/>
      </c>
      <c r="AQ567" s="68">
        <f t="shared" si="303"/>
        <v>10</v>
      </c>
      <c r="AR567" s="68">
        <f t="shared" si="304"/>
        <v>6</v>
      </c>
      <c r="AS567" s="68">
        <f t="shared" si="292"/>
        <v>1.05</v>
      </c>
      <c r="AT567" s="68">
        <f t="shared" si="293"/>
        <v>1.05</v>
      </c>
      <c r="AU567" s="68">
        <f t="shared" si="294"/>
        <v>1.05</v>
      </c>
      <c r="AV567" s="68">
        <f t="shared" si="295"/>
        <v>1.05</v>
      </c>
      <c r="AW567" s="68">
        <f t="shared" si="296"/>
        <v>1.05</v>
      </c>
      <c r="AX567" s="68">
        <f t="shared" ca="1" si="297"/>
        <v>2.1</v>
      </c>
      <c r="AY567" s="68">
        <v>2020</v>
      </c>
      <c r="AZ567" s="68" t="s">
        <v>13</v>
      </c>
      <c r="BA567" s="106" t="str">
        <f t="shared" si="286"/>
        <v/>
      </c>
      <c r="BB567" s="178"/>
      <c r="BC567" s="178">
        <v>2</v>
      </c>
      <c r="BD567" s="178"/>
      <c r="BE567" s="178"/>
      <c r="BF567" s="178"/>
      <c r="BG567" s="178"/>
      <c r="BH567" s="178"/>
      <c r="BI567" s="33"/>
      <c r="BK567" s="48">
        <f>$G567/5280*VLOOKUP($AC567,'Cost and Score'!$B$27:$O$40,6,0)</f>
        <v>0.17560606060606063</v>
      </c>
      <c r="BL567" s="48">
        <f>$G567/5280*VLOOKUP($AC567,'Cost and Score'!$B$27:$O$40,7,0)</f>
        <v>19.316666666666666</v>
      </c>
      <c r="BM567" s="48">
        <f>$G567/5280*VLOOKUP($AC567,'Cost and Score'!$B$27:$O$40,8,0)</f>
        <v>0</v>
      </c>
      <c r="BN567" s="48">
        <f>$G567/5280*VLOOKUP($AC567,'Cost and Score'!$B$27:$O$40,9,0)</f>
        <v>3951.1363636363635</v>
      </c>
      <c r="BO567" s="48">
        <f>$G567/5280*VLOOKUP($AC567,'Cost and Score'!$B$27:$O$40,10,0)</f>
        <v>878.030303030303</v>
      </c>
      <c r="BP567" s="48">
        <f>$G567/5280*VLOOKUP($AC567,'Cost and Score'!$B$27:$O$40,11,0)</f>
        <v>0</v>
      </c>
      <c r="BQ567" s="48">
        <f>$G567/5280*VLOOKUP($AC567,'Cost and Score'!$B$27:$O$40,12,0)</f>
        <v>87.803030303030312</v>
      </c>
      <c r="BR567" s="48">
        <f>$G567/5280*VLOOKUP($AC567,'Cost and Score'!$B$27:$O$40,13,0)</f>
        <v>105.36363636363636</v>
      </c>
      <c r="BS567" s="48">
        <f>$G567/5280*VLOOKUP($AC567,'Cost and Score'!$B$27:$O$40,14,0)</f>
        <v>0</v>
      </c>
      <c r="BT567" s="220">
        <f t="shared" si="287"/>
        <v>0.87803030303030305</v>
      </c>
    </row>
    <row r="568" spans="1:103" s="2" customFormat="1" ht="14.45" hidden="1" customHeight="1" x14ac:dyDescent="0.25">
      <c r="A568" s="38" t="s">
        <v>1196</v>
      </c>
      <c r="B568" s="34" t="s">
        <v>1195</v>
      </c>
      <c r="C568" s="26" t="s">
        <v>1195</v>
      </c>
      <c r="D568" s="82"/>
      <c r="E568" s="82" t="s">
        <v>504</v>
      </c>
      <c r="F568" s="82" t="s">
        <v>83</v>
      </c>
      <c r="G568" s="29">
        <v>2660</v>
      </c>
      <c r="H568" s="29">
        <f t="shared" si="300"/>
        <v>20</v>
      </c>
      <c r="I568" s="26" t="s">
        <v>8</v>
      </c>
      <c r="J568" s="26" t="s">
        <v>62</v>
      </c>
      <c r="K568" s="26">
        <f t="shared" si="307"/>
        <v>0</v>
      </c>
      <c r="L568" s="42">
        <v>6</v>
      </c>
      <c r="M568" s="42">
        <v>7</v>
      </c>
      <c r="N568" s="42">
        <v>6</v>
      </c>
      <c r="O568" s="83">
        <v>6</v>
      </c>
      <c r="P568" s="83">
        <v>6</v>
      </c>
      <c r="Q568" s="83">
        <v>7</v>
      </c>
      <c r="R568" s="83">
        <v>7</v>
      </c>
      <c r="S568" s="83">
        <v>7</v>
      </c>
      <c r="T568" s="83">
        <v>7</v>
      </c>
      <c r="U568" s="83">
        <v>7</v>
      </c>
      <c r="V568" s="42"/>
      <c r="W568" s="42"/>
      <c r="X568" s="42"/>
      <c r="Y568" s="26">
        <v>201</v>
      </c>
      <c r="Z568" s="26">
        <f t="shared" si="301"/>
        <v>0</v>
      </c>
      <c r="AA568" s="82" t="s">
        <v>213</v>
      </c>
      <c r="AB568" s="111">
        <f t="shared" si="302"/>
        <v>4</v>
      </c>
      <c r="AC568" s="82" t="s">
        <v>13</v>
      </c>
      <c r="AD568" s="84">
        <f t="shared" si="285"/>
        <v>10579.545454545454</v>
      </c>
      <c r="AE568" s="140"/>
      <c r="AF568" s="113">
        <f t="shared" si="299"/>
        <v>0</v>
      </c>
      <c r="AG568" s="82">
        <v>2024</v>
      </c>
      <c r="AH568" s="26" t="str">
        <f t="shared" si="289"/>
        <v/>
      </c>
      <c r="AI568" s="26" t="str">
        <f t="shared" si="305"/>
        <v/>
      </c>
      <c r="AJ568" s="26" t="str">
        <f t="shared" si="308"/>
        <v>Chip Seal and Fog</v>
      </c>
      <c r="AK568" s="26" t="str">
        <f t="shared" ref="AK568:AM587" si="310">IF($AG568=AK$1,VLOOKUP($AC568,RSL,3,FALSE),"")</f>
        <v/>
      </c>
      <c r="AL568" s="26" t="str">
        <f t="shared" si="310"/>
        <v/>
      </c>
      <c r="AM568" s="26" t="str">
        <f t="shared" si="310"/>
        <v/>
      </c>
      <c r="AN568" s="26" t="str">
        <f t="shared" si="298"/>
        <v>Chip Seal and Fog</v>
      </c>
      <c r="AO568" s="26" t="str">
        <f t="shared" si="309"/>
        <v/>
      </c>
      <c r="AP568" s="26" t="str">
        <f t="shared" si="291"/>
        <v/>
      </c>
      <c r="AQ568" s="68">
        <f t="shared" si="303"/>
        <v>8</v>
      </c>
      <c r="AR568" s="68">
        <f t="shared" si="304"/>
        <v>6</v>
      </c>
      <c r="AS568" s="68">
        <f t="shared" si="292"/>
        <v>1.1000000000000001</v>
      </c>
      <c r="AT568" s="68">
        <f t="shared" si="293"/>
        <v>1.05</v>
      </c>
      <c r="AU568" s="68">
        <f t="shared" si="294"/>
        <v>1.1000000000000001</v>
      </c>
      <c r="AV568" s="68">
        <f t="shared" si="295"/>
        <v>1.1000000000000001</v>
      </c>
      <c r="AW568" s="68">
        <f t="shared" si="296"/>
        <v>1.1000000000000001</v>
      </c>
      <c r="AX568" s="68">
        <f t="shared" ca="1" si="297"/>
        <v>0</v>
      </c>
      <c r="AY568" s="68">
        <v>2018</v>
      </c>
      <c r="AZ568" s="68" t="s">
        <v>2073</v>
      </c>
      <c r="BA568" s="106" t="str">
        <f t="shared" si="286"/>
        <v>DS</v>
      </c>
      <c r="BB568" s="178"/>
      <c r="BC568" s="178">
        <v>4</v>
      </c>
      <c r="BD568" s="178"/>
      <c r="BE568" s="178"/>
      <c r="BF568" s="178"/>
      <c r="BG568" s="178"/>
      <c r="BH568" s="178"/>
      <c r="BI568" s="33"/>
      <c r="BK568" s="48">
        <f>$G568/5280*VLOOKUP($AC568,'Cost and Score'!$B$27:$O$40,6,0)</f>
        <v>0.10075757575757577</v>
      </c>
      <c r="BL568" s="48">
        <f>$G568/5280*VLOOKUP($AC568,'Cost and Score'!$B$27:$O$40,7,0)</f>
        <v>11.083333333333334</v>
      </c>
      <c r="BM568" s="48">
        <f>$G568/5280*VLOOKUP($AC568,'Cost and Score'!$B$27:$O$40,8,0)</f>
        <v>0</v>
      </c>
      <c r="BN568" s="48">
        <f>$G568/5280*VLOOKUP($AC568,'Cost and Score'!$B$27:$O$40,9,0)</f>
        <v>2267.0454545454545</v>
      </c>
      <c r="BO568" s="48">
        <f>$G568/5280*VLOOKUP($AC568,'Cost and Score'!$B$27:$O$40,10,0)</f>
        <v>503.78787878787881</v>
      </c>
      <c r="BP568" s="48">
        <f>$G568/5280*VLOOKUP($AC568,'Cost and Score'!$B$27:$O$40,11,0)</f>
        <v>0</v>
      </c>
      <c r="BQ568" s="48">
        <f>$G568/5280*VLOOKUP($AC568,'Cost and Score'!$B$27:$O$40,12,0)</f>
        <v>50.378787878787875</v>
      </c>
      <c r="BR568" s="48">
        <f>$G568/5280*VLOOKUP($AC568,'Cost and Score'!$B$27:$O$40,13,0)</f>
        <v>60.454545454545453</v>
      </c>
      <c r="BS568" s="48">
        <f>$G568/5280*VLOOKUP($AC568,'Cost and Score'!$B$27:$O$40,14,0)</f>
        <v>0</v>
      </c>
      <c r="BT568" s="220">
        <f t="shared" si="287"/>
        <v>0.50378787878787878</v>
      </c>
    </row>
    <row r="569" spans="1:103" s="2" customFormat="1" ht="14.45" customHeight="1" x14ac:dyDescent="0.25">
      <c r="A569" s="38" t="s">
        <v>2102</v>
      </c>
      <c r="B569" s="34" t="s">
        <v>1317</v>
      </c>
      <c r="C569" s="26" t="s">
        <v>1317</v>
      </c>
      <c r="D569" s="82"/>
      <c r="E569" s="82" t="s">
        <v>168</v>
      </c>
      <c r="F569" s="82" t="s">
        <v>10</v>
      </c>
      <c r="G569" s="29">
        <v>293</v>
      </c>
      <c r="H569" s="29">
        <f t="shared" si="300"/>
        <v>20</v>
      </c>
      <c r="I569" s="26" t="s">
        <v>8</v>
      </c>
      <c r="J569" s="26" t="s">
        <v>11</v>
      </c>
      <c r="K569" s="26">
        <f t="shared" si="307"/>
        <v>0</v>
      </c>
      <c r="L569" s="42">
        <v>5</v>
      </c>
      <c r="M569" s="42">
        <v>5</v>
      </c>
      <c r="N569" s="42">
        <v>5</v>
      </c>
      <c r="O569" s="83">
        <v>5</v>
      </c>
      <c r="P569" s="83">
        <v>5</v>
      </c>
      <c r="Q569" s="83">
        <v>5</v>
      </c>
      <c r="R569" s="83">
        <v>5</v>
      </c>
      <c r="S569" s="83">
        <v>7</v>
      </c>
      <c r="T569" s="83">
        <v>7</v>
      </c>
      <c r="U569" s="83">
        <v>7</v>
      </c>
      <c r="V569" s="42"/>
      <c r="W569" s="42"/>
      <c r="X569" s="42"/>
      <c r="Y569" s="26">
        <v>50</v>
      </c>
      <c r="Z569" s="26">
        <f t="shared" si="301"/>
        <v>0</v>
      </c>
      <c r="AA569" s="82" t="s">
        <v>958</v>
      </c>
      <c r="AB569" s="111">
        <f t="shared" si="302"/>
        <v>5</v>
      </c>
      <c r="AC569" s="194" t="s">
        <v>13</v>
      </c>
      <c r="AD569" s="84">
        <f t="shared" si="285"/>
        <v>1165.340909090909</v>
      </c>
      <c r="AE569" s="140"/>
      <c r="AF569" s="113">
        <f t="shared" si="299"/>
        <v>0</v>
      </c>
      <c r="AG569" s="106">
        <v>2025</v>
      </c>
      <c r="AH569" s="26" t="str">
        <f t="shared" si="289"/>
        <v/>
      </c>
      <c r="AI569" s="26" t="str">
        <f t="shared" si="305"/>
        <v/>
      </c>
      <c r="AJ569" s="26" t="str">
        <f t="shared" si="308"/>
        <v/>
      </c>
      <c r="AK569" s="26" t="str">
        <f t="shared" si="310"/>
        <v>Chip Seal and Fog</v>
      </c>
      <c r="AL569" s="26" t="str">
        <f t="shared" si="310"/>
        <v/>
      </c>
      <c r="AM569" s="26" t="str">
        <f t="shared" si="310"/>
        <v/>
      </c>
      <c r="AN569" s="26" t="str">
        <f t="shared" si="298"/>
        <v>Chip Seal and Fog</v>
      </c>
      <c r="AO569" s="26" t="str">
        <f t="shared" si="309"/>
        <v/>
      </c>
      <c r="AP569" s="26" t="str">
        <f t="shared" si="291"/>
        <v/>
      </c>
      <c r="AQ569" s="68">
        <f t="shared" si="303"/>
        <v>6</v>
      </c>
      <c r="AR569" s="68">
        <f t="shared" si="304"/>
        <v>6</v>
      </c>
      <c r="AS569" s="68">
        <f t="shared" si="292"/>
        <v>1.25</v>
      </c>
      <c r="AT569" s="68">
        <f t="shared" si="293"/>
        <v>1.25</v>
      </c>
      <c r="AU569" s="68">
        <f t="shared" si="294"/>
        <v>1.25</v>
      </c>
      <c r="AV569" s="68">
        <f t="shared" si="295"/>
        <v>1.25</v>
      </c>
      <c r="AW569" s="68">
        <f t="shared" si="296"/>
        <v>1.25</v>
      </c>
      <c r="AX569" s="68">
        <f t="shared" ca="1" si="297"/>
        <v>1.25</v>
      </c>
      <c r="AY569" s="68">
        <v>2019</v>
      </c>
      <c r="AZ569" s="68" t="s">
        <v>2072</v>
      </c>
      <c r="BA569" s="106" t="str">
        <f t="shared" si="286"/>
        <v/>
      </c>
      <c r="BB569" s="178"/>
      <c r="BC569" s="178"/>
      <c r="BD569" s="178"/>
      <c r="BE569" s="178"/>
      <c r="BF569" s="178"/>
      <c r="BG569" s="178"/>
      <c r="BH569" s="178"/>
      <c r="BI569" s="33"/>
      <c r="BK569" s="48">
        <f>$G569/5280*VLOOKUP($AC569,'Cost and Score'!$B$27:$O$40,6,0)</f>
        <v>1.1098484848484851E-2</v>
      </c>
      <c r="BL569" s="48">
        <f>$G569/5280*VLOOKUP($AC569,'Cost and Score'!$B$27:$O$40,7,0)</f>
        <v>1.2208333333333334</v>
      </c>
      <c r="BM569" s="48">
        <f>$G569/5280*VLOOKUP($AC569,'Cost and Score'!$B$27:$O$40,8,0)</f>
        <v>0</v>
      </c>
      <c r="BN569" s="48">
        <f>$G569/5280*VLOOKUP($AC569,'Cost and Score'!$B$27:$O$40,9,0)</f>
        <v>249.71590909090909</v>
      </c>
      <c r="BO569" s="48">
        <f>$G569/5280*VLOOKUP($AC569,'Cost and Score'!$B$27:$O$40,10,0)</f>
        <v>55.492424242424249</v>
      </c>
      <c r="BP569" s="48">
        <f>$G569/5280*VLOOKUP($AC569,'Cost and Score'!$B$27:$O$40,11,0)</f>
        <v>0</v>
      </c>
      <c r="BQ569" s="48">
        <f>$G569/5280*VLOOKUP($AC569,'Cost and Score'!$B$27:$O$40,12,0)</f>
        <v>5.5492424242424248</v>
      </c>
      <c r="BR569" s="48">
        <f>$G569/5280*VLOOKUP($AC569,'Cost and Score'!$B$27:$O$40,13,0)</f>
        <v>6.6590909090909092</v>
      </c>
      <c r="BS569" s="48">
        <f>$G569/5280*VLOOKUP($AC569,'Cost and Score'!$B$27:$O$40,14,0)</f>
        <v>0</v>
      </c>
      <c r="BT569" s="220">
        <f t="shared" si="287"/>
        <v>5.5492424242424246E-2</v>
      </c>
      <c r="CS569" s="112"/>
      <c r="CT569" s="112"/>
      <c r="CU569" s="112"/>
    </row>
    <row r="570" spans="1:103" s="112" customFormat="1" ht="14.45" hidden="1" customHeight="1" x14ac:dyDescent="0.25">
      <c r="A570" s="38" t="s">
        <v>1200</v>
      </c>
      <c r="B570" s="34" t="s">
        <v>1199</v>
      </c>
      <c r="C570" s="26" t="s">
        <v>1199</v>
      </c>
      <c r="D570" s="26"/>
      <c r="E570" s="26" t="s">
        <v>73</v>
      </c>
      <c r="F570" s="26" t="s">
        <v>64</v>
      </c>
      <c r="G570" s="29">
        <v>5328</v>
      </c>
      <c r="H570" s="29">
        <f t="shared" si="300"/>
        <v>20</v>
      </c>
      <c r="I570" s="106" t="s">
        <v>751</v>
      </c>
      <c r="J570" s="26" t="s">
        <v>62</v>
      </c>
      <c r="K570" s="26">
        <f t="shared" si="307"/>
        <v>0</v>
      </c>
      <c r="L570" s="42">
        <v>4</v>
      </c>
      <c r="M570" s="42">
        <v>4</v>
      </c>
      <c r="N570" s="42">
        <v>10</v>
      </c>
      <c r="O570" s="42">
        <v>9</v>
      </c>
      <c r="P570" s="42">
        <v>8</v>
      </c>
      <c r="Q570" s="42">
        <v>7</v>
      </c>
      <c r="R570" s="42">
        <v>7</v>
      </c>
      <c r="S570" s="42">
        <v>7</v>
      </c>
      <c r="T570" s="42">
        <v>7</v>
      </c>
      <c r="U570" s="42">
        <v>7</v>
      </c>
      <c r="V570" s="42"/>
      <c r="W570" s="42"/>
      <c r="X570" s="42"/>
      <c r="Y570" s="26">
        <v>34</v>
      </c>
      <c r="Z570" s="26">
        <f t="shared" si="301"/>
        <v>0</v>
      </c>
      <c r="AA570" s="26" t="s">
        <v>213</v>
      </c>
      <c r="AB570" s="111">
        <f t="shared" si="302"/>
        <v>2</v>
      </c>
      <c r="AC570" s="85" t="s">
        <v>2073</v>
      </c>
      <c r="AD570" s="47">
        <f t="shared" si="285"/>
        <v>32290.909090909092</v>
      </c>
      <c r="AE570" s="140"/>
      <c r="AF570" s="113">
        <f t="shared" si="299"/>
        <v>0</v>
      </c>
      <c r="AG570" s="26">
        <v>2027</v>
      </c>
      <c r="AH570" s="26" t="str">
        <f t="shared" si="289"/>
        <v/>
      </c>
      <c r="AI570" s="26" t="str">
        <f t="shared" si="305"/>
        <v/>
      </c>
      <c r="AJ570" s="26" t="str">
        <f t="shared" si="308"/>
        <v/>
      </c>
      <c r="AK570" s="26" t="str">
        <f t="shared" si="310"/>
        <v/>
      </c>
      <c r="AL570" s="26" t="str">
        <f t="shared" si="310"/>
        <v/>
      </c>
      <c r="AM570" s="26" t="str">
        <f t="shared" si="310"/>
        <v>Chip Seal - Double and Fog</v>
      </c>
      <c r="AN570" s="26" t="str">
        <f t="shared" si="298"/>
        <v>Chip Seal - Double and Fog</v>
      </c>
      <c r="AO570" s="26" t="str">
        <f t="shared" si="309"/>
        <v>Crack Seal</v>
      </c>
      <c r="AP570" s="26" t="str">
        <f t="shared" si="291"/>
        <v/>
      </c>
      <c r="AQ570" s="68">
        <f t="shared" si="303"/>
        <v>14</v>
      </c>
      <c r="AR570" s="68">
        <f t="shared" si="304"/>
        <v>6</v>
      </c>
      <c r="AS570" s="68">
        <f t="shared" si="292"/>
        <v>1.5</v>
      </c>
      <c r="AT570" s="68">
        <f t="shared" si="293"/>
        <v>1.5</v>
      </c>
      <c r="AU570" s="68">
        <f t="shared" si="294"/>
        <v>1</v>
      </c>
      <c r="AV570" s="68">
        <f t="shared" si="295"/>
        <v>1</v>
      </c>
      <c r="AW570" s="68">
        <f t="shared" si="296"/>
        <v>1</v>
      </c>
      <c r="AX570" s="68">
        <f t="shared" ca="1" si="297"/>
        <v>3</v>
      </c>
      <c r="AY570" s="68">
        <v>2021</v>
      </c>
      <c r="AZ570" s="68" t="s">
        <v>2075</v>
      </c>
      <c r="BA570" s="106" t="str">
        <f t="shared" si="286"/>
        <v/>
      </c>
      <c r="BB570" s="178"/>
      <c r="BC570" s="178">
        <v>3</v>
      </c>
      <c r="BD570" s="178"/>
      <c r="BE570" s="178"/>
      <c r="BF570" s="178"/>
      <c r="BG570" s="178"/>
      <c r="BH570" s="178"/>
      <c r="BI570" s="33"/>
      <c r="BJ570" s="2"/>
      <c r="BK570" s="48">
        <f>$G570/5280*VLOOKUP($AC570,'Cost and Score'!$B$27:$O$40,6,0)</f>
        <v>0.50454545454545452</v>
      </c>
      <c r="BL570" s="48">
        <f>$G570/5280*VLOOKUP($AC570,'Cost and Score'!$B$27:$O$40,7,0)</f>
        <v>50.454545454545453</v>
      </c>
      <c r="BM570" s="48">
        <f>$G570/5280*VLOOKUP($AC570,'Cost and Score'!$B$27:$O$40,8,0)</f>
        <v>0</v>
      </c>
      <c r="BN570" s="48">
        <f>$G570/5280*VLOOKUP($AC570,'Cost and Score'!$B$27:$O$40,9,0)</f>
        <v>9586.363636363636</v>
      </c>
      <c r="BO570" s="48">
        <f>$G570/5280*VLOOKUP($AC570,'Cost and Score'!$B$27:$O$40,10,0)</f>
        <v>1009.090909090909</v>
      </c>
      <c r="BP570" s="48">
        <f>$G570/5280*VLOOKUP($AC570,'Cost and Score'!$B$27:$O$40,11,0)</f>
        <v>0</v>
      </c>
      <c r="BQ570" s="48">
        <f>$G570/5280*VLOOKUP($AC570,'Cost and Score'!$B$27:$O$40,12,0)</f>
        <v>201.81818181818181</v>
      </c>
      <c r="BR570" s="48">
        <f>$G570/5280*VLOOKUP($AC570,'Cost and Score'!$B$27:$O$40,13,0)</f>
        <v>181.63636363636363</v>
      </c>
      <c r="BS570" s="48">
        <f>$G570/5280*VLOOKUP($AC570,'Cost and Score'!$B$27:$O$40,14,0)</f>
        <v>242.18181818181816</v>
      </c>
      <c r="BT570" s="220">
        <f t="shared" si="287"/>
        <v>1.009090909090909</v>
      </c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S570" s="2"/>
      <c r="CT570" s="2"/>
      <c r="CU570" s="2"/>
      <c r="CV570" s="2"/>
    </row>
    <row r="571" spans="1:103" s="2" customFormat="1" ht="14.45" hidden="1" customHeight="1" x14ac:dyDescent="0.25">
      <c r="A571" s="38" t="s">
        <v>1202</v>
      </c>
      <c r="B571" s="34" t="s">
        <v>1201</v>
      </c>
      <c r="C571" s="26" t="s">
        <v>1201</v>
      </c>
      <c r="D571" s="82"/>
      <c r="E571" s="82" t="s">
        <v>94</v>
      </c>
      <c r="F571" s="82" t="s">
        <v>297</v>
      </c>
      <c r="G571" s="29">
        <v>6738</v>
      </c>
      <c r="H571" s="29">
        <f t="shared" si="300"/>
        <v>20</v>
      </c>
      <c r="I571" s="26" t="s">
        <v>13</v>
      </c>
      <c r="J571" s="26" t="s">
        <v>17</v>
      </c>
      <c r="K571" s="26">
        <f t="shared" si="307"/>
        <v>0</v>
      </c>
      <c r="L571" s="42">
        <v>7</v>
      </c>
      <c r="M571" s="42">
        <v>7</v>
      </c>
      <c r="N571" s="42">
        <v>7</v>
      </c>
      <c r="O571" s="83">
        <v>7</v>
      </c>
      <c r="P571" s="83">
        <v>6</v>
      </c>
      <c r="Q571" s="83">
        <v>6</v>
      </c>
      <c r="R571" s="83">
        <v>6</v>
      </c>
      <c r="S571" s="83">
        <v>6</v>
      </c>
      <c r="T571" s="83">
        <v>6</v>
      </c>
      <c r="U571" s="83">
        <v>7</v>
      </c>
      <c r="V571" s="42"/>
      <c r="W571" s="42"/>
      <c r="X571" s="42"/>
      <c r="Y571" s="26">
        <v>69</v>
      </c>
      <c r="Z571" s="26">
        <f t="shared" si="301"/>
        <v>0</v>
      </c>
      <c r="AA571" s="82" t="s">
        <v>213</v>
      </c>
      <c r="AB571" s="111">
        <f t="shared" si="302"/>
        <v>4</v>
      </c>
      <c r="AC571" s="82" t="s">
        <v>13</v>
      </c>
      <c r="AD571" s="84">
        <f t="shared" si="285"/>
        <v>26798.863636363636</v>
      </c>
      <c r="AE571" s="140"/>
      <c r="AF571" s="113">
        <f t="shared" si="299"/>
        <v>0</v>
      </c>
      <c r="AG571" s="26">
        <v>2022</v>
      </c>
      <c r="AH571" s="26" t="str">
        <f t="shared" si="289"/>
        <v>Chip Seal and Fog</v>
      </c>
      <c r="AI571" s="26" t="str">
        <f t="shared" si="305"/>
        <v/>
      </c>
      <c r="AJ571" s="26" t="str">
        <f t="shared" si="308"/>
        <v/>
      </c>
      <c r="AK571" s="26" t="str">
        <f t="shared" si="310"/>
        <v/>
      </c>
      <c r="AL571" s="26" t="str">
        <f t="shared" si="310"/>
        <v/>
      </c>
      <c r="AM571" s="26" t="str">
        <f t="shared" si="310"/>
        <v/>
      </c>
      <c r="AN571" s="26" t="str">
        <f t="shared" si="298"/>
        <v>Chip Seal and Fog</v>
      </c>
      <c r="AO571" s="26" t="str">
        <f t="shared" si="309"/>
        <v/>
      </c>
      <c r="AP571" s="26" t="str">
        <f t="shared" si="291"/>
        <v>Chip Seal and Fog</v>
      </c>
      <c r="AQ571" s="68">
        <f t="shared" si="303"/>
        <v>10</v>
      </c>
      <c r="AR571" s="68">
        <f t="shared" si="304"/>
        <v>6</v>
      </c>
      <c r="AS571" s="68">
        <f t="shared" si="292"/>
        <v>1.05</v>
      </c>
      <c r="AT571" s="68">
        <f t="shared" si="293"/>
        <v>1.05</v>
      </c>
      <c r="AU571" s="68">
        <f t="shared" si="294"/>
        <v>1.05</v>
      </c>
      <c r="AV571" s="68">
        <f t="shared" si="295"/>
        <v>1.05</v>
      </c>
      <c r="AW571" s="68">
        <f t="shared" si="296"/>
        <v>1.1000000000000001</v>
      </c>
      <c r="AX571" s="68">
        <f t="shared" ca="1" si="297"/>
        <v>-2.1</v>
      </c>
      <c r="AY571" s="68">
        <v>2022</v>
      </c>
      <c r="AZ571" s="68" t="s">
        <v>13</v>
      </c>
      <c r="BA571" s="106" t="str">
        <f t="shared" si="286"/>
        <v/>
      </c>
      <c r="BB571" s="178">
        <v>49</v>
      </c>
      <c r="BC571" s="178">
        <v>5</v>
      </c>
      <c r="BD571" s="178"/>
      <c r="BE571" s="178"/>
      <c r="BF571" s="178"/>
      <c r="BG571" s="178"/>
      <c r="BH571" s="178"/>
      <c r="BI571" s="33"/>
      <c r="BK571" s="48">
        <f>$G571/5280*VLOOKUP($AC571,'Cost and Score'!$B$27:$O$40,6,0)</f>
        <v>0.25522727272727275</v>
      </c>
      <c r="BL571" s="48">
        <f>$G571/5280*VLOOKUP($AC571,'Cost and Score'!$B$27:$O$40,7,0)</f>
        <v>28.074999999999999</v>
      </c>
      <c r="BM571" s="48">
        <f>$G571/5280*VLOOKUP($AC571,'Cost and Score'!$B$27:$O$40,8,0)</f>
        <v>0</v>
      </c>
      <c r="BN571" s="48">
        <f>$G571/5280*VLOOKUP($AC571,'Cost and Score'!$B$27:$O$40,9,0)</f>
        <v>5742.613636363636</v>
      </c>
      <c r="BO571" s="48">
        <f>$G571/5280*VLOOKUP($AC571,'Cost and Score'!$B$27:$O$40,10,0)</f>
        <v>1276.1363636363635</v>
      </c>
      <c r="BP571" s="48">
        <f>$G571/5280*VLOOKUP($AC571,'Cost and Score'!$B$27:$O$40,11,0)</f>
        <v>0</v>
      </c>
      <c r="BQ571" s="48">
        <f>$G571/5280*VLOOKUP($AC571,'Cost and Score'!$B$27:$O$40,12,0)</f>
        <v>127.61363636363636</v>
      </c>
      <c r="BR571" s="48">
        <f>$G571/5280*VLOOKUP($AC571,'Cost and Score'!$B$27:$O$40,13,0)</f>
        <v>153.13636363636363</v>
      </c>
      <c r="BS571" s="48">
        <f>$G571/5280*VLOOKUP($AC571,'Cost and Score'!$B$27:$O$40,14,0)</f>
        <v>0</v>
      </c>
      <c r="BT571" s="220">
        <f t="shared" si="287"/>
        <v>1.2761363636363636</v>
      </c>
      <c r="CN571" s="112"/>
      <c r="CO571" s="112"/>
      <c r="CP571" s="112"/>
      <c r="CQ571" s="112"/>
      <c r="CV571" s="112"/>
    </row>
    <row r="572" spans="1:103" s="2" customFormat="1" ht="15" customHeight="1" x14ac:dyDescent="0.25">
      <c r="A572" s="38" t="s">
        <v>1325</v>
      </c>
      <c r="B572" s="34" t="s">
        <v>1324</v>
      </c>
      <c r="C572" s="26" t="s">
        <v>1324</v>
      </c>
      <c r="D572" s="82"/>
      <c r="E572" s="82" t="s">
        <v>107</v>
      </c>
      <c r="F572" s="82" t="s">
        <v>104</v>
      </c>
      <c r="G572" s="29">
        <v>5275</v>
      </c>
      <c r="H572" s="29">
        <f t="shared" si="300"/>
        <v>20</v>
      </c>
      <c r="I572" s="26" t="s">
        <v>13</v>
      </c>
      <c r="J572" s="26" t="s">
        <v>172</v>
      </c>
      <c r="K572" s="26">
        <f t="shared" si="307"/>
        <v>0</v>
      </c>
      <c r="L572" s="42">
        <v>4</v>
      </c>
      <c r="M572" s="42">
        <v>7</v>
      </c>
      <c r="N572" s="42">
        <v>7</v>
      </c>
      <c r="O572" s="83">
        <v>6</v>
      </c>
      <c r="P572" s="83">
        <v>6</v>
      </c>
      <c r="Q572" s="83">
        <v>7</v>
      </c>
      <c r="R572" s="83">
        <v>7</v>
      </c>
      <c r="S572" s="83">
        <v>7</v>
      </c>
      <c r="T572" s="83">
        <v>7</v>
      </c>
      <c r="U572" s="83">
        <v>7</v>
      </c>
      <c r="V572" s="42"/>
      <c r="W572" s="42"/>
      <c r="X572" s="42"/>
      <c r="Y572" s="26">
        <v>50</v>
      </c>
      <c r="Z572" s="26">
        <f t="shared" si="301"/>
        <v>0</v>
      </c>
      <c r="AA572" s="82" t="s">
        <v>297</v>
      </c>
      <c r="AB572" s="111">
        <f t="shared" si="302"/>
        <v>4</v>
      </c>
      <c r="AC572" s="85" t="s">
        <v>13</v>
      </c>
      <c r="AD572" s="84">
        <f t="shared" si="285"/>
        <v>20980.113636363636</v>
      </c>
      <c r="AE572" s="140"/>
      <c r="AF572" s="113">
        <f t="shared" si="299"/>
        <v>0</v>
      </c>
      <c r="AG572" s="26">
        <v>2025</v>
      </c>
      <c r="AH572" s="26" t="str">
        <f t="shared" si="289"/>
        <v/>
      </c>
      <c r="AI572" s="26" t="str">
        <f t="shared" si="305"/>
        <v/>
      </c>
      <c r="AJ572" s="26" t="str">
        <f t="shared" si="308"/>
        <v/>
      </c>
      <c r="AK572" s="26" t="str">
        <f t="shared" si="310"/>
        <v>Chip Seal and Fog</v>
      </c>
      <c r="AL572" s="26" t="str">
        <f t="shared" si="310"/>
        <v/>
      </c>
      <c r="AM572" s="26" t="str">
        <f t="shared" si="310"/>
        <v/>
      </c>
      <c r="AN572" s="26" t="str">
        <f t="shared" si="298"/>
        <v>Chip Seal and Fog</v>
      </c>
      <c r="AO572" s="26" t="str">
        <f t="shared" si="309"/>
        <v/>
      </c>
      <c r="AP572" s="26" t="str">
        <f t="shared" si="291"/>
        <v/>
      </c>
      <c r="AQ572" s="68">
        <f t="shared" si="303"/>
        <v>8</v>
      </c>
      <c r="AR572" s="68">
        <f t="shared" si="304"/>
        <v>6</v>
      </c>
      <c r="AS572" s="68">
        <f t="shared" si="292"/>
        <v>1.5</v>
      </c>
      <c r="AT572" s="68">
        <f t="shared" si="293"/>
        <v>1.05</v>
      </c>
      <c r="AU572" s="68">
        <f t="shared" si="294"/>
        <v>1.05</v>
      </c>
      <c r="AV572" s="68">
        <f t="shared" si="295"/>
        <v>1.1000000000000001</v>
      </c>
      <c r="AW572" s="68">
        <f t="shared" si="296"/>
        <v>1.1000000000000001</v>
      </c>
      <c r="AX572" s="68">
        <f t="shared" ca="1" si="297"/>
        <v>1.05</v>
      </c>
      <c r="AY572" s="68">
        <v>2018</v>
      </c>
      <c r="AZ572" s="68" t="s">
        <v>2072</v>
      </c>
      <c r="BA572" s="106" t="str">
        <f t="shared" si="286"/>
        <v>SP/CS</v>
      </c>
      <c r="BB572" s="178"/>
      <c r="BC572" s="178">
        <v>7</v>
      </c>
      <c r="BD572" s="178"/>
      <c r="BE572" s="178"/>
      <c r="BF572" s="178"/>
      <c r="BG572" s="178"/>
      <c r="BH572" s="178"/>
      <c r="BI572" s="33"/>
      <c r="BK572" s="48">
        <f>$G572/5280*VLOOKUP($AC572,'Cost and Score'!$B$27:$O$40,6,0)</f>
        <v>0.19981060606060608</v>
      </c>
      <c r="BL572" s="48">
        <f>$G572/5280*VLOOKUP($AC572,'Cost and Score'!$B$27:$O$40,7,0)</f>
        <v>21.979166666666664</v>
      </c>
      <c r="BM572" s="48">
        <f>$G572/5280*VLOOKUP($AC572,'Cost and Score'!$B$27:$O$40,8,0)</f>
        <v>0</v>
      </c>
      <c r="BN572" s="48">
        <f>$G572/5280*VLOOKUP($AC572,'Cost and Score'!$B$27:$O$40,9,0)</f>
        <v>4495.738636363636</v>
      </c>
      <c r="BO572" s="48">
        <f>$G572/5280*VLOOKUP($AC572,'Cost and Score'!$B$27:$O$40,10,0)</f>
        <v>999.05303030303025</v>
      </c>
      <c r="BP572" s="48">
        <f>$G572/5280*VLOOKUP($AC572,'Cost and Score'!$B$27:$O$40,11,0)</f>
        <v>0</v>
      </c>
      <c r="BQ572" s="48">
        <f>$G572/5280*VLOOKUP($AC572,'Cost and Score'!$B$27:$O$40,12,0)</f>
        <v>99.905303030303031</v>
      </c>
      <c r="BR572" s="48">
        <f>$G572/5280*VLOOKUP($AC572,'Cost and Score'!$B$27:$O$40,13,0)</f>
        <v>119.88636363636363</v>
      </c>
      <c r="BS572" s="48">
        <f>$G572/5280*VLOOKUP($AC572,'Cost and Score'!$B$27:$O$40,14,0)</f>
        <v>0</v>
      </c>
      <c r="BT572" s="220">
        <f t="shared" si="287"/>
        <v>0.99905303030303028</v>
      </c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</row>
    <row r="573" spans="1:103" s="112" customFormat="1" ht="14.45" customHeight="1" x14ac:dyDescent="0.25">
      <c r="A573" s="38" t="s">
        <v>1329</v>
      </c>
      <c r="B573" s="34" t="s">
        <v>1328</v>
      </c>
      <c r="C573" s="26" t="s">
        <v>1328</v>
      </c>
      <c r="D573" s="26"/>
      <c r="E573" s="26" t="s">
        <v>110</v>
      </c>
      <c r="F573" s="26" t="s">
        <v>785</v>
      </c>
      <c r="G573" s="29">
        <v>3035</v>
      </c>
      <c r="H573" s="29">
        <f t="shared" si="300"/>
        <v>20</v>
      </c>
      <c r="I573" s="26" t="s">
        <v>13</v>
      </c>
      <c r="J573" s="26" t="s">
        <v>172</v>
      </c>
      <c r="K573" s="26">
        <f t="shared" si="307"/>
        <v>0</v>
      </c>
      <c r="L573" s="42">
        <v>4</v>
      </c>
      <c r="M573" s="42">
        <v>4</v>
      </c>
      <c r="N573" s="42">
        <v>10</v>
      </c>
      <c r="O573" s="42">
        <v>9</v>
      </c>
      <c r="P573" s="42">
        <v>9</v>
      </c>
      <c r="Q573" s="42">
        <v>8</v>
      </c>
      <c r="R573" s="42">
        <v>8</v>
      </c>
      <c r="S573" s="42">
        <v>8</v>
      </c>
      <c r="T573" s="42">
        <v>8</v>
      </c>
      <c r="U573" s="42">
        <v>8</v>
      </c>
      <c r="V573" s="42"/>
      <c r="W573" s="42"/>
      <c r="X573" s="42"/>
      <c r="Y573" s="26">
        <v>50</v>
      </c>
      <c r="Z573" s="26">
        <f t="shared" si="301"/>
        <v>0</v>
      </c>
      <c r="AA573" s="26" t="s">
        <v>297</v>
      </c>
      <c r="AB573" s="111">
        <f t="shared" si="302"/>
        <v>1</v>
      </c>
      <c r="AC573" s="26" t="s">
        <v>13</v>
      </c>
      <c r="AD573" s="47">
        <f t="shared" ref="AD573:AD636" si="311">VLOOKUP(AC573,Cost,2,FALSE)*G573/5280</f>
        <v>12071.022727272728</v>
      </c>
      <c r="AE573" s="140"/>
      <c r="AF573" s="113">
        <f t="shared" si="299"/>
        <v>0</v>
      </c>
      <c r="AG573" s="26">
        <v>2025</v>
      </c>
      <c r="AH573" s="26" t="str">
        <f t="shared" si="289"/>
        <v/>
      </c>
      <c r="AI573" s="26" t="str">
        <f t="shared" si="305"/>
        <v/>
      </c>
      <c r="AJ573" s="26" t="str">
        <f t="shared" si="308"/>
        <v/>
      </c>
      <c r="AK573" s="26" t="str">
        <f t="shared" si="310"/>
        <v>Chip Seal and Fog</v>
      </c>
      <c r="AL573" s="26" t="str">
        <f t="shared" si="310"/>
        <v/>
      </c>
      <c r="AM573" s="26" t="str">
        <f t="shared" si="310"/>
        <v/>
      </c>
      <c r="AN573" s="26" t="str">
        <f t="shared" si="298"/>
        <v>Chip Seal and Fog</v>
      </c>
      <c r="AO573" s="26" t="str">
        <f t="shared" si="309"/>
        <v/>
      </c>
      <c r="AP573" s="26" t="str">
        <f t="shared" si="291"/>
        <v/>
      </c>
      <c r="AQ573" s="68">
        <f t="shared" si="303"/>
        <v>14</v>
      </c>
      <c r="AR573" s="68">
        <f t="shared" si="304"/>
        <v>6</v>
      </c>
      <c r="AS573" s="68">
        <f t="shared" si="292"/>
        <v>1.5</v>
      </c>
      <c r="AT573" s="68">
        <f t="shared" si="293"/>
        <v>1.5</v>
      </c>
      <c r="AU573" s="68">
        <f t="shared" si="294"/>
        <v>1</v>
      </c>
      <c r="AV573" s="68">
        <f t="shared" si="295"/>
        <v>1</v>
      </c>
      <c r="AW573" s="68">
        <f t="shared" si="296"/>
        <v>1</v>
      </c>
      <c r="AX573" s="68">
        <f t="shared" ca="1" si="297"/>
        <v>1</v>
      </c>
      <c r="AY573" s="68">
        <v>2016</v>
      </c>
      <c r="AZ573" s="68" t="s">
        <v>2072</v>
      </c>
      <c r="BA573" s="106" t="str">
        <f t="shared" si="286"/>
        <v/>
      </c>
      <c r="BB573" s="178"/>
      <c r="BC573" s="178">
        <v>7</v>
      </c>
      <c r="BD573" s="178"/>
      <c r="BE573" s="178"/>
      <c r="BF573" s="178"/>
      <c r="BG573" s="178"/>
      <c r="BH573" s="178"/>
      <c r="BI573" s="33"/>
      <c r="BJ573" s="2"/>
      <c r="BK573" s="48">
        <f>$G573/5280*VLOOKUP($AC573,'Cost and Score'!$B$27:$O$40,6,0)</f>
        <v>0.11496212121212122</v>
      </c>
      <c r="BL573" s="48">
        <f>$G573/5280*VLOOKUP($AC573,'Cost and Score'!$B$27:$O$40,7,0)</f>
        <v>12.645833333333334</v>
      </c>
      <c r="BM573" s="48">
        <f>$G573/5280*VLOOKUP($AC573,'Cost and Score'!$B$27:$O$40,8,0)</f>
        <v>0</v>
      </c>
      <c r="BN573" s="48">
        <f>$G573/5280*VLOOKUP($AC573,'Cost and Score'!$B$27:$O$40,9,0)</f>
        <v>2586.6477272727275</v>
      </c>
      <c r="BO573" s="48">
        <f>$G573/5280*VLOOKUP($AC573,'Cost and Score'!$B$27:$O$40,10,0)</f>
        <v>574.81060606060612</v>
      </c>
      <c r="BP573" s="48">
        <f>$G573/5280*VLOOKUP($AC573,'Cost and Score'!$B$27:$O$40,11,0)</f>
        <v>0</v>
      </c>
      <c r="BQ573" s="48">
        <f>$G573/5280*VLOOKUP($AC573,'Cost and Score'!$B$27:$O$40,12,0)</f>
        <v>57.481060606060609</v>
      </c>
      <c r="BR573" s="48">
        <f>$G573/5280*VLOOKUP($AC573,'Cost and Score'!$B$27:$O$40,13,0)</f>
        <v>68.977272727272734</v>
      </c>
      <c r="BS573" s="48">
        <f>$G573/5280*VLOOKUP($AC573,'Cost and Score'!$B$27:$O$40,14,0)</f>
        <v>0</v>
      </c>
      <c r="BT573" s="220">
        <f t="shared" si="287"/>
        <v>0.57481060606060608</v>
      </c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R573" s="2"/>
      <c r="CS573" s="2"/>
      <c r="CT573" s="2"/>
      <c r="CU573" s="2"/>
      <c r="CV573" s="2"/>
      <c r="CW573" s="2"/>
      <c r="CX573" s="2"/>
      <c r="CY573" s="2"/>
    </row>
    <row r="574" spans="1:103" s="2" customFormat="1" ht="14.45" hidden="1" customHeight="1" x14ac:dyDescent="0.25">
      <c r="A574" s="38" t="s">
        <v>1208</v>
      </c>
      <c r="B574" s="34" t="s">
        <v>1207</v>
      </c>
      <c r="C574" s="26" t="s">
        <v>1207</v>
      </c>
      <c r="D574" s="82"/>
      <c r="E574" s="82" t="s">
        <v>297</v>
      </c>
      <c r="F574" s="82" t="s">
        <v>44</v>
      </c>
      <c r="G574" s="29">
        <v>5650</v>
      </c>
      <c r="H574" s="29">
        <f t="shared" si="300"/>
        <v>20</v>
      </c>
      <c r="I574" s="26" t="s">
        <v>8</v>
      </c>
      <c r="J574" s="26" t="s">
        <v>17</v>
      </c>
      <c r="K574" s="26">
        <f t="shared" si="307"/>
        <v>0</v>
      </c>
      <c r="L574" s="42">
        <v>7</v>
      </c>
      <c r="M574" s="42">
        <v>7</v>
      </c>
      <c r="N574" s="42">
        <v>7</v>
      </c>
      <c r="O574" s="83">
        <v>7</v>
      </c>
      <c r="P574" s="83">
        <v>7</v>
      </c>
      <c r="Q574" s="83">
        <v>7</v>
      </c>
      <c r="R574" s="83">
        <v>7</v>
      </c>
      <c r="S574" s="83">
        <v>7</v>
      </c>
      <c r="T574" s="83">
        <v>7</v>
      </c>
      <c r="U574" s="83">
        <v>7</v>
      </c>
      <c r="V574" s="42"/>
      <c r="W574" s="42"/>
      <c r="X574" s="42"/>
      <c r="Y574" s="26">
        <v>68</v>
      </c>
      <c r="Z574" s="26">
        <f t="shared" si="301"/>
        <v>0</v>
      </c>
      <c r="AA574" s="82" t="s">
        <v>213</v>
      </c>
      <c r="AB574" s="111">
        <f t="shared" si="302"/>
        <v>3</v>
      </c>
      <c r="AC574" s="82" t="s">
        <v>13</v>
      </c>
      <c r="AD574" s="84">
        <f t="shared" si="311"/>
        <v>22471.590909090908</v>
      </c>
      <c r="AE574" s="140"/>
      <c r="AF574" s="113">
        <f t="shared" si="299"/>
        <v>0</v>
      </c>
      <c r="AG574" s="26">
        <v>2026</v>
      </c>
      <c r="AH574" s="26" t="str">
        <f t="shared" si="289"/>
        <v/>
      </c>
      <c r="AI574" s="26" t="str">
        <f t="shared" si="305"/>
        <v/>
      </c>
      <c r="AJ574" s="26" t="str">
        <f t="shared" si="308"/>
        <v/>
      </c>
      <c r="AK574" s="26" t="str">
        <f t="shared" si="310"/>
        <v/>
      </c>
      <c r="AL574" s="26" t="str">
        <f t="shared" si="310"/>
        <v>Chip Seal and Fog</v>
      </c>
      <c r="AM574" s="26" t="str">
        <f t="shared" si="310"/>
        <v/>
      </c>
      <c r="AN574" s="26" t="str">
        <f t="shared" si="298"/>
        <v>Chip Seal and Fog</v>
      </c>
      <c r="AO574" s="26" t="str">
        <f t="shared" si="309"/>
        <v/>
      </c>
      <c r="AP574" s="26" t="str">
        <f t="shared" si="291"/>
        <v/>
      </c>
      <c r="AQ574" s="68">
        <f t="shared" si="303"/>
        <v>10</v>
      </c>
      <c r="AR574" s="68">
        <f t="shared" si="304"/>
        <v>6</v>
      </c>
      <c r="AS574" s="68">
        <f t="shared" si="292"/>
        <v>1.05</v>
      </c>
      <c r="AT574" s="68">
        <f t="shared" si="293"/>
        <v>1.05</v>
      </c>
      <c r="AU574" s="68">
        <f t="shared" si="294"/>
        <v>1.05</v>
      </c>
      <c r="AV574" s="68">
        <f t="shared" si="295"/>
        <v>1.05</v>
      </c>
      <c r="AW574" s="68">
        <f t="shared" si="296"/>
        <v>1.05</v>
      </c>
      <c r="AX574" s="68">
        <f t="shared" ca="1" si="297"/>
        <v>2.1</v>
      </c>
      <c r="AY574" s="68">
        <v>2014</v>
      </c>
      <c r="AZ574" s="68" t="s">
        <v>2075</v>
      </c>
      <c r="BA574" s="106" t="str">
        <f t="shared" si="286"/>
        <v/>
      </c>
      <c r="BB574" s="178"/>
      <c r="BC574" s="178">
        <v>5</v>
      </c>
      <c r="BD574" s="178"/>
      <c r="BE574" s="178"/>
      <c r="BF574" s="178"/>
      <c r="BG574" s="178"/>
      <c r="BH574" s="178"/>
      <c r="BI574" s="33"/>
      <c r="BK574" s="48">
        <f>$G574/5280*VLOOKUP($AC574,'Cost and Score'!$B$27:$O$40,6,0)</f>
        <v>0.21401515151515152</v>
      </c>
      <c r="BL574" s="48">
        <f>$G574/5280*VLOOKUP($AC574,'Cost and Score'!$B$27:$O$40,7,0)</f>
        <v>23.541666666666668</v>
      </c>
      <c r="BM574" s="48">
        <f>$G574/5280*VLOOKUP($AC574,'Cost and Score'!$B$27:$O$40,8,0)</f>
        <v>0</v>
      </c>
      <c r="BN574" s="48">
        <f>$G574/5280*VLOOKUP($AC574,'Cost and Score'!$B$27:$O$40,9,0)</f>
        <v>4815.340909090909</v>
      </c>
      <c r="BO574" s="48">
        <f>$G574/5280*VLOOKUP($AC574,'Cost and Score'!$B$27:$O$40,10,0)</f>
        <v>1070.0757575757575</v>
      </c>
      <c r="BP574" s="48">
        <f>$G574/5280*VLOOKUP($AC574,'Cost and Score'!$B$27:$O$40,11,0)</f>
        <v>0</v>
      </c>
      <c r="BQ574" s="48">
        <f>$G574/5280*VLOOKUP($AC574,'Cost and Score'!$B$27:$O$40,12,0)</f>
        <v>107.00757575757575</v>
      </c>
      <c r="BR574" s="48">
        <f>$G574/5280*VLOOKUP($AC574,'Cost and Score'!$B$27:$O$40,13,0)</f>
        <v>128.40909090909091</v>
      </c>
      <c r="BS574" s="48">
        <f>$G574/5280*VLOOKUP($AC574,'Cost and Score'!$B$27:$O$40,14,0)</f>
        <v>0</v>
      </c>
      <c r="BT574" s="220">
        <f t="shared" si="287"/>
        <v>1.0700757575757576</v>
      </c>
      <c r="CS574" s="112"/>
      <c r="CT574" s="112"/>
      <c r="CU574" s="112"/>
      <c r="CV574" s="112"/>
    </row>
    <row r="575" spans="1:103" s="2" customFormat="1" ht="14.45" hidden="1" customHeight="1" x14ac:dyDescent="0.25">
      <c r="A575" s="38" t="s">
        <v>1210</v>
      </c>
      <c r="B575" s="34" t="s">
        <v>1209</v>
      </c>
      <c r="C575" s="26" t="s">
        <v>1209</v>
      </c>
      <c r="D575" s="82"/>
      <c r="E575" s="82" t="s">
        <v>86</v>
      </c>
      <c r="F575" s="82" t="s">
        <v>504</v>
      </c>
      <c r="G575" s="29">
        <v>5670</v>
      </c>
      <c r="H575" s="29">
        <f t="shared" si="300"/>
        <v>20</v>
      </c>
      <c r="I575" s="26" t="s">
        <v>8</v>
      </c>
      <c r="J575" s="26" t="s">
        <v>62</v>
      </c>
      <c r="K575" s="26">
        <f t="shared" si="307"/>
        <v>0</v>
      </c>
      <c r="L575" s="42">
        <v>7</v>
      </c>
      <c r="M575" s="42">
        <v>7</v>
      </c>
      <c r="N575" s="42">
        <v>8</v>
      </c>
      <c r="O575" s="83">
        <v>7</v>
      </c>
      <c r="P575" s="83">
        <v>7</v>
      </c>
      <c r="Q575" s="83">
        <v>7</v>
      </c>
      <c r="R575" s="83">
        <v>7</v>
      </c>
      <c r="S575" s="83">
        <v>7</v>
      </c>
      <c r="T575" s="83">
        <v>7</v>
      </c>
      <c r="U575" s="83">
        <v>7</v>
      </c>
      <c r="V575" s="42"/>
      <c r="W575" s="42"/>
      <c r="X575" s="42"/>
      <c r="Y575" s="26">
        <v>50</v>
      </c>
      <c r="Z575" s="26">
        <f t="shared" si="301"/>
        <v>0</v>
      </c>
      <c r="AA575" s="82" t="s">
        <v>213</v>
      </c>
      <c r="AB575" s="111">
        <f t="shared" si="302"/>
        <v>3</v>
      </c>
      <c r="AC575" s="82" t="s">
        <v>13</v>
      </c>
      <c r="AD575" s="84">
        <f t="shared" si="311"/>
        <v>22551.136363636364</v>
      </c>
      <c r="AE575" s="140">
        <v>1</v>
      </c>
      <c r="AF575" s="113">
        <f t="shared" si="299"/>
        <v>22551.136363636364</v>
      </c>
      <c r="AG575" s="26">
        <v>2023</v>
      </c>
      <c r="AH575" s="26" t="str">
        <f t="shared" si="289"/>
        <v/>
      </c>
      <c r="AI575" s="26" t="str">
        <f t="shared" si="305"/>
        <v>Chip Seal and Fog</v>
      </c>
      <c r="AJ575" s="26" t="str">
        <f t="shared" si="308"/>
        <v/>
      </c>
      <c r="AK575" s="26" t="str">
        <f t="shared" si="310"/>
        <v/>
      </c>
      <c r="AL575" s="26" t="str">
        <f t="shared" si="310"/>
        <v/>
      </c>
      <c r="AM575" s="26" t="str">
        <f t="shared" si="310"/>
        <v/>
      </c>
      <c r="AN575" s="26" t="str">
        <f t="shared" si="298"/>
        <v>Chip Seal and Fog</v>
      </c>
      <c r="AO575" s="26" t="str">
        <f t="shared" si="309"/>
        <v/>
      </c>
      <c r="AP575" s="26" t="str">
        <f t="shared" si="291"/>
        <v/>
      </c>
      <c r="AQ575" s="68">
        <f t="shared" si="303"/>
        <v>10</v>
      </c>
      <c r="AR575" s="68">
        <f t="shared" si="304"/>
        <v>6</v>
      </c>
      <c r="AS575" s="68">
        <f t="shared" si="292"/>
        <v>1.05</v>
      </c>
      <c r="AT575" s="68">
        <f t="shared" si="293"/>
        <v>1.05</v>
      </c>
      <c r="AU575" s="68">
        <f t="shared" si="294"/>
        <v>1</v>
      </c>
      <c r="AV575" s="68">
        <f t="shared" si="295"/>
        <v>1.05</v>
      </c>
      <c r="AW575" s="68">
        <f t="shared" si="296"/>
        <v>1.05</v>
      </c>
      <c r="AX575" s="68">
        <f t="shared" ca="1" si="297"/>
        <v>-1</v>
      </c>
      <c r="AY575" s="68">
        <v>2023</v>
      </c>
      <c r="AZ575" s="68" t="s">
        <v>13</v>
      </c>
      <c r="BA575" s="106" t="str">
        <f t="shared" si="286"/>
        <v/>
      </c>
      <c r="BB575" s="178">
        <v>47</v>
      </c>
      <c r="BC575" s="178">
        <v>4</v>
      </c>
      <c r="BD575" s="178"/>
      <c r="BE575" s="178"/>
      <c r="BF575" s="178"/>
      <c r="BG575" s="178"/>
      <c r="BH575" s="178"/>
      <c r="BI575" s="33"/>
      <c r="BK575" s="48">
        <f>$G575/5280*VLOOKUP($AC575,'Cost and Score'!$B$27:$O$40,6,0)</f>
        <v>0.21477272727272731</v>
      </c>
      <c r="BL575" s="48">
        <f>$G575/5280*VLOOKUP($AC575,'Cost and Score'!$B$27:$O$40,7,0)</f>
        <v>23.625000000000004</v>
      </c>
      <c r="BM575" s="48">
        <f>$G575/5280*VLOOKUP($AC575,'Cost and Score'!$B$27:$O$40,8,0)</f>
        <v>0</v>
      </c>
      <c r="BN575" s="48">
        <f>$G575/5280*VLOOKUP($AC575,'Cost and Score'!$B$27:$O$40,9,0)</f>
        <v>4832.386363636364</v>
      </c>
      <c r="BO575" s="48">
        <f>$G575/5280*VLOOKUP($AC575,'Cost and Score'!$B$27:$O$40,10,0)</f>
        <v>1073.8636363636365</v>
      </c>
      <c r="BP575" s="48">
        <f>$G575/5280*VLOOKUP($AC575,'Cost and Score'!$B$27:$O$40,11,0)</f>
        <v>0</v>
      </c>
      <c r="BQ575" s="48">
        <f>$G575/5280*VLOOKUP($AC575,'Cost and Score'!$B$27:$O$40,12,0)</f>
        <v>107.38636363636364</v>
      </c>
      <c r="BR575" s="48">
        <f>$G575/5280*VLOOKUP($AC575,'Cost and Score'!$B$27:$O$40,13,0)</f>
        <v>128.86363636363637</v>
      </c>
      <c r="BS575" s="48">
        <f>$G575/5280*VLOOKUP($AC575,'Cost and Score'!$B$27:$O$40,14,0)</f>
        <v>0</v>
      </c>
      <c r="BT575" s="220">
        <f t="shared" si="287"/>
        <v>1.0738636363636365</v>
      </c>
    </row>
    <row r="576" spans="1:103" s="2" customFormat="1" ht="14.45" hidden="1" customHeight="1" x14ac:dyDescent="0.25">
      <c r="A576" s="38" t="s">
        <v>1212</v>
      </c>
      <c r="B576" s="108" t="s">
        <v>1211</v>
      </c>
      <c r="C576" s="106" t="s">
        <v>1211</v>
      </c>
      <c r="D576" s="106"/>
      <c r="E576" s="106" t="s">
        <v>1185</v>
      </c>
      <c r="F576" s="106" t="s">
        <v>461</v>
      </c>
      <c r="G576" s="109">
        <v>1328</v>
      </c>
      <c r="H576" s="109">
        <f t="shared" si="300"/>
        <v>20</v>
      </c>
      <c r="I576" s="106" t="s">
        <v>13</v>
      </c>
      <c r="J576" s="106" t="s">
        <v>62</v>
      </c>
      <c r="K576" s="106">
        <f t="shared" si="307"/>
        <v>0</v>
      </c>
      <c r="L576" s="110">
        <v>7</v>
      </c>
      <c r="M576" s="110">
        <v>7</v>
      </c>
      <c r="N576" s="110">
        <v>7</v>
      </c>
      <c r="O576" s="110">
        <v>7</v>
      </c>
      <c r="P576" s="110">
        <v>7</v>
      </c>
      <c r="Q576" s="110">
        <v>7</v>
      </c>
      <c r="R576" s="110">
        <v>7</v>
      </c>
      <c r="S576" s="110">
        <v>7</v>
      </c>
      <c r="T576" s="110">
        <v>7</v>
      </c>
      <c r="U576" s="110">
        <v>7</v>
      </c>
      <c r="V576" s="110"/>
      <c r="W576" s="110"/>
      <c r="X576" s="110"/>
      <c r="Y576" s="106">
        <v>324</v>
      </c>
      <c r="Z576" s="106">
        <f t="shared" si="301"/>
        <v>0</v>
      </c>
      <c r="AA576" s="106" t="s">
        <v>213</v>
      </c>
      <c r="AB576" s="111">
        <f t="shared" si="302"/>
        <v>3</v>
      </c>
      <c r="AC576" s="106" t="s">
        <v>13</v>
      </c>
      <c r="AD576" s="107">
        <f t="shared" si="311"/>
        <v>5281.818181818182</v>
      </c>
      <c r="AE576" s="198">
        <v>1</v>
      </c>
      <c r="AF576" s="113">
        <f t="shared" si="299"/>
        <v>5281.818181818182</v>
      </c>
      <c r="AG576" s="106">
        <v>2024</v>
      </c>
      <c r="AH576" s="26" t="str">
        <f t="shared" si="289"/>
        <v/>
      </c>
      <c r="AI576" s="26" t="str">
        <f t="shared" si="305"/>
        <v/>
      </c>
      <c r="AJ576" s="26" t="str">
        <f t="shared" si="308"/>
        <v>Chip Seal and Fog</v>
      </c>
      <c r="AK576" s="26" t="str">
        <f t="shared" si="310"/>
        <v/>
      </c>
      <c r="AL576" s="26" t="str">
        <f t="shared" si="310"/>
        <v/>
      </c>
      <c r="AM576" s="26" t="str">
        <f t="shared" si="310"/>
        <v/>
      </c>
      <c r="AN576" s="26" t="str">
        <f t="shared" si="298"/>
        <v>Chip Seal and Fog</v>
      </c>
      <c r="AO576" s="26" t="str">
        <f t="shared" si="309"/>
        <v/>
      </c>
      <c r="AP576" s="26" t="str">
        <f t="shared" si="291"/>
        <v/>
      </c>
      <c r="AQ576" s="68">
        <f t="shared" si="303"/>
        <v>10</v>
      </c>
      <c r="AR576" s="68">
        <f t="shared" si="304"/>
        <v>6</v>
      </c>
      <c r="AS576" s="68">
        <f t="shared" si="292"/>
        <v>1.05</v>
      </c>
      <c r="AT576" s="68">
        <f t="shared" si="293"/>
        <v>1.05</v>
      </c>
      <c r="AU576" s="68">
        <f t="shared" si="294"/>
        <v>1.05</v>
      </c>
      <c r="AV576" s="68">
        <f t="shared" si="295"/>
        <v>1.05</v>
      </c>
      <c r="AW576" s="68">
        <f t="shared" si="296"/>
        <v>1.05</v>
      </c>
      <c r="AX576" s="68">
        <f t="shared" ca="1" si="297"/>
        <v>0</v>
      </c>
      <c r="AY576" s="106">
        <v>2017</v>
      </c>
      <c r="AZ576" s="106" t="s">
        <v>13</v>
      </c>
      <c r="BA576" s="106" t="str">
        <f t="shared" si="286"/>
        <v/>
      </c>
      <c r="BB576" s="177"/>
      <c r="BC576" s="177">
        <v>3</v>
      </c>
      <c r="BD576" s="177"/>
      <c r="BE576" s="177"/>
      <c r="BF576" s="177"/>
      <c r="BG576" s="177"/>
      <c r="BH576" s="177"/>
      <c r="BI576" s="33"/>
      <c r="BK576" s="48">
        <f>$G576/5280*VLOOKUP($AC576,'Cost and Score'!$B$27:$O$40,6,0)</f>
        <v>5.0303030303030308E-2</v>
      </c>
      <c r="BL576" s="48">
        <f>$G576/5280*VLOOKUP($AC576,'Cost and Score'!$B$27:$O$40,7,0)</f>
        <v>5.5333333333333332</v>
      </c>
      <c r="BM576" s="48">
        <f>$G576/5280*VLOOKUP($AC576,'Cost and Score'!$B$27:$O$40,8,0)</f>
        <v>0</v>
      </c>
      <c r="BN576" s="48">
        <f>$G576/5280*VLOOKUP($AC576,'Cost and Score'!$B$27:$O$40,9,0)</f>
        <v>1131.8181818181818</v>
      </c>
      <c r="BO576" s="48">
        <f>$G576/5280*VLOOKUP($AC576,'Cost and Score'!$B$27:$O$40,10,0)</f>
        <v>251.51515151515153</v>
      </c>
      <c r="BP576" s="48">
        <f>$G576/5280*VLOOKUP($AC576,'Cost and Score'!$B$27:$O$40,11,0)</f>
        <v>0</v>
      </c>
      <c r="BQ576" s="48">
        <f>$G576/5280*VLOOKUP($AC576,'Cost and Score'!$B$27:$O$40,12,0)</f>
        <v>25.151515151515152</v>
      </c>
      <c r="BR576" s="48">
        <f>$G576/5280*VLOOKUP($AC576,'Cost and Score'!$B$27:$O$40,13,0)</f>
        <v>30.181818181818183</v>
      </c>
      <c r="BS576" s="48">
        <f>$G576/5280*VLOOKUP($AC576,'Cost and Score'!$B$27:$O$40,14,0)</f>
        <v>0</v>
      </c>
      <c r="BT576" s="220">
        <f t="shared" si="287"/>
        <v>0.25151515151515152</v>
      </c>
      <c r="CF576" s="112"/>
      <c r="CR576" s="112"/>
      <c r="CW576" s="112"/>
      <c r="CX576" s="112"/>
      <c r="CY576" s="112"/>
    </row>
    <row r="577" spans="1:103" s="112" customFormat="1" ht="14.45" hidden="1" customHeight="1" x14ac:dyDescent="0.25">
      <c r="A577" s="38" t="s">
        <v>1214</v>
      </c>
      <c r="B577" s="34" t="s">
        <v>1213</v>
      </c>
      <c r="C577" s="26" t="s">
        <v>1213</v>
      </c>
      <c r="D577" s="26"/>
      <c r="E577" s="26" t="s">
        <v>119</v>
      </c>
      <c r="F577" s="26" t="s">
        <v>628</v>
      </c>
      <c r="G577" s="29">
        <v>4900</v>
      </c>
      <c r="H577" s="29">
        <f t="shared" si="300"/>
        <v>20</v>
      </c>
      <c r="I577" s="106" t="s">
        <v>13</v>
      </c>
      <c r="J577" s="26" t="s">
        <v>125</v>
      </c>
      <c r="K577" s="26">
        <f t="shared" si="307"/>
        <v>0</v>
      </c>
      <c r="L577" s="42">
        <v>7</v>
      </c>
      <c r="M577" s="42">
        <v>6</v>
      </c>
      <c r="N577" s="42">
        <v>7</v>
      </c>
      <c r="O577" s="42">
        <v>9</v>
      </c>
      <c r="P577" s="42">
        <v>8</v>
      </c>
      <c r="Q577" s="42">
        <v>7</v>
      </c>
      <c r="R577" s="42">
        <v>7</v>
      </c>
      <c r="S577" s="42">
        <v>7</v>
      </c>
      <c r="T577" s="42">
        <v>7</v>
      </c>
      <c r="U577" s="42">
        <v>7</v>
      </c>
      <c r="V577" s="42">
        <v>2023</v>
      </c>
      <c r="W577" s="42">
        <v>2023</v>
      </c>
      <c r="X577" s="42" t="s">
        <v>2612</v>
      </c>
      <c r="Y577" s="26">
        <v>3889</v>
      </c>
      <c r="Z577" s="26">
        <f t="shared" si="301"/>
        <v>1.5</v>
      </c>
      <c r="AA577" s="26" t="s">
        <v>138</v>
      </c>
      <c r="AB577" s="111">
        <f t="shared" si="302"/>
        <v>3.5</v>
      </c>
      <c r="AC577" s="26" t="s">
        <v>751</v>
      </c>
      <c r="AD577" s="47">
        <f t="shared" si="311"/>
        <v>102083.33333333333</v>
      </c>
      <c r="AE577" s="140">
        <v>1</v>
      </c>
      <c r="AF577" s="113">
        <f t="shared" si="299"/>
        <v>102083.33333333333</v>
      </c>
      <c r="AG577" s="26">
        <v>2023</v>
      </c>
      <c r="AH577" s="26" t="str">
        <f t="shared" si="289"/>
        <v/>
      </c>
      <c r="AI577" s="26" t="str">
        <f t="shared" si="305"/>
        <v>Overlay - 2"</v>
      </c>
      <c r="AJ577" s="26" t="str">
        <f t="shared" si="308"/>
        <v/>
      </c>
      <c r="AK577" s="26" t="str">
        <f t="shared" si="310"/>
        <v/>
      </c>
      <c r="AL577" s="26" t="str">
        <f t="shared" si="310"/>
        <v/>
      </c>
      <c r="AM577" s="26" t="str">
        <f t="shared" si="310"/>
        <v/>
      </c>
      <c r="AN577" s="26" t="str">
        <f t="shared" si="298"/>
        <v>Overlay - 2"</v>
      </c>
      <c r="AO577" s="26" t="str">
        <f t="shared" si="309"/>
        <v/>
      </c>
      <c r="AP577" s="26" t="str">
        <f t="shared" si="291"/>
        <v/>
      </c>
      <c r="AQ577" s="68">
        <f t="shared" si="303"/>
        <v>14</v>
      </c>
      <c r="AR577" s="68">
        <f t="shared" si="304"/>
        <v>12</v>
      </c>
      <c r="AS577" s="68">
        <f t="shared" si="292"/>
        <v>1.05</v>
      </c>
      <c r="AT577" s="68">
        <f t="shared" si="293"/>
        <v>1.1000000000000001</v>
      </c>
      <c r="AU577" s="68">
        <f t="shared" si="294"/>
        <v>1.05</v>
      </c>
      <c r="AV577" s="68">
        <f t="shared" si="295"/>
        <v>1</v>
      </c>
      <c r="AW577" s="68">
        <f t="shared" si="296"/>
        <v>1</v>
      </c>
      <c r="AX577" s="68">
        <f t="shared" ca="1" si="297"/>
        <v>-1.05</v>
      </c>
      <c r="AY577" s="68">
        <v>2023</v>
      </c>
      <c r="AZ577" s="68" t="s">
        <v>751</v>
      </c>
      <c r="BA577" s="106" t="str">
        <f t="shared" si="286"/>
        <v/>
      </c>
      <c r="BB577" s="178"/>
      <c r="BC577" s="178">
        <v>6</v>
      </c>
      <c r="BD577" s="178"/>
      <c r="BE577" s="178"/>
      <c r="BF577" s="178"/>
      <c r="BG577" s="178"/>
      <c r="BH577" s="178"/>
      <c r="BI577" s="33"/>
      <c r="BJ577" s="2" t="s">
        <v>2539</v>
      </c>
      <c r="BK577" s="48">
        <f>$G577/5280*VLOOKUP($AC577,'Cost and Score'!$B$27:$O$40,6,0)</f>
        <v>2.0880681818181817</v>
      </c>
      <c r="BL577" s="48">
        <f>$G577/5280*VLOOKUP($AC577,'Cost and Score'!$B$27:$O$40,7,0)</f>
        <v>194.88636363636363</v>
      </c>
      <c r="BM577" s="48">
        <f>$G577/5280*VLOOKUP($AC577,'Cost and Score'!$B$27:$O$40,8,0)</f>
        <v>324.81060606060606</v>
      </c>
      <c r="BN577" s="48">
        <f>$G577/5280*VLOOKUP($AC577,'Cost and Score'!$B$27:$O$40,9,0)</f>
        <v>0</v>
      </c>
      <c r="BO577" s="48">
        <f>$G577/5280*VLOOKUP($AC577,'Cost and Score'!$B$27:$O$40,10,0)</f>
        <v>0</v>
      </c>
      <c r="BP577" s="48">
        <f>$G577/5280*VLOOKUP($AC577,'Cost and Score'!$B$27:$O$40,11,0)</f>
        <v>185.60606060606059</v>
      </c>
      <c r="BQ577" s="48">
        <f>$G577/5280*VLOOKUP($AC577,'Cost and Score'!$B$27:$O$40,12,0)</f>
        <v>1577.651515151515</v>
      </c>
      <c r="BR577" s="48">
        <f>$G577/5280*VLOOKUP($AC577,'Cost and Score'!$B$27:$O$40,13,0)</f>
        <v>0</v>
      </c>
      <c r="BS577" s="48">
        <f>$G577/5280*VLOOKUP($AC577,'Cost and Score'!$B$27:$O$40,14,0)</f>
        <v>0</v>
      </c>
      <c r="BT577" s="220">
        <f t="shared" si="287"/>
        <v>0.92803030303030298</v>
      </c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N577" s="2"/>
      <c r="CO577" s="2"/>
      <c r="CP577" s="2"/>
      <c r="CQ577" s="2"/>
      <c r="CR577" s="2"/>
      <c r="CV577" s="2"/>
      <c r="CW577" s="2"/>
      <c r="CX577" s="2"/>
      <c r="CY577" s="2"/>
    </row>
    <row r="578" spans="1:103" s="2" customFormat="1" ht="14.45" hidden="1" customHeight="1" x14ac:dyDescent="0.25">
      <c r="A578" s="38" t="s">
        <v>1216</v>
      </c>
      <c r="B578" s="34" t="s">
        <v>1215</v>
      </c>
      <c r="C578" s="26" t="s">
        <v>1215</v>
      </c>
      <c r="D578" s="26"/>
      <c r="E578" s="26" t="s">
        <v>100</v>
      </c>
      <c r="F578" s="26" t="s">
        <v>99</v>
      </c>
      <c r="G578" s="29">
        <v>5330</v>
      </c>
      <c r="H578" s="29">
        <f t="shared" si="300"/>
        <v>20</v>
      </c>
      <c r="I578" s="26" t="s">
        <v>8</v>
      </c>
      <c r="J578" s="26" t="s">
        <v>160</v>
      </c>
      <c r="K578" s="26">
        <f t="shared" si="307"/>
        <v>0</v>
      </c>
      <c r="L578" s="42">
        <v>9</v>
      </c>
      <c r="M578" s="42">
        <v>7</v>
      </c>
      <c r="N578" s="42">
        <v>8</v>
      </c>
      <c r="O578" s="42">
        <v>8</v>
      </c>
      <c r="P578" s="42">
        <v>8</v>
      </c>
      <c r="Q578" s="42">
        <v>7</v>
      </c>
      <c r="R578" s="42">
        <v>7</v>
      </c>
      <c r="S578" s="42">
        <v>7</v>
      </c>
      <c r="T578" s="42">
        <v>7</v>
      </c>
      <c r="U578" s="42">
        <v>7</v>
      </c>
      <c r="V578" s="42">
        <v>2022</v>
      </c>
      <c r="W578" s="42"/>
      <c r="X578" s="42" t="s">
        <v>2612</v>
      </c>
      <c r="Y578" s="26">
        <v>3430</v>
      </c>
      <c r="Z578" s="26">
        <f t="shared" si="301"/>
        <v>1.5</v>
      </c>
      <c r="AA578" s="26" t="s">
        <v>138</v>
      </c>
      <c r="AB578" s="111">
        <f t="shared" si="302"/>
        <v>3.5</v>
      </c>
      <c r="AC578" s="106" t="s">
        <v>13</v>
      </c>
      <c r="AD578" s="47">
        <f t="shared" si="311"/>
        <v>21198.863636363636</v>
      </c>
      <c r="AE578" s="140"/>
      <c r="AF578" s="113">
        <f t="shared" si="299"/>
        <v>0</v>
      </c>
      <c r="AG578" s="85">
        <v>2026</v>
      </c>
      <c r="AH578" s="26" t="str">
        <f t="shared" si="289"/>
        <v/>
      </c>
      <c r="AI578" s="26" t="str">
        <f t="shared" si="305"/>
        <v/>
      </c>
      <c r="AJ578" s="26" t="str">
        <f t="shared" si="308"/>
        <v/>
      </c>
      <c r="AK578" s="26" t="str">
        <f t="shared" si="310"/>
        <v/>
      </c>
      <c r="AL578" s="26" t="str">
        <f t="shared" si="310"/>
        <v>Chip Seal and Fog</v>
      </c>
      <c r="AM578" s="26" t="str">
        <f t="shared" si="310"/>
        <v/>
      </c>
      <c r="AN578" s="26" t="str">
        <f t="shared" si="298"/>
        <v>Chip Seal and Fog</v>
      </c>
      <c r="AO578" s="26" t="str">
        <f t="shared" si="309"/>
        <v/>
      </c>
      <c r="AP578" s="26" t="str">
        <f t="shared" si="291"/>
        <v/>
      </c>
      <c r="AQ578" s="68">
        <f t="shared" si="303"/>
        <v>12</v>
      </c>
      <c r="AR578" s="68">
        <f t="shared" si="304"/>
        <v>6</v>
      </c>
      <c r="AS578" s="68">
        <f t="shared" si="292"/>
        <v>1</v>
      </c>
      <c r="AT578" s="68">
        <f t="shared" si="293"/>
        <v>1.05</v>
      </c>
      <c r="AU578" s="68">
        <f t="shared" si="294"/>
        <v>1</v>
      </c>
      <c r="AV578" s="68">
        <f t="shared" si="295"/>
        <v>1</v>
      </c>
      <c r="AW578" s="68">
        <f t="shared" si="296"/>
        <v>1</v>
      </c>
      <c r="AX578" s="68">
        <f t="shared" ca="1" si="297"/>
        <v>2</v>
      </c>
      <c r="AY578" s="68">
        <v>2020</v>
      </c>
      <c r="AZ578" s="68" t="s">
        <v>13</v>
      </c>
      <c r="BA578" s="106" t="str">
        <f t="shared" ref="BA578:BA641" si="312">IF(AY578=2018,AZ578,"")</f>
        <v/>
      </c>
      <c r="BB578" s="178"/>
      <c r="BC578" s="178">
        <v>8</v>
      </c>
      <c r="BD578" s="178"/>
      <c r="BE578" s="178"/>
      <c r="BF578" s="178"/>
      <c r="BG578" s="178"/>
      <c r="BH578" s="178"/>
      <c r="BI578" s="33"/>
      <c r="BK578" s="48">
        <f>$G578/5280*VLOOKUP($AC578,'Cost and Score'!$B$27:$O$40,6,0)</f>
        <v>0.2018939393939394</v>
      </c>
      <c r="BL578" s="48">
        <f>$G578/5280*VLOOKUP($AC578,'Cost and Score'!$B$27:$O$40,7,0)</f>
        <v>22.208333333333336</v>
      </c>
      <c r="BM578" s="48">
        <f>$G578/5280*VLOOKUP($AC578,'Cost and Score'!$B$27:$O$40,8,0)</f>
        <v>0</v>
      </c>
      <c r="BN578" s="48">
        <f>$G578/5280*VLOOKUP($AC578,'Cost and Score'!$B$27:$O$40,9,0)</f>
        <v>4542.6136363636369</v>
      </c>
      <c r="BO578" s="48">
        <f>$G578/5280*VLOOKUP($AC578,'Cost and Score'!$B$27:$O$40,10,0)</f>
        <v>1009.469696969697</v>
      </c>
      <c r="BP578" s="48">
        <f>$G578/5280*VLOOKUP($AC578,'Cost and Score'!$B$27:$O$40,11,0)</f>
        <v>0</v>
      </c>
      <c r="BQ578" s="48">
        <f>$G578/5280*VLOOKUP($AC578,'Cost and Score'!$B$27:$O$40,12,0)</f>
        <v>100.9469696969697</v>
      </c>
      <c r="BR578" s="48">
        <f>$G578/5280*VLOOKUP($AC578,'Cost and Score'!$B$27:$O$40,13,0)</f>
        <v>121.13636363636364</v>
      </c>
      <c r="BS578" s="48">
        <f>$G578/5280*VLOOKUP($AC578,'Cost and Score'!$B$27:$O$40,14,0)</f>
        <v>0</v>
      </c>
      <c r="BT578" s="220">
        <f t="shared" ref="BT578:BT641" si="313">G578/5280</f>
        <v>1.009469696969697</v>
      </c>
      <c r="CN578" s="112"/>
      <c r="CO578" s="112"/>
      <c r="CP578" s="112"/>
      <c r="CQ578" s="112"/>
      <c r="CV578" s="112"/>
    </row>
    <row r="579" spans="1:103" s="2" customFormat="1" ht="14.45" hidden="1" customHeight="1" x14ac:dyDescent="0.25">
      <c r="A579" s="38" t="s">
        <v>1218</v>
      </c>
      <c r="B579" s="34" t="s">
        <v>1217</v>
      </c>
      <c r="C579" s="26" t="s">
        <v>1217</v>
      </c>
      <c r="D579" s="26"/>
      <c r="E579" s="26" t="s">
        <v>119</v>
      </c>
      <c r="F579" s="26" t="s">
        <v>217</v>
      </c>
      <c r="G579" s="29">
        <v>2798</v>
      </c>
      <c r="H579" s="29">
        <f t="shared" si="300"/>
        <v>20</v>
      </c>
      <c r="I579" s="26" t="s">
        <v>8</v>
      </c>
      <c r="J579" s="26" t="s">
        <v>125</v>
      </c>
      <c r="K579" s="26">
        <f t="shared" si="307"/>
        <v>0</v>
      </c>
      <c r="L579" s="42">
        <v>7</v>
      </c>
      <c r="M579" s="42">
        <v>7</v>
      </c>
      <c r="N579" s="42">
        <v>7</v>
      </c>
      <c r="O579" s="42">
        <v>9</v>
      </c>
      <c r="P579" s="42">
        <v>8</v>
      </c>
      <c r="Q579" s="42">
        <v>8</v>
      </c>
      <c r="R579" s="42">
        <v>7</v>
      </c>
      <c r="S579" s="42">
        <v>6</v>
      </c>
      <c r="T579" s="42">
        <v>6</v>
      </c>
      <c r="U579" s="42">
        <v>8</v>
      </c>
      <c r="V579" s="42">
        <v>2022</v>
      </c>
      <c r="W579" s="42">
        <v>2020</v>
      </c>
      <c r="X579" s="42" t="s">
        <v>2612</v>
      </c>
      <c r="Y579" s="26">
        <v>3900</v>
      </c>
      <c r="Z579" s="26">
        <f t="shared" si="301"/>
        <v>1.5</v>
      </c>
      <c r="AA579" s="26" t="s">
        <v>138</v>
      </c>
      <c r="AB579" s="111">
        <f t="shared" si="302"/>
        <v>3.5</v>
      </c>
      <c r="AC579" s="85" t="s">
        <v>751</v>
      </c>
      <c r="AD579" s="47">
        <f t="shared" si="311"/>
        <v>58291.666666666664</v>
      </c>
      <c r="AE579" s="140">
        <v>1</v>
      </c>
      <c r="AF579" s="113">
        <f t="shared" si="299"/>
        <v>58291.666666666664</v>
      </c>
      <c r="AG579" s="106">
        <v>2022</v>
      </c>
      <c r="AH579" s="26" t="str">
        <f t="shared" si="289"/>
        <v>Overlay - 2"</v>
      </c>
      <c r="AI579" s="26" t="str">
        <f t="shared" si="305"/>
        <v/>
      </c>
      <c r="AJ579" s="26" t="str">
        <f t="shared" si="308"/>
        <v/>
      </c>
      <c r="AK579" s="26" t="str">
        <f t="shared" si="310"/>
        <v/>
      </c>
      <c r="AL579" s="26" t="str">
        <f t="shared" si="310"/>
        <v/>
      </c>
      <c r="AM579" s="26" t="str">
        <f t="shared" si="310"/>
        <v/>
      </c>
      <c r="AN579" s="26" t="str">
        <f t="shared" si="298"/>
        <v>Overlay - 2"</v>
      </c>
      <c r="AO579" s="26" t="str">
        <f t="shared" si="309"/>
        <v/>
      </c>
      <c r="AP579" s="26" t="str">
        <f t="shared" si="291"/>
        <v>Overlay - 2"</v>
      </c>
      <c r="AQ579" s="68">
        <f t="shared" si="303"/>
        <v>14</v>
      </c>
      <c r="AR579" s="68">
        <f t="shared" si="304"/>
        <v>12</v>
      </c>
      <c r="AS579" s="68">
        <f t="shared" si="292"/>
        <v>1.05</v>
      </c>
      <c r="AT579" s="68">
        <f t="shared" si="293"/>
        <v>1.05</v>
      </c>
      <c r="AU579" s="68">
        <f t="shared" si="294"/>
        <v>1.05</v>
      </c>
      <c r="AV579" s="68">
        <f t="shared" si="295"/>
        <v>1</v>
      </c>
      <c r="AW579" s="68">
        <f t="shared" si="296"/>
        <v>1</v>
      </c>
      <c r="AX579" s="68">
        <f t="shared" ca="1" si="297"/>
        <v>-2.1</v>
      </c>
      <c r="AY579" s="68">
        <v>2022</v>
      </c>
      <c r="AZ579" s="68" t="s">
        <v>751</v>
      </c>
      <c r="BA579" s="106" t="str">
        <f t="shared" si="312"/>
        <v/>
      </c>
      <c r="BB579" s="178"/>
      <c r="BC579" s="178">
        <v>6</v>
      </c>
      <c r="BD579" s="178"/>
      <c r="BE579" s="178"/>
      <c r="BF579" s="178"/>
      <c r="BG579" s="178"/>
      <c r="BH579" s="178"/>
      <c r="BI579" s="33"/>
      <c r="BK579" s="48">
        <f>$G579/5280*VLOOKUP($AC579,'Cost and Score'!$B$27:$O$40,6,0)</f>
        <v>1.1923295454545455</v>
      </c>
      <c r="BL579" s="48">
        <f>$G579/5280*VLOOKUP($AC579,'Cost and Score'!$B$27:$O$40,7,0)</f>
        <v>111.28409090909091</v>
      </c>
      <c r="BM579" s="48">
        <f>$G579/5280*VLOOKUP($AC579,'Cost and Score'!$B$27:$O$40,8,0)</f>
        <v>185.47348484848484</v>
      </c>
      <c r="BN579" s="48">
        <f>$G579/5280*VLOOKUP($AC579,'Cost and Score'!$B$27:$O$40,9,0)</f>
        <v>0</v>
      </c>
      <c r="BO579" s="48">
        <f>$G579/5280*VLOOKUP($AC579,'Cost and Score'!$B$27:$O$40,10,0)</f>
        <v>0</v>
      </c>
      <c r="BP579" s="48">
        <f>$G579/5280*VLOOKUP($AC579,'Cost and Score'!$B$27:$O$40,11,0)</f>
        <v>105.98484848484848</v>
      </c>
      <c r="BQ579" s="48">
        <f>$G579/5280*VLOOKUP($AC579,'Cost and Score'!$B$27:$O$40,12,0)</f>
        <v>900.87121212121212</v>
      </c>
      <c r="BR579" s="48">
        <f>$G579/5280*VLOOKUP($AC579,'Cost and Score'!$B$27:$O$40,13,0)</f>
        <v>0</v>
      </c>
      <c r="BS579" s="48">
        <f>$G579/5280*VLOOKUP($AC579,'Cost and Score'!$B$27:$O$40,14,0)</f>
        <v>0</v>
      </c>
      <c r="BT579" s="220">
        <f t="shared" si="313"/>
        <v>0.52992424242424241</v>
      </c>
    </row>
    <row r="580" spans="1:103" s="2" customFormat="1" ht="14.45" hidden="1" customHeight="1" x14ac:dyDescent="0.25">
      <c r="A580" s="38" t="s">
        <v>1220</v>
      </c>
      <c r="B580" s="34" t="s">
        <v>1219</v>
      </c>
      <c r="C580" s="26" t="s">
        <v>1219</v>
      </c>
      <c r="D580" s="26"/>
      <c r="E580" s="26" t="s">
        <v>217</v>
      </c>
      <c r="F580" s="26" t="s">
        <v>193</v>
      </c>
      <c r="G580" s="29">
        <v>2006</v>
      </c>
      <c r="H580" s="29">
        <f t="shared" si="300"/>
        <v>20</v>
      </c>
      <c r="I580" s="26" t="s">
        <v>8</v>
      </c>
      <c r="J580" s="26" t="s">
        <v>125</v>
      </c>
      <c r="K580" s="26">
        <f t="shared" si="307"/>
        <v>0</v>
      </c>
      <c r="L580" s="42">
        <v>7</v>
      </c>
      <c r="M580" s="42">
        <v>7</v>
      </c>
      <c r="N580" s="42">
        <v>7</v>
      </c>
      <c r="O580" s="42">
        <v>9</v>
      </c>
      <c r="P580" s="42">
        <v>8</v>
      </c>
      <c r="Q580" s="42">
        <v>7</v>
      </c>
      <c r="R580" s="42">
        <v>7</v>
      </c>
      <c r="S580" s="42">
        <v>6</v>
      </c>
      <c r="T580" s="42">
        <v>6</v>
      </c>
      <c r="U580" s="42">
        <v>8</v>
      </c>
      <c r="V580" s="42">
        <v>2022</v>
      </c>
      <c r="W580" s="42">
        <v>2020</v>
      </c>
      <c r="X580" s="42" t="s">
        <v>2612</v>
      </c>
      <c r="Y580" s="26">
        <v>3900</v>
      </c>
      <c r="Z580" s="26">
        <f t="shared" si="301"/>
        <v>1.5</v>
      </c>
      <c r="AA580" s="26" t="s">
        <v>138</v>
      </c>
      <c r="AB580" s="111">
        <f t="shared" si="302"/>
        <v>3.5</v>
      </c>
      <c r="AC580" s="85" t="s">
        <v>751</v>
      </c>
      <c r="AD580" s="47">
        <f t="shared" si="311"/>
        <v>41791.666666666664</v>
      </c>
      <c r="AE580" s="140"/>
      <c r="AF580" s="113">
        <f t="shared" si="299"/>
        <v>0</v>
      </c>
      <c r="AG580" s="106">
        <v>2022</v>
      </c>
      <c r="AH580" s="26" t="str">
        <f t="shared" si="289"/>
        <v>Overlay - 2"</v>
      </c>
      <c r="AI580" s="26" t="str">
        <f t="shared" si="305"/>
        <v/>
      </c>
      <c r="AJ580" s="26" t="str">
        <f t="shared" si="308"/>
        <v/>
      </c>
      <c r="AK580" s="26" t="str">
        <f t="shared" si="310"/>
        <v/>
      </c>
      <c r="AL580" s="26" t="str">
        <f t="shared" si="310"/>
        <v/>
      </c>
      <c r="AM580" s="26" t="str">
        <f t="shared" si="310"/>
        <v/>
      </c>
      <c r="AN580" s="26" t="str">
        <f t="shared" si="298"/>
        <v>Overlay - 2"</v>
      </c>
      <c r="AO580" s="26" t="str">
        <f t="shared" si="309"/>
        <v/>
      </c>
      <c r="AP580" s="26" t="str">
        <f t="shared" si="291"/>
        <v>Overlay - 2"</v>
      </c>
      <c r="AQ580" s="68">
        <f t="shared" si="303"/>
        <v>14</v>
      </c>
      <c r="AR580" s="68">
        <f t="shared" si="304"/>
        <v>12</v>
      </c>
      <c r="AS580" s="68">
        <f t="shared" si="292"/>
        <v>1.05</v>
      </c>
      <c r="AT580" s="68">
        <f t="shared" si="293"/>
        <v>1.05</v>
      </c>
      <c r="AU580" s="68">
        <f t="shared" si="294"/>
        <v>1.05</v>
      </c>
      <c r="AV580" s="68">
        <f t="shared" si="295"/>
        <v>1</v>
      </c>
      <c r="AW580" s="68">
        <f t="shared" si="296"/>
        <v>1</v>
      </c>
      <c r="AX580" s="68">
        <f t="shared" ca="1" si="297"/>
        <v>-2.1</v>
      </c>
      <c r="AY580" s="68">
        <v>2022</v>
      </c>
      <c r="AZ580" s="68" t="s">
        <v>751</v>
      </c>
      <c r="BA580" s="106" t="str">
        <f t="shared" si="312"/>
        <v/>
      </c>
      <c r="BB580" s="178"/>
      <c r="BC580" s="178">
        <v>6</v>
      </c>
      <c r="BD580" s="178"/>
      <c r="BE580" s="178"/>
      <c r="BF580" s="178"/>
      <c r="BG580" s="178"/>
      <c r="BH580" s="178"/>
      <c r="BI580" s="33"/>
      <c r="BK580" s="48">
        <f>$G580/5280*VLOOKUP($AC580,'Cost and Score'!$B$27:$O$40,6,0)</f>
        <v>0.85482954545454548</v>
      </c>
      <c r="BL580" s="48">
        <f>$G580/5280*VLOOKUP($AC580,'Cost and Score'!$B$27:$O$40,7,0)</f>
        <v>79.784090909090907</v>
      </c>
      <c r="BM580" s="48">
        <f>$G580/5280*VLOOKUP($AC580,'Cost and Score'!$B$27:$O$40,8,0)</f>
        <v>132.97348484848484</v>
      </c>
      <c r="BN580" s="48">
        <f>$G580/5280*VLOOKUP($AC580,'Cost and Score'!$B$27:$O$40,9,0)</f>
        <v>0</v>
      </c>
      <c r="BO580" s="48">
        <f>$G580/5280*VLOOKUP($AC580,'Cost and Score'!$B$27:$O$40,10,0)</f>
        <v>0</v>
      </c>
      <c r="BP580" s="48">
        <f>$G580/5280*VLOOKUP($AC580,'Cost and Score'!$B$27:$O$40,11,0)</f>
        <v>75.984848484848484</v>
      </c>
      <c r="BQ580" s="48">
        <f>$G580/5280*VLOOKUP($AC580,'Cost and Score'!$B$27:$O$40,12,0)</f>
        <v>645.87121212121212</v>
      </c>
      <c r="BR580" s="48">
        <f>$G580/5280*VLOOKUP($AC580,'Cost and Score'!$B$27:$O$40,13,0)</f>
        <v>0</v>
      </c>
      <c r="BS580" s="48">
        <f>$G580/5280*VLOOKUP($AC580,'Cost and Score'!$B$27:$O$40,14,0)</f>
        <v>0</v>
      </c>
      <c r="BT580" s="220">
        <f t="shared" si="313"/>
        <v>0.37992424242424244</v>
      </c>
    </row>
    <row r="581" spans="1:103" s="2" customFormat="1" ht="14.45" hidden="1" customHeight="1" x14ac:dyDescent="0.25">
      <c r="A581" s="36" t="s">
        <v>1222</v>
      </c>
      <c r="B581" s="34" t="s">
        <v>1221</v>
      </c>
      <c r="C581" s="85" t="s">
        <v>1221</v>
      </c>
      <c r="D581" s="85"/>
      <c r="E581" s="85" t="s">
        <v>99</v>
      </c>
      <c r="F581" s="85" t="s">
        <v>104</v>
      </c>
      <c r="G581" s="29">
        <v>5330</v>
      </c>
      <c r="H581" s="29">
        <f t="shared" si="300"/>
        <v>20</v>
      </c>
      <c r="I581" s="85" t="s">
        <v>8</v>
      </c>
      <c r="J581" s="85" t="s">
        <v>160</v>
      </c>
      <c r="K581" s="85">
        <f t="shared" si="307"/>
        <v>0</v>
      </c>
      <c r="L581" s="74">
        <v>8</v>
      </c>
      <c r="M581" s="74">
        <v>7</v>
      </c>
      <c r="N581" s="74">
        <v>7</v>
      </c>
      <c r="O581" s="74">
        <v>7</v>
      </c>
      <c r="P581" s="74">
        <v>7</v>
      </c>
      <c r="Q581" s="74">
        <v>6</v>
      </c>
      <c r="R581" s="74">
        <v>6</v>
      </c>
      <c r="S581" s="74">
        <v>7</v>
      </c>
      <c r="T581" s="74">
        <v>6</v>
      </c>
      <c r="U581" s="74">
        <v>8</v>
      </c>
      <c r="V581" s="74">
        <v>2022</v>
      </c>
      <c r="W581" s="74"/>
      <c r="X581" s="74" t="s">
        <v>2612</v>
      </c>
      <c r="Y581" s="85">
        <v>3749</v>
      </c>
      <c r="Z581" s="85">
        <f t="shared" si="301"/>
        <v>1.5</v>
      </c>
      <c r="AA581" s="85" t="s">
        <v>138</v>
      </c>
      <c r="AB581" s="111">
        <f t="shared" si="302"/>
        <v>4.5</v>
      </c>
      <c r="AC581" s="85" t="s">
        <v>751</v>
      </c>
      <c r="AD581" s="47">
        <f t="shared" si="311"/>
        <v>111041.66666666667</v>
      </c>
      <c r="AE581" s="140">
        <v>1</v>
      </c>
      <c r="AF581" s="113">
        <f t="shared" si="299"/>
        <v>111041.66666666667</v>
      </c>
      <c r="AG581" s="26">
        <v>2022</v>
      </c>
      <c r="AH581" s="26" t="str">
        <f t="shared" si="289"/>
        <v>Overlay - 2"</v>
      </c>
      <c r="AI581" s="26" t="str">
        <f t="shared" si="305"/>
        <v/>
      </c>
      <c r="AJ581" s="26" t="str">
        <f t="shared" si="308"/>
        <v/>
      </c>
      <c r="AK581" s="26" t="str">
        <f t="shared" si="310"/>
        <v/>
      </c>
      <c r="AL581" s="26" t="str">
        <f t="shared" si="310"/>
        <v/>
      </c>
      <c r="AM581" s="26" t="str">
        <f t="shared" si="310"/>
        <v/>
      </c>
      <c r="AN581" s="26" t="str">
        <f t="shared" si="298"/>
        <v>Overlay - 2"</v>
      </c>
      <c r="AO581" s="26" t="str">
        <f t="shared" si="309"/>
        <v/>
      </c>
      <c r="AP581" s="26" t="str">
        <f t="shared" si="291"/>
        <v>Overlay - 2"</v>
      </c>
      <c r="AQ581" s="68">
        <f t="shared" si="303"/>
        <v>10</v>
      </c>
      <c r="AR581" s="68">
        <f t="shared" si="304"/>
        <v>12</v>
      </c>
      <c r="AS581" s="68">
        <f t="shared" si="292"/>
        <v>1</v>
      </c>
      <c r="AT581" s="68">
        <f t="shared" si="293"/>
        <v>1.05</v>
      </c>
      <c r="AU581" s="68">
        <f t="shared" si="294"/>
        <v>1.05</v>
      </c>
      <c r="AV581" s="68">
        <f t="shared" si="295"/>
        <v>1.05</v>
      </c>
      <c r="AW581" s="68">
        <f t="shared" si="296"/>
        <v>1.05</v>
      </c>
      <c r="AX581" s="68">
        <f t="shared" ca="1" si="297"/>
        <v>-2.1</v>
      </c>
      <c r="AY581" s="68">
        <v>2022</v>
      </c>
      <c r="AZ581" s="68" t="s">
        <v>751</v>
      </c>
      <c r="BA581" s="106" t="str">
        <f t="shared" si="312"/>
        <v/>
      </c>
      <c r="BB581" s="178"/>
      <c r="BC581" s="178">
        <v>8</v>
      </c>
      <c r="BD581" s="178"/>
      <c r="BE581" s="178"/>
      <c r="BF581" s="178"/>
      <c r="BG581" s="178"/>
      <c r="BH581" s="178"/>
      <c r="BI581" s="33"/>
      <c r="BK581" s="48">
        <f>$G581/5280*VLOOKUP($AC581,'Cost and Score'!$B$27:$O$40,6,0)</f>
        <v>2.2713068181818183</v>
      </c>
      <c r="BL581" s="48">
        <f>$G581/5280*VLOOKUP($AC581,'Cost and Score'!$B$27:$O$40,7,0)</f>
        <v>211.98863636363637</v>
      </c>
      <c r="BM581" s="48">
        <f>$G581/5280*VLOOKUP($AC581,'Cost and Score'!$B$27:$O$40,8,0)</f>
        <v>353.31439393939394</v>
      </c>
      <c r="BN581" s="48">
        <f>$G581/5280*VLOOKUP($AC581,'Cost and Score'!$B$27:$O$40,9,0)</f>
        <v>0</v>
      </c>
      <c r="BO581" s="48">
        <f>$G581/5280*VLOOKUP($AC581,'Cost and Score'!$B$27:$O$40,10,0)</f>
        <v>0</v>
      </c>
      <c r="BP581" s="48">
        <f>$G581/5280*VLOOKUP($AC581,'Cost and Score'!$B$27:$O$40,11,0)</f>
        <v>201.89393939393941</v>
      </c>
      <c r="BQ581" s="48">
        <f>$G581/5280*VLOOKUP($AC581,'Cost and Score'!$B$27:$O$40,12,0)</f>
        <v>1716.098484848485</v>
      </c>
      <c r="BR581" s="48">
        <f>$G581/5280*VLOOKUP($AC581,'Cost and Score'!$B$27:$O$40,13,0)</f>
        <v>0</v>
      </c>
      <c r="BS581" s="48">
        <f>$G581/5280*VLOOKUP($AC581,'Cost and Score'!$B$27:$O$40,14,0)</f>
        <v>0</v>
      </c>
      <c r="BT581" s="220">
        <f t="shared" si="313"/>
        <v>1.009469696969697</v>
      </c>
      <c r="CW581" s="112"/>
      <c r="CX581" s="112"/>
      <c r="CY581" s="112"/>
    </row>
    <row r="582" spans="1:103" s="2" customFormat="1" ht="14.45" customHeight="1" x14ac:dyDescent="0.25">
      <c r="A582" s="31" t="s">
        <v>2102</v>
      </c>
      <c r="B582" s="120" t="s">
        <v>1716</v>
      </c>
      <c r="C582" s="106" t="s">
        <v>1716</v>
      </c>
      <c r="D582" s="116" t="s">
        <v>2232</v>
      </c>
      <c r="E582" s="106" t="s">
        <v>1580</v>
      </c>
      <c r="F582" s="106" t="s">
        <v>1553</v>
      </c>
      <c r="G582" s="109">
        <v>422</v>
      </c>
      <c r="H582" s="109">
        <f t="shared" si="300"/>
        <v>26</v>
      </c>
      <c r="I582" s="106" t="s">
        <v>2098</v>
      </c>
      <c r="J582" s="106" t="s">
        <v>101</v>
      </c>
      <c r="K582" s="106">
        <v>0</v>
      </c>
      <c r="L582" s="110">
        <v>7</v>
      </c>
      <c r="M582" s="110">
        <v>7</v>
      </c>
      <c r="N582" s="110">
        <v>7</v>
      </c>
      <c r="O582" s="110">
        <v>7</v>
      </c>
      <c r="P582" s="110">
        <v>7</v>
      </c>
      <c r="Q582" s="110">
        <v>7</v>
      </c>
      <c r="R582" s="110">
        <v>7</v>
      </c>
      <c r="S582" s="110">
        <v>7</v>
      </c>
      <c r="T582" s="110">
        <v>7</v>
      </c>
      <c r="U582" s="110">
        <v>7</v>
      </c>
      <c r="V582" s="110"/>
      <c r="W582" s="110"/>
      <c r="X582" s="110"/>
      <c r="Y582" s="106">
        <v>50</v>
      </c>
      <c r="Z582" s="106">
        <f t="shared" si="301"/>
        <v>0</v>
      </c>
      <c r="AA582" s="106" t="s">
        <v>1716</v>
      </c>
      <c r="AB582" s="111">
        <f t="shared" si="302"/>
        <v>3</v>
      </c>
      <c r="AC582" s="85" t="s">
        <v>13</v>
      </c>
      <c r="AD582" s="107">
        <f t="shared" si="311"/>
        <v>1678.409090909091</v>
      </c>
      <c r="AE582" s="140"/>
      <c r="AF582" s="113">
        <f t="shared" si="299"/>
        <v>0</v>
      </c>
      <c r="AG582" s="85">
        <v>2025</v>
      </c>
      <c r="AH582" s="26" t="str">
        <f t="shared" si="289"/>
        <v/>
      </c>
      <c r="AI582" s="26" t="str">
        <f t="shared" si="305"/>
        <v/>
      </c>
      <c r="AJ582" s="26" t="str">
        <f t="shared" si="308"/>
        <v/>
      </c>
      <c r="AK582" s="26" t="str">
        <f t="shared" si="310"/>
        <v>Chip Seal and Fog</v>
      </c>
      <c r="AL582" s="26" t="str">
        <f t="shared" si="310"/>
        <v/>
      </c>
      <c r="AM582" s="26" t="str">
        <f t="shared" si="310"/>
        <v/>
      </c>
      <c r="AN582" s="26" t="str">
        <f t="shared" si="298"/>
        <v>Chip Seal and Fog</v>
      </c>
      <c r="AO582" s="26" t="str">
        <f t="shared" si="309"/>
        <v/>
      </c>
      <c r="AP582" s="26" t="str">
        <f t="shared" si="291"/>
        <v/>
      </c>
      <c r="AQ582" s="68">
        <f t="shared" si="303"/>
        <v>10</v>
      </c>
      <c r="AR582" s="68">
        <f t="shared" si="304"/>
        <v>6</v>
      </c>
      <c r="AS582" s="68">
        <f t="shared" si="292"/>
        <v>1.05</v>
      </c>
      <c r="AT582" s="68">
        <f t="shared" si="293"/>
        <v>1.05</v>
      </c>
      <c r="AU582" s="68">
        <f t="shared" si="294"/>
        <v>1.05</v>
      </c>
      <c r="AV582" s="68">
        <f t="shared" si="295"/>
        <v>1.05</v>
      </c>
      <c r="AW582" s="68">
        <f t="shared" si="296"/>
        <v>1.05</v>
      </c>
      <c r="AX582" s="68">
        <f t="shared" ca="1" si="297"/>
        <v>1.05</v>
      </c>
      <c r="AY582" s="106">
        <v>2018</v>
      </c>
      <c r="AZ582" s="106" t="s">
        <v>2075</v>
      </c>
      <c r="BA582" s="106" t="str">
        <f t="shared" si="312"/>
        <v>CRACK</v>
      </c>
      <c r="BB582" s="177"/>
      <c r="BC582" s="177"/>
      <c r="BD582" s="177"/>
      <c r="BE582" s="177"/>
      <c r="BF582" s="177"/>
      <c r="BG582" s="177"/>
      <c r="BH582" s="177"/>
      <c r="BI582" s="33"/>
      <c r="BK582" s="48">
        <f>$G582/5280*VLOOKUP($AC582,'Cost and Score'!$B$27:$O$40,6,0)</f>
        <v>1.5984848484848487E-2</v>
      </c>
      <c r="BL582" s="48">
        <f>$G582/5280*VLOOKUP($AC582,'Cost and Score'!$B$27:$O$40,7,0)</f>
        <v>1.7583333333333333</v>
      </c>
      <c r="BM582" s="48">
        <f>$G582/5280*VLOOKUP($AC582,'Cost and Score'!$B$27:$O$40,8,0)</f>
        <v>0</v>
      </c>
      <c r="BN582" s="48">
        <f>$G582/5280*VLOOKUP($AC582,'Cost and Score'!$B$27:$O$40,9,0)</f>
        <v>359.65909090909093</v>
      </c>
      <c r="BO582" s="48">
        <f>$G582/5280*VLOOKUP($AC582,'Cost and Score'!$B$27:$O$40,10,0)</f>
        <v>79.924242424242422</v>
      </c>
      <c r="BP582" s="48">
        <f>$G582/5280*VLOOKUP($AC582,'Cost and Score'!$B$27:$O$40,11,0)</f>
        <v>0</v>
      </c>
      <c r="BQ582" s="48">
        <f>$G582/5280*VLOOKUP($AC582,'Cost and Score'!$B$27:$O$40,12,0)</f>
        <v>7.9924242424242422</v>
      </c>
      <c r="BR582" s="48">
        <f>$G582/5280*VLOOKUP($AC582,'Cost and Score'!$B$27:$O$40,13,0)</f>
        <v>9.5909090909090917</v>
      </c>
      <c r="BS582" s="48">
        <f>$G582/5280*VLOOKUP($AC582,'Cost and Score'!$B$27:$O$40,14,0)</f>
        <v>0</v>
      </c>
      <c r="BT582" s="220">
        <f t="shared" si="313"/>
        <v>7.9924242424242425E-2</v>
      </c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S582" s="112"/>
      <c r="CT582" s="112"/>
      <c r="CU582" s="112"/>
      <c r="CV582" s="112"/>
    </row>
    <row r="583" spans="1:103" s="2" customFormat="1" ht="14.45" hidden="1" customHeight="1" x14ac:dyDescent="0.25">
      <c r="A583" s="38" t="s">
        <v>1226</v>
      </c>
      <c r="B583" s="108" t="s">
        <v>1225</v>
      </c>
      <c r="C583" s="106" t="s">
        <v>1225</v>
      </c>
      <c r="D583" s="106"/>
      <c r="E583" s="106" t="s">
        <v>104</v>
      </c>
      <c r="F583" s="106" t="s">
        <v>203</v>
      </c>
      <c r="G583" s="109">
        <v>4180</v>
      </c>
      <c r="H583" s="109">
        <f t="shared" si="300"/>
        <v>20</v>
      </c>
      <c r="I583" s="106" t="s">
        <v>13</v>
      </c>
      <c r="J583" s="106" t="s">
        <v>160</v>
      </c>
      <c r="K583" s="106">
        <f t="shared" ref="K583:K589" si="314">VLOOKUP(J583,TOWNSHIPS,2,FALSE)</f>
        <v>0</v>
      </c>
      <c r="L583" s="110">
        <v>7</v>
      </c>
      <c r="M583" s="110">
        <v>6</v>
      </c>
      <c r="N583" s="110">
        <v>6</v>
      </c>
      <c r="O583" s="110">
        <v>6</v>
      </c>
      <c r="P583" s="110">
        <v>6</v>
      </c>
      <c r="Q583" s="110">
        <v>8</v>
      </c>
      <c r="R583" s="110">
        <v>7</v>
      </c>
      <c r="S583" s="110">
        <v>7</v>
      </c>
      <c r="T583" s="110">
        <v>7</v>
      </c>
      <c r="U583" s="110">
        <v>7</v>
      </c>
      <c r="V583" s="110">
        <v>2024</v>
      </c>
      <c r="W583" s="110">
        <v>2018</v>
      </c>
      <c r="X583" s="110" t="s">
        <v>2612</v>
      </c>
      <c r="Y583" s="106">
        <v>3051</v>
      </c>
      <c r="Z583" s="106">
        <f t="shared" si="301"/>
        <v>1.5</v>
      </c>
      <c r="AA583" s="106" t="s">
        <v>138</v>
      </c>
      <c r="AB583" s="111">
        <f t="shared" si="302"/>
        <v>5.5</v>
      </c>
      <c r="AC583" s="85" t="s">
        <v>751</v>
      </c>
      <c r="AD583" s="107">
        <f t="shared" si="311"/>
        <v>87083.333333333328</v>
      </c>
      <c r="AE583" s="140">
        <v>1</v>
      </c>
      <c r="AF583" s="113">
        <f t="shared" si="299"/>
        <v>87083.333333333328</v>
      </c>
      <c r="AG583" s="85">
        <v>2024</v>
      </c>
      <c r="AH583" s="26" t="str">
        <f t="shared" si="289"/>
        <v/>
      </c>
      <c r="AI583" s="26" t="str">
        <f t="shared" si="305"/>
        <v/>
      </c>
      <c r="AJ583" s="26" t="str">
        <f t="shared" si="308"/>
        <v>Overlay - 2"</v>
      </c>
      <c r="AK583" s="26" t="str">
        <f t="shared" si="310"/>
        <v/>
      </c>
      <c r="AL583" s="26" t="str">
        <f t="shared" si="310"/>
        <v/>
      </c>
      <c r="AM583" s="26" t="str">
        <f t="shared" si="310"/>
        <v/>
      </c>
      <c r="AN583" s="26" t="str">
        <f t="shared" si="298"/>
        <v>Overlay - 2"</v>
      </c>
      <c r="AO583" s="26" t="str">
        <f t="shared" si="309"/>
        <v/>
      </c>
      <c r="AP583" s="26" t="str">
        <f t="shared" si="291"/>
        <v/>
      </c>
      <c r="AQ583" s="68">
        <f t="shared" si="303"/>
        <v>8</v>
      </c>
      <c r="AR583" s="68">
        <f t="shared" si="304"/>
        <v>12</v>
      </c>
      <c r="AS583" s="68">
        <f t="shared" si="292"/>
        <v>1.05</v>
      </c>
      <c r="AT583" s="68">
        <f t="shared" si="293"/>
        <v>1.1000000000000001</v>
      </c>
      <c r="AU583" s="68">
        <f t="shared" si="294"/>
        <v>1.1000000000000001</v>
      </c>
      <c r="AV583" s="68">
        <f t="shared" si="295"/>
        <v>1.1000000000000001</v>
      </c>
      <c r="AW583" s="68">
        <f t="shared" si="296"/>
        <v>1.1000000000000001</v>
      </c>
      <c r="AX583" s="68">
        <f t="shared" ca="1" si="297"/>
        <v>0</v>
      </c>
      <c r="AY583" s="106">
        <v>2018</v>
      </c>
      <c r="AZ583" s="106" t="s">
        <v>2075</v>
      </c>
      <c r="BA583" s="106" t="str">
        <f t="shared" si="312"/>
        <v>CRACK</v>
      </c>
      <c r="BB583" s="177"/>
      <c r="BC583" s="177">
        <v>8</v>
      </c>
      <c r="BD583" s="177"/>
      <c r="BE583" s="177"/>
      <c r="BF583" s="177"/>
      <c r="BG583" s="177"/>
      <c r="BH583" s="177"/>
      <c r="BI583" s="33"/>
      <c r="BK583" s="48">
        <f>$G583/5280*VLOOKUP($AC583,'Cost and Score'!$B$27:$O$40,6,0)</f>
        <v>1.78125</v>
      </c>
      <c r="BL583" s="48">
        <f>$G583/5280*VLOOKUP($AC583,'Cost and Score'!$B$27:$O$40,7,0)</f>
        <v>166.25</v>
      </c>
      <c r="BM583" s="48">
        <f>$G583/5280*VLOOKUP($AC583,'Cost and Score'!$B$27:$O$40,8,0)</f>
        <v>277.08333333333331</v>
      </c>
      <c r="BN583" s="48">
        <f>$G583/5280*VLOOKUP($AC583,'Cost and Score'!$B$27:$O$40,9,0)</f>
        <v>0</v>
      </c>
      <c r="BO583" s="48">
        <f>$G583/5280*VLOOKUP($AC583,'Cost and Score'!$B$27:$O$40,10,0)</f>
        <v>0</v>
      </c>
      <c r="BP583" s="48">
        <f>$G583/5280*VLOOKUP($AC583,'Cost and Score'!$B$27:$O$40,11,0)</f>
        <v>158.33333333333331</v>
      </c>
      <c r="BQ583" s="48">
        <f>$G583/5280*VLOOKUP($AC583,'Cost and Score'!$B$27:$O$40,12,0)</f>
        <v>1345.8333333333333</v>
      </c>
      <c r="BR583" s="48">
        <f>$G583/5280*VLOOKUP($AC583,'Cost and Score'!$B$27:$O$40,13,0)</f>
        <v>0</v>
      </c>
      <c r="BS583" s="48">
        <f>$G583/5280*VLOOKUP($AC583,'Cost and Score'!$B$27:$O$40,14,0)</f>
        <v>0</v>
      </c>
      <c r="BT583" s="220">
        <f t="shared" si="313"/>
        <v>0.79166666666666663</v>
      </c>
      <c r="CF583" s="112"/>
      <c r="CW583" s="112"/>
      <c r="CX583" s="112"/>
      <c r="CY583" s="112"/>
    </row>
    <row r="584" spans="1:103" s="112" customFormat="1" ht="14.45" hidden="1" customHeight="1" x14ac:dyDescent="0.25">
      <c r="A584" s="38" t="s">
        <v>1228</v>
      </c>
      <c r="B584" s="34" t="s">
        <v>1227</v>
      </c>
      <c r="C584" s="26" t="s">
        <v>1227</v>
      </c>
      <c r="D584" s="26"/>
      <c r="E584" s="26" t="s">
        <v>197</v>
      </c>
      <c r="F584" s="26" t="s">
        <v>24</v>
      </c>
      <c r="G584" s="29">
        <v>2587</v>
      </c>
      <c r="H584" s="29">
        <f t="shared" si="300"/>
        <v>20</v>
      </c>
      <c r="I584" s="26" t="s">
        <v>8</v>
      </c>
      <c r="J584" s="26" t="s">
        <v>125</v>
      </c>
      <c r="K584" s="26">
        <f t="shared" si="314"/>
        <v>0</v>
      </c>
      <c r="L584" s="42">
        <v>7</v>
      </c>
      <c r="M584" s="42">
        <v>7</v>
      </c>
      <c r="N584" s="42">
        <v>10</v>
      </c>
      <c r="O584" s="42">
        <v>9</v>
      </c>
      <c r="P584" s="42">
        <v>8</v>
      </c>
      <c r="Q584" s="42">
        <v>7</v>
      </c>
      <c r="R584" s="42">
        <v>7</v>
      </c>
      <c r="S584" s="42">
        <v>6</v>
      </c>
      <c r="T584" s="42">
        <v>6</v>
      </c>
      <c r="U584" s="42">
        <v>8</v>
      </c>
      <c r="V584" s="42">
        <v>2022</v>
      </c>
      <c r="W584" s="42"/>
      <c r="X584" s="42" t="s">
        <v>2612</v>
      </c>
      <c r="Y584" s="26">
        <v>2833</v>
      </c>
      <c r="Z584" s="26">
        <f t="shared" si="301"/>
        <v>1.5</v>
      </c>
      <c r="AA584" s="26" t="s">
        <v>138</v>
      </c>
      <c r="AB584" s="111">
        <f t="shared" si="302"/>
        <v>3.5</v>
      </c>
      <c r="AC584" s="26" t="s">
        <v>751</v>
      </c>
      <c r="AD584" s="47">
        <f t="shared" si="311"/>
        <v>53895.833333333336</v>
      </c>
      <c r="AE584" s="140"/>
      <c r="AF584" s="113">
        <f t="shared" si="299"/>
        <v>0</v>
      </c>
      <c r="AG584" s="26">
        <v>2022</v>
      </c>
      <c r="AH584" s="26" t="str">
        <f t="shared" si="289"/>
        <v>Overlay - 2"</v>
      </c>
      <c r="AI584" s="26" t="str">
        <f t="shared" si="305"/>
        <v/>
      </c>
      <c r="AJ584" s="26" t="str">
        <f t="shared" si="308"/>
        <v/>
      </c>
      <c r="AK584" s="26" t="str">
        <f t="shared" si="310"/>
        <v/>
      </c>
      <c r="AL584" s="26" t="str">
        <f t="shared" si="310"/>
        <v/>
      </c>
      <c r="AM584" s="26" t="str">
        <f t="shared" si="310"/>
        <v/>
      </c>
      <c r="AN584" s="26" t="str">
        <f t="shared" si="298"/>
        <v>Overlay - 2"</v>
      </c>
      <c r="AO584" s="26" t="str">
        <f t="shared" si="309"/>
        <v/>
      </c>
      <c r="AP584" s="26" t="str">
        <f t="shared" si="291"/>
        <v>Overlay - 2"</v>
      </c>
      <c r="AQ584" s="68">
        <f t="shared" si="303"/>
        <v>14</v>
      </c>
      <c r="AR584" s="68">
        <f t="shared" si="304"/>
        <v>12</v>
      </c>
      <c r="AS584" s="68">
        <f t="shared" si="292"/>
        <v>1.05</v>
      </c>
      <c r="AT584" s="68">
        <f t="shared" si="293"/>
        <v>1.05</v>
      </c>
      <c r="AU584" s="68">
        <f t="shared" si="294"/>
        <v>1</v>
      </c>
      <c r="AV584" s="68">
        <f t="shared" si="295"/>
        <v>1</v>
      </c>
      <c r="AW584" s="68">
        <f t="shared" si="296"/>
        <v>1</v>
      </c>
      <c r="AX584" s="68">
        <f t="shared" ca="1" si="297"/>
        <v>-2</v>
      </c>
      <c r="AY584" s="68">
        <v>2022</v>
      </c>
      <c r="AZ584" s="68" t="s">
        <v>751</v>
      </c>
      <c r="BA584" s="106" t="str">
        <f t="shared" si="312"/>
        <v/>
      </c>
      <c r="BB584" s="178"/>
      <c r="BC584" s="178">
        <v>2</v>
      </c>
      <c r="BD584" s="178"/>
      <c r="BE584" s="178"/>
      <c r="BF584" s="178"/>
      <c r="BG584" s="178"/>
      <c r="BH584" s="178"/>
      <c r="BI584" s="33"/>
      <c r="BJ584" s="2"/>
      <c r="BK584" s="48">
        <f>$G584/5280*VLOOKUP($AC584,'Cost and Score'!$B$27:$O$40,6,0)</f>
        <v>1.1024147727272728</v>
      </c>
      <c r="BL584" s="48">
        <f>$G584/5280*VLOOKUP($AC584,'Cost and Score'!$B$27:$O$40,7,0)</f>
        <v>102.89204545454545</v>
      </c>
      <c r="BM584" s="48">
        <f>$G584/5280*VLOOKUP($AC584,'Cost and Score'!$B$27:$O$40,8,0)</f>
        <v>171.48674242424244</v>
      </c>
      <c r="BN584" s="48">
        <f>$G584/5280*VLOOKUP($AC584,'Cost and Score'!$B$27:$O$40,9,0)</f>
        <v>0</v>
      </c>
      <c r="BO584" s="48">
        <f>$G584/5280*VLOOKUP($AC584,'Cost and Score'!$B$27:$O$40,10,0)</f>
        <v>0</v>
      </c>
      <c r="BP584" s="48">
        <f>$G584/5280*VLOOKUP($AC584,'Cost and Score'!$B$27:$O$40,11,0)</f>
        <v>97.992424242424249</v>
      </c>
      <c r="BQ584" s="48">
        <f>$G584/5280*VLOOKUP($AC584,'Cost and Score'!$B$27:$O$40,12,0)</f>
        <v>832.93560606060612</v>
      </c>
      <c r="BR584" s="48">
        <f>$G584/5280*VLOOKUP($AC584,'Cost and Score'!$B$27:$O$40,13,0)</f>
        <v>0</v>
      </c>
      <c r="BS584" s="48">
        <f>$G584/5280*VLOOKUP($AC584,'Cost and Score'!$B$27:$O$40,14,0)</f>
        <v>0</v>
      </c>
      <c r="BT584" s="220">
        <f t="shared" si="313"/>
        <v>0.48996212121212124</v>
      </c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N584" s="2"/>
      <c r="CO584" s="2"/>
      <c r="CP584" s="2"/>
      <c r="CQ584" s="2"/>
      <c r="CR584" s="2"/>
      <c r="CV584" s="2"/>
      <c r="CW584" s="2"/>
      <c r="CX584" s="2"/>
      <c r="CY584" s="2"/>
    </row>
    <row r="585" spans="1:103" s="2" customFormat="1" ht="14.45" hidden="1" customHeight="1" x14ac:dyDescent="0.25">
      <c r="A585" s="38" t="s">
        <v>1230</v>
      </c>
      <c r="B585" s="34" t="s">
        <v>1229</v>
      </c>
      <c r="C585" s="26" t="s">
        <v>1229</v>
      </c>
      <c r="D585" s="26"/>
      <c r="E585" s="26" t="s">
        <v>24</v>
      </c>
      <c r="F585" s="26" t="s">
        <v>25</v>
      </c>
      <c r="G585" s="29">
        <v>2745</v>
      </c>
      <c r="H585" s="29">
        <f t="shared" si="300"/>
        <v>20</v>
      </c>
      <c r="I585" s="26" t="s">
        <v>8</v>
      </c>
      <c r="J585" s="26" t="s">
        <v>125</v>
      </c>
      <c r="K585" s="26">
        <f t="shared" si="314"/>
        <v>0</v>
      </c>
      <c r="L585" s="42">
        <v>7</v>
      </c>
      <c r="M585" s="42">
        <v>7</v>
      </c>
      <c r="N585" s="42">
        <v>7</v>
      </c>
      <c r="O585" s="42">
        <v>9</v>
      </c>
      <c r="P585" s="42">
        <v>8</v>
      </c>
      <c r="Q585" s="42">
        <v>7</v>
      </c>
      <c r="R585" s="42">
        <v>7</v>
      </c>
      <c r="S585" s="42">
        <v>6</v>
      </c>
      <c r="T585" s="42">
        <v>6</v>
      </c>
      <c r="U585" s="42">
        <v>8</v>
      </c>
      <c r="V585" s="42">
        <v>2022</v>
      </c>
      <c r="W585" s="42"/>
      <c r="X585" s="42" t="s">
        <v>2612</v>
      </c>
      <c r="Y585" s="26">
        <v>2531</v>
      </c>
      <c r="Z585" s="26">
        <f t="shared" si="301"/>
        <v>1.5</v>
      </c>
      <c r="AA585" s="26" t="s">
        <v>138</v>
      </c>
      <c r="AB585" s="111">
        <f t="shared" si="302"/>
        <v>3.5</v>
      </c>
      <c r="AC585" s="26" t="s">
        <v>751</v>
      </c>
      <c r="AD585" s="47">
        <f t="shared" si="311"/>
        <v>57187.5</v>
      </c>
      <c r="AE585" s="140"/>
      <c r="AF585" s="113">
        <f t="shared" si="299"/>
        <v>0</v>
      </c>
      <c r="AG585" s="26">
        <v>2022</v>
      </c>
      <c r="AH585" s="26" t="str">
        <f t="shared" si="289"/>
        <v>Overlay - 2"</v>
      </c>
      <c r="AI585" s="26" t="str">
        <f t="shared" si="305"/>
        <v/>
      </c>
      <c r="AJ585" s="26" t="str">
        <f t="shared" si="308"/>
        <v/>
      </c>
      <c r="AK585" s="26" t="str">
        <f t="shared" si="310"/>
        <v/>
      </c>
      <c r="AL585" s="26" t="str">
        <f t="shared" si="310"/>
        <v/>
      </c>
      <c r="AM585" s="26" t="str">
        <f t="shared" si="310"/>
        <v/>
      </c>
      <c r="AN585" s="26" t="str">
        <f t="shared" si="298"/>
        <v>Overlay - 2"</v>
      </c>
      <c r="AO585" s="26" t="str">
        <f t="shared" si="309"/>
        <v/>
      </c>
      <c r="AP585" s="26" t="str">
        <f t="shared" si="291"/>
        <v>Overlay - 2"</v>
      </c>
      <c r="AQ585" s="68">
        <f t="shared" si="303"/>
        <v>14</v>
      </c>
      <c r="AR585" s="68">
        <f t="shared" si="304"/>
        <v>12</v>
      </c>
      <c r="AS585" s="68">
        <f t="shared" si="292"/>
        <v>1.05</v>
      </c>
      <c r="AT585" s="68">
        <f t="shared" si="293"/>
        <v>1.05</v>
      </c>
      <c r="AU585" s="68">
        <f t="shared" si="294"/>
        <v>1.05</v>
      </c>
      <c r="AV585" s="68">
        <f t="shared" si="295"/>
        <v>1</v>
      </c>
      <c r="AW585" s="68">
        <f t="shared" si="296"/>
        <v>1</v>
      </c>
      <c r="AX585" s="68">
        <f t="shared" ca="1" si="297"/>
        <v>-2.1</v>
      </c>
      <c r="AY585" s="68">
        <v>2022</v>
      </c>
      <c r="AZ585" s="68" t="s">
        <v>751</v>
      </c>
      <c r="BA585" s="106" t="str">
        <f t="shared" si="312"/>
        <v/>
      </c>
      <c r="BB585" s="178"/>
      <c r="BC585" s="178">
        <v>2</v>
      </c>
      <c r="BD585" s="178"/>
      <c r="BE585" s="178"/>
      <c r="BF585" s="178"/>
      <c r="BG585" s="178"/>
      <c r="BH585" s="178"/>
      <c r="BI585" s="33"/>
      <c r="BK585" s="48">
        <f>$G585/5280*VLOOKUP($AC585,'Cost and Score'!$B$27:$O$40,6,0)</f>
        <v>1.1697443181818181</v>
      </c>
      <c r="BL585" s="48">
        <f>$G585/5280*VLOOKUP($AC585,'Cost and Score'!$B$27:$O$40,7,0)</f>
        <v>109.17613636363636</v>
      </c>
      <c r="BM585" s="48">
        <f>$G585/5280*VLOOKUP($AC585,'Cost and Score'!$B$27:$O$40,8,0)</f>
        <v>181.96022727272728</v>
      </c>
      <c r="BN585" s="48">
        <f>$G585/5280*VLOOKUP($AC585,'Cost and Score'!$B$27:$O$40,9,0)</f>
        <v>0</v>
      </c>
      <c r="BO585" s="48">
        <f>$G585/5280*VLOOKUP($AC585,'Cost and Score'!$B$27:$O$40,10,0)</f>
        <v>0</v>
      </c>
      <c r="BP585" s="48">
        <f>$G585/5280*VLOOKUP($AC585,'Cost and Score'!$B$27:$O$40,11,0)</f>
        <v>103.97727272727273</v>
      </c>
      <c r="BQ585" s="48">
        <f>$G585/5280*VLOOKUP($AC585,'Cost and Score'!$B$27:$O$40,12,0)</f>
        <v>883.80681818181824</v>
      </c>
      <c r="BR585" s="48">
        <f>$G585/5280*VLOOKUP($AC585,'Cost and Score'!$B$27:$O$40,13,0)</f>
        <v>0</v>
      </c>
      <c r="BS585" s="48">
        <f>$G585/5280*VLOOKUP($AC585,'Cost and Score'!$B$27:$O$40,14,0)</f>
        <v>0</v>
      </c>
      <c r="BT585" s="220">
        <f t="shared" si="313"/>
        <v>0.51988636363636365</v>
      </c>
      <c r="CV585" s="112"/>
    </row>
    <row r="586" spans="1:103" s="2" customFormat="1" ht="14.45" hidden="1" customHeight="1" x14ac:dyDescent="0.25">
      <c r="A586" s="38" t="s">
        <v>1233</v>
      </c>
      <c r="B586" s="34" t="s">
        <v>1231</v>
      </c>
      <c r="C586" s="26" t="s">
        <v>1231</v>
      </c>
      <c r="D586" s="26"/>
      <c r="E586" s="26" t="s">
        <v>1232</v>
      </c>
      <c r="F586" s="26" t="s">
        <v>28</v>
      </c>
      <c r="G586" s="29">
        <v>4537</v>
      </c>
      <c r="H586" s="29">
        <f t="shared" si="300"/>
        <v>20</v>
      </c>
      <c r="I586" s="26" t="s">
        <v>8</v>
      </c>
      <c r="J586" s="26" t="s">
        <v>125</v>
      </c>
      <c r="K586" s="26">
        <f t="shared" si="314"/>
        <v>0</v>
      </c>
      <c r="L586" s="42">
        <v>7</v>
      </c>
      <c r="M586" s="42">
        <v>7</v>
      </c>
      <c r="N586" s="42">
        <v>7</v>
      </c>
      <c r="O586" s="42">
        <v>9</v>
      </c>
      <c r="P586" s="42">
        <v>8</v>
      </c>
      <c r="Q586" s="42">
        <v>7</v>
      </c>
      <c r="R586" s="42">
        <v>7</v>
      </c>
      <c r="S586" s="42">
        <v>7</v>
      </c>
      <c r="T586" s="42">
        <v>6</v>
      </c>
      <c r="U586" s="42">
        <v>7</v>
      </c>
      <c r="V586" s="42">
        <v>2022</v>
      </c>
      <c r="W586" s="42"/>
      <c r="X586" s="42" t="s">
        <v>2612</v>
      </c>
      <c r="Y586" s="26">
        <v>2590</v>
      </c>
      <c r="Z586" s="26">
        <f t="shared" si="301"/>
        <v>1.5</v>
      </c>
      <c r="AA586" s="26" t="s">
        <v>138</v>
      </c>
      <c r="AB586" s="111">
        <f t="shared" si="302"/>
        <v>3.5</v>
      </c>
      <c r="AC586" s="26" t="s">
        <v>751</v>
      </c>
      <c r="AD586" s="47">
        <f t="shared" si="311"/>
        <v>94520.833333333328</v>
      </c>
      <c r="AE586" s="140"/>
      <c r="AF586" s="113">
        <f t="shared" si="299"/>
        <v>0</v>
      </c>
      <c r="AG586" s="26">
        <v>2022</v>
      </c>
      <c r="AH586" s="26" t="str">
        <f t="shared" si="289"/>
        <v>Overlay - 2"</v>
      </c>
      <c r="AI586" s="26" t="str">
        <f t="shared" si="305"/>
        <v/>
      </c>
      <c r="AJ586" s="26" t="str">
        <f t="shared" si="308"/>
        <v/>
      </c>
      <c r="AK586" s="26" t="str">
        <f t="shared" si="310"/>
        <v/>
      </c>
      <c r="AL586" s="26" t="str">
        <f t="shared" si="310"/>
        <v/>
      </c>
      <c r="AM586" s="26" t="str">
        <f t="shared" si="310"/>
        <v/>
      </c>
      <c r="AN586" s="26" t="str">
        <f t="shared" si="298"/>
        <v>Overlay - 2"</v>
      </c>
      <c r="AO586" s="26" t="str">
        <f t="shared" si="309"/>
        <v/>
      </c>
      <c r="AP586" s="26" t="str">
        <f t="shared" si="291"/>
        <v>Overlay - 2"</v>
      </c>
      <c r="AQ586" s="68">
        <f t="shared" si="303"/>
        <v>14</v>
      </c>
      <c r="AR586" s="68">
        <f t="shared" si="304"/>
        <v>12</v>
      </c>
      <c r="AS586" s="68">
        <f t="shared" si="292"/>
        <v>1.05</v>
      </c>
      <c r="AT586" s="68">
        <f t="shared" si="293"/>
        <v>1.05</v>
      </c>
      <c r="AU586" s="68">
        <f t="shared" si="294"/>
        <v>1.05</v>
      </c>
      <c r="AV586" s="68">
        <f t="shared" si="295"/>
        <v>1</v>
      </c>
      <c r="AW586" s="68">
        <f t="shared" si="296"/>
        <v>1</v>
      </c>
      <c r="AX586" s="68">
        <f t="shared" ca="1" si="297"/>
        <v>-2.1</v>
      </c>
      <c r="AY586" s="68">
        <v>2022</v>
      </c>
      <c r="AZ586" s="68" t="s">
        <v>751</v>
      </c>
      <c r="BA586" s="106" t="str">
        <f t="shared" si="312"/>
        <v/>
      </c>
      <c r="BB586" s="178"/>
      <c r="BC586" s="178">
        <v>2</v>
      </c>
      <c r="BD586" s="178"/>
      <c r="BE586" s="178"/>
      <c r="BF586" s="178"/>
      <c r="BG586" s="178"/>
      <c r="BH586" s="178"/>
      <c r="BI586" s="33"/>
      <c r="BK586" s="48">
        <f>$G586/5280*VLOOKUP($AC586,'Cost and Score'!$B$27:$O$40,6,0)</f>
        <v>1.9333806818181818</v>
      </c>
      <c r="BL586" s="48">
        <f>$G586/5280*VLOOKUP($AC586,'Cost and Score'!$B$27:$O$40,7,0)</f>
        <v>180.44886363636363</v>
      </c>
      <c r="BM586" s="48">
        <f>$G586/5280*VLOOKUP($AC586,'Cost and Score'!$B$27:$O$40,8,0)</f>
        <v>300.74810606060606</v>
      </c>
      <c r="BN586" s="48">
        <f>$G586/5280*VLOOKUP($AC586,'Cost and Score'!$B$27:$O$40,9,0)</f>
        <v>0</v>
      </c>
      <c r="BO586" s="48">
        <f>$G586/5280*VLOOKUP($AC586,'Cost and Score'!$B$27:$O$40,10,0)</f>
        <v>0</v>
      </c>
      <c r="BP586" s="48">
        <f>$G586/5280*VLOOKUP($AC586,'Cost and Score'!$B$27:$O$40,11,0)</f>
        <v>171.85606060606059</v>
      </c>
      <c r="BQ586" s="48">
        <f>$G586/5280*VLOOKUP($AC586,'Cost and Score'!$B$27:$O$40,12,0)</f>
        <v>1460.776515151515</v>
      </c>
      <c r="BR586" s="48">
        <f>$G586/5280*VLOOKUP($AC586,'Cost and Score'!$B$27:$O$40,13,0)</f>
        <v>0</v>
      </c>
      <c r="BS586" s="48">
        <f>$G586/5280*VLOOKUP($AC586,'Cost and Score'!$B$27:$O$40,14,0)</f>
        <v>0</v>
      </c>
      <c r="BT586" s="220">
        <f t="shared" si="313"/>
        <v>0.85928030303030301</v>
      </c>
    </row>
    <row r="587" spans="1:103" s="2" customFormat="1" ht="14.45" customHeight="1" x14ac:dyDescent="0.25">
      <c r="A587" s="38" t="s">
        <v>2102</v>
      </c>
      <c r="B587" s="34" t="s">
        <v>1923</v>
      </c>
      <c r="C587" s="26" t="s">
        <v>1923</v>
      </c>
      <c r="D587" s="26"/>
      <c r="E587" s="26" t="s">
        <v>1421</v>
      </c>
      <c r="F587" s="26" t="s">
        <v>1418</v>
      </c>
      <c r="G587" s="29">
        <v>360</v>
      </c>
      <c r="H587" s="29">
        <f t="shared" si="300"/>
        <v>20</v>
      </c>
      <c r="I587" s="26" t="s">
        <v>8</v>
      </c>
      <c r="J587" s="26" t="s">
        <v>26</v>
      </c>
      <c r="K587" s="26">
        <f t="shared" si="314"/>
        <v>0</v>
      </c>
      <c r="L587" s="42">
        <v>6</v>
      </c>
      <c r="M587" s="42">
        <v>3</v>
      </c>
      <c r="N587" s="42">
        <v>3</v>
      </c>
      <c r="O587" s="42">
        <v>9</v>
      </c>
      <c r="P587" s="42">
        <v>9</v>
      </c>
      <c r="Q587" s="42">
        <v>8</v>
      </c>
      <c r="R587" s="42">
        <v>7</v>
      </c>
      <c r="S587" s="42">
        <v>7</v>
      </c>
      <c r="T587" s="42">
        <v>7</v>
      </c>
      <c r="U587" s="42">
        <v>7</v>
      </c>
      <c r="V587" s="42"/>
      <c r="W587" s="42"/>
      <c r="X587" s="42"/>
      <c r="Y587" s="26">
        <v>50</v>
      </c>
      <c r="Z587" s="26">
        <f t="shared" si="301"/>
        <v>0</v>
      </c>
      <c r="AA587" s="26" t="s">
        <v>1922</v>
      </c>
      <c r="AB587" s="111">
        <f t="shared" si="302"/>
        <v>1</v>
      </c>
      <c r="AC587" s="85" t="s">
        <v>13</v>
      </c>
      <c r="AD587" s="47">
        <f t="shared" si="311"/>
        <v>1431.8181818181818</v>
      </c>
      <c r="AE587" s="140"/>
      <c r="AF587" s="113">
        <f t="shared" si="299"/>
        <v>0</v>
      </c>
      <c r="AG587" s="26">
        <v>2025</v>
      </c>
      <c r="AH587" s="26" t="str">
        <f t="shared" si="289"/>
        <v/>
      </c>
      <c r="AI587" s="26" t="str">
        <f t="shared" si="305"/>
        <v/>
      </c>
      <c r="AJ587" s="26" t="str">
        <f t="shared" si="308"/>
        <v/>
      </c>
      <c r="AK587" s="26" t="str">
        <f t="shared" si="310"/>
        <v>Chip Seal and Fog</v>
      </c>
      <c r="AL587" s="26" t="str">
        <f t="shared" si="310"/>
        <v/>
      </c>
      <c r="AM587" s="26" t="str">
        <f t="shared" si="310"/>
        <v/>
      </c>
      <c r="AN587" s="26" t="str">
        <f t="shared" si="298"/>
        <v>Chip Seal and Fog</v>
      </c>
      <c r="AO587" s="26" t="str">
        <f t="shared" si="309"/>
        <v/>
      </c>
      <c r="AP587" s="26" t="str">
        <f t="shared" si="291"/>
        <v/>
      </c>
      <c r="AQ587" s="68">
        <f t="shared" si="303"/>
        <v>14</v>
      </c>
      <c r="AR587" s="68">
        <f t="shared" si="304"/>
        <v>6</v>
      </c>
      <c r="AS587" s="68">
        <f t="shared" si="292"/>
        <v>1.1000000000000001</v>
      </c>
      <c r="AT587" s="68">
        <f t="shared" si="293"/>
        <v>1.75</v>
      </c>
      <c r="AU587" s="68">
        <f t="shared" si="294"/>
        <v>1.75</v>
      </c>
      <c r="AV587" s="68">
        <f t="shared" si="295"/>
        <v>1</v>
      </c>
      <c r="AW587" s="68">
        <f t="shared" si="296"/>
        <v>1</v>
      </c>
      <c r="AX587" s="68">
        <f t="shared" ca="1" si="297"/>
        <v>1.75</v>
      </c>
      <c r="AY587" s="68"/>
      <c r="AZ587" s="68"/>
      <c r="BA587" s="106" t="str">
        <f t="shared" si="312"/>
        <v/>
      </c>
      <c r="BB587" s="178"/>
      <c r="BC587" s="178"/>
      <c r="BD587" s="178"/>
      <c r="BE587" s="178"/>
      <c r="BF587" s="178"/>
      <c r="BG587" s="178"/>
      <c r="BH587" s="178"/>
      <c r="BI587" s="33" t="s">
        <v>2192</v>
      </c>
      <c r="BK587" s="48">
        <f>$G587/5280*VLOOKUP($AC587,'Cost and Score'!$B$27:$O$40,6,0)</f>
        <v>1.3636363636363636E-2</v>
      </c>
      <c r="BL587" s="48">
        <f>$G587/5280*VLOOKUP($AC587,'Cost and Score'!$B$27:$O$40,7,0)</f>
        <v>1.5</v>
      </c>
      <c r="BM587" s="48">
        <f>$G587/5280*VLOOKUP($AC587,'Cost and Score'!$B$27:$O$40,8,0)</f>
        <v>0</v>
      </c>
      <c r="BN587" s="48">
        <f>$G587/5280*VLOOKUP($AC587,'Cost and Score'!$B$27:$O$40,9,0)</f>
        <v>306.81818181818181</v>
      </c>
      <c r="BO587" s="48">
        <f>$G587/5280*VLOOKUP($AC587,'Cost and Score'!$B$27:$O$40,10,0)</f>
        <v>68.181818181818173</v>
      </c>
      <c r="BP587" s="48">
        <f>$G587/5280*VLOOKUP($AC587,'Cost and Score'!$B$27:$O$40,11,0)</f>
        <v>0</v>
      </c>
      <c r="BQ587" s="48">
        <f>$G587/5280*VLOOKUP($AC587,'Cost and Score'!$B$27:$O$40,12,0)</f>
        <v>6.8181818181818175</v>
      </c>
      <c r="BR587" s="48">
        <f>$G587/5280*VLOOKUP($AC587,'Cost and Score'!$B$27:$O$40,13,0)</f>
        <v>8.1818181818181817</v>
      </c>
      <c r="BS587" s="48">
        <f>$G587/5280*VLOOKUP($AC587,'Cost and Score'!$B$27:$O$40,14,0)</f>
        <v>0</v>
      </c>
      <c r="BT587" s="220">
        <f t="shared" si="313"/>
        <v>6.8181818181818177E-2</v>
      </c>
      <c r="CR587" s="112"/>
      <c r="CW587" s="112"/>
      <c r="CX587" s="112"/>
      <c r="CY587" s="112"/>
    </row>
    <row r="588" spans="1:103" s="112" customFormat="1" ht="14.45" hidden="1" customHeight="1" x14ac:dyDescent="0.25">
      <c r="A588" s="38" t="s">
        <v>1237</v>
      </c>
      <c r="B588" s="34" t="s">
        <v>1236</v>
      </c>
      <c r="C588" s="26" t="s">
        <v>1236</v>
      </c>
      <c r="D588" s="26"/>
      <c r="E588" s="26" t="s">
        <v>25</v>
      </c>
      <c r="F588" s="26" t="s">
        <v>1232</v>
      </c>
      <c r="G588" s="29">
        <v>800</v>
      </c>
      <c r="H588" s="29">
        <f t="shared" si="300"/>
        <v>20</v>
      </c>
      <c r="I588" s="26" t="s">
        <v>8</v>
      </c>
      <c r="J588" s="26" t="s">
        <v>125</v>
      </c>
      <c r="K588" s="26">
        <f t="shared" si="314"/>
        <v>0</v>
      </c>
      <c r="L588" s="42">
        <v>7</v>
      </c>
      <c r="M588" s="42">
        <v>7</v>
      </c>
      <c r="N588" s="42">
        <v>7</v>
      </c>
      <c r="O588" s="42">
        <v>6</v>
      </c>
      <c r="P588" s="42">
        <v>7</v>
      </c>
      <c r="Q588" s="42">
        <v>6</v>
      </c>
      <c r="R588" s="42">
        <v>6</v>
      </c>
      <c r="S588" s="42">
        <v>6</v>
      </c>
      <c r="T588" s="42">
        <v>8</v>
      </c>
      <c r="U588" s="42">
        <v>8</v>
      </c>
      <c r="V588" s="42">
        <v>2022</v>
      </c>
      <c r="W588" s="42">
        <v>2016</v>
      </c>
      <c r="X588" s="42" t="s">
        <v>2612</v>
      </c>
      <c r="Y588" s="26">
        <v>1924</v>
      </c>
      <c r="Z588" s="26">
        <f t="shared" si="301"/>
        <v>1</v>
      </c>
      <c r="AA588" s="26" t="s">
        <v>138</v>
      </c>
      <c r="AB588" s="111">
        <f t="shared" si="302"/>
        <v>4</v>
      </c>
      <c r="AC588" s="26" t="s">
        <v>751</v>
      </c>
      <c r="AD588" s="47">
        <f t="shared" si="311"/>
        <v>16666.666666666668</v>
      </c>
      <c r="AE588" s="140"/>
      <c r="AF588" s="113">
        <f t="shared" si="299"/>
        <v>0</v>
      </c>
      <c r="AG588" s="26">
        <v>2022</v>
      </c>
      <c r="AH588" s="26" t="str">
        <f t="shared" si="289"/>
        <v>Overlay - 2"</v>
      </c>
      <c r="AI588" s="26" t="str">
        <f t="shared" si="305"/>
        <v/>
      </c>
      <c r="AJ588" s="26" t="str">
        <f t="shared" si="308"/>
        <v/>
      </c>
      <c r="AK588" s="26" t="str">
        <f t="shared" ref="AK588:AM607" si="315">IF($AG588=AK$1,VLOOKUP($AC588,RSL,3,FALSE),"")</f>
        <v/>
      </c>
      <c r="AL588" s="26" t="str">
        <f t="shared" si="315"/>
        <v/>
      </c>
      <c r="AM588" s="26" t="str">
        <f t="shared" si="315"/>
        <v/>
      </c>
      <c r="AN588" s="26" t="str">
        <f t="shared" si="298"/>
        <v>Overlay - 2"</v>
      </c>
      <c r="AO588" s="26" t="str">
        <f t="shared" si="309"/>
        <v/>
      </c>
      <c r="AP588" s="26" t="str">
        <f t="shared" si="291"/>
        <v>Overlay - 2"</v>
      </c>
      <c r="AQ588" s="68">
        <f t="shared" si="303"/>
        <v>8</v>
      </c>
      <c r="AR588" s="68">
        <f t="shared" si="304"/>
        <v>12</v>
      </c>
      <c r="AS588" s="68">
        <f t="shared" si="292"/>
        <v>1.05</v>
      </c>
      <c r="AT588" s="68">
        <f t="shared" si="293"/>
        <v>1.05</v>
      </c>
      <c r="AU588" s="68">
        <f t="shared" si="294"/>
        <v>1.05</v>
      </c>
      <c r="AV588" s="68">
        <f t="shared" si="295"/>
        <v>1.1000000000000001</v>
      </c>
      <c r="AW588" s="68">
        <f t="shared" si="296"/>
        <v>1.05</v>
      </c>
      <c r="AX588" s="68">
        <f t="shared" ca="1" si="297"/>
        <v>-2.1</v>
      </c>
      <c r="AY588" s="68">
        <v>2022</v>
      </c>
      <c r="AZ588" s="68" t="s">
        <v>751</v>
      </c>
      <c r="BA588" s="106" t="str">
        <f t="shared" si="312"/>
        <v/>
      </c>
      <c r="BB588" s="178"/>
      <c r="BC588" s="178">
        <v>2</v>
      </c>
      <c r="BD588" s="178"/>
      <c r="BE588" s="178"/>
      <c r="BF588" s="178"/>
      <c r="BG588" s="178"/>
      <c r="BH588" s="178"/>
      <c r="BI588" s="33"/>
      <c r="BJ588" s="2"/>
      <c r="BK588" s="48">
        <f>$G588/5280*VLOOKUP($AC588,'Cost and Score'!$B$27:$O$40,6,0)</f>
        <v>0.34090909090909094</v>
      </c>
      <c r="BL588" s="48">
        <f>$G588/5280*VLOOKUP($AC588,'Cost and Score'!$B$27:$O$40,7,0)</f>
        <v>31.81818181818182</v>
      </c>
      <c r="BM588" s="48">
        <f>$G588/5280*VLOOKUP($AC588,'Cost and Score'!$B$27:$O$40,8,0)</f>
        <v>53.030303030303031</v>
      </c>
      <c r="BN588" s="48">
        <f>$G588/5280*VLOOKUP($AC588,'Cost and Score'!$B$27:$O$40,9,0)</f>
        <v>0</v>
      </c>
      <c r="BO588" s="48">
        <f>$G588/5280*VLOOKUP($AC588,'Cost and Score'!$B$27:$O$40,10,0)</f>
        <v>0</v>
      </c>
      <c r="BP588" s="48">
        <f>$G588/5280*VLOOKUP($AC588,'Cost and Score'!$B$27:$O$40,11,0)</f>
        <v>30.303030303030305</v>
      </c>
      <c r="BQ588" s="48">
        <f>$G588/5280*VLOOKUP($AC588,'Cost and Score'!$B$27:$O$40,12,0)</f>
        <v>257.57575757575756</v>
      </c>
      <c r="BR588" s="48">
        <f>$G588/5280*VLOOKUP($AC588,'Cost and Score'!$B$27:$O$40,13,0)</f>
        <v>0</v>
      </c>
      <c r="BS588" s="48">
        <f>$G588/5280*VLOOKUP($AC588,'Cost and Score'!$B$27:$O$40,14,0)</f>
        <v>0</v>
      </c>
      <c r="BT588" s="220">
        <f t="shared" si="313"/>
        <v>0.15151515151515152</v>
      </c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N588" s="2"/>
      <c r="CO588" s="2"/>
      <c r="CP588" s="2"/>
      <c r="CQ588" s="2"/>
      <c r="CR588" s="2"/>
      <c r="CV588" s="2"/>
      <c r="CW588" s="2"/>
      <c r="CX588" s="2"/>
      <c r="CY588" s="2"/>
    </row>
    <row r="589" spans="1:103" s="2" customFormat="1" ht="14.45" hidden="1" customHeight="1" x14ac:dyDescent="0.25">
      <c r="A589" s="38" t="s">
        <v>1239</v>
      </c>
      <c r="B589" s="34" t="s">
        <v>1238</v>
      </c>
      <c r="C589" s="26" t="s">
        <v>1238</v>
      </c>
      <c r="D589" s="26"/>
      <c r="E589" s="26" t="s">
        <v>307</v>
      </c>
      <c r="F589" s="26" t="s">
        <v>100</v>
      </c>
      <c r="G589" s="29">
        <v>2420</v>
      </c>
      <c r="H589" s="29">
        <f t="shared" si="300"/>
        <v>20</v>
      </c>
      <c r="I589" s="26" t="s">
        <v>8</v>
      </c>
      <c r="J589" s="26" t="s">
        <v>160</v>
      </c>
      <c r="K589" s="26">
        <f t="shared" si="314"/>
        <v>0</v>
      </c>
      <c r="L589" s="42">
        <v>9</v>
      </c>
      <c r="M589" s="42">
        <v>7</v>
      </c>
      <c r="N589" s="42">
        <v>8</v>
      </c>
      <c r="O589" s="42">
        <v>8</v>
      </c>
      <c r="P589" s="42">
        <v>8</v>
      </c>
      <c r="Q589" s="42">
        <v>8</v>
      </c>
      <c r="R589" s="42">
        <v>8</v>
      </c>
      <c r="S589" s="42">
        <v>7</v>
      </c>
      <c r="T589" s="42">
        <v>7</v>
      </c>
      <c r="U589" s="42">
        <v>7</v>
      </c>
      <c r="V589" s="42">
        <v>2022</v>
      </c>
      <c r="W589" s="42"/>
      <c r="X589" s="42" t="s">
        <v>2612</v>
      </c>
      <c r="Y589" s="26">
        <v>3883</v>
      </c>
      <c r="Z589" s="26">
        <f t="shared" si="301"/>
        <v>1.5</v>
      </c>
      <c r="AA589" s="26" t="s">
        <v>138</v>
      </c>
      <c r="AB589" s="111">
        <f t="shared" si="302"/>
        <v>3.5</v>
      </c>
      <c r="AC589" s="106" t="s">
        <v>13</v>
      </c>
      <c r="AD589" s="47">
        <f t="shared" si="311"/>
        <v>9625</v>
      </c>
      <c r="AE589" s="140"/>
      <c r="AF589" s="113">
        <f t="shared" si="299"/>
        <v>0</v>
      </c>
      <c r="AG589" s="85">
        <v>2026</v>
      </c>
      <c r="AH589" s="26" t="str">
        <f t="shared" ref="AH589:AH652" si="316">IF($AG589=AH$1,VLOOKUP($AC589,RSL,3,FALSE),"")</f>
        <v/>
      </c>
      <c r="AI589" s="26" t="str">
        <f t="shared" si="305"/>
        <v/>
      </c>
      <c r="AJ589" s="26" t="str">
        <f t="shared" si="308"/>
        <v/>
      </c>
      <c r="AK589" s="26" t="str">
        <f t="shared" si="315"/>
        <v/>
      </c>
      <c r="AL589" s="26" t="str">
        <f t="shared" si="315"/>
        <v>Chip Seal and Fog</v>
      </c>
      <c r="AM589" s="26" t="str">
        <f t="shared" si="315"/>
        <v/>
      </c>
      <c r="AN589" s="26" t="str">
        <f t="shared" si="298"/>
        <v>Chip Seal and Fog</v>
      </c>
      <c r="AO589" s="26" t="str">
        <f t="shared" si="309"/>
        <v/>
      </c>
      <c r="AP589" s="26" t="str">
        <f t="shared" si="291"/>
        <v/>
      </c>
      <c r="AQ589" s="68">
        <f t="shared" si="303"/>
        <v>12</v>
      </c>
      <c r="AR589" s="68">
        <f t="shared" si="304"/>
        <v>6</v>
      </c>
      <c r="AS589" s="68">
        <f t="shared" si="292"/>
        <v>1</v>
      </c>
      <c r="AT589" s="68">
        <f t="shared" si="293"/>
        <v>1.05</v>
      </c>
      <c r="AU589" s="68">
        <f t="shared" si="294"/>
        <v>1</v>
      </c>
      <c r="AV589" s="68">
        <f t="shared" si="295"/>
        <v>1</v>
      </c>
      <c r="AW589" s="68">
        <f t="shared" si="296"/>
        <v>1</v>
      </c>
      <c r="AX589" s="68">
        <f t="shared" ca="1" si="297"/>
        <v>2</v>
      </c>
      <c r="AY589" s="68">
        <v>2020</v>
      </c>
      <c r="AZ589" s="68" t="s">
        <v>13</v>
      </c>
      <c r="BA589" s="106" t="str">
        <f t="shared" si="312"/>
        <v/>
      </c>
      <c r="BB589" s="178"/>
      <c r="BC589" s="178">
        <v>8</v>
      </c>
      <c r="BD589" s="178"/>
      <c r="BE589" s="178"/>
      <c r="BF589" s="178"/>
      <c r="BG589" s="178"/>
      <c r="BH589" s="178"/>
      <c r="BI589" s="33"/>
      <c r="BK589" s="48">
        <f>$G589/5280*VLOOKUP($AC589,'Cost and Score'!$B$27:$O$40,6,0)</f>
        <v>9.1666666666666674E-2</v>
      </c>
      <c r="BL589" s="48">
        <f>$G589/5280*VLOOKUP($AC589,'Cost and Score'!$B$27:$O$40,7,0)</f>
        <v>10.083333333333332</v>
      </c>
      <c r="BM589" s="48">
        <f>$G589/5280*VLOOKUP($AC589,'Cost and Score'!$B$27:$O$40,8,0)</f>
        <v>0</v>
      </c>
      <c r="BN589" s="48">
        <f>$G589/5280*VLOOKUP($AC589,'Cost and Score'!$B$27:$O$40,9,0)</f>
        <v>2062.5</v>
      </c>
      <c r="BO589" s="48">
        <f>$G589/5280*VLOOKUP($AC589,'Cost and Score'!$B$27:$O$40,10,0)</f>
        <v>458.33333333333331</v>
      </c>
      <c r="BP589" s="48">
        <f>$G589/5280*VLOOKUP($AC589,'Cost and Score'!$B$27:$O$40,11,0)</f>
        <v>0</v>
      </c>
      <c r="BQ589" s="48">
        <f>$G589/5280*VLOOKUP($AC589,'Cost and Score'!$B$27:$O$40,12,0)</f>
        <v>45.833333333333329</v>
      </c>
      <c r="BR589" s="48">
        <f>$G589/5280*VLOOKUP($AC589,'Cost and Score'!$B$27:$O$40,13,0)</f>
        <v>55</v>
      </c>
      <c r="BS589" s="48">
        <f>$G589/5280*VLOOKUP($AC589,'Cost and Score'!$B$27:$O$40,14,0)</f>
        <v>0</v>
      </c>
      <c r="BT589" s="220">
        <f t="shared" si="313"/>
        <v>0.45833333333333331</v>
      </c>
      <c r="CN589" s="112"/>
      <c r="CO589" s="112"/>
      <c r="CP589" s="112"/>
      <c r="CQ589" s="112"/>
      <c r="CV589" s="112"/>
    </row>
    <row r="590" spans="1:103" s="2" customFormat="1" ht="14.45" customHeight="1" x14ac:dyDescent="0.25">
      <c r="A590" s="37" t="s">
        <v>1958</v>
      </c>
      <c r="B590" s="34" t="s">
        <v>1956</v>
      </c>
      <c r="C590" s="26" t="s">
        <v>1956</v>
      </c>
      <c r="D590" s="82"/>
      <c r="E590" s="82" t="s">
        <v>1957</v>
      </c>
      <c r="F590" s="82" t="s">
        <v>165</v>
      </c>
      <c r="G590" s="29">
        <v>2506</v>
      </c>
      <c r="H590" s="29">
        <f t="shared" si="300"/>
        <v>20</v>
      </c>
      <c r="I590" s="26" t="s">
        <v>13</v>
      </c>
      <c r="J590" s="26" t="s">
        <v>101</v>
      </c>
      <c r="K590" s="26">
        <v>0</v>
      </c>
      <c r="L590" s="42">
        <v>6</v>
      </c>
      <c r="M590" s="42">
        <v>6</v>
      </c>
      <c r="N590" s="42">
        <v>6</v>
      </c>
      <c r="O590" s="83">
        <v>6</v>
      </c>
      <c r="P590" s="83">
        <v>7</v>
      </c>
      <c r="Q590" s="83">
        <v>7</v>
      </c>
      <c r="R590" s="83">
        <v>7</v>
      </c>
      <c r="S590" s="83">
        <v>7</v>
      </c>
      <c r="T590" s="83">
        <v>7</v>
      </c>
      <c r="U590" s="83">
        <v>7</v>
      </c>
      <c r="V590" s="42"/>
      <c r="W590" s="42"/>
      <c r="X590" s="42"/>
      <c r="Y590" s="26">
        <v>50</v>
      </c>
      <c r="Z590" s="26">
        <f t="shared" si="301"/>
        <v>0</v>
      </c>
      <c r="AA590" s="82" t="s">
        <v>1955</v>
      </c>
      <c r="AB590" s="111">
        <f t="shared" si="302"/>
        <v>3</v>
      </c>
      <c r="AC590" s="82" t="s">
        <v>13</v>
      </c>
      <c r="AD590" s="84">
        <f t="shared" si="311"/>
        <v>9967.045454545454</v>
      </c>
      <c r="AE590" s="140"/>
      <c r="AF590" s="113">
        <f t="shared" si="299"/>
        <v>0</v>
      </c>
      <c r="AG590" s="106">
        <v>2025</v>
      </c>
      <c r="AH590" s="26" t="str">
        <f t="shared" si="316"/>
        <v/>
      </c>
      <c r="AI590" s="26" t="str">
        <f t="shared" si="305"/>
        <v/>
      </c>
      <c r="AJ590" s="26" t="str">
        <f t="shared" si="308"/>
        <v/>
      </c>
      <c r="AK590" s="26" t="str">
        <f t="shared" si="315"/>
        <v>Chip Seal and Fog</v>
      </c>
      <c r="AL590" s="26" t="str">
        <f t="shared" si="315"/>
        <v/>
      </c>
      <c r="AM590" s="26" t="str">
        <f t="shared" si="315"/>
        <v/>
      </c>
      <c r="AN590" s="26" t="str">
        <f t="shared" si="298"/>
        <v>Chip Seal and Fog</v>
      </c>
      <c r="AO590" s="26" t="str">
        <f t="shared" si="309"/>
        <v/>
      </c>
      <c r="AP590" s="26" t="str">
        <f t="shared" si="291"/>
        <v/>
      </c>
      <c r="AQ590" s="68">
        <f t="shared" si="303"/>
        <v>8</v>
      </c>
      <c r="AR590" s="68">
        <f t="shared" si="304"/>
        <v>6</v>
      </c>
      <c r="AS590" s="68">
        <f t="shared" si="292"/>
        <v>1.1000000000000001</v>
      </c>
      <c r="AT590" s="68">
        <f t="shared" si="293"/>
        <v>1.1000000000000001</v>
      </c>
      <c r="AU590" s="68">
        <f t="shared" si="294"/>
        <v>1.1000000000000001</v>
      </c>
      <c r="AV590" s="68">
        <f t="shared" si="295"/>
        <v>1.1000000000000001</v>
      </c>
      <c r="AW590" s="68">
        <f t="shared" si="296"/>
        <v>1.05</v>
      </c>
      <c r="AX590" s="68">
        <f t="shared" ca="1" si="297"/>
        <v>1.1000000000000001</v>
      </c>
      <c r="AY590" s="68">
        <v>2019</v>
      </c>
      <c r="AZ590" s="68" t="s">
        <v>2073</v>
      </c>
      <c r="BA590" s="106" t="str">
        <f t="shared" si="312"/>
        <v/>
      </c>
      <c r="BB590" s="178"/>
      <c r="BC590" s="177">
        <v>9</v>
      </c>
      <c r="BD590" s="177"/>
      <c r="BE590" s="177"/>
      <c r="BF590" s="177"/>
      <c r="BG590" s="177"/>
      <c r="BH590" s="177"/>
      <c r="BI590" s="33"/>
      <c r="BK590" s="48">
        <f>$G590/5280*VLOOKUP($AC590,'Cost and Score'!$B$27:$O$40,6,0)</f>
        <v>9.4924242424242425E-2</v>
      </c>
      <c r="BL590" s="48">
        <f>$G590/5280*VLOOKUP($AC590,'Cost and Score'!$B$27:$O$40,7,0)</f>
        <v>10.441666666666666</v>
      </c>
      <c r="BM590" s="48">
        <f>$G590/5280*VLOOKUP($AC590,'Cost and Score'!$B$27:$O$40,8,0)</f>
        <v>0</v>
      </c>
      <c r="BN590" s="48">
        <f>$G590/5280*VLOOKUP($AC590,'Cost and Score'!$B$27:$O$40,9,0)</f>
        <v>2135.7954545454545</v>
      </c>
      <c r="BO590" s="48">
        <f>$G590/5280*VLOOKUP($AC590,'Cost and Score'!$B$27:$O$40,10,0)</f>
        <v>474.62121212121212</v>
      </c>
      <c r="BP590" s="48">
        <f>$G590/5280*VLOOKUP($AC590,'Cost and Score'!$B$27:$O$40,11,0)</f>
        <v>0</v>
      </c>
      <c r="BQ590" s="48">
        <f>$G590/5280*VLOOKUP($AC590,'Cost and Score'!$B$27:$O$40,12,0)</f>
        <v>47.462121212121211</v>
      </c>
      <c r="BR590" s="48">
        <f>$G590/5280*VLOOKUP($AC590,'Cost and Score'!$B$27:$O$40,13,0)</f>
        <v>56.954545454545453</v>
      </c>
      <c r="BS590" s="48">
        <f>$G590/5280*VLOOKUP($AC590,'Cost and Score'!$B$27:$O$40,14,0)</f>
        <v>0</v>
      </c>
      <c r="BT590" s="220">
        <f t="shared" si="313"/>
        <v>0.47462121212121211</v>
      </c>
      <c r="CG590" s="112"/>
      <c r="CH590" s="112"/>
      <c r="CI590" s="112"/>
      <c r="CJ590" s="112"/>
      <c r="CK590" s="112"/>
      <c r="CL590" s="112"/>
      <c r="CM590" s="112"/>
    </row>
    <row r="591" spans="1:103" s="2" customFormat="1" ht="14.45" hidden="1" customHeight="1" x14ac:dyDescent="0.25">
      <c r="A591" s="38" t="s">
        <v>1243</v>
      </c>
      <c r="B591" s="34" t="s">
        <v>1242</v>
      </c>
      <c r="C591" s="26" t="s">
        <v>1242</v>
      </c>
      <c r="D591" s="26"/>
      <c r="E591" s="26" t="s">
        <v>39</v>
      </c>
      <c r="F591" s="26" t="s">
        <v>35</v>
      </c>
      <c r="G591" s="29">
        <v>7925</v>
      </c>
      <c r="H591" s="29">
        <f t="shared" si="300"/>
        <v>20</v>
      </c>
      <c r="I591" s="26" t="s">
        <v>13</v>
      </c>
      <c r="J591" s="26" t="s">
        <v>17</v>
      </c>
      <c r="K591" s="26">
        <f t="shared" ref="K591:K622" si="317">VLOOKUP(J591,TOWNSHIPS,2,FALSE)</f>
        <v>0</v>
      </c>
      <c r="L591" s="42">
        <v>5</v>
      </c>
      <c r="M591" s="42">
        <v>4</v>
      </c>
      <c r="N591" s="42">
        <v>10</v>
      </c>
      <c r="O591" s="42">
        <v>9</v>
      </c>
      <c r="P591" s="42">
        <v>8</v>
      </c>
      <c r="Q591" s="42">
        <v>7</v>
      </c>
      <c r="R591" s="42">
        <v>7</v>
      </c>
      <c r="S591" s="42">
        <v>6</v>
      </c>
      <c r="T591" s="42">
        <v>6</v>
      </c>
      <c r="U591" s="42">
        <v>7</v>
      </c>
      <c r="V591" s="42"/>
      <c r="W591" s="42"/>
      <c r="X591" s="42"/>
      <c r="Y591" s="26">
        <v>29</v>
      </c>
      <c r="Z591" s="26">
        <f t="shared" si="301"/>
        <v>0</v>
      </c>
      <c r="AA591" s="26" t="s">
        <v>1118</v>
      </c>
      <c r="AB591" s="111">
        <f t="shared" si="302"/>
        <v>2</v>
      </c>
      <c r="AC591" s="26" t="s">
        <v>13</v>
      </c>
      <c r="AD591" s="47">
        <f t="shared" si="311"/>
        <v>31519.886363636364</v>
      </c>
      <c r="AE591" s="140"/>
      <c r="AF591" s="113">
        <f t="shared" si="299"/>
        <v>0</v>
      </c>
      <c r="AG591" s="26">
        <v>2022</v>
      </c>
      <c r="AH591" s="26" t="str">
        <f t="shared" si="316"/>
        <v>Chip Seal and Fog</v>
      </c>
      <c r="AI591" s="26" t="str">
        <f t="shared" si="305"/>
        <v/>
      </c>
      <c r="AJ591" s="26" t="str">
        <f t="shared" si="308"/>
        <v/>
      </c>
      <c r="AK591" s="26" t="str">
        <f t="shared" si="315"/>
        <v/>
      </c>
      <c r="AL591" s="26" t="str">
        <f t="shared" si="315"/>
        <v/>
      </c>
      <c r="AM591" s="26" t="str">
        <f t="shared" si="315"/>
        <v/>
      </c>
      <c r="AN591" s="26" t="str">
        <f t="shared" si="298"/>
        <v>Chip Seal and Fog</v>
      </c>
      <c r="AO591" s="26" t="str">
        <f t="shared" si="309"/>
        <v/>
      </c>
      <c r="AP591" s="26" t="str">
        <f t="shared" si="291"/>
        <v>Chip Seal and Fog</v>
      </c>
      <c r="AQ591" s="68">
        <f t="shared" si="303"/>
        <v>14</v>
      </c>
      <c r="AR591" s="68">
        <f t="shared" si="304"/>
        <v>6</v>
      </c>
      <c r="AS591" s="68">
        <f t="shared" si="292"/>
        <v>1.25</v>
      </c>
      <c r="AT591" s="68">
        <f t="shared" si="293"/>
        <v>1.5</v>
      </c>
      <c r="AU591" s="68">
        <f t="shared" si="294"/>
        <v>1</v>
      </c>
      <c r="AV591" s="68">
        <f t="shared" si="295"/>
        <v>1</v>
      </c>
      <c r="AW591" s="68">
        <f t="shared" si="296"/>
        <v>1</v>
      </c>
      <c r="AX591" s="68">
        <f t="shared" ca="1" si="297"/>
        <v>-2</v>
      </c>
      <c r="AY591" s="68">
        <v>2022</v>
      </c>
      <c r="AZ591" s="68" t="s">
        <v>13</v>
      </c>
      <c r="BA591" s="106" t="str">
        <f t="shared" si="312"/>
        <v/>
      </c>
      <c r="BB591" s="178"/>
      <c r="BC591" s="178">
        <v>5</v>
      </c>
      <c r="BD591" s="178"/>
      <c r="BE591" s="178"/>
      <c r="BF591" s="178"/>
      <c r="BG591" s="178"/>
      <c r="BH591" s="178"/>
      <c r="BI591" s="33" t="s">
        <v>2370</v>
      </c>
      <c r="BK591" s="48">
        <f>$G591/5280*VLOOKUP($AC591,'Cost and Score'!$B$27:$O$40,6,0)</f>
        <v>0.30018939393939398</v>
      </c>
      <c r="BL591" s="48">
        <f>$G591/5280*VLOOKUP($AC591,'Cost and Score'!$B$27:$O$40,7,0)</f>
        <v>33.020833333333336</v>
      </c>
      <c r="BM591" s="48">
        <f>$G591/5280*VLOOKUP($AC591,'Cost and Score'!$B$27:$O$40,8,0)</f>
        <v>0</v>
      </c>
      <c r="BN591" s="48">
        <f>$G591/5280*VLOOKUP($AC591,'Cost and Score'!$B$27:$O$40,9,0)</f>
        <v>6754.261363636364</v>
      </c>
      <c r="BO591" s="48">
        <f>$G591/5280*VLOOKUP($AC591,'Cost and Score'!$B$27:$O$40,10,0)</f>
        <v>1500.9469696969697</v>
      </c>
      <c r="BP591" s="48">
        <f>$G591/5280*VLOOKUP($AC591,'Cost and Score'!$B$27:$O$40,11,0)</f>
        <v>0</v>
      </c>
      <c r="BQ591" s="48">
        <f>$G591/5280*VLOOKUP($AC591,'Cost and Score'!$B$27:$O$40,12,0)</f>
        <v>150.09469696969697</v>
      </c>
      <c r="BR591" s="48">
        <f>$G591/5280*VLOOKUP($AC591,'Cost and Score'!$B$27:$O$40,13,0)</f>
        <v>180.11363636363637</v>
      </c>
      <c r="BS591" s="48">
        <f>$G591/5280*VLOOKUP($AC591,'Cost and Score'!$B$27:$O$40,14,0)</f>
        <v>0</v>
      </c>
      <c r="BT591" s="220">
        <f t="shared" si="313"/>
        <v>1.5009469696969697</v>
      </c>
    </row>
    <row r="592" spans="1:103" s="2" customFormat="1" ht="14.45" hidden="1" customHeight="1" x14ac:dyDescent="0.25">
      <c r="A592" s="38" t="s">
        <v>1245</v>
      </c>
      <c r="B592" s="34" t="s">
        <v>1244</v>
      </c>
      <c r="C592" s="26" t="s">
        <v>1244</v>
      </c>
      <c r="D592" s="82"/>
      <c r="E592" s="82" t="s">
        <v>99</v>
      </c>
      <c r="F592" s="82" t="s">
        <v>100</v>
      </c>
      <c r="G592" s="29">
        <v>5300</v>
      </c>
      <c r="H592" s="29">
        <f t="shared" si="300"/>
        <v>20</v>
      </c>
      <c r="I592" s="26" t="s">
        <v>13</v>
      </c>
      <c r="J592" s="26" t="s">
        <v>172</v>
      </c>
      <c r="K592" s="26">
        <f t="shared" si="317"/>
        <v>0</v>
      </c>
      <c r="L592" s="42">
        <v>6</v>
      </c>
      <c r="M592" s="42">
        <v>8</v>
      </c>
      <c r="N592" s="42">
        <v>7</v>
      </c>
      <c r="O592" s="83">
        <v>7</v>
      </c>
      <c r="P592" s="83">
        <v>7</v>
      </c>
      <c r="Q592" s="83">
        <v>7</v>
      </c>
      <c r="R592" s="83">
        <v>6</v>
      </c>
      <c r="S592" s="83">
        <v>5</v>
      </c>
      <c r="T592" s="83">
        <v>7</v>
      </c>
      <c r="U592" s="83">
        <v>7</v>
      </c>
      <c r="V592" s="42"/>
      <c r="W592" s="42"/>
      <c r="X592" s="42"/>
      <c r="Y592" s="26">
        <v>50</v>
      </c>
      <c r="Z592" s="26">
        <f t="shared" si="301"/>
        <v>0</v>
      </c>
      <c r="AA592" s="82" t="s">
        <v>179</v>
      </c>
      <c r="AB592" s="111">
        <f t="shared" si="302"/>
        <v>3</v>
      </c>
      <c r="AC592" s="82" t="s">
        <v>13</v>
      </c>
      <c r="AD592" s="84">
        <f t="shared" si="311"/>
        <v>21079.545454545456</v>
      </c>
      <c r="AE592" s="140">
        <v>1</v>
      </c>
      <c r="AF592" s="113">
        <f t="shared" si="299"/>
        <v>21079.545454545456</v>
      </c>
      <c r="AG592" s="82">
        <v>2023</v>
      </c>
      <c r="AH592" s="26" t="str">
        <f t="shared" si="316"/>
        <v/>
      </c>
      <c r="AI592" s="26" t="str">
        <f t="shared" si="305"/>
        <v>Chip Seal and Fog</v>
      </c>
      <c r="AJ592" s="26" t="str">
        <f t="shared" si="308"/>
        <v/>
      </c>
      <c r="AK592" s="26" t="str">
        <f t="shared" si="315"/>
        <v/>
      </c>
      <c r="AL592" s="26" t="str">
        <f t="shared" si="315"/>
        <v/>
      </c>
      <c r="AM592" s="26" t="str">
        <f t="shared" si="315"/>
        <v/>
      </c>
      <c r="AN592" s="26" t="str">
        <f t="shared" si="298"/>
        <v>Chip Seal and Fog</v>
      </c>
      <c r="AO592" s="26" t="str">
        <f t="shared" si="309"/>
        <v/>
      </c>
      <c r="AP592" s="26" t="str">
        <f t="shared" ref="AP592:AP655" si="318">IF(AY592=AP$1,VLOOKUP(AZ592,RSL,3,FALSE),"")</f>
        <v/>
      </c>
      <c r="AQ592" s="68">
        <f t="shared" si="303"/>
        <v>10</v>
      </c>
      <c r="AR592" s="68">
        <f t="shared" si="304"/>
        <v>6</v>
      </c>
      <c r="AS592" s="68">
        <f t="shared" ref="AS592:AS655" si="319">IF(L592 &lt;&gt; "",VLOOKUP(L592,RSLloss,3,FALSE),0)</f>
        <v>1.1000000000000001</v>
      </c>
      <c r="AT592" s="68">
        <f t="shared" ref="AT592:AT655" si="320">IF(M592 &lt;&gt; "",VLOOKUP(M592,RSLloss,3,FALSE),0)</f>
        <v>1</v>
      </c>
      <c r="AU592" s="68">
        <f t="shared" ref="AU592:AU655" si="321">IF(N592 &lt;&gt; "",VLOOKUP(N592,RSLloss,3,FALSE),0)</f>
        <v>1.05</v>
      </c>
      <c r="AV592" s="68">
        <f t="shared" ref="AV592:AV655" si="322">IF(O592 &lt;&gt; "",VLOOKUP(O592,RSLloss,3,FALSE),0)</f>
        <v>1.05</v>
      </c>
      <c r="AW592" s="68">
        <f t="shared" ref="AW592:AW655" si="323">IF(P592 &lt;&gt; "",VLOOKUP(P592,RSLloss,3,FALSE),0)</f>
        <v>1.05</v>
      </c>
      <c r="AX592" s="68">
        <f t="shared" ref="AX592:AX655" ca="1" si="324">AU592*(AG592-YEAR(TODAY()))</f>
        <v>-1.05</v>
      </c>
      <c r="AY592" s="68">
        <v>2023</v>
      </c>
      <c r="AZ592" s="68" t="s">
        <v>13</v>
      </c>
      <c r="BA592" s="106" t="str">
        <f t="shared" si="312"/>
        <v/>
      </c>
      <c r="BB592" s="178"/>
      <c r="BC592" s="178">
        <v>7</v>
      </c>
      <c r="BD592" s="178"/>
      <c r="BE592" s="178"/>
      <c r="BF592" s="178"/>
      <c r="BG592" s="178"/>
      <c r="BH592" s="178"/>
      <c r="BI592" s="33"/>
      <c r="BK592" s="48">
        <f>$G592/5280*VLOOKUP($AC592,'Cost and Score'!$B$27:$O$40,6,0)</f>
        <v>0.2007575757575758</v>
      </c>
      <c r="BL592" s="48">
        <f>$G592/5280*VLOOKUP($AC592,'Cost and Score'!$B$27:$O$40,7,0)</f>
        <v>22.083333333333336</v>
      </c>
      <c r="BM592" s="48">
        <f>$G592/5280*VLOOKUP($AC592,'Cost and Score'!$B$27:$O$40,8,0)</f>
        <v>0</v>
      </c>
      <c r="BN592" s="48">
        <f>$G592/5280*VLOOKUP($AC592,'Cost and Score'!$B$27:$O$40,9,0)</f>
        <v>4517.045454545455</v>
      </c>
      <c r="BO592" s="48">
        <f>$G592/5280*VLOOKUP($AC592,'Cost and Score'!$B$27:$O$40,10,0)</f>
        <v>1003.7878787878789</v>
      </c>
      <c r="BP592" s="48">
        <f>$G592/5280*VLOOKUP($AC592,'Cost and Score'!$B$27:$O$40,11,0)</f>
        <v>0</v>
      </c>
      <c r="BQ592" s="48">
        <f>$G592/5280*VLOOKUP($AC592,'Cost and Score'!$B$27:$O$40,12,0)</f>
        <v>100.37878787878789</v>
      </c>
      <c r="BR592" s="48">
        <f>$G592/5280*VLOOKUP($AC592,'Cost and Score'!$B$27:$O$40,13,0)</f>
        <v>120.45454545454547</v>
      </c>
      <c r="BS592" s="48">
        <f>$G592/5280*VLOOKUP($AC592,'Cost and Score'!$B$27:$O$40,14,0)</f>
        <v>0</v>
      </c>
      <c r="BT592" s="220">
        <f t="shared" si="313"/>
        <v>1.0037878787878789</v>
      </c>
    </row>
    <row r="593" spans="1:103" s="2" customFormat="1" ht="14.45" hidden="1" customHeight="1" x14ac:dyDescent="0.25">
      <c r="A593" s="38" t="s">
        <v>1247</v>
      </c>
      <c r="B593" s="34" t="s">
        <v>1246</v>
      </c>
      <c r="C593" s="26" t="s">
        <v>1246</v>
      </c>
      <c r="D593" s="82"/>
      <c r="E593" s="82" t="s">
        <v>38</v>
      </c>
      <c r="F593" s="82" t="s">
        <v>39</v>
      </c>
      <c r="G593" s="29">
        <v>5300</v>
      </c>
      <c r="H593" s="29">
        <f t="shared" si="300"/>
        <v>20</v>
      </c>
      <c r="I593" s="26" t="s">
        <v>13</v>
      </c>
      <c r="J593" s="26" t="s">
        <v>17</v>
      </c>
      <c r="K593" s="26">
        <f t="shared" si="317"/>
        <v>0</v>
      </c>
      <c r="L593" s="42">
        <v>6</v>
      </c>
      <c r="M593" s="42">
        <v>6</v>
      </c>
      <c r="N593" s="42">
        <v>6</v>
      </c>
      <c r="O593" s="83">
        <v>6</v>
      </c>
      <c r="P593" s="83">
        <v>5</v>
      </c>
      <c r="Q593" s="83">
        <v>5</v>
      </c>
      <c r="R593" s="83">
        <v>5</v>
      </c>
      <c r="S593" s="83">
        <v>5</v>
      </c>
      <c r="T593" s="83">
        <v>8</v>
      </c>
      <c r="U593" s="83">
        <v>7</v>
      </c>
      <c r="V593" s="42"/>
      <c r="W593" s="42"/>
      <c r="X593" s="42"/>
      <c r="Y593" s="26">
        <v>40</v>
      </c>
      <c r="Z593" s="26">
        <f t="shared" si="301"/>
        <v>0</v>
      </c>
      <c r="AA593" s="82" t="s">
        <v>179</v>
      </c>
      <c r="AB593" s="111">
        <f t="shared" si="302"/>
        <v>5</v>
      </c>
      <c r="AC593" s="82" t="s">
        <v>751</v>
      </c>
      <c r="AD593" s="84">
        <f t="shared" si="311"/>
        <v>110416.66666666667</v>
      </c>
      <c r="AE593" s="140"/>
      <c r="AF593" s="113">
        <f t="shared" si="299"/>
        <v>0</v>
      </c>
      <c r="AG593" s="26">
        <v>2027</v>
      </c>
      <c r="AH593" s="26" t="str">
        <f t="shared" si="316"/>
        <v/>
      </c>
      <c r="AI593" s="26" t="str">
        <f t="shared" si="305"/>
        <v/>
      </c>
      <c r="AJ593" s="26" t="str">
        <f t="shared" si="308"/>
        <v/>
      </c>
      <c r="AK593" s="26" t="str">
        <f t="shared" si="315"/>
        <v/>
      </c>
      <c r="AL593" s="26" t="str">
        <f t="shared" si="315"/>
        <v/>
      </c>
      <c r="AM593" s="26" t="str">
        <f t="shared" si="315"/>
        <v>Overlay - 2"</v>
      </c>
      <c r="AN593" s="26" t="str">
        <f t="shared" si="298"/>
        <v>Overlay - 2"</v>
      </c>
      <c r="AO593" s="26" t="str">
        <f t="shared" si="309"/>
        <v>Chip Seal - Triple</v>
      </c>
      <c r="AP593" s="26" t="str">
        <f t="shared" si="318"/>
        <v/>
      </c>
      <c r="AQ593" s="68">
        <f t="shared" si="303"/>
        <v>8</v>
      </c>
      <c r="AR593" s="68">
        <f t="shared" si="304"/>
        <v>12</v>
      </c>
      <c r="AS593" s="68">
        <f t="shared" si="319"/>
        <v>1.1000000000000001</v>
      </c>
      <c r="AT593" s="68">
        <f t="shared" si="320"/>
        <v>1.1000000000000001</v>
      </c>
      <c r="AU593" s="68">
        <f t="shared" si="321"/>
        <v>1.1000000000000001</v>
      </c>
      <c r="AV593" s="68">
        <f t="shared" si="322"/>
        <v>1.1000000000000001</v>
      </c>
      <c r="AW593" s="68">
        <f t="shared" si="323"/>
        <v>1.25</v>
      </c>
      <c r="AX593" s="68">
        <f t="shared" ca="1" si="324"/>
        <v>3.3000000000000003</v>
      </c>
      <c r="AY593" s="68">
        <v>2021</v>
      </c>
      <c r="AZ593" s="68" t="s">
        <v>2072</v>
      </c>
      <c r="BA593" s="106" t="str">
        <f t="shared" si="312"/>
        <v/>
      </c>
      <c r="BB593" s="178">
        <v>57</v>
      </c>
      <c r="BC593" s="178">
        <v>1</v>
      </c>
      <c r="BD593" s="178"/>
      <c r="BE593" s="178"/>
      <c r="BF593" s="178"/>
      <c r="BG593" s="178"/>
      <c r="BH593" s="178"/>
      <c r="BI593" s="33"/>
      <c r="BK593" s="48">
        <f>$G593/5280*VLOOKUP($AC593,'Cost and Score'!$B$27:$O$40,6,0)</f>
        <v>2.2585227272727275</v>
      </c>
      <c r="BL593" s="48">
        <f>$G593/5280*VLOOKUP($AC593,'Cost and Score'!$B$27:$O$40,7,0)</f>
        <v>210.79545454545456</v>
      </c>
      <c r="BM593" s="48">
        <f>$G593/5280*VLOOKUP($AC593,'Cost and Score'!$B$27:$O$40,8,0)</f>
        <v>351.32575757575762</v>
      </c>
      <c r="BN593" s="48">
        <f>$G593/5280*VLOOKUP($AC593,'Cost and Score'!$B$27:$O$40,9,0)</f>
        <v>0</v>
      </c>
      <c r="BO593" s="48">
        <f>$G593/5280*VLOOKUP($AC593,'Cost and Score'!$B$27:$O$40,10,0)</f>
        <v>0</v>
      </c>
      <c r="BP593" s="48">
        <f>$G593/5280*VLOOKUP($AC593,'Cost and Score'!$B$27:$O$40,11,0)</f>
        <v>200.75757575757578</v>
      </c>
      <c r="BQ593" s="48">
        <f>$G593/5280*VLOOKUP($AC593,'Cost and Score'!$B$27:$O$40,12,0)</f>
        <v>1706.4393939393942</v>
      </c>
      <c r="BR593" s="48">
        <f>$G593/5280*VLOOKUP($AC593,'Cost and Score'!$B$27:$O$40,13,0)</f>
        <v>0</v>
      </c>
      <c r="BS593" s="48">
        <f>$G593/5280*VLOOKUP($AC593,'Cost and Score'!$B$27:$O$40,14,0)</f>
        <v>0</v>
      </c>
      <c r="BT593" s="220">
        <f t="shared" si="313"/>
        <v>1.0037878787878789</v>
      </c>
      <c r="CW593" s="112"/>
      <c r="CX593" s="112"/>
      <c r="CY593" s="112"/>
    </row>
    <row r="594" spans="1:103" s="2" customFormat="1" ht="14.45" hidden="1" customHeight="1" x14ac:dyDescent="0.25">
      <c r="A594" s="38" t="s">
        <v>1249</v>
      </c>
      <c r="B594" s="34" t="s">
        <v>1248</v>
      </c>
      <c r="C594" s="26" t="s">
        <v>1248</v>
      </c>
      <c r="D594" s="82"/>
      <c r="E594" s="82" t="s">
        <v>281</v>
      </c>
      <c r="F594" s="82" t="s">
        <v>38</v>
      </c>
      <c r="G594" s="29">
        <v>2644</v>
      </c>
      <c r="H594" s="29">
        <f t="shared" si="300"/>
        <v>20</v>
      </c>
      <c r="I594" s="26" t="s">
        <v>13</v>
      </c>
      <c r="J594" s="26" t="s">
        <v>17</v>
      </c>
      <c r="K594" s="26">
        <f t="shared" si="317"/>
        <v>0</v>
      </c>
      <c r="L594" s="42">
        <v>6</v>
      </c>
      <c r="M594" s="42">
        <v>6</v>
      </c>
      <c r="N594" s="42">
        <v>5</v>
      </c>
      <c r="O594" s="83">
        <v>5</v>
      </c>
      <c r="P594" s="83">
        <v>5</v>
      </c>
      <c r="Q594" s="83">
        <v>5</v>
      </c>
      <c r="R594" s="83">
        <v>5</v>
      </c>
      <c r="S594" s="83">
        <v>5</v>
      </c>
      <c r="T594" s="83">
        <v>8</v>
      </c>
      <c r="U594" s="83">
        <v>7</v>
      </c>
      <c r="V594" s="42"/>
      <c r="W594" s="42"/>
      <c r="X594" s="42"/>
      <c r="Y594" s="26">
        <v>40</v>
      </c>
      <c r="Z594" s="26">
        <f t="shared" si="301"/>
        <v>0</v>
      </c>
      <c r="AA594" s="82" t="s">
        <v>179</v>
      </c>
      <c r="AB594" s="111">
        <f t="shared" si="302"/>
        <v>5</v>
      </c>
      <c r="AC594" s="82" t="s">
        <v>2072</v>
      </c>
      <c r="AD594" s="84">
        <f t="shared" si="311"/>
        <v>23034.848484848484</v>
      </c>
      <c r="AE594" s="140"/>
      <c r="AF594" s="113">
        <f t="shared" si="299"/>
        <v>0</v>
      </c>
      <c r="AG594" s="26">
        <v>2027</v>
      </c>
      <c r="AH594" s="26" t="str">
        <f t="shared" si="316"/>
        <v/>
      </c>
      <c r="AI594" s="26" t="str">
        <f t="shared" si="305"/>
        <v/>
      </c>
      <c r="AJ594" s="26" t="str">
        <f t="shared" si="308"/>
        <v/>
      </c>
      <c r="AK594" s="26" t="str">
        <f t="shared" si="315"/>
        <v/>
      </c>
      <c r="AL594" s="26" t="str">
        <f t="shared" si="315"/>
        <v/>
      </c>
      <c r="AM594" s="26" t="str">
        <f t="shared" si="315"/>
        <v>Chip Seal - Triple</v>
      </c>
      <c r="AN594" s="26" t="str">
        <f t="shared" si="298"/>
        <v>Chip Seal - Triple</v>
      </c>
      <c r="AO594" s="26" t="str">
        <f t="shared" si="309"/>
        <v>Chip Seal - Double and Fog</v>
      </c>
      <c r="AP594" s="26" t="str">
        <f t="shared" si="318"/>
        <v/>
      </c>
      <c r="AQ594" s="68">
        <f t="shared" si="303"/>
        <v>6</v>
      </c>
      <c r="AR594" s="68">
        <f t="shared" si="304"/>
        <v>8</v>
      </c>
      <c r="AS594" s="68">
        <f t="shared" si="319"/>
        <v>1.1000000000000001</v>
      </c>
      <c r="AT594" s="68">
        <f t="shared" si="320"/>
        <v>1.1000000000000001</v>
      </c>
      <c r="AU594" s="68">
        <f t="shared" si="321"/>
        <v>1.25</v>
      </c>
      <c r="AV594" s="68">
        <f t="shared" si="322"/>
        <v>1.25</v>
      </c>
      <c r="AW594" s="68">
        <f t="shared" si="323"/>
        <v>1.25</v>
      </c>
      <c r="AX594" s="68">
        <f t="shared" ca="1" si="324"/>
        <v>3.75</v>
      </c>
      <c r="AY594" s="68">
        <v>2021</v>
      </c>
      <c r="AZ594" s="68" t="s">
        <v>2073</v>
      </c>
      <c r="BA594" s="106" t="str">
        <f t="shared" si="312"/>
        <v/>
      </c>
      <c r="BB594" s="178">
        <v>56</v>
      </c>
      <c r="BC594" s="178">
        <v>1</v>
      </c>
      <c r="BD594" s="178"/>
      <c r="BE594" s="178"/>
      <c r="BF594" s="178"/>
      <c r="BG594" s="178"/>
      <c r="BH594" s="178"/>
      <c r="BI594" s="33"/>
      <c r="BK594" s="48">
        <f>$G594/5280*VLOOKUP($AC594,'Cost and Score'!$B$27:$O$40,6,0)</f>
        <v>0.30045454545454542</v>
      </c>
      <c r="BL594" s="48">
        <f>$G594/5280*VLOOKUP($AC594,'Cost and Score'!$B$27:$O$40,7,0)</f>
        <v>62.594696969696969</v>
      </c>
      <c r="BM594" s="48">
        <f>$G594/5280*VLOOKUP($AC594,'Cost and Score'!$B$27:$O$40,8,0)</f>
        <v>100.15151515151514</v>
      </c>
      <c r="BN594" s="48">
        <f>$G594/5280*VLOOKUP($AC594,'Cost and Score'!$B$27:$O$40,9,0)</f>
        <v>1001.5151515151515</v>
      </c>
      <c r="BO594" s="48">
        <f>$G594/5280*VLOOKUP($AC594,'Cost and Score'!$B$27:$O$40,10,0)</f>
        <v>250.37878787878788</v>
      </c>
      <c r="BP594" s="48">
        <f>$G594/5280*VLOOKUP($AC594,'Cost and Score'!$B$27:$O$40,11,0)</f>
        <v>50.075757575757571</v>
      </c>
      <c r="BQ594" s="48">
        <f>$G594/5280*VLOOKUP($AC594,'Cost and Score'!$B$27:$O$40,12,0)</f>
        <v>400.60606060606057</v>
      </c>
      <c r="BR594" s="48">
        <f>$G594/5280*VLOOKUP($AC594,'Cost and Score'!$B$27:$O$40,13,0)</f>
        <v>40.060606060606062</v>
      </c>
      <c r="BS594" s="48">
        <f>$G594/5280*VLOOKUP($AC594,'Cost and Score'!$B$27:$O$40,14,0)</f>
        <v>0</v>
      </c>
      <c r="BT594" s="220">
        <f t="shared" si="313"/>
        <v>0.50075757575757573</v>
      </c>
      <c r="CW594" s="112"/>
      <c r="CX594" s="112"/>
      <c r="CY594" s="112"/>
    </row>
    <row r="595" spans="1:103" s="2" customFormat="1" ht="14.45" customHeight="1" x14ac:dyDescent="0.25">
      <c r="A595" s="15" t="s">
        <v>967</v>
      </c>
      <c r="B595" s="34" t="s">
        <v>966</v>
      </c>
      <c r="C595" s="26" t="s">
        <v>966</v>
      </c>
      <c r="D595" s="82"/>
      <c r="E595" s="82" t="s">
        <v>197</v>
      </c>
      <c r="F595" s="82" t="s">
        <v>25</v>
      </c>
      <c r="G595" s="29">
        <v>5370</v>
      </c>
      <c r="H595" s="29">
        <f t="shared" si="300"/>
        <v>20</v>
      </c>
      <c r="I595" s="26" t="s">
        <v>13</v>
      </c>
      <c r="J595" s="26" t="s">
        <v>26</v>
      </c>
      <c r="K595" s="26">
        <f t="shared" si="317"/>
        <v>0</v>
      </c>
      <c r="L595" s="42">
        <v>6</v>
      </c>
      <c r="M595" s="42">
        <v>6</v>
      </c>
      <c r="N595" s="42">
        <v>6</v>
      </c>
      <c r="O595" s="83">
        <v>6</v>
      </c>
      <c r="P595" s="83">
        <v>4</v>
      </c>
      <c r="Q595" s="83">
        <v>8</v>
      </c>
      <c r="R595" s="83">
        <v>8</v>
      </c>
      <c r="S595" s="83">
        <v>8</v>
      </c>
      <c r="T595" s="83">
        <v>7</v>
      </c>
      <c r="U595" s="83">
        <v>7</v>
      </c>
      <c r="V595" s="42"/>
      <c r="W595" s="42"/>
      <c r="X595" s="42"/>
      <c r="Y595" s="26">
        <v>49</v>
      </c>
      <c r="Z595" s="26">
        <f t="shared" si="301"/>
        <v>0</v>
      </c>
      <c r="AA595" s="82" t="s">
        <v>507</v>
      </c>
      <c r="AB595" s="111">
        <f t="shared" si="302"/>
        <v>6</v>
      </c>
      <c r="AC595" s="85" t="s">
        <v>13</v>
      </c>
      <c r="AD595" s="84">
        <f t="shared" si="311"/>
        <v>21357.954545454544</v>
      </c>
      <c r="AE595" s="140"/>
      <c r="AF595" s="113">
        <f t="shared" si="299"/>
        <v>0</v>
      </c>
      <c r="AG595" s="106">
        <v>2025</v>
      </c>
      <c r="AH595" s="26" t="str">
        <f t="shared" si="316"/>
        <v/>
      </c>
      <c r="AI595" s="26" t="str">
        <f t="shared" si="305"/>
        <v/>
      </c>
      <c r="AJ595" s="26" t="str">
        <f t="shared" si="308"/>
        <v/>
      </c>
      <c r="AK595" s="26" t="str">
        <f t="shared" si="315"/>
        <v>Chip Seal and Fog</v>
      </c>
      <c r="AL595" s="26" t="str">
        <f t="shared" si="315"/>
        <v/>
      </c>
      <c r="AM595" s="26" t="str">
        <f t="shared" si="315"/>
        <v/>
      </c>
      <c r="AN595" s="26" t="str">
        <f t="shared" si="298"/>
        <v>Chip Seal and Fog</v>
      </c>
      <c r="AO595" s="26" t="str">
        <f t="shared" si="309"/>
        <v/>
      </c>
      <c r="AP595" s="26" t="str">
        <f t="shared" si="318"/>
        <v/>
      </c>
      <c r="AQ595" s="68">
        <f t="shared" si="303"/>
        <v>8</v>
      </c>
      <c r="AR595" s="68">
        <f t="shared" si="304"/>
        <v>6</v>
      </c>
      <c r="AS595" s="68">
        <f t="shared" si="319"/>
        <v>1.1000000000000001</v>
      </c>
      <c r="AT595" s="68">
        <f t="shared" si="320"/>
        <v>1.1000000000000001</v>
      </c>
      <c r="AU595" s="68">
        <f t="shared" si="321"/>
        <v>1.1000000000000001</v>
      </c>
      <c r="AV595" s="68">
        <f t="shared" si="322"/>
        <v>1.1000000000000001</v>
      </c>
      <c r="AW595" s="68">
        <f t="shared" si="323"/>
        <v>1.5</v>
      </c>
      <c r="AX595" s="68">
        <f t="shared" ca="1" si="324"/>
        <v>1.1000000000000001</v>
      </c>
      <c r="AY595" s="68">
        <v>2019</v>
      </c>
      <c r="AZ595" s="68" t="s">
        <v>2072</v>
      </c>
      <c r="BA595" s="106" t="str">
        <f t="shared" si="312"/>
        <v/>
      </c>
      <c r="BB595" s="178"/>
      <c r="BC595" s="178">
        <v>3</v>
      </c>
      <c r="BD595" s="178"/>
      <c r="BE595" s="178"/>
      <c r="BF595" s="178"/>
      <c r="BG595" s="178"/>
      <c r="BH595" s="178"/>
      <c r="BI595" s="33" t="s">
        <v>2192</v>
      </c>
      <c r="BJ595" s="2" t="s">
        <v>2529</v>
      </c>
      <c r="BK595" s="48">
        <f>$G595/5280*VLOOKUP($AC595,'Cost and Score'!$B$27:$O$40,6,0)</f>
        <v>0.20340909090909093</v>
      </c>
      <c r="BL595" s="48">
        <f>$G595/5280*VLOOKUP($AC595,'Cost and Score'!$B$27:$O$40,7,0)</f>
        <v>22.375</v>
      </c>
      <c r="BM595" s="48">
        <f>$G595/5280*VLOOKUP($AC595,'Cost and Score'!$B$27:$O$40,8,0)</f>
        <v>0</v>
      </c>
      <c r="BN595" s="48">
        <f>$G595/5280*VLOOKUP($AC595,'Cost and Score'!$B$27:$O$40,9,0)</f>
        <v>4576.704545454546</v>
      </c>
      <c r="BO595" s="48">
        <f>$G595/5280*VLOOKUP($AC595,'Cost and Score'!$B$27:$O$40,10,0)</f>
        <v>1017.0454545454546</v>
      </c>
      <c r="BP595" s="48">
        <f>$G595/5280*VLOOKUP($AC595,'Cost and Score'!$B$27:$O$40,11,0)</f>
        <v>0</v>
      </c>
      <c r="BQ595" s="48">
        <f>$G595/5280*VLOOKUP($AC595,'Cost and Score'!$B$27:$O$40,12,0)</f>
        <v>101.70454545454545</v>
      </c>
      <c r="BR595" s="48">
        <f>$G595/5280*VLOOKUP($AC595,'Cost and Score'!$B$27:$O$40,13,0)</f>
        <v>122.04545454545455</v>
      </c>
      <c r="BS595" s="48">
        <f>$G595/5280*VLOOKUP($AC595,'Cost and Score'!$B$27:$O$40,14,0)</f>
        <v>0</v>
      </c>
      <c r="BT595" s="220">
        <f t="shared" si="313"/>
        <v>1.0170454545454546</v>
      </c>
    </row>
    <row r="596" spans="1:103" s="2" customFormat="1" ht="14.45" hidden="1" customHeight="1" x14ac:dyDescent="0.25">
      <c r="A596" s="38" t="s">
        <v>1253</v>
      </c>
      <c r="B596" s="34" t="s">
        <v>1252</v>
      </c>
      <c r="C596" s="26" t="s">
        <v>1252</v>
      </c>
      <c r="D596" s="82"/>
      <c r="E596" s="82" t="s">
        <v>86</v>
      </c>
      <c r="F596" s="82" t="s">
        <v>504</v>
      </c>
      <c r="G596" s="29">
        <v>6620</v>
      </c>
      <c r="H596" s="29">
        <f t="shared" si="300"/>
        <v>20</v>
      </c>
      <c r="I596" s="26" t="s">
        <v>62</v>
      </c>
      <c r="J596" s="26" t="s">
        <v>62</v>
      </c>
      <c r="K596" s="26">
        <f t="shared" si="317"/>
        <v>0</v>
      </c>
      <c r="L596" s="42">
        <v>6</v>
      </c>
      <c r="M596" s="42">
        <v>7</v>
      </c>
      <c r="N596" s="42">
        <v>8</v>
      </c>
      <c r="O596" s="83">
        <v>7</v>
      </c>
      <c r="P596" s="83">
        <v>7</v>
      </c>
      <c r="Q596" s="83">
        <v>7</v>
      </c>
      <c r="R596" s="83">
        <v>7</v>
      </c>
      <c r="S596" s="83">
        <v>7</v>
      </c>
      <c r="T596" s="83">
        <v>7</v>
      </c>
      <c r="U596" s="83">
        <v>7</v>
      </c>
      <c r="V596" s="42"/>
      <c r="W596" s="42"/>
      <c r="X596" s="42"/>
      <c r="Y596" s="26">
        <v>50</v>
      </c>
      <c r="Z596" s="26">
        <f t="shared" si="301"/>
        <v>0</v>
      </c>
      <c r="AA596" s="82" t="s">
        <v>910</v>
      </c>
      <c r="AB596" s="111">
        <f t="shared" si="302"/>
        <v>3</v>
      </c>
      <c r="AC596" s="85" t="s">
        <v>2076</v>
      </c>
      <c r="AD596" s="84">
        <f t="shared" si="311"/>
        <v>17553.030303030304</v>
      </c>
      <c r="AE596" s="140"/>
      <c r="AF596" s="113">
        <f t="shared" si="299"/>
        <v>0</v>
      </c>
      <c r="AG596" s="85">
        <v>2026</v>
      </c>
      <c r="AH596" s="26" t="str">
        <f t="shared" si="316"/>
        <v/>
      </c>
      <c r="AI596" s="26" t="str">
        <f t="shared" si="305"/>
        <v/>
      </c>
      <c r="AJ596" s="26" t="str">
        <f t="shared" si="308"/>
        <v/>
      </c>
      <c r="AK596" s="26" t="str">
        <f t="shared" si="315"/>
        <v/>
      </c>
      <c r="AL596" s="26" t="str">
        <f t="shared" si="315"/>
        <v>Dust Control</v>
      </c>
      <c r="AM596" s="26" t="str">
        <f t="shared" si="315"/>
        <v/>
      </c>
      <c r="AN596" s="26" t="str">
        <f t="shared" si="298"/>
        <v>Dust Control</v>
      </c>
      <c r="AO596" s="26" t="str">
        <f t="shared" si="309"/>
        <v/>
      </c>
      <c r="AP596" s="26" t="str">
        <f t="shared" si="318"/>
        <v/>
      </c>
      <c r="AQ596" s="68">
        <f t="shared" si="303"/>
        <v>10</v>
      </c>
      <c r="AR596" s="68">
        <f t="shared" si="304"/>
        <v>1</v>
      </c>
      <c r="AS596" s="68">
        <f t="shared" si="319"/>
        <v>1.1000000000000001</v>
      </c>
      <c r="AT596" s="68">
        <f t="shared" si="320"/>
        <v>1.05</v>
      </c>
      <c r="AU596" s="68">
        <f t="shared" si="321"/>
        <v>1</v>
      </c>
      <c r="AV596" s="68">
        <f t="shared" si="322"/>
        <v>1.05</v>
      </c>
      <c r="AW596" s="68">
        <f t="shared" si="323"/>
        <v>1.05</v>
      </c>
      <c r="AX596" s="68">
        <f t="shared" ca="1" si="324"/>
        <v>2</v>
      </c>
      <c r="AY596" s="68"/>
      <c r="AZ596" s="68"/>
      <c r="BA596" s="106" t="str">
        <f t="shared" si="312"/>
        <v/>
      </c>
      <c r="BB596" s="178">
        <v>54</v>
      </c>
      <c r="BC596" s="178">
        <v>4</v>
      </c>
      <c r="BD596" s="178"/>
      <c r="BE596" s="178"/>
      <c r="BF596" s="178"/>
      <c r="BG596" s="178"/>
      <c r="BH596" s="178"/>
      <c r="BI596" s="33"/>
      <c r="BJ596" s="2" t="s">
        <v>2605</v>
      </c>
      <c r="BK596" s="48">
        <f>$G596/5280*VLOOKUP($AC596,'Cost and Score'!$B$27:$O$40,6,0)</f>
        <v>1.2537878787878789</v>
      </c>
      <c r="BL596" s="48">
        <f>$G596/5280*VLOOKUP($AC596,'Cost and Score'!$B$27:$O$40,7,0)</f>
        <v>112.84090909090909</v>
      </c>
      <c r="BM596" s="48">
        <f>$G596/5280*VLOOKUP($AC596,'Cost and Score'!$B$27:$O$40,8,0)</f>
        <v>0</v>
      </c>
      <c r="BN596" s="48">
        <f>$G596/5280*VLOOKUP($AC596,'Cost and Score'!$B$27:$O$40,9,0)</f>
        <v>0</v>
      </c>
      <c r="BO596" s="48">
        <f>$G596/5280*VLOOKUP($AC596,'Cost and Score'!$B$27:$O$40,10,0)</f>
        <v>0</v>
      </c>
      <c r="BP596" s="48">
        <f>$G596/5280*VLOOKUP($AC596,'Cost and Score'!$B$27:$O$40,11,0)</f>
        <v>626.89393939393949</v>
      </c>
      <c r="BQ596" s="48">
        <f>$G596/5280*VLOOKUP($AC596,'Cost and Score'!$B$27:$O$40,12,0)</f>
        <v>0</v>
      </c>
      <c r="BR596" s="48">
        <f>$G596/5280*VLOOKUP($AC596,'Cost and Score'!$B$27:$O$40,13,0)</f>
        <v>0</v>
      </c>
      <c r="BS596" s="48">
        <f>$G596/5280*VLOOKUP($AC596,'Cost and Score'!$B$27:$O$40,14,0)</f>
        <v>0</v>
      </c>
      <c r="BT596" s="220">
        <f t="shared" si="313"/>
        <v>1.2537878787878789</v>
      </c>
      <c r="CW596" s="112"/>
      <c r="CX596" s="112"/>
      <c r="CY596" s="112"/>
    </row>
    <row r="597" spans="1:103" s="2" customFormat="1" ht="14.45" hidden="1" customHeight="1" x14ac:dyDescent="0.25">
      <c r="A597" s="38" t="s">
        <v>1255</v>
      </c>
      <c r="B597" s="34" t="s">
        <v>1254</v>
      </c>
      <c r="C597" s="26" t="s">
        <v>1254</v>
      </c>
      <c r="D597" s="82"/>
      <c r="E597" s="82" t="s">
        <v>91</v>
      </c>
      <c r="F597" s="82" t="s">
        <v>20</v>
      </c>
      <c r="G597" s="29">
        <v>930</v>
      </c>
      <c r="H597" s="29">
        <f t="shared" si="300"/>
        <v>20</v>
      </c>
      <c r="I597" s="26" t="s">
        <v>8</v>
      </c>
      <c r="J597" s="26" t="s">
        <v>17</v>
      </c>
      <c r="K597" s="26">
        <f t="shared" si="317"/>
        <v>0</v>
      </c>
      <c r="L597" s="42">
        <v>7</v>
      </c>
      <c r="M597" s="42">
        <v>7</v>
      </c>
      <c r="N597" s="42">
        <v>7</v>
      </c>
      <c r="O597" s="83">
        <v>7</v>
      </c>
      <c r="P597" s="83">
        <v>7</v>
      </c>
      <c r="Q597" s="83">
        <v>7</v>
      </c>
      <c r="R597" s="83">
        <v>7</v>
      </c>
      <c r="S597" s="83">
        <v>7</v>
      </c>
      <c r="T597" s="83">
        <v>7</v>
      </c>
      <c r="U597" s="83">
        <v>7</v>
      </c>
      <c r="V597" s="42"/>
      <c r="W597" s="42"/>
      <c r="X597" s="42"/>
      <c r="Y597" s="26">
        <v>28</v>
      </c>
      <c r="Z597" s="26">
        <f t="shared" si="301"/>
        <v>0</v>
      </c>
      <c r="AA597" s="82" t="s">
        <v>94</v>
      </c>
      <c r="AB597" s="111">
        <f t="shared" si="302"/>
        <v>3</v>
      </c>
      <c r="AC597" s="82" t="s">
        <v>13</v>
      </c>
      <c r="AD597" s="84">
        <f t="shared" si="311"/>
        <v>3698.8636363636365</v>
      </c>
      <c r="AE597" s="140"/>
      <c r="AF597" s="113">
        <f t="shared" si="299"/>
        <v>0</v>
      </c>
      <c r="AG597" s="26">
        <v>2027</v>
      </c>
      <c r="AH597" s="26" t="str">
        <f t="shared" si="316"/>
        <v/>
      </c>
      <c r="AI597" s="26" t="str">
        <f t="shared" si="305"/>
        <v/>
      </c>
      <c r="AJ597" s="26" t="str">
        <f t="shared" si="308"/>
        <v/>
      </c>
      <c r="AK597" s="26" t="str">
        <f t="shared" si="315"/>
        <v/>
      </c>
      <c r="AL597" s="26" t="str">
        <f t="shared" si="315"/>
        <v/>
      </c>
      <c r="AM597" s="26" t="str">
        <f t="shared" si="315"/>
        <v>Chip Seal and Fog</v>
      </c>
      <c r="AN597" s="26" t="str">
        <f t="shared" ref="AN597:AN660" si="325">VLOOKUP($AC597,RSL,3,FALSE)</f>
        <v>Chip Seal and Fog</v>
      </c>
      <c r="AO597" s="26" t="str">
        <f t="shared" si="309"/>
        <v>Chip Seal and Fog</v>
      </c>
      <c r="AP597" s="26" t="str">
        <f t="shared" si="318"/>
        <v/>
      </c>
      <c r="AQ597" s="68">
        <f t="shared" si="303"/>
        <v>10</v>
      </c>
      <c r="AR597" s="68">
        <f t="shared" si="304"/>
        <v>6</v>
      </c>
      <c r="AS597" s="68">
        <f t="shared" si="319"/>
        <v>1.05</v>
      </c>
      <c r="AT597" s="68">
        <f t="shared" si="320"/>
        <v>1.05</v>
      </c>
      <c r="AU597" s="68">
        <f t="shared" si="321"/>
        <v>1.05</v>
      </c>
      <c r="AV597" s="68">
        <f t="shared" si="322"/>
        <v>1.05</v>
      </c>
      <c r="AW597" s="68">
        <f t="shared" si="323"/>
        <v>1.05</v>
      </c>
      <c r="AX597" s="68">
        <f t="shared" ca="1" si="324"/>
        <v>3.1500000000000004</v>
      </c>
      <c r="AY597" s="68">
        <v>2021</v>
      </c>
      <c r="AZ597" s="68" t="s">
        <v>13</v>
      </c>
      <c r="BA597" s="106" t="str">
        <f t="shared" si="312"/>
        <v/>
      </c>
      <c r="BB597" s="178">
        <v>60</v>
      </c>
      <c r="BC597" s="178">
        <v>1</v>
      </c>
      <c r="BD597" s="178"/>
      <c r="BE597" s="178"/>
      <c r="BF597" s="178"/>
      <c r="BG597" s="178"/>
      <c r="BH597" s="178"/>
      <c r="BI597" s="33"/>
      <c r="BK597" s="48">
        <f>$G597/5280*VLOOKUP($AC597,'Cost and Score'!$B$27:$O$40,6,0)</f>
        <v>3.5227272727272732E-2</v>
      </c>
      <c r="BL597" s="48">
        <f>$G597/5280*VLOOKUP($AC597,'Cost and Score'!$B$27:$O$40,7,0)</f>
        <v>3.875</v>
      </c>
      <c r="BM597" s="48">
        <f>$G597/5280*VLOOKUP($AC597,'Cost and Score'!$B$27:$O$40,8,0)</f>
        <v>0</v>
      </c>
      <c r="BN597" s="48">
        <f>$G597/5280*VLOOKUP($AC597,'Cost and Score'!$B$27:$O$40,9,0)</f>
        <v>792.61363636363637</v>
      </c>
      <c r="BO597" s="48">
        <f>$G597/5280*VLOOKUP($AC597,'Cost and Score'!$B$27:$O$40,10,0)</f>
        <v>176.13636363636365</v>
      </c>
      <c r="BP597" s="48">
        <f>$G597/5280*VLOOKUP($AC597,'Cost and Score'!$B$27:$O$40,11,0)</f>
        <v>0</v>
      </c>
      <c r="BQ597" s="48">
        <f>$G597/5280*VLOOKUP($AC597,'Cost and Score'!$B$27:$O$40,12,0)</f>
        <v>17.613636363636363</v>
      </c>
      <c r="BR597" s="48">
        <f>$G597/5280*VLOOKUP($AC597,'Cost and Score'!$B$27:$O$40,13,0)</f>
        <v>21.136363636363637</v>
      </c>
      <c r="BS597" s="48">
        <f>$G597/5280*VLOOKUP($AC597,'Cost and Score'!$B$27:$O$40,14,0)</f>
        <v>0</v>
      </c>
      <c r="BT597" s="220">
        <f t="shared" si="313"/>
        <v>0.17613636363636365</v>
      </c>
      <c r="CW597" s="112"/>
      <c r="CX597" s="112"/>
      <c r="CY597" s="112"/>
    </row>
    <row r="598" spans="1:103" s="2" customFormat="1" ht="14.45" hidden="1" customHeight="1" x14ac:dyDescent="0.25">
      <c r="A598" s="38" t="s">
        <v>1257</v>
      </c>
      <c r="B598" s="34" t="s">
        <v>1256</v>
      </c>
      <c r="C598" s="26" t="s">
        <v>1256</v>
      </c>
      <c r="D598" s="82"/>
      <c r="E598" s="82" t="s">
        <v>20</v>
      </c>
      <c r="F598" s="82" t="s">
        <v>21</v>
      </c>
      <c r="G598" s="29">
        <v>5360</v>
      </c>
      <c r="H598" s="29">
        <f t="shared" si="300"/>
        <v>20</v>
      </c>
      <c r="I598" s="26" t="s">
        <v>8</v>
      </c>
      <c r="J598" s="26" t="s">
        <v>17</v>
      </c>
      <c r="K598" s="26">
        <f t="shared" si="317"/>
        <v>0</v>
      </c>
      <c r="L598" s="42">
        <v>7</v>
      </c>
      <c r="M598" s="42">
        <v>7</v>
      </c>
      <c r="N598" s="42">
        <v>7</v>
      </c>
      <c r="O598" s="83">
        <v>7</v>
      </c>
      <c r="P598" s="83">
        <v>7</v>
      </c>
      <c r="Q598" s="83">
        <v>6</v>
      </c>
      <c r="R598" s="83">
        <v>6</v>
      </c>
      <c r="S598" s="83">
        <v>6</v>
      </c>
      <c r="T598" s="83">
        <v>8</v>
      </c>
      <c r="U598" s="83">
        <v>8</v>
      </c>
      <c r="V598" s="42"/>
      <c r="W598" s="42"/>
      <c r="X598" s="42"/>
      <c r="Y598" s="26">
        <v>31</v>
      </c>
      <c r="Z598" s="26">
        <f t="shared" si="301"/>
        <v>0</v>
      </c>
      <c r="AA598" s="82" t="s">
        <v>94</v>
      </c>
      <c r="AB598" s="111">
        <f t="shared" si="302"/>
        <v>3</v>
      </c>
      <c r="AC598" s="82" t="s">
        <v>2072</v>
      </c>
      <c r="AD598" s="84">
        <f t="shared" si="311"/>
        <v>46696.969696969696</v>
      </c>
      <c r="AE598" s="140"/>
      <c r="AF598" s="113">
        <f t="shared" si="299"/>
        <v>0</v>
      </c>
      <c r="AG598" s="26">
        <v>2027</v>
      </c>
      <c r="AH598" s="26" t="str">
        <f t="shared" si="316"/>
        <v/>
      </c>
      <c r="AI598" s="26" t="str">
        <f t="shared" si="305"/>
        <v/>
      </c>
      <c r="AJ598" s="26" t="str">
        <f t="shared" si="308"/>
        <v/>
      </c>
      <c r="AK598" s="26" t="str">
        <f t="shared" si="315"/>
        <v/>
      </c>
      <c r="AL598" s="26" t="str">
        <f t="shared" si="315"/>
        <v/>
      </c>
      <c r="AM598" s="26" t="str">
        <f t="shared" si="315"/>
        <v>Chip Seal - Triple</v>
      </c>
      <c r="AN598" s="26" t="str">
        <f t="shared" si="325"/>
        <v>Chip Seal - Triple</v>
      </c>
      <c r="AO598" s="26" t="str">
        <f t="shared" si="309"/>
        <v>Chip Seal and Fog</v>
      </c>
      <c r="AP598" s="26" t="str">
        <f t="shared" si="318"/>
        <v/>
      </c>
      <c r="AQ598" s="68">
        <f t="shared" si="303"/>
        <v>10</v>
      </c>
      <c r="AR598" s="68">
        <f t="shared" si="304"/>
        <v>8</v>
      </c>
      <c r="AS598" s="68">
        <f t="shared" si="319"/>
        <v>1.05</v>
      </c>
      <c r="AT598" s="68">
        <f t="shared" si="320"/>
        <v>1.05</v>
      </c>
      <c r="AU598" s="68">
        <f t="shared" si="321"/>
        <v>1.05</v>
      </c>
      <c r="AV598" s="68">
        <f t="shared" si="322"/>
        <v>1.05</v>
      </c>
      <c r="AW598" s="68">
        <f t="shared" si="323"/>
        <v>1.05</v>
      </c>
      <c r="AX598" s="68">
        <f t="shared" ca="1" si="324"/>
        <v>3.1500000000000004</v>
      </c>
      <c r="AY598" s="68">
        <v>2021</v>
      </c>
      <c r="AZ598" s="68" t="s">
        <v>13</v>
      </c>
      <c r="BA598" s="106" t="str">
        <f t="shared" si="312"/>
        <v/>
      </c>
      <c r="BB598" s="178">
        <v>59</v>
      </c>
      <c r="BC598" s="178">
        <v>1</v>
      </c>
      <c r="BD598" s="178"/>
      <c r="BE598" s="178"/>
      <c r="BF598" s="178"/>
      <c r="BG598" s="178"/>
      <c r="BH598" s="178"/>
      <c r="BI598" s="33"/>
      <c r="BK598" s="48">
        <f>$G598/5280*VLOOKUP($AC598,'Cost and Score'!$B$27:$O$40,6,0)</f>
        <v>0.60909090909090902</v>
      </c>
      <c r="BL598" s="48">
        <f>$G598/5280*VLOOKUP($AC598,'Cost and Score'!$B$27:$O$40,7,0)</f>
        <v>126.89393939393939</v>
      </c>
      <c r="BM598" s="48">
        <f>$G598/5280*VLOOKUP($AC598,'Cost and Score'!$B$27:$O$40,8,0)</f>
        <v>203.03030303030303</v>
      </c>
      <c r="BN598" s="48">
        <f>$G598/5280*VLOOKUP($AC598,'Cost and Score'!$B$27:$O$40,9,0)</f>
        <v>2030.3030303030303</v>
      </c>
      <c r="BO598" s="48">
        <f>$G598/5280*VLOOKUP($AC598,'Cost and Score'!$B$27:$O$40,10,0)</f>
        <v>507.57575757575756</v>
      </c>
      <c r="BP598" s="48">
        <f>$G598/5280*VLOOKUP($AC598,'Cost and Score'!$B$27:$O$40,11,0)</f>
        <v>101.51515151515152</v>
      </c>
      <c r="BQ598" s="48">
        <f>$G598/5280*VLOOKUP($AC598,'Cost and Score'!$B$27:$O$40,12,0)</f>
        <v>812.12121212121212</v>
      </c>
      <c r="BR598" s="48">
        <f>$G598/5280*VLOOKUP($AC598,'Cost and Score'!$B$27:$O$40,13,0)</f>
        <v>81.212121212121218</v>
      </c>
      <c r="BS598" s="48">
        <f>$G598/5280*VLOOKUP($AC598,'Cost and Score'!$B$27:$O$40,14,0)</f>
        <v>0</v>
      </c>
      <c r="BT598" s="220">
        <f t="shared" si="313"/>
        <v>1.0151515151515151</v>
      </c>
      <c r="CF598" s="112"/>
      <c r="CR598" s="112"/>
    </row>
    <row r="599" spans="1:103" s="2" customFormat="1" ht="14.45" hidden="1" customHeight="1" x14ac:dyDescent="0.25">
      <c r="A599" s="38" t="s">
        <v>1259</v>
      </c>
      <c r="B599" s="34" t="s">
        <v>1258</v>
      </c>
      <c r="C599" s="26" t="s">
        <v>1258</v>
      </c>
      <c r="D599" s="26"/>
      <c r="E599" s="26" t="s">
        <v>940</v>
      </c>
      <c r="F599" s="26" t="s">
        <v>100</v>
      </c>
      <c r="G599" s="29">
        <v>3848</v>
      </c>
      <c r="H599" s="29">
        <f t="shared" si="300"/>
        <v>20</v>
      </c>
      <c r="I599" s="26" t="s">
        <v>13</v>
      </c>
      <c r="J599" s="26" t="s">
        <v>172</v>
      </c>
      <c r="K599" s="26">
        <f t="shared" si="317"/>
        <v>0</v>
      </c>
      <c r="L599" s="42">
        <v>5</v>
      </c>
      <c r="M599" s="42">
        <v>5</v>
      </c>
      <c r="N599" s="42">
        <v>8</v>
      </c>
      <c r="O599" s="42">
        <v>7</v>
      </c>
      <c r="P599" s="42">
        <v>7</v>
      </c>
      <c r="Q599" s="42">
        <v>7</v>
      </c>
      <c r="R599" s="42">
        <v>7</v>
      </c>
      <c r="S599" s="42">
        <v>6</v>
      </c>
      <c r="T599" s="42">
        <v>6</v>
      </c>
      <c r="U599" s="42">
        <v>8</v>
      </c>
      <c r="V599" s="42"/>
      <c r="W599" s="42"/>
      <c r="X599" s="42"/>
      <c r="Y599" s="26">
        <v>50</v>
      </c>
      <c r="Z599" s="26">
        <f t="shared" si="301"/>
        <v>0</v>
      </c>
      <c r="AA599" s="26" t="s">
        <v>94</v>
      </c>
      <c r="AB599" s="111">
        <f t="shared" si="302"/>
        <v>3</v>
      </c>
      <c r="AC599" s="26" t="s">
        <v>13</v>
      </c>
      <c r="AD599" s="47">
        <f t="shared" si="311"/>
        <v>15304.545454545454</v>
      </c>
      <c r="AE599" s="140"/>
      <c r="AF599" s="113">
        <f t="shared" si="299"/>
        <v>0</v>
      </c>
      <c r="AG599" s="26">
        <v>2022</v>
      </c>
      <c r="AH599" s="26" t="str">
        <f t="shared" si="316"/>
        <v>Chip Seal and Fog</v>
      </c>
      <c r="AI599" s="26" t="str">
        <f t="shared" si="305"/>
        <v/>
      </c>
      <c r="AJ599" s="26" t="str">
        <f t="shared" si="308"/>
        <v/>
      </c>
      <c r="AK599" s="26" t="str">
        <f t="shared" si="315"/>
        <v/>
      </c>
      <c r="AL599" s="26" t="str">
        <f t="shared" si="315"/>
        <v/>
      </c>
      <c r="AM599" s="26" t="str">
        <f t="shared" si="315"/>
        <v/>
      </c>
      <c r="AN599" s="26" t="str">
        <f t="shared" si="325"/>
        <v>Chip Seal and Fog</v>
      </c>
      <c r="AO599" s="26" t="str">
        <f t="shared" si="309"/>
        <v/>
      </c>
      <c r="AP599" s="26" t="str">
        <f t="shared" si="318"/>
        <v/>
      </c>
      <c r="AQ599" s="68">
        <f t="shared" si="303"/>
        <v>10</v>
      </c>
      <c r="AR599" s="68">
        <f t="shared" si="304"/>
        <v>6</v>
      </c>
      <c r="AS599" s="68">
        <f t="shared" si="319"/>
        <v>1.25</v>
      </c>
      <c r="AT599" s="68">
        <f t="shared" si="320"/>
        <v>1.25</v>
      </c>
      <c r="AU599" s="68">
        <f t="shared" si="321"/>
        <v>1</v>
      </c>
      <c r="AV599" s="68">
        <f t="shared" si="322"/>
        <v>1.05</v>
      </c>
      <c r="AW599" s="68">
        <f t="shared" si="323"/>
        <v>1.05</v>
      </c>
      <c r="AX599" s="68">
        <f t="shared" ca="1" si="324"/>
        <v>-2</v>
      </c>
      <c r="AY599" s="68">
        <v>2015</v>
      </c>
      <c r="AZ599" s="68" t="s">
        <v>2073</v>
      </c>
      <c r="BA599" s="106" t="str">
        <f t="shared" si="312"/>
        <v/>
      </c>
      <c r="BB599" s="178"/>
      <c r="BC599" s="178">
        <v>7</v>
      </c>
      <c r="BD599" s="178"/>
      <c r="BE599" s="178"/>
      <c r="BF599" s="178"/>
      <c r="BG599" s="178"/>
      <c r="BH599" s="178"/>
      <c r="BI599" s="33" t="s">
        <v>2192</v>
      </c>
      <c r="BJ599" s="2" t="s">
        <v>2537</v>
      </c>
      <c r="BK599" s="48">
        <f>$G599/5280*VLOOKUP($AC599,'Cost and Score'!$B$27:$O$40,6,0)</f>
        <v>0.14575757575757575</v>
      </c>
      <c r="BL599" s="48">
        <f>$G599/5280*VLOOKUP($AC599,'Cost and Score'!$B$27:$O$40,7,0)</f>
        <v>16.033333333333331</v>
      </c>
      <c r="BM599" s="48">
        <f>$G599/5280*VLOOKUP($AC599,'Cost and Score'!$B$27:$O$40,8,0)</f>
        <v>0</v>
      </c>
      <c r="BN599" s="48">
        <f>$G599/5280*VLOOKUP($AC599,'Cost and Score'!$B$27:$O$40,9,0)</f>
        <v>3279.5454545454545</v>
      </c>
      <c r="BO599" s="48">
        <f>$G599/5280*VLOOKUP($AC599,'Cost and Score'!$B$27:$O$40,10,0)</f>
        <v>728.78787878787875</v>
      </c>
      <c r="BP599" s="48">
        <f>$G599/5280*VLOOKUP($AC599,'Cost and Score'!$B$27:$O$40,11,0)</f>
        <v>0</v>
      </c>
      <c r="BQ599" s="48">
        <f>$G599/5280*VLOOKUP($AC599,'Cost and Score'!$B$27:$O$40,12,0)</f>
        <v>72.878787878787875</v>
      </c>
      <c r="BR599" s="48">
        <f>$G599/5280*VLOOKUP($AC599,'Cost and Score'!$B$27:$O$40,13,0)</f>
        <v>87.454545454545453</v>
      </c>
      <c r="BS599" s="48">
        <f>$G599/5280*VLOOKUP($AC599,'Cost and Score'!$B$27:$O$40,14,0)</f>
        <v>0</v>
      </c>
      <c r="BT599" s="220">
        <f t="shared" si="313"/>
        <v>0.72878787878787876</v>
      </c>
    </row>
    <row r="600" spans="1:103" s="2" customFormat="1" ht="14.45" hidden="1" customHeight="1" x14ac:dyDescent="0.25">
      <c r="A600" s="38" t="s">
        <v>1261</v>
      </c>
      <c r="B600" s="34" t="s">
        <v>1260</v>
      </c>
      <c r="C600" s="26" t="s">
        <v>1260</v>
      </c>
      <c r="D600" s="26"/>
      <c r="E600" s="26" t="s">
        <v>213</v>
      </c>
      <c r="F600" s="26" t="s">
        <v>35</v>
      </c>
      <c r="G600" s="29">
        <v>2692</v>
      </c>
      <c r="H600" s="29">
        <f t="shared" si="300"/>
        <v>20</v>
      </c>
      <c r="I600" s="26" t="s">
        <v>8</v>
      </c>
      <c r="J600" s="26" t="s">
        <v>17</v>
      </c>
      <c r="K600" s="26">
        <f t="shared" si="317"/>
        <v>0</v>
      </c>
      <c r="L600" s="42">
        <v>5</v>
      </c>
      <c r="M600" s="42">
        <v>7</v>
      </c>
      <c r="N600" s="42">
        <v>7</v>
      </c>
      <c r="O600" s="42">
        <v>6</v>
      </c>
      <c r="P600" s="42">
        <v>5</v>
      </c>
      <c r="Q600" s="42">
        <v>5</v>
      </c>
      <c r="R600" s="42">
        <v>5</v>
      </c>
      <c r="S600" s="42">
        <v>8</v>
      </c>
      <c r="T600" s="42">
        <v>7</v>
      </c>
      <c r="U600" s="42">
        <v>8</v>
      </c>
      <c r="V600" s="42"/>
      <c r="W600" s="42"/>
      <c r="X600" s="42"/>
      <c r="Y600" s="26">
        <v>16</v>
      </c>
      <c r="Z600" s="26">
        <f t="shared" si="301"/>
        <v>0</v>
      </c>
      <c r="AA600" s="26" t="s">
        <v>94</v>
      </c>
      <c r="AB600" s="111">
        <f t="shared" si="302"/>
        <v>5</v>
      </c>
      <c r="AC600" s="85" t="s">
        <v>13</v>
      </c>
      <c r="AD600" s="47">
        <f t="shared" si="311"/>
        <v>10706.818181818182</v>
      </c>
      <c r="AE600" s="140"/>
      <c r="AF600" s="113">
        <f t="shared" ref="AF600:AF663" si="326">AD600*AE600</f>
        <v>0</v>
      </c>
      <c r="AG600" s="85">
        <v>2026</v>
      </c>
      <c r="AH600" s="26" t="str">
        <f t="shared" si="316"/>
        <v/>
      </c>
      <c r="AI600" s="26" t="str">
        <f t="shared" si="305"/>
        <v/>
      </c>
      <c r="AJ600" s="26" t="str">
        <f t="shared" si="308"/>
        <v/>
      </c>
      <c r="AK600" s="26" t="str">
        <f t="shared" si="315"/>
        <v/>
      </c>
      <c r="AL600" s="26" t="str">
        <f t="shared" si="315"/>
        <v>Chip Seal and Fog</v>
      </c>
      <c r="AM600" s="26" t="str">
        <f t="shared" si="315"/>
        <v/>
      </c>
      <c r="AN600" s="26" t="str">
        <f t="shared" si="325"/>
        <v>Chip Seal and Fog</v>
      </c>
      <c r="AO600" s="26" t="str">
        <f t="shared" si="309"/>
        <v/>
      </c>
      <c r="AP600" s="26" t="str">
        <f t="shared" si="318"/>
        <v/>
      </c>
      <c r="AQ600" s="68">
        <f t="shared" si="303"/>
        <v>8</v>
      </c>
      <c r="AR600" s="68">
        <f t="shared" si="304"/>
        <v>6</v>
      </c>
      <c r="AS600" s="68">
        <f t="shared" si="319"/>
        <v>1.25</v>
      </c>
      <c r="AT600" s="68">
        <f t="shared" si="320"/>
        <v>1.05</v>
      </c>
      <c r="AU600" s="68">
        <f t="shared" si="321"/>
        <v>1.05</v>
      </c>
      <c r="AV600" s="68">
        <f t="shared" si="322"/>
        <v>1.1000000000000001</v>
      </c>
      <c r="AW600" s="68">
        <f t="shared" si="323"/>
        <v>1.25</v>
      </c>
      <c r="AX600" s="68">
        <f t="shared" ca="1" si="324"/>
        <v>2.1</v>
      </c>
      <c r="AY600" s="68">
        <v>2020</v>
      </c>
      <c r="AZ600" s="68" t="s">
        <v>751</v>
      </c>
      <c r="BA600" s="106" t="str">
        <f t="shared" si="312"/>
        <v/>
      </c>
      <c r="BB600" s="178">
        <v>58</v>
      </c>
      <c r="BC600" s="178">
        <v>5</v>
      </c>
      <c r="BD600" s="178"/>
      <c r="BE600" s="178"/>
      <c r="BF600" s="178"/>
      <c r="BG600" s="178"/>
      <c r="BH600" s="178"/>
      <c r="BI600" s="33"/>
      <c r="BK600" s="48">
        <f>$G600/5280*VLOOKUP($AC600,'Cost and Score'!$B$27:$O$40,6,0)</f>
        <v>0.10196969696969699</v>
      </c>
      <c r="BL600" s="48">
        <f>$G600/5280*VLOOKUP($AC600,'Cost and Score'!$B$27:$O$40,7,0)</f>
        <v>11.216666666666667</v>
      </c>
      <c r="BM600" s="48">
        <f>$G600/5280*VLOOKUP($AC600,'Cost and Score'!$B$27:$O$40,8,0)</f>
        <v>0</v>
      </c>
      <c r="BN600" s="48">
        <f>$G600/5280*VLOOKUP($AC600,'Cost and Score'!$B$27:$O$40,9,0)</f>
        <v>2294.318181818182</v>
      </c>
      <c r="BO600" s="48">
        <f>$G600/5280*VLOOKUP($AC600,'Cost and Score'!$B$27:$O$40,10,0)</f>
        <v>509.84848484848487</v>
      </c>
      <c r="BP600" s="48">
        <f>$G600/5280*VLOOKUP($AC600,'Cost and Score'!$B$27:$O$40,11,0)</f>
        <v>0</v>
      </c>
      <c r="BQ600" s="48">
        <f>$G600/5280*VLOOKUP($AC600,'Cost and Score'!$B$27:$O$40,12,0)</f>
        <v>50.984848484848492</v>
      </c>
      <c r="BR600" s="48">
        <f>$G600/5280*VLOOKUP($AC600,'Cost and Score'!$B$27:$O$40,13,0)</f>
        <v>61.181818181818187</v>
      </c>
      <c r="BS600" s="48">
        <f>$G600/5280*VLOOKUP($AC600,'Cost and Score'!$B$27:$O$40,14,0)</f>
        <v>0</v>
      </c>
      <c r="BT600" s="220">
        <f t="shared" si="313"/>
        <v>0.50984848484848488</v>
      </c>
      <c r="CG600" s="112"/>
      <c r="CH600" s="112"/>
      <c r="CI600" s="112"/>
      <c r="CJ600" s="112"/>
      <c r="CK600" s="112"/>
      <c r="CL600" s="112"/>
      <c r="CM600" s="112"/>
    </row>
    <row r="601" spans="1:103" s="2" customFormat="1" ht="14.45" hidden="1" customHeight="1" x14ac:dyDescent="0.25">
      <c r="A601" s="38" t="s">
        <v>1263</v>
      </c>
      <c r="B601" s="34" t="s">
        <v>1262</v>
      </c>
      <c r="C601" s="26" t="s">
        <v>1262</v>
      </c>
      <c r="D601" s="26"/>
      <c r="E601" s="26" t="s">
        <v>281</v>
      </c>
      <c r="F601" s="26" t="s">
        <v>91</v>
      </c>
      <c r="G601" s="29">
        <v>2010</v>
      </c>
      <c r="H601" s="29">
        <f t="shared" si="300"/>
        <v>20</v>
      </c>
      <c r="I601" s="26" t="s">
        <v>13</v>
      </c>
      <c r="J601" s="26" t="s">
        <v>17</v>
      </c>
      <c r="K601" s="26">
        <f t="shared" si="317"/>
        <v>0</v>
      </c>
      <c r="L601" s="42">
        <v>7</v>
      </c>
      <c r="M601" s="42">
        <v>8</v>
      </c>
      <c r="N601" s="42">
        <v>7</v>
      </c>
      <c r="O601" s="42">
        <v>7</v>
      </c>
      <c r="P601" s="42">
        <v>6</v>
      </c>
      <c r="Q601" s="42">
        <v>6</v>
      </c>
      <c r="R601" s="42">
        <v>6</v>
      </c>
      <c r="S601" s="42">
        <v>6</v>
      </c>
      <c r="T601" s="42">
        <v>6</v>
      </c>
      <c r="U601" s="42">
        <v>6</v>
      </c>
      <c r="V601" s="42"/>
      <c r="W601" s="42"/>
      <c r="X601" s="42"/>
      <c r="Y601" s="26">
        <v>17</v>
      </c>
      <c r="Z601" s="26">
        <f t="shared" si="301"/>
        <v>0</v>
      </c>
      <c r="AA601" s="26" t="s">
        <v>94</v>
      </c>
      <c r="AB601" s="111">
        <f t="shared" si="302"/>
        <v>4</v>
      </c>
      <c r="AC601" s="26" t="s">
        <v>2073</v>
      </c>
      <c r="AD601" s="47">
        <f t="shared" si="311"/>
        <v>12181.818181818182</v>
      </c>
      <c r="AE601" s="140">
        <v>1</v>
      </c>
      <c r="AF601" s="113">
        <f t="shared" si="326"/>
        <v>12181.818181818182</v>
      </c>
      <c r="AG601" s="26">
        <v>2023</v>
      </c>
      <c r="AH601" s="26" t="str">
        <f t="shared" si="316"/>
        <v/>
      </c>
      <c r="AI601" s="26" t="str">
        <f t="shared" si="305"/>
        <v>Chip Seal - Double and Fog</v>
      </c>
      <c r="AJ601" s="26" t="str">
        <f t="shared" si="308"/>
        <v/>
      </c>
      <c r="AK601" s="26" t="str">
        <f t="shared" si="315"/>
        <v/>
      </c>
      <c r="AL601" s="26" t="str">
        <f t="shared" si="315"/>
        <v/>
      </c>
      <c r="AM601" s="26" t="str">
        <f t="shared" si="315"/>
        <v/>
      </c>
      <c r="AN601" s="26" t="str">
        <f t="shared" si="325"/>
        <v>Chip Seal - Double and Fog</v>
      </c>
      <c r="AO601" s="26" t="str">
        <f t="shared" si="309"/>
        <v/>
      </c>
      <c r="AP601" s="26" t="str">
        <f t="shared" si="318"/>
        <v/>
      </c>
      <c r="AQ601" s="68">
        <f t="shared" si="303"/>
        <v>10</v>
      </c>
      <c r="AR601" s="68">
        <f t="shared" si="304"/>
        <v>6</v>
      </c>
      <c r="AS601" s="68">
        <f t="shared" si="319"/>
        <v>1.05</v>
      </c>
      <c r="AT601" s="68">
        <f t="shared" si="320"/>
        <v>1</v>
      </c>
      <c r="AU601" s="68">
        <f t="shared" si="321"/>
        <v>1.05</v>
      </c>
      <c r="AV601" s="68">
        <f t="shared" si="322"/>
        <v>1.05</v>
      </c>
      <c r="AW601" s="68">
        <f t="shared" si="323"/>
        <v>1.1000000000000001</v>
      </c>
      <c r="AX601" s="68">
        <f t="shared" ca="1" si="324"/>
        <v>-1.05</v>
      </c>
      <c r="AY601" s="68">
        <v>2023</v>
      </c>
      <c r="AZ601" s="68" t="s">
        <v>2073</v>
      </c>
      <c r="BA601" s="106" t="str">
        <f t="shared" si="312"/>
        <v/>
      </c>
      <c r="BB601" s="178"/>
      <c r="BC601" s="178">
        <v>1</v>
      </c>
      <c r="BD601" s="178"/>
      <c r="BE601" s="178"/>
      <c r="BF601" s="178"/>
      <c r="BG601" s="178"/>
      <c r="BH601" s="178"/>
      <c r="BI601" s="33"/>
      <c r="BK601" s="48">
        <f>$G601/5280*VLOOKUP($AC601,'Cost and Score'!$B$27:$O$40,6,0)</f>
        <v>0.19034090909090909</v>
      </c>
      <c r="BL601" s="48">
        <f>$G601/5280*VLOOKUP($AC601,'Cost and Score'!$B$27:$O$40,7,0)</f>
        <v>19.03409090909091</v>
      </c>
      <c r="BM601" s="48">
        <f>$G601/5280*VLOOKUP($AC601,'Cost and Score'!$B$27:$O$40,8,0)</f>
        <v>0</v>
      </c>
      <c r="BN601" s="48">
        <f>$G601/5280*VLOOKUP($AC601,'Cost and Score'!$B$27:$O$40,9,0)</f>
        <v>3616.4772727272725</v>
      </c>
      <c r="BO601" s="48">
        <f>$G601/5280*VLOOKUP($AC601,'Cost and Score'!$B$27:$O$40,10,0)</f>
        <v>380.68181818181819</v>
      </c>
      <c r="BP601" s="48">
        <f>$G601/5280*VLOOKUP($AC601,'Cost and Score'!$B$27:$O$40,11,0)</f>
        <v>0</v>
      </c>
      <c r="BQ601" s="48">
        <f>$G601/5280*VLOOKUP($AC601,'Cost and Score'!$B$27:$O$40,12,0)</f>
        <v>76.13636363636364</v>
      </c>
      <c r="BR601" s="48">
        <f>$G601/5280*VLOOKUP($AC601,'Cost and Score'!$B$27:$O$40,13,0)</f>
        <v>68.522727272727266</v>
      </c>
      <c r="BS601" s="48">
        <f>$G601/5280*VLOOKUP($AC601,'Cost and Score'!$B$27:$O$40,14,0)</f>
        <v>91.36363636363636</v>
      </c>
      <c r="BT601" s="220">
        <f t="shared" si="313"/>
        <v>0.38068181818181818</v>
      </c>
      <c r="CW601" s="112"/>
      <c r="CX601" s="112"/>
      <c r="CY601" s="112"/>
    </row>
    <row r="602" spans="1:103" s="2" customFormat="1" ht="14.45" hidden="1" customHeight="1" x14ac:dyDescent="0.25">
      <c r="A602" s="38" t="s">
        <v>1265</v>
      </c>
      <c r="B602" s="34" t="s">
        <v>1264</v>
      </c>
      <c r="C602" s="26" t="s">
        <v>1264</v>
      </c>
      <c r="D602" s="82"/>
      <c r="E602" s="82" t="s">
        <v>39</v>
      </c>
      <c r="F602" s="82" t="s">
        <v>213</v>
      </c>
      <c r="G602" s="29">
        <v>5312</v>
      </c>
      <c r="H602" s="29">
        <f t="shared" ref="H602:H665" si="327">IF(I602="NC",26,20)</f>
        <v>20</v>
      </c>
      <c r="I602" s="26" t="s">
        <v>8</v>
      </c>
      <c r="J602" s="26" t="s">
        <v>17</v>
      </c>
      <c r="K602" s="26">
        <f t="shared" si="317"/>
        <v>0</v>
      </c>
      <c r="L602" s="42">
        <v>6</v>
      </c>
      <c r="M602" s="42">
        <v>6</v>
      </c>
      <c r="N602" s="42">
        <v>6</v>
      </c>
      <c r="O602" s="83">
        <v>5</v>
      </c>
      <c r="P602" s="83">
        <v>4</v>
      </c>
      <c r="Q602" s="83">
        <v>9</v>
      </c>
      <c r="R602" s="83">
        <v>9</v>
      </c>
      <c r="S602" s="83">
        <v>8</v>
      </c>
      <c r="T602" s="83">
        <v>7</v>
      </c>
      <c r="U602" s="83">
        <v>8</v>
      </c>
      <c r="V602" s="42"/>
      <c r="W602" s="42"/>
      <c r="X602" s="42"/>
      <c r="Y602" s="26">
        <v>16</v>
      </c>
      <c r="Z602" s="26">
        <f t="shared" ref="Z602:Z665" si="328">VLOOKUP(Y602,AADT,2)</f>
        <v>0</v>
      </c>
      <c r="AA602" s="82" t="s">
        <v>94</v>
      </c>
      <c r="AB602" s="111">
        <f t="shared" ref="AB602:AB665" si="329">(10-P602)+Z602+K602</f>
        <v>6</v>
      </c>
      <c r="AC602" s="85" t="s">
        <v>13</v>
      </c>
      <c r="AD602" s="84">
        <f t="shared" si="311"/>
        <v>21127.272727272728</v>
      </c>
      <c r="AE602" s="140">
        <v>1</v>
      </c>
      <c r="AF602" s="113">
        <f t="shared" si="326"/>
        <v>21127.272727272728</v>
      </c>
      <c r="AG602" s="26">
        <v>2024</v>
      </c>
      <c r="AH602" s="26" t="str">
        <f t="shared" si="316"/>
        <v/>
      </c>
      <c r="AI602" s="26" t="str">
        <f t="shared" si="305"/>
        <v/>
      </c>
      <c r="AJ602" s="26" t="str">
        <f t="shared" si="308"/>
        <v>Chip Seal and Fog</v>
      </c>
      <c r="AK602" s="26" t="str">
        <f t="shared" si="315"/>
        <v/>
      </c>
      <c r="AL602" s="26" t="str">
        <f t="shared" si="315"/>
        <v/>
      </c>
      <c r="AM602" s="26" t="str">
        <f t="shared" si="315"/>
        <v/>
      </c>
      <c r="AN602" s="26" t="str">
        <f t="shared" si="325"/>
        <v>Chip Seal and Fog</v>
      </c>
      <c r="AO602" s="26" t="str">
        <f t="shared" si="309"/>
        <v/>
      </c>
      <c r="AP602" s="26" t="str">
        <f t="shared" si="318"/>
        <v/>
      </c>
      <c r="AQ602" s="68">
        <f t="shared" ref="AQ602:AQ665" si="330">VLOOKUP(O602,RSLrem,2,FALSE)</f>
        <v>6</v>
      </c>
      <c r="AR602" s="68">
        <f t="shared" ref="AR602:AR665" si="331">VLOOKUP(AC602,RSL,5,FALSE)</f>
        <v>6</v>
      </c>
      <c r="AS602" s="68">
        <f t="shared" si="319"/>
        <v>1.1000000000000001</v>
      </c>
      <c r="AT602" s="68">
        <f t="shared" si="320"/>
        <v>1.1000000000000001</v>
      </c>
      <c r="AU602" s="68">
        <f t="shared" si="321"/>
        <v>1.1000000000000001</v>
      </c>
      <c r="AV602" s="68">
        <f t="shared" si="322"/>
        <v>1.25</v>
      </c>
      <c r="AW602" s="68">
        <f t="shared" si="323"/>
        <v>1.5</v>
      </c>
      <c r="AX602" s="68">
        <f t="shared" ca="1" si="324"/>
        <v>0</v>
      </c>
      <c r="AY602" s="68">
        <v>2018</v>
      </c>
      <c r="AZ602" s="68" t="s">
        <v>751</v>
      </c>
      <c r="BA602" s="106" t="str">
        <f t="shared" si="312"/>
        <v>P</v>
      </c>
      <c r="BB602" s="178"/>
      <c r="BC602" s="178">
        <v>5</v>
      </c>
      <c r="BD602" s="178"/>
      <c r="BE602" s="178"/>
      <c r="BF602" s="178"/>
      <c r="BG602" s="178"/>
      <c r="BH602" s="178"/>
      <c r="BI602" s="33"/>
      <c r="BK602" s="48">
        <f>$G602/5280*VLOOKUP($AC602,'Cost and Score'!$B$27:$O$40,6,0)</f>
        <v>0.20121212121212123</v>
      </c>
      <c r="BL602" s="48">
        <f>$G602/5280*VLOOKUP($AC602,'Cost and Score'!$B$27:$O$40,7,0)</f>
        <v>22.133333333333333</v>
      </c>
      <c r="BM602" s="48">
        <f>$G602/5280*VLOOKUP($AC602,'Cost and Score'!$B$27:$O$40,8,0)</f>
        <v>0</v>
      </c>
      <c r="BN602" s="48">
        <f>$G602/5280*VLOOKUP($AC602,'Cost and Score'!$B$27:$O$40,9,0)</f>
        <v>4527.272727272727</v>
      </c>
      <c r="BO602" s="48">
        <f>$G602/5280*VLOOKUP($AC602,'Cost and Score'!$B$27:$O$40,10,0)</f>
        <v>1006.0606060606061</v>
      </c>
      <c r="BP602" s="48">
        <f>$G602/5280*VLOOKUP($AC602,'Cost and Score'!$B$27:$O$40,11,0)</f>
        <v>0</v>
      </c>
      <c r="BQ602" s="48">
        <f>$G602/5280*VLOOKUP($AC602,'Cost and Score'!$B$27:$O$40,12,0)</f>
        <v>100.60606060606061</v>
      </c>
      <c r="BR602" s="48">
        <f>$G602/5280*VLOOKUP($AC602,'Cost and Score'!$B$27:$O$40,13,0)</f>
        <v>120.72727272727273</v>
      </c>
      <c r="BS602" s="48">
        <f>$G602/5280*VLOOKUP($AC602,'Cost and Score'!$B$27:$O$40,14,0)</f>
        <v>0</v>
      </c>
      <c r="BT602" s="220">
        <f t="shared" si="313"/>
        <v>1.0060606060606061</v>
      </c>
    </row>
    <row r="603" spans="1:103" s="2" customFormat="1" ht="14.45" hidden="1" customHeight="1" x14ac:dyDescent="0.25">
      <c r="A603" s="38" t="s">
        <v>1267</v>
      </c>
      <c r="B603" s="34" t="s">
        <v>1266</v>
      </c>
      <c r="C603" s="26" t="s">
        <v>1266</v>
      </c>
      <c r="D603" s="82"/>
      <c r="E603" s="85" t="s">
        <v>307</v>
      </c>
      <c r="F603" s="82" t="s">
        <v>119</v>
      </c>
      <c r="G603" s="29">
        <v>3830</v>
      </c>
      <c r="H603" s="29">
        <f t="shared" si="327"/>
        <v>20</v>
      </c>
      <c r="I603" s="26" t="s">
        <v>8</v>
      </c>
      <c r="J603" s="26" t="s">
        <v>26</v>
      </c>
      <c r="K603" s="26">
        <f t="shared" si="317"/>
        <v>0</v>
      </c>
      <c r="L603" s="42">
        <v>6</v>
      </c>
      <c r="M603" s="42">
        <v>7</v>
      </c>
      <c r="N603" s="42">
        <v>7</v>
      </c>
      <c r="O603" s="83">
        <v>6</v>
      </c>
      <c r="P603" s="83">
        <v>6</v>
      </c>
      <c r="Q603" s="83">
        <v>6</v>
      </c>
      <c r="R603" s="83">
        <v>4</v>
      </c>
      <c r="S603" s="83">
        <v>4</v>
      </c>
      <c r="T603" s="83">
        <v>7</v>
      </c>
      <c r="U603" s="83">
        <v>7</v>
      </c>
      <c r="V603" s="42"/>
      <c r="W603" s="42"/>
      <c r="X603" s="42"/>
      <c r="Y603" s="26">
        <v>50</v>
      </c>
      <c r="Z603" s="26">
        <f t="shared" si="328"/>
        <v>0</v>
      </c>
      <c r="AA603" s="82" t="s">
        <v>147</v>
      </c>
      <c r="AB603" s="111">
        <f t="shared" si="329"/>
        <v>4</v>
      </c>
      <c r="AC603" s="82" t="s">
        <v>751</v>
      </c>
      <c r="AD603" s="84">
        <f t="shared" si="311"/>
        <v>79791.666666666672</v>
      </c>
      <c r="AE603" s="140"/>
      <c r="AF603" s="113">
        <f t="shared" si="326"/>
        <v>0</v>
      </c>
      <c r="AG603" s="82">
        <v>2026</v>
      </c>
      <c r="AH603" s="26" t="str">
        <f t="shared" si="316"/>
        <v/>
      </c>
      <c r="AI603" s="26" t="str">
        <f t="shared" si="305"/>
        <v/>
      </c>
      <c r="AJ603" s="26" t="str">
        <f t="shared" si="308"/>
        <v/>
      </c>
      <c r="AK603" s="26" t="str">
        <f t="shared" si="315"/>
        <v/>
      </c>
      <c r="AL603" s="26" t="str">
        <f t="shared" si="315"/>
        <v>Overlay - 2"</v>
      </c>
      <c r="AM603" s="26" t="str">
        <f t="shared" si="315"/>
        <v/>
      </c>
      <c r="AN603" s="26" t="str">
        <f t="shared" si="325"/>
        <v>Overlay - 2"</v>
      </c>
      <c r="AO603" s="26" t="str">
        <f t="shared" si="309"/>
        <v>Chip Seal - Double and Fog</v>
      </c>
      <c r="AP603" s="26" t="str">
        <f t="shared" si="318"/>
        <v/>
      </c>
      <c r="AQ603" s="68">
        <f t="shared" si="330"/>
        <v>8</v>
      </c>
      <c r="AR603" s="68">
        <f t="shared" si="331"/>
        <v>12</v>
      </c>
      <c r="AS603" s="68">
        <f t="shared" si="319"/>
        <v>1.1000000000000001</v>
      </c>
      <c r="AT603" s="68">
        <f t="shared" si="320"/>
        <v>1.05</v>
      </c>
      <c r="AU603" s="68">
        <f t="shared" si="321"/>
        <v>1.05</v>
      </c>
      <c r="AV603" s="68">
        <f t="shared" si="322"/>
        <v>1.1000000000000001</v>
      </c>
      <c r="AW603" s="68">
        <f t="shared" si="323"/>
        <v>1.1000000000000001</v>
      </c>
      <c r="AX603" s="68">
        <f t="shared" ca="1" si="324"/>
        <v>2.1</v>
      </c>
      <c r="AY603" s="68">
        <v>2021</v>
      </c>
      <c r="AZ603" s="68" t="s">
        <v>2073</v>
      </c>
      <c r="BA603" s="106" t="str">
        <f t="shared" si="312"/>
        <v/>
      </c>
      <c r="BB603" s="178">
        <v>63</v>
      </c>
      <c r="BC603" s="178">
        <v>7</v>
      </c>
      <c r="BD603" s="178"/>
      <c r="BE603" s="178"/>
      <c r="BF603" s="178"/>
      <c r="BG603" s="178"/>
      <c r="BH603" s="178"/>
      <c r="BI603" s="33"/>
      <c r="BK603" s="48">
        <f>$G603/5280*VLOOKUP($AC603,'Cost and Score'!$B$27:$O$40,6,0)</f>
        <v>1.6321022727272727</v>
      </c>
      <c r="BL603" s="48">
        <f>$G603/5280*VLOOKUP($AC603,'Cost and Score'!$B$27:$O$40,7,0)</f>
        <v>152.32954545454544</v>
      </c>
      <c r="BM603" s="48">
        <f>$G603/5280*VLOOKUP($AC603,'Cost and Score'!$B$27:$O$40,8,0)</f>
        <v>253.88257575757575</v>
      </c>
      <c r="BN603" s="48">
        <f>$G603/5280*VLOOKUP($AC603,'Cost and Score'!$B$27:$O$40,9,0)</f>
        <v>0</v>
      </c>
      <c r="BO603" s="48">
        <f>$G603/5280*VLOOKUP($AC603,'Cost and Score'!$B$27:$O$40,10,0)</f>
        <v>0</v>
      </c>
      <c r="BP603" s="48">
        <f>$G603/5280*VLOOKUP($AC603,'Cost and Score'!$B$27:$O$40,11,0)</f>
        <v>145.07575757575756</v>
      </c>
      <c r="BQ603" s="48">
        <f>$G603/5280*VLOOKUP($AC603,'Cost and Score'!$B$27:$O$40,12,0)</f>
        <v>1233.1439393939393</v>
      </c>
      <c r="BR603" s="48">
        <f>$G603/5280*VLOOKUP($AC603,'Cost and Score'!$B$27:$O$40,13,0)</f>
        <v>0</v>
      </c>
      <c r="BS603" s="48">
        <f>$G603/5280*VLOOKUP($AC603,'Cost and Score'!$B$27:$O$40,14,0)</f>
        <v>0</v>
      </c>
      <c r="BT603" s="220">
        <f t="shared" si="313"/>
        <v>0.72537878787878785</v>
      </c>
      <c r="CW603" s="112"/>
      <c r="CX603" s="112"/>
      <c r="CY603" s="112"/>
    </row>
    <row r="604" spans="1:103" s="2" customFormat="1" ht="14.45" hidden="1" customHeight="1" x14ac:dyDescent="0.25">
      <c r="A604" s="38" t="s">
        <v>1269</v>
      </c>
      <c r="B604" s="34" t="s">
        <v>1268</v>
      </c>
      <c r="C604" s="26" t="s">
        <v>1268</v>
      </c>
      <c r="D604" s="82"/>
      <c r="E604" s="82" t="s">
        <v>119</v>
      </c>
      <c r="F604" s="82" t="s">
        <v>217</v>
      </c>
      <c r="G604" s="29">
        <v>2692</v>
      </c>
      <c r="H604" s="29">
        <f t="shared" si="327"/>
        <v>20</v>
      </c>
      <c r="I604" s="26" t="s">
        <v>13</v>
      </c>
      <c r="J604" s="26" t="s">
        <v>26</v>
      </c>
      <c r="K604" s="26">
        <f t="shared" si="317"/>
        <v>0</v>
      </c>
      <c r="L604" s="42">
        <v>6</v>
      </c>
      <c r="M604" s="42">
        <v>7</v>
      </c>
      <c r="N604" s="42">
        <v>7</v>
      </c>
      <c r="O604" s="83">
        <v>7</v>
      </c>
      <c r="P604" s="83">
        <v>7</v>
      </c>
      <c r="Q604" s="83">
        <v>7</v>
      </c>
      <c r="R604" s="83">
        <v>7</v>
      </c>
      <c r="S604" s="83">
        <v>5</v>
      </c>
      <c r="T604" s="83">
        <v>7</v>
      </c>
      <c r="U604" s="83">
        <v>7</v>
      </c>
      <c r="V604" s="42"/>
      <c r="W604" s="42"/>
      <c r="X604" s="42"/>
      <c r="Y604" s="26">
        <v>50</v>
      </c>
      <c r="Z604" s="26">
        <f t="shared" si="328"/>
        <v>0</v>
      </c>
      <c r="AA604" s="82" t="s">
        <v>147</v>
      </c>
      <c r="AB604" s="111">
        <f t="shared" si="329"/>
        <v>3</v>
      </c>
      <c r="AC604" s="82" t="s">
        <v>2072</v>
      </c>
      <c r="AD604" s="84">
        <f t="shared" si="311"/>
        <v>23453.030303030304</v>
      </c>
      <c r="AE604" s="140"/>
      <c r="AF604" s="113">
        <f t="shared" si="326"/>
        <v>0</v>
      </c>
      <c r="AG604" s="26">
        <v>2027</v>
      </c>
      <c r="AH604" s="26" t="str">
        <f t="shared" si="316"/>
        <v/>
      </c>
      <c r="AI604" s="26" t="str">
        <f t="shared" si="305"/>
        <v/>
      </c>
      <c r="AJ604" s="26" t="str">
        <f t="shared" si="308"/>
        <v/>
      </c>
      <c r="AK604" s="26" t="str">
        <f t="shared" si="315"/>
        <v/>
      </c>
      <c r="AL604" s="26" t="str">
        <f t="shared" si="315"/>
        <v/>
      </c>
      <c r="AM604" s="26" t="str">
        <f t="shared" si="315"/>
        <v>Chip Seal - Triple</v>
      </c>
      <c r="AN604" s="26" t="str">
        <f t="shared" si="325"/>
        <v>Chip Seal - Triple</v>
      </c>
      <c r="AO604" s="26" t="str">
        <f t="shared" si="309"/>
        <v>Chip Seal and Fog</v>
      </c>
      <c r="AP604" s="26" t="str">
        <f t="shared" si="318"/>
        <v/>
      </c>
      <c r="AQ604" s="68">
        <f t="shared" si="330"/>
        <v>10</v>
      </c>
      <c r="AR604" s="68">
        <f t="shared" si="331"/>
        <v>8</v>
      </c>
      <c r="AS604" s="68">
        <f t="shared" si="319"/>
        <v>1.1000000000000001</v>
      </c>
      <c r="AT604" s="68">
        <f t="shared" si="320"/>
        <v>1.05</v>
      </c>
      <c r="AU604" s="68">
        <f t="shared" si="321"/>
        <v>1.05</v>
      </c>
      <c r="AV604" s="68">
        <f t="shared" si="322"/>
        <v>1.05</v>
      </c>
      <c r="AW604" s="68">
        <f t="shared" si="323"/>
        <v>1.05</v>
      </c>
      <c r="AX604" s="68">
        <f t="shared" ca="1" si="324"/>
        <v>3.1500000000000004</v>
      </c>
      <c r="AY604" s="68">
        <v>2021</v>
      </c>
      <c r="AZ604" s="68" t="s">
        <v>13</v>
      </c>
      <c r="BA604" s="106" t="str">
        <f t="shared" si="312"/>
        <v/>
      </c>
      <c r="BB604" s="178">
        <v>64</v>
      </c>
      <c r="BC604" s="178">
        <v>7</v>
      </c>
      <c r="BD604" s="178"/>
      <c r="BE604" s="178"/>
      <c r="BF604" s="178"/>
      <c r="BG604" s="178"/>
      <c r="BH604" s="178"/>
      <c r="BI604" s="33"/>
      <c r="BK604" s="48">
        <f>$G604/5280*VLOOKUP($AC604,'Cost and Score'!$B$27:$O$40,6,0)</f>
        <v>0.30590909090909091</v>
      </c>
      <c r="BL604" s="48">
        <f>$G604/5280*VLOOKUP($AC604,'Cost and Score'!$B$27:$O$40,7,0)</f>
        <v>63.731060606060609</v>
      </c>
      <c r="BM604" s="48">
        <f>$G604/5280*VLOOKUP($AC604,'Cost and Score'!$B$27:$O$40,8,0)</f>
        <v>101.96969696969698</v>
      </c>
      <c r="BN604" s="48">
        <f>$G604/5280*VLOOKUP($AC604,'Cost and Score'!$B$27:$O$40,9,0)</f>
        <v>1019.6969696969697</v>
      </c>
      <c r="BO604" s="48">
        <f>$G604/5280*VLOOKUP($AC604,'Cost and Score'!$B$27:$O$40,10,0)</f>
        <v>254.92424242424244</v>
      </c>
      <c r="BP604" s="48">
        <f>$G604/5280*VLOOKUP($AC604,'Cost and Score'!$B$27:$O$40,11,0)</f>
        <v>50.984848484848492</v>
      </c>
      <c r="BQ604" s="48">
        <f>$G604/5280*VLOOKUP($AC604,'Cost and Score'!$B$27:$O$40,12,0)</f>
        <v>407.87878787878793</v>
      </c>
      <c r="BR604" s="48">
        <f>$G604/5280*VLOOKUP($AC604,'Cost and Score'!$B$27:$O$40,13,0)</f>
        <v>40.787878787878789</v>
      </c>
      <c r="BS604" s="48">
        <f>$G604/5280*VLOOKUP($AC604,'Cost and Score'!$B$27:$O$40,14,0)</f>
        <v>0</v>
      </c>
      <c r="BT604" s="220">
        <f t="shared" si="313"/>
        <v>0.50984848484848488</v>
      </c>
      <c r="CW604" s="112"/>
      <c r="CX604" s="112"/>
      <c r="CY604" s="112"/>
    </row>
    <row r="605" spans="1:103" s="2" customFormat="1" ht="14.45" hidden="1" customHeight="1" x14ac:dyDescent="0.25">
      <c r="A605" s="38" t="s">
        <v>1271</v>
      </c>
      <c r="B605" s="34" t="s">
        <v>1270</v>
      </c>
      <c r="C605" s="26" t="s">
        <v>1270</v>
      </c>
      <c r="D605" s="82"/>
      <c r="E605" s="82" t="s">
        <v>104</v>
      </c>
      <c r="F605" s="82" t="s">
        <v>99</v>
      </c>
      <c r="G605" s="29">
        <v>5295</v>
      </c>
      <c r="H605" s="29">
        <f t="shared" si="327"/>
        <v>20</v>
      </c>
      <c r="I605" s="26" t="s">
        <v>62</v>
      </c>
      <c r="J605" s="26" t="s">
        <v>172</v>
      </c>
      <c r="K605" s="26">
        <f t="shared" si="317"/>
        <v>0</v>
      </c>
      <c r="L605" s="42">
        <v>6</v>
      </c>
      <c r="M605" s="42">
        <v>7</v>
      </c>
      <c r="N605" s="42">
        <v>7</v>
      </c>
      <c r="O605" s="83">
        <v>7</v>
      </c>
      <c r="P605" s="83">
        <v>7</v>
      </c>
      <c r="Q605" s="83">
        <v>7</v>
      </c>
      <c r="R605" s="83">
        <v>7</v>
      </c>
      <c r="S605" s="83">
        <v>6</v>
      </c>
      <c r="T605" s="83">
        <v>6</v>
      </c>
      <c r="U605" s="83">
        <v>7</v>
      </c>
      <c r="V605" s="42"/>
      <c r="W605" s="42"/>
      <c r="X605" s="42"/>
      <c r="Y605" s="26">
        <v>50</v>
      </c>
      <c r="Z605" s="26">
        <f t="shared" si="328"/>
        <v>0</v>
      </c>
      <c r="AA605" s="82" t="s">
        <v>147</v>
      </c>
      <c r="AB605" s="111">
        <f t="shared" si="329"/>
        <v>3</v>
      </c>
      <c r="AC605" s="82" t="s">
        <v>2076</v>
      </c>
      <c r="AD605" s="84">
        <f t="shared" si="311"/>
        <v>14039.772727272728</v>
      </c>
      <c r="AE605" s="140"/>
      <c r="AF605" s="113">
        <f t="shared" si="326"/>
        <v>0</v>
      </c>
      <c r="AG605" s="26">
        <v>2027</v>
      </c>
      <c r="AH605" s="26" t="str">
        <f t="shared" si="316"/>
        <v/>
      </c>
      <c r="AI605" s="26" t="str">
        <f t="shared" si="305"/>
        <v/>
      </c>
      <c r="AJ605" s="26" t="str">
        <f t="shared" si="308"/>
        <v/>
      </c>
      <c r="AK605" s="26" t="str">
        <f t="shared" si="315"/>
        <v/>
      </c>
      <c r="AL605" s="26" t="str">
        <f t="shared" si="315"/>
        <v/>
      </c>
      <c r="AM605" s="26" t="str">
        <f t="shared" si="315"/>
        <v>Dust Control</v>
      </c>
      <c r="AN605" s="26" t="str">
        <f t="shared" si="325"/>
        <v>Dust Control</v>
      </c>
      <c r="AO605" s="26" t="str">
        <f t="shared" si="309"/>
        <v>Dust Control</v>
      </c>
      <c r="AP605" s="26" t="str">
        <f t="shared" si="318"/>
        <v/>
      </c>
      <c r="AQ605" s="68">
        <f t="shared" si="330"/>
        <v>10</v>
      </c>
      <c r="AR605" s="68">
        <f t="shared" si="331"/>
        <v>1</v>
      </c>
      <c r="AS605" s="68">
        <f t="shared" si="319"/>
        <v>1.1000000000000001</v>
      </c>
      <c r="AT605" s="68">
        <f t="shared" si="320"/>
        <v>1.05</v>
      </c>
      <c r="AU605" s="68">
        <f t="shared" si="321"/>
        <v>1.05</v>
      </c>
      <c r="AV605" s="68">
        <f t="shared" si="322"/>
        <v>1.05</v>
      </c>
      <c r="AW605" s="68">
        <f t="shared" si="323"/>
        <v>1.05</v>
      </c>
      <c r="AX605" s="68">
        <f t="shared" ca="1" si="324"/>
        <v>3.1500000000000004</v>
      </c>
      <c r="AY605" s="68">
        <v>2021</v>
      </c>
      <c r="AZ605" s="68" t="s">
        <v>2076</v>
      </c>
      <c r="BA605" s="106" t="str">
        <f t="shared" si="312"/>
        <v/>
      </c>
      <c r="BB605" s="178"/>
      <c r="BC605" s="178">
        <v>7</v>
      </c>
      <c r="BD605" s="178"/>
      <c r="BE605" s="178"/>
      <c r="BF605" s="178"/>
      <c r="BG605" s="178"/>
      <c r="BH605" s="178"/>
      <c r="BI605" s="33"/>
      <c r="BK605" s="48">
        <f>$G605/5280*VLOOKUP($AC605,'Cost and Score'!$B$27:$O$40,6,0)</f>
        <v>1.0028409090909092</v>
      </c>
      <c r="BL605" s="48">
        <f>$G605/5280*VLOOKUP($AC605,'Cost and Score'!$B$27:$O$40,7,0)</f>
        <v>90.255681818181827</v>
      </c>
      <c r="BM605" s="48">
        <f>$G605/5280*VLOOKUP($AC605,'Cost and Score'!$B$27:$O$40,8,0)</f>
        <v>0</v>
      </c>
      <c r="BN605" s="48">
        <f>$G605/5280*VLOOKUP($AC605,'Cost and Score'!$B$27:$O$40,9,0)</f>
        <v>0</v>
      </c>
      <c r="BO605" s="48">
        <f>$G605/5280*VLOOKUP($AC605,'Cost and Score'!$B$27:$O$40,10,0)</f>
        <v>0</v>
      </c>
      <c r="BP605" s="48">
        <f>$G605/5280*VLOOKUP($AC605,'Cost and Score'!$B$27:$O$40,11,0)</f>
        <v>501.42045454545456</v>
      </c>
      <c r="BQ605" s="48">
        <f>$G605/5280*VLOOKUP($AC605,'Cost and Score'!$B$27:$O$40,12,0)</f>
        <v>0</v>
      </c>
      <c r="BR605" s="48">
        <f>$G605/5280*VLOOKUP($AC605,'Cost and Score'!$B$27:$O$40,13,0)</f>
        <v>0</v>
      </c>
      <c r="BS605" s="48">
        <f>$G605/5280*VLOOKUP($AC605,'Cost and Score'!$B$27:$O$40,14,0)</f>
        <v>0</v>
      </c>
      <c r="BT605" s="220">
        <f t="shared" si="313"/>
        <v>1.0028409090909092</v>
      </c>
    </row>
    <row r="606" spans="1:103" s="2" customFormat="1" ht="14.45" hidden="1" customHeight="1" x14ac:dyDescent="0.25">
      <c r="A606" s="38" t="s">
        <v>1273</v>
      </c>
      <c r="B606" s="34" t="s">
        <v>1272</v>
      </c>
      <c r="C606" s="26" t="s">
        <v>1272</v>
      </c>
      <c r="D606" s="26"/>
      <c r="E606" s="26" t="s">
        <v>217</v>
      </c>
      <c r="F606" s="26" t="s">
        <v>222</v>
      </c>
      <c r="G606" s="29">
        <v>5284</v>
      </c>
      <c r="H606" s="29">
        <f t="shared" si="327"/>
        <v>20</v>
      </c>
      <c r="I606" s="26" t="s">
        <v>13</v>
      </c>
      <c r="J606" s="26" t="s">
        <v>26</v>
      </c>
      <c r="K606" s="26">
        <f t="shared" si="317"/>
        <v>0</v>
      </c>
      <c r="L606" s="42">
        <v>7</v>
      </c>
      <c r="M606" s="42">
        <v>7</v>
      </c>
      <c r="N606" s="42">
        <v>7</v>
      </c>
      <c r="O606" s="42">
        <v>7</v>
      </c>
      <c r="P606" s="42">
        <v>7</v>
      </c>
      <c r="Q606" s="42">
        <v>7</v>
      </c>
      <c r="R606" s="42">
        <v>7</v>
      </c>
      <c r="S606" s="42">
        <v>6</v>
      </c>
      <c r="T606" s="42">
        <v>7</v>
      </c>
      <c r="U606" s="42">
        <v>7</v>
      </c>
      <c r="V606" s="42"/>
      <c r="W606" s="42"/>
      <c r="X606" s="42"/>
      <c r="Y606" s="26">
        <v>50</v>
      </c>
      <c r="Z606" s="26">
        <f t="shared" si="328"/>
        <v>0</v>
      </c>
      <c r="AA606" s="26" t="s">
        <v>147</v>
      </c>
      <c r="AB606" s="111">
        <f t="shared" si="329"/>
        <v>3</v>
      </c>
      <c r="AC606" s="82" t="s">
        <v>2072</v>
      </c>
      <c r="AD606" s="47">
        <f t="shared" si="311"/>
        <v>46034.848484848488</v>
      </c>
      <c r="AE606" s="140"/>
      <c r="AF606" s="113">
        <f t="shared" si="326"/>
        <v>0</v>
      </c>
      <c r="AG606" s="26">
        <v>2027</v>
      </c>
      <c r="AH606" s="26" t="str">
        <f t="shared" si="316"/>
        <v/>
      </c>
      <c r="AI606" s="26" t="str">
        <f t="shared" ref="AI606:AI669" si="332">IF($AG606=AI$1,VLOOKUP($AC606,RSL,3,FALSE),"")</f>
        <v/>
      </c>
      <c r="AJ606" s="26" t="str">
        <f t="shared" si="308"/>
        <v/>
      </c>
      <c r="AK606" s="26" t="str">
        <f t="shared" si="315"/>
        <v/>
      </c>
      <c r="AL606" s="26" t="str">
        <f t="shared" si="315"/>
        <v/>
      </c>
      <c r="AM606" s="26" t="str">
        <f t="shared" si="315"/>
        <v>Chip Seal - Triple</v>
      </c>
      <c r="AN606" s="26" t="str">
        <f t="shared" si="325"/>
        <v>Chip Seal - Triple</v>
      </c>
      <c r="AO606" s="26" t="str">
        <f t="shared" si="309"/>
        <v>Chip Seal and Fog</v>
      </c>
      <c r="AP606" s="26" t="str">
        <f t="shared" si="318"/>
        <v/>
      </c>
      <c r="AQ606" s="68">
        <f t="shared" si="330"/>
        <v>10</v>
      </c>
      <c r="AR606" s="68">
        <f t="shared" si="331"/>
        <v>8</v>
      </c>
      <c r="AS606" s="68">
        <f t="shared" si="319"/>
        <v>1.05</v>
      </c>
      <c r="AT606" s="68">
        <f t="shared" si="320"/>
        <v>1.05</v>
      </c>
      <c r="AU606" s="68">
        <f t="shared" si="321"/>
        <v>1.05</v>
      </c>
      <c r="AV606" s="68">
        <f t="shared" si="322"/>
        <v>1.05</v>
      </c>
      <c r="AW606" s="68">
        <f t="shared" si="323"/>
        <v>1.05</v>
      </c>
      <c r="AX606" s="68">
        <f t="shared" ca="1" si="324"/>
        <v>3.1500000000000004</v>
      </c>
      <c r="AY606" s="68">
        <v>2021</v>
      </c>
      <c r="AZ606" s="68" t="s">
        <v>13</v>
      </c>
      <c r="BA606" s="106" t="str">
        <f t="shared" si="312"/>
        <v/>
      </c>
      <c r="BB606" s="178">
        <v>65</v>
      </c>
      <c r="BC606" s="178">
        <v>7</v>
      </c>
      <c r="BD606" s="178"/>
      <c r="BE606" s="178"/>
      <c r="BF606" s="178"/>
      <c r="BG606" s="178"/>
      <c r="BH606" s="178"/>
      <c r="BI606" s="33"/>
      <c r="BK606" s="48">
        <f>$G606/5280*VLOOKUP($AC606,'Cost and Score'!$B$27:$O$40,6,0)</f>
        <v>0.60045454545454546</v>
      </c>
      <c r="BL606" s="48">
        <f>$G606/5280*VLOOKUP($AC606,'Cost and Score'!$B$27:$O$40,7,0)</f>
        <v>125.09469696969697</v>
      </c>
      <c r="BM606" s="48">
        <f>$G606/5280*VLOOKUP($AC606,'Cost and Score'!$B$27:$O$40,8,0)</f>
        <v>200.15151515151516</v>
      </c>
      <c r="BN606" s="48">
        <f>$G606/5280*VLOOKUP($AC606,'Cost and Score'!$B$27:$O$40,9,0)</f>
        <v>2001.5151515151515</v>
      </c>
      <c r="BO606" s="48">
        <f>$G606/5280*VLOOKUP($AC606,'Cost and Score'!$B$27:$O$40,10,0)</f>
        <v>500.37878787878788</v>
      </c>
      <c r="BP606" s="48">
        <f>$G606/5280*VLOOKUP($AC606,'Cost and Score'!$B$27:$O$40,11,0)</f>
        <v>100.07575757575758</v>
      </c>
      <c r="BQ606" s="48">
        <f>$G606/5280*VLOOKUP($AC606,'Cost and Score'!$B$27:$O$40,12,0)</f>
        <v>800.60606060606062</v>
      </c>
      <c r="BR606" s="48">
        <f>$G606/5280*VLOOKUP($AC606,'Cost and Score'!$B$27:$O$40,13,0)</f>
        <v>80.060606060606062</v>
      </c>
      <c r="BS606" s="48">
        <f>$G606/5280*VLOOKUP($AC606,'Cost and Score'!$B$27:$O$40,14,0)</f>
        <v>0</v>
      </c>
      <c r="BT606" s="220">
        <f t="shared" si="313"/>
        <v>1.0007575757575757</v>
      </c>
    </row>
    <row r="607" spans="1:103" s="2" customFormat="1" ht="14.45" hidden="1" customHeight="1" x14ac:dyDescent="0.25">
      <c r="A607" s="38" t="s">
        <v>2352</v>
      </c>
      <c r="B607" s="34" t="s">
        <v>1274</v>
      </c>
      <c r="C607" s="26" t="s">
        <v>1274</v>
      </c>
      <c r="D607" s="26"/>
      <c r="E607" s="26" t="s">
        <v>206</v>
      </c>
      <c r="F607" s="26" t="s">
        <v>197</v>
      </c>
      <c r="G607" s="29">
        <v>1133</v>
      </c>
      <c r="H607" s="29">
        <f t="shared" si="327"/>
        <v>20</v>
      </c>
      <c r="I607" s="26" t="s">
        <v>2073</v>
      </c>
      <c r="J607" s="26" t="s">
        <v>26</v>
      </c>
      <c r="K607" s="26">
        <f t="shared" si="317"/>
        <v>0</v>
      </c>
      <c r="L607" s="42">
        <v>7</v>
      </c>
      <c r="M607" s="42">
        <v>6</v>
      </c>
      <c r="N607" s="42">
        <v>6</v>
      </c>
      <c r="O607" s="42">
        <v>6</v>
      </c>
      <c r="P607" s="42">
        <v>6</v>
      </c>
      <c r="Q607" s="42">
        <v>6</v>
      </c>
      <c r="R607" s="42">
        <v>6</v>
      </c>
      <c r="S607" s="42">
        <v>6</v>
      </c>
      <c r="T607" s="42">
        <v>7</v>
      </c>
      <c r="U607" s="42">
        <v>7</v>
      </c>
      <c r="V607" s="42"/>
      <c r="W607" s="42"/>
      <c r="X607" s="42"/>
      <c r="Y607" s="26">
        <v>50</v>
      </c>
      <c r="Z607" s="26">
        <f t="shared" si="328"/>
        <v>0</v>
      </c>
      <c r="AA607" s="26" t="s">
        <v>147</v>
      </c>
      <c r="AB607" s="111">
        <f t="shared" si="329"/>
        <v>4</v>
      </c>
      <c r="AC607" s="26" t="s">
        <v>2073</v>
      </c>
      <c r="AD607" s="47">
        <f t="shared" si="311"/>
        <v>6866.666666666667</v>
      </c>
      <c r="AE607" s="140"/>
      <c r="AF607" s="113">
        <f t="shared" si="326"/>
        <v>0</v>
      </c>
      <c r="AG607" s="26">
        <v>2022</v>
      </c>
      <c r="AH607" s="26" t="str">
        <f t="shared" si="316"/>
        <v>Chip Seal - Double and Fog</v>
      </c>
      <c r="AI607" s="26" t="str">
        <f t="shared" si="332"/>
        <v/>
      </c>
      <c r="AJ607" s="26" t="str">
        <f t="shared" si="308"/>
        <v/>
      </c>
      <c r="AK607" s="26" t="str">
        <f t="shared" si="315"/>
        <v/>
      </c>
      <c r="AL607" s="26" t="str">
        <f t="shared" si="315"/>
        <v/>
      </c>
      <c r="AM607" s="26" t="str">
        <f t="shared" si="315"/>
        <v/>
      </c>
      <c r="AN607" s="26" t="str">
        <f t="shared" si="325"/>
        <v>Chip Seal - Double and Fog</v>
      </c>
      <c r="AO607" s="26" t="str">
        <f t="shared" si="309"/>
        <v/>
      </c>
      <c r="AP607" s="26" t="str">
        <f t="shared" si="318"/>
        <v>Chip Seal - Double and Fog</v>
      </c>
      <c r="AQ607" s="68">
        <f t="shared" si="330"/>
        <v>8</v>
      </c>
      <c r="AR607" s="68">
        <f t="shared" si="331"/>
        <v>6</v>
      </c>
      <c r="AS607" s="68">
        <f t="shared" si="319"/>
        <v>1.05</v>
      </c>
      <c r="AT607" s="68">
        <f t="shared" si="320"/>
        <v>1.1000000000000001</v>
      </c>
      <c r="AU607" s="68">
        <f t="shared" si="321"/>
        <v>1.1000000000000001</v>
      </c>
      <c r="AV607" s="68">
        <f t="shared" si="322"/>
        <v>1.1000000000000001</v>
      </c>
      <c r="AW607" s="68">
        <f t="shared" si="323"/>
        <v>1.1000000000000001</v>
      </c>
      <c r="AX607" s="68">
        <f t="shared" ca="1" si="324"/>
        <v>-2.2000000000000002</v>
      </c>
      <c r="AY607" s="68">
        <v>2022</v>
      </c>
      <c r="AZ607" s="68" t="s">
        <v>2073</v>
      </c>
      <c r="BA607" s="106" t="str">
        <f t="shared" si="312"/>
        <v/>
      </c>
      <c r="BB607" s="178"/>
      <c r="BC607" s="178">
        <v>5</v>
      </c>
      <c r="BD607" s="178"/>
      <c r="BE607" s="178"/>
      <c r="BF607" s="178"/>
      <c r="BG607" s="178"/>
      <c r="BH607" s="178"/>
      <c r="BI607" s="33"/>
      <c r="BK607" s="48">
        <f>$G607/5280*VLOOKUP($AC607,'Cost and Score'!$B$27:$O$40,6,0)</f>
        <v>0.10729166666666666</v>
      </c>
      <c r="BL607" s="48">
        <f>$G607/5280*VLOOKUP($AC607,'Cost and Score'!$B$27:$O$40,7,0)</f>
        <v>10.729166666666666</v>
      </c>
      <c r="BM607" s="48">
        <f>$G607/5280*VLOOKUP($AC607,'Cost and Score'!$B$27:$O$40,8,0)</f>
        <v>0</v>
      </c>
      <c r="BN607" s="48">
        <f>$G607/5280*VLOOKUP($AC607,'Cost and Score'!$B$27:$O$40,9,0)</f>
        <v>2038.5416666666665</v>
      </c>
      <c r="BO607" s="48">
        <f>$G607/5280*VLOOKUP($AC607,'Cost and Score'!$B$27:$O$40,10,0)</f>
        <v>214.58333333333331</v>
      </c>
      <c r="BP607" s="48">
        <f>$G607/5280*VLOOKUP($AC607,'Cost and Score'!$B$27:$O$40,11,0)</f>
        <v>0</v>
      </c>
      <c r="BQ607" s="48">
        <f>$G607/5280*VLOOKUP($AC607,'Cost and Score'!$B$27:$O$40,12,0)</f>
        <v>42.916666666666664</v>
      </c>
      <c r="BR607" s="48">
        <f>$G607/5280*VLOOKUP($AC607,'Cost and Score'!$B$27:$O$40,13,0)</f>
        <v>38.625</v>
      </c>
      <c r="BS607" s="48">
        <f>$G607/5280*VLOOKUP($AC607,'Cost and Score'!$B$27:$O$40,14,0)</f>
        <v>51.5</v>
      </c>
      <c r="BT607" s="220">
        <f t="shared" si="313"/>
        <v>0.21458333333333332</v>
      </c>
    </row>
    <row r="608" spans="1:103" s="2" customFormat="1" ht="14.45" hidden="1" customHeight="1" x14ac:dyDescent="0.25">
      <c r="A608" s="38" t="s">
        <v>1277</v>
      </c>
      <c r="B608" s="34" t="s">
        <v>1275</v>
      </c>
      <c r="C608" s="26" t="s">
        <v>1275</v>
      </c>
      <c r="D608" s="82"/>
      <c r="E608" s="82" t="s">
        <v>1276</v>
      </c>
      <c r="F608" s="82" t="s">
        <v>104</v>
      </c>
      <c r="G608" s="29">
        <v>3375</v>
      </c>
      <c r="H608" s="29">
        <f t="shared" si="327"/>
        <v>20</v>
      </c>
      <c r="I608" s="26" t="s">
        <v>62</v>
      </c>
      <c r="J608" s="26" t="s">
        <v>172</v>
      </c>
      <c r="K608" s="26">
        <f t="shared" si="317"/>
        <v>0</v>
      </c>
      <c r="L608" s="42">
        <v>7</v>
      </c>
      <c r="M608" s="42">
        <v>6</v>
      </c>
      <c r="N608" s="42">
        <v>6</v>
      </c>
      <c r="O608" s="83">
        <v>7</v>
      </c>
      <c r="P608" s="83">
        <v>7</v>
      </c>
      <c r="Q608" s="83">
        <v>7</v>
      </c>
      <c r="R608" s="83">
        <v>7</v>
      </c>
      <c r="S608" s="83">
        <v>6</v>
      </c>
      <c r="T608" s="83">
        <v>6</v>
      </c>
      <c r="U608" s="83">
        <v>7</v>
      </c>
      <c r="V608" s="42"/>
      <c r="W608" s="42"/>
      <c r="X608" s="42"/>
      <c r="Y608" s="26">
        <v>18</v>
      </c>
      <c r="Z608" s="26">
        <f t="shared" si="328"/>
        <v>0</v>
      </c>
      <c r="AA608" s="82" t="s">
        <v>147</v>
      </c>
      <c r="AB608" s="111">
        <f t="shared" si="329"/>
        <v>3</v>
      </c>
      <c r="AC608" s="82" t="s">
        <v>2076</v>
      </c>
      <c r="AD608" s="84">
        <f t="shared" si="311"/>
        <v>8948.863636363636</v>
      </c>
      <c r="AE608" s="140"/>
      <c r="AF608" s="113">
        <f t="shared" si="326"/>
        <v>0</v>
      </c>
      <c r="AG608" s="26">
        <v>2027</v>
      </c>
      <c r="AH608" s="26" t="str">
        <f t="shared" si="316"/>
        <v/>
      </c>
      <c r="AI608" s="26" t="str">
        <f t="shared" si="332"/>
        <v/>
      </c>
      <c r="AJ608" s="26" t="str">
        <f t="shared" si="308"/>
        <v/>
      </c>
      <c r="AK608" s="26" t="str">
        <f t="shared" ref="AK608:AM627" si="333">IF($AG608=AK$1,VLOOKUP($AC608,RSL,3,FALSE),"")</f>
        <v/>
      </c>
      <c r="AL608" s="26" t="str">
        <f t="shared" si="333"/>
        <v/>
      </c>
      <c r="AM608" s="26" t="str">
        <f t="shared" si="333"/>
        <v>Dust Control</v>
      </c>
      <c r="AN608" s="26" t="str">
        <f t="shared" si="325"/>
        <v>Dust Control</v>
      </c>
      <c r="AO608" s="26" t="str">
        <f t="shared" si="309"/>
        <v>Dust Control</v>
      </c>
      <c r="AP608" s="26" t="str">
        <f t="shared" si="318"/>
        <v/>
      </c>
      <c r="AQ608" s="68">
        <f t="shared" si="330"/>
        <v>10</v>
      </c>
      <c r="AR608" s="68">
        <f t="shared" si="331"/>
        <v>1</v>
      </c>
      <c r="AS608" s="68">
        <f t="shared" si="319"/>
        <v>1.05</v>
      </c>
      <c r="AT608" s="68">
        <f t="shared" si="320"/>
        <v>1.1000000000000001</v>
      </c>
      <c r="AU608" s="68">
        <f t="shared" si="321"/>
        <v>1.1000000000000001</v>
      </c>
      <c r="AV608" s="68">
        <f t="shared" si="322"/>
        <v>1.05</v>
      </c>
      <c r="AW608" s="68">
        <f t="shared" si="323"/>
        <v>1.05</v>
      </c>
      <c r="AX608" s="68">
        <f t="shared" ca="1" si="324"/>
        <v>3.3000000000000003</v>
      </c>
      <c r="AY608" s="68">
        <v>2021</v>
      </c>
      <c r="AZ608" s="68" t="s">
        <v>2076</v>
      </c>
      <c r="BA608" s="106" t="str">
        <f t="shared" si="312"/>
        <v/>
      </c>
      <c r="BB608" s="178"/>
      <c r="BC608" s="178">
        <v>7</v>
      </c>
      <c r="BD608" s="178"/>
      <c r="BE608" s="178"/>
      <c r="BF608" s="178"/>
      <c r="BG608" s="178"/>
      <c r="BH608" s="178"/>
      <c r="BI608" s="33"/>
      <c r="BK608" s="48">
        <f>$G608/5280*VLOOKUP($AC608,'Cost and Score'!$B$27:$O$40,6,0)</f>
        <v>0.63920454545454541</v>
      </c>
      <c r="BL608" s="48">
        <f>$G608/5280*VLOOKUP($AC608,'Cost and Score'!$B$27:$O$40,7,0)</f>
        <v>57.528409090909086</v>
      </c>
      <c r="BM608" s="48">
        <f>$G608/5280*VLOOKUP($AC608,'Cost and Score'!$B$27:$O$40,8,0)</f>
        <v>0</v>
      </c>
      <c r="BN608" s="48">
        <f>$G608/5280*VLOOKUP($AC608,'Cost and Score'!$B$27:$O$40,9,0)</f>
        <v>0</v>
      </c>
      <c r="BO608" s="48">
        <f>$G608/5280*VLOOKUP($AC608,'Cost and Score'!$B$27:$O$40,10,0)</f>
        <v>0</v>
      </c>
      <c r="BP608" s="48">
        <f>$G608/5280*VLOOKUP($AC608,'Cost and Score'!$B$27:$O$40,11,0)</f>
        <v>319.60227272727269</v>
      </c>
      <c r="BQ608" s="48">
        <f>$G608/5280*VLOOKUP($AC608,'Cost and Score'!$B$27:$O$40,12,0)</f>
        <v>0</v>
      </c>
      <c r="BR608" s="48">
        <f>$G608/5280*VLOOKUP($AC608,'Cost and Score'!$B$27:$O$40,13,0)</f>
        <v>0</v>
      </c>
      <c r="BS608" s="48">
        <f>$G608/5280*VLOOKUP($AC608,'Cost and Score'!$B$27:$O$40,14,0)</f>
        <v>0</v>
      </c>
      <c r="BT608" s="220">
        <f t="shared" si="313"/>
        <v>0.63920454545454541</v>
      </c>
    </row>
    <row r="609" spans="1:103" s="2" customFormat="1" ht="14.45" customHeight="1" x14ac:dyDescent="0.25">
      <c r="A609" s="15" t="s">
        <v>261</v>
      </c>
      <c r="B609" s="34" t="s">
        <v>260</v>
      </c>
      <c r="C609" s="26" t="s">
        <v>260</v>
      </c>
      <c r="D609" s="26"/>
      <c r="E609" s="26" t="s">
        <v>39</v>
      </c>
      <c r="F609" s="26" t="s">
        <v>38</v>
      </c>
      <c r="G609" s="29">
        <v>5230</v>
      </c>
      <c r="H609" s="29">
        <f t="shared" si="327"/>
        <v>20</v>
      </c>
      <c r="I609" s="26" t="s">
        <v>8</v>
      </c>
      <c r="J609" s="26" t="s">
        <v>17</v>
      </c>
      <c r="K609" s="26">
        <f t="shared" si="317"/>
        <v>0</v>
      </c>
      <c r="L609" s="42">
        <v>7</v>
      </c>
      <c r="M609" s="42">
        <v>6</v>
      </c>
      <c r="N609" s="42">
        <v>6</v>
      </c>
      <c r="O609" s="42">
        <v>5</v>
      </c>
      <c r="P609" s="42">
        <v>4</v>
      </c>
      <c r="Q609" s="42">
        <v>4</v>
      </c>
      <c r="R609" s="42">
        <v>9</v>
      </c>
      <c r="S609" s="42">
        <v>8</v>
      </c>
      <c r="T609" s="42">
        <v>8</v>
      </c>
      <c r="U609" s="42">
        <v>8</v>
      </c>
      <c r="V609" s="42"/>
      <c r="W609" s="42"/>
      <c r="X609" s="42"/>
      <c r="Y609" s="26">
        <v>42</v>
      </c>
      <c r="Z609" s="26">
        <f t="shared" si="328"/>
        <v>0</v>
      </c>
      <c r="AA609" s="26" t="s">
        <v>257</v>
      </c>
      <c r="AB609" s="111">
        <f t="shared" si="329"/>
        <v>6</v>
      </c>
      <c r="AC609" s="26" t="s">
        <v>13</v>
      </c>
      <c r="AD609" s="47">
        <f t="shared" si="311"/>
        <v>20801.136363636364</v>
      </c>
      <c r="AE609" s="140"/>
      <c r="AF609" s="113">
        <f t="shared" si="326"/>
        <v>0</v>
      </c>
      <c r="AG609" s="106">
        <v>2025</v>
      </c>
      <c r="AH609" s="26" t="str">
        <f t="shared" si="316"/>
        <v/>
      </c>
      <c r="AI609" s="26" t="str">
        <f t="shared" si="332"/>
        <v/>
      </c>
      <c r="AJ609" s="26" t="str">
        <f t="shared" si="308"/>
        <v/>
      </c>
      <c r="AK609" s="26" t="str">
        <f t="shared" si="333"/>
        <v>Chip Seal and Fog</v>
      </c>
      <c r="AL609" s="26" t="str">
        <f t="shared" si="333"/>
        <v/>
      </c>
      <c r="AM609" s="26" t="str">
        <f t="shared" si="333"/>
        <v/>
      </c>
      <c r="AN609" s="26" t="str">
        <f t="shared" si="325"/>
        <v>Chip Seal and Fog</v>
      </c>
      <c r="AO609" s="26" t="str">
        <f t="shared" si="309"/>
        <v/>
      </c>
      <c r="AP609" s="26" t="str">
        <f t="shared" si="318"/>
        <v/>
      </c>
      <c r="AQ609" s="68">
        <f t="shared" si="330"/>
        <v>6</v>
      </c>
      <c r="AR609" s="68">
        <f t="shared" si="331"/>
        <v>6</v>
      </c>
      <c r="AS609" s="68">
        <f t="shared" si="319"/>
        <v>1.05</v>
      </c>
      <c r="AT609" s="68">
        <f t="shared" si="320"/>
        <v>1.1000000000000001</v>
      </c>
      <c r="AU609" s="68">
        <f t="shared" si="321"/>
        <v>1.1000000000000001</v>
      </c>
      <c r="AV609" s="68">
        <f t="shared" si="322"/>
        <v>1.25</v>
      </c>
      <c r="AW609" s="68">
        <f t="shared" si="323"/>
        <v>1.5</v>
      </c>
      <c r="AX609" s="68">
        <f t="shared" ca="1" si="324"/>
        <v>1.1000000000000001</v>
      </c>
      <c r="AY609" s="106">
        <v>2019</v>
      </c>
      <c r="AZ609" s="106" t="s">
        <v>2073</v>
      </c>
      <c r="BA609" s="106" t="str">
        <f t="shared" si="312"/>
        <v/>
      </c>
      <c r="BB609" s="177"/>
      <c r="BC609" s="177">
        <v>1</v>
      </c>
      <c r="BD609" s="177"/>
      <c r="BE609" s="177"/>
      <c r="BF609" s="177"/>
      <c r="BG609" s="177"/>
      <c r="BH609" s="177"/>
      <c r="BI609" s="33"/>
      <c r="BK609" s="48">
        <f>$G609/5280*VLOOKUP($AC609,'Cost and Score'!$B$27:$O$40,6,0)</f>
        <v>0.19810606060606062</v>
      </c>
      <c r="BL609" s="48">
        <f>$G609/5280*VLOOKUP($AC609,'Cost and Score'!$B$27:$O$40,7,0)</f>
        <v>21.791666666666664</v>
      </c>
      <c r="BM609" s="48">
        <f>$G609/5280*VLOOKUP($AC609,'Cost and Score'!$B$27:$O$40,8,0)</f>
        <v>0</v>
      </c>
      <c r="BN609" s="48">
        <f>$G609/5280*VLOOKUP($AC609,'Cost and Score'!$B$27:$O$40,9,0)</f>
        <v>4457.3863636363631</v>
      </c>
      <c r="BO609" s="48">
        <f>$G609/5280*VLOOKUP($AC609,'Cost and Score'!$B$27:$O$40,10,0)</f>
        <v>990.530303030303</v>
      </c>
      <c r="BP609" s="48">
        <f>$G609/5280*VLOOKUP($AC609,'Cost and Score'!$B$27:$O$40,11,0)</f>
        <v>0</v>
      </c>
      <c r="BQ609" s="48">
        <f>$G609/5280*VLOOKUP($AC609,'Cost and Score'!$B$27:$O$40,12,0)</f>
        <v>99.053030303030297</v>
      </c>
      <c r="BR609" s="48">
        <f>$G609/5280*VLOOKUP($AC609,'Cost and Score'!$B$27:$O$40,13,0)</f>
        <v>118.86363636363636</v>
      </c>
      <c r="BS609" s="48">
        <f>$G609/5280*VLOOKUP($AC609,'Cost and Score'!$B$27:$O$40,14,0)</f>
        <v>0</v>
      </c>
      <c r="BT609" s="220">
        <f t="shared" si="313"/>
        <v>0.99053030303030298</v>
      </c>
    </row>
    <row r="610" spans="1:103" s="2" customFormat="1" ht="14.45" hidden="1" customHeight="1" x14ac:dyDescent="0.25">
      <c r="A610" s="38" t="s">
        <v>1281</v>
      </c>
      <c r="B610" s="34" t="s">
        <v>1280</v>
      </c>
      <c r="C610" s="26" t="s">
        <v>1280</v>
      </c>
      <c r="D610" s="82"/>
      <c r="E610" s="82" t="s">
        <v>785</v>
      </c>
      <c r="F610" s="82" t="s">
        <v>107</v>
      </c>
      <c r="G610" s="29">
        <v>2650</v>
      </c>
      <c r="H610" s="29">
        <f t="shared" si="327"/>
        <v>20</v>
      </c>
      <c r="I610" s="26" t="s">
        <v>8</v>
      </c>
      <c r="J610" s="26" t="s">
        <v>172</v>
      </c>
      <c r="K610" s="26">
        <f t="shared" si="317"/>
        <v>0</v>
      </c>
      <c r="L610" s="42">
        <v>6</v>
      </c>
      <c r="M610" s="42">
        <v>6</v>
      </c>
      <c r="N610" s="42">
        <v>7</v>
      </c>
      <c r="O610" s="83">
        <v>7</v>
      </c>
      <c r="P610" s="83">
        <v>6</v>
      </c>
      <c r="Q610" s="83">
        <v>5</v>
      </c>
      <c r="R610" s="83">
        <v>5</v>
      </c>
      <c r="S610" s="83">
        <v>5</v>
      </c>
      <c r="T610" s="83">
        <v>8</v>
      </c>
      <c r="U610" s="83">
        <v>8</v>
      </c>
      <c r="V610" s="42"/>
      <c r="W610" s="42"/>
      <c r="X610" s="42"/>
      <c r="Y610" s="26">
        <v>50</v>
      </c>
      <c r="Z610" s="26">
        <f t="shared" si="328"/>
        <v>0</v>
      </c>
      <c r="AA610" s="82" t="s">
        <v>147</v>
      </c>
      <c r="AB610" s="111">
        <f t="shared" si="329"/>
        <v>4</v>
      </c>
      <c r="AC610" s="85" t="s">
        <v>13</v>
      </c>
      <c r="AD610" s="84">
        <f t="shared" si="311"/>
        <v>10539.772727272728</v>
      </c>
      <c r="AE610" s="140"/>
      <c r="AF610" s="113">
        <f t="shared" si="326"/>
        <v>0</v>
      </c>
      <c r="AG610" s="26">
        <v>2027</v>
      </c>
      <c r="AH610" s="26" t="str">
        <f t="shared" si="316"/>
        <v/>
      </c>
      <c r="AI610" s="26" t="str">
        <f t="shared" si="332"/>
        <v/>
      </c>
      <c r="AJ610" s="26" t="str">
        <f t="shared" si="308"/>
        <v/>
      </c>
      <c r="AK610" s="26" t="str">
        <f t="shared" si="333"/>
        <v/>
      </c>
      <c r="AL610" s="26" t="str">
        <f t="shared" si="333"/>
        <v/>
      </c>
      <c r="AM610" s="26" t="str">
        <f t="shared" si="333"/>
        <v>Chip Seal and Fog</v>
      </c>
      <c r="AN610" s="26" t="str">
        <f t="shared" si="325"/>
        <v>Chip Seal and Fog</v>
      </c>
      <c r="AO610" s="26" t="str">
        <f t="shared" si="309"/>
        <v>Overlay - 2"</v>
      </c>
      <c r="AP610" s="26" t="str">
        <f t="shared" si="318"/>
        <v/>
      </c>
      <c r="AQ610" s="68">
        <f t="shared" si="330"/>
        <v>10</v>
      </c>
      <c r="AR610" s="68">
        <f t="shared" si="331"/>
        <v>6</v>
      </c>
      <c r="AS610" s="68">
        <f t="shared" si="319"/>
        <v>1.1000000000000001</v>
      </c>
      <c r="AT610" s="68">
        <f t="shared" si="320"/>
        <v>1.1000000000000001</v>
      </c>
      <c r="AU610" s="68">
        <f t="shared" si="321"/>
        <v>1.05</v>
      </c>
      <c r="AV610" s="68">
        <f t="shared" si="322"/>
        <v>1.05</v>
      </c>
      <c r="AW610" s="68">
        <f t="shared" si="323"/>
        <v>1.1000000000000001</v>
      </c>
      <c r="AX610" s="68">
        <f t="shared" ca="1" si="324"/>
        <v>3.1500000000000004</v>
      </c>
      <c r="AY610" s="68">
        <v>2021</v>
      </c>
      <c r="AZ610" s="68" t="s">
        <v>751</v>
      </c>
      <c r="BA610" s="106" t="str">
        <f t="shared" si="312"/>
        <v/>
      </c>
      <c r="BB610" s="178">
        <v>61</v>
      </c>
      <c r="BC610" s="178">
        <v>7</v>
      </c>
      <c r="BD610" s="178"/>
      <c r="BE610" s="178"/>
      <c r="BF610" s="178"/>
      <c r="BG610" s="178"/>
      <c r="BH610" s="178"/>
      <c r="BI610" s="33"/>
      <c r="BK610" s="48">
        <f>$G610/5280*VLOOKUP($AC610,'Cost and Score'!$B$27:$O$40,6,0)</f>
        <v>0.1003787878787879</v>
      </c>
      <c r="BL610" s="48">
        <f>$G610/5280*VLOOKUP($AC610,'Cost and Score'!$B$27:$O$40,7,0)</f>
        <v>11.041666666666668</v>
      </c>
      <c r="BM610" s="48">
        <f>$G610/5280*VLOOKUP($AC610,'Cost and Score'!$B$27:$O$40,8,0)</f>
        <v>0</v>
      </c>
      <c r="BN610" s="48">
        <f>$G610/5280*VLOOKUP($AC610,'Cost and Score'!$B$27:$O$40,9,0)</f>
        <v>2258.5227272727275</v>
      </c>
      <c r="BO610" s="48">
        <f>$G610/5280*VLOOKUP($AC610,'Cost and Score'!$B$27:$O$40,10,0)</f>
        <v>501.89393939393943</v>
      </c>
      <c r="BP610" s="48">
        <f>$G610/5280*VLOOKUP($AC610,'Cost and Score'!$B$27:$O$40,11,0)</f>
        <v>0</v>
      </c>
      <c r="BQ610" s="48">
        <f>$G610/5280*VLOOKUP($AC610,'Cost and Score'!$B$27:$O$40,12,0)</f>
        <v>50.189393939393945</v>
      </c>
      <c r="BR610" s="48">
        <f>$G610/5280*VLOOKUP($AC610,'Cost and Score'!$B$27:$O$40,13,0)</f>
        <v>60.227272727272734</v>
      </c>
      <c r="BS610" s="48">
        <f>$G610/5280*VLOOKUP($AC610,'Cost and Score'!$B$27:$O$40,14,0)</f>
        <v>0</v>
      </c>
      <c r="BT610" s="220">
        <f t="shared" si="313"/>
        <v>0.50189393939393945</v>
      </c>
    </row>
    <row r="611" spans="1:103" s="2" customFormat="1" ht="14.45" hidden="1" customHeight="1" x14ac:dyDescent="0.25">
      <c r="A611" s="38" t="s">
        <v>1283</v>
      </c>
      <c r="B611" s="34" t="s">
        <v>1282</v>
      </c>
      <c r="C611" s="26" t="s">
        <v>1282</v>
      </c>
      <c r="D611" s="26"/>
      <c r="E611" s="26" t="s">
        <v>110</v>
      </c>
      <c r="F611" s="26" t="s">
        <v>785</v>
      </c>
      <c r="G611" s="29">
        <v>2590</v>
      </c>
      <c r="H611" s="29">
        <f t="shared" si="327"/>
        <v>20</v>
      </c>
      <c r="I611" s="106" t="s">
        <v>13</v>
      </c>
      <c r="J611" s="26" t="s">
        <v>172</v>
      </c>
      <c r="K611" s="26">
        <f t="shared" si="317"/>
        <v>0</v>
      </c>
      <c r="L611" s="42">
        <v>4</v>
      </c>
      <c r="M611" s="42">
        <v>4</v>
      </c>
      <c r="N611" s="42">
        <v>10</v>
      </c>
      <c r="O611" s="42">
        <v>9</v>
      </c>
      <c r="P611" s="42">
        <v>8</v>
      </c>
      <c r="Q611" s="42">
        <v>8</v>
      </c>
      <c r="R611" s="42">
        <v>7</v>
      </c>
      <c r="S611" s="42">
        <v>7</v>
      </c>
      <c r="T611" s="42">
        <v>7</v>
      </c>
      <c r="U611" s="42">
        <v>8</v>
      </c>
      <c r="V611" s="42"/>
      <c r="W611" s="42"/>
      <c r="X611" s="42"/>
      <c r="Y611" s="26">
        <v>50</v>
      </c>
      <c r="Z611" s="26">
        <f t="shared" si="328"/>
        <v>0</v>
      </c>
      <c r="AA611" s="26" t="s">
        <v>147</v>
      </c>
      <c r="AB611" s="111">
        <f t="shared" si="329"/>
        <v>2</v>
      </c>
      <c r="AC611" s="26" t="s">
        <v>13</v>
      </c>
      <c r="AD611" s="47">
        <f t="shared" si="311"/>
        <v>10301.136363636364</v>
      </c>
      <c r="AE611" s="140"/>
      <c r="AF611" s="113">
        <f t="shared" si="326"/>
        <v>0</v>
      </c>
      <c r="AG611" s="26">
        <v>2022</v>
      </c>
      <c r="AH611" s="26" t="str">
        <f t="shared" si="316"/>
        <v>Chip Seal and Fog</v>
      </c>
      <c r="AI611" s="26" t="str">
        <f t="shared" si="332"/>
        <v/>
      </c>
      <c r="AJ611" s="26" t="str">
        <f t="shared" si="308"/>
        <v/>
      </c>
      <c r="AK611" s="26" t="str">
        <f t="shared" si="333"/>
        <v/>
      </c>
      <c r="AL611" s="26" t="str">
        <f t="shared" si="333"/>
        <v/>
      </c>
      <c r="AM611" s="26" t="str">
        <f t="shared" si="333"/>
        <v/>
      </c>
      <c r="AN611" s="26" t="str">
        <f t="shared" si="325"/>
        <v>Chip Seal and Fog</v>
      </c>
      <c r="AO611" s="26" t="str">
        <f t="shared" si="309"/>
        <v/>
      </c>
      <c r="AP611" s="26" t="str">
        <f t="shared" si="318"/>
        <v/>
      </c>
      <c r="AQ611" s="68">
        <f t="shared" si="330"/>
        <v>14</v>
      </c>
      <c r="AR611" s="68">
        <f t="shared" si="331"/>
        <v>6</v>
      </c>
      <c r="AS611" s="68">
        <f t="shared" si="319"/>
        <v>1.5</v>
      </c>
      <c r="AT611" s="68">
        <f t="shared" si="320"/>
        <v>1.5</v>
      </c>
      <c r="AU611" s="68">
        <f t="shared" si="321"/>
        <v>1</v>
      </c>
      <c r="AV611" s="68">
        <f t="shared" si="322"/>
        <v>1</v>
      </c>
      <c r="AW611" s="68">
        <f t="shared" si="323"/>
        <v>1</v>
      </c>
      <c r="AX611" s="68">
        <f t="shared" ca="1" si="324"/>
        <v>-2</v>
      </c>
      <c r="AY611" s="68">
        <v>2016</v>
      </c>
      <c r="AZ611" s="68" t="s">
        <v>2072</v>
      </c>
      <c r="BA611" s="106" t="str">
        <f t="shared" si="312"/>
        <v/>
      </c>
      <c r="BB611" s="178"/>
      <c r="BC611" s="178">
        <v>7</v>
      </c>
      <c r="BD611" s="178"/>
      <c r="BE611" s="178"/>
      <c r="BF611" s="178"/>
      <c r="BG611" s="178"/>
      <c r="BH611" s="178"/>
      <c r="BI611" s="33"/>
      <c r="BK611" s="48">
        <f>$G611/5280*VLOOKUP($AC611,'Cost and Score'!$B$27:$O$40,6,0)</f>
        <v>9.8106060606060613E-2</v>
      </c>
      <c r="BL611" s="48">
        <f>$G611/5280*VLOOKUP($AC611,'Cost and Score'!$B$27:$O$40,7,0)</f>
        <v>10.791666666666666</v>
      </c>
      <c r="BM611" s="48">
        <f>$G611/5280*VLOOKUP($AC611,'Cost and Score'!$B$27:$O$40,8,0)</f>
        <v>0</v>
      </c>
      <c r="BN611" s="48">
        <f>$G611/5280*VLOOKUP($AC611,'Cost and Score'!$B$27:$O$40,9,0)</f>
        <v>2207.3863636363635</v>
      </c>
      <c r="BO611" s="48">
        <f>$G611/5280*VLOOKUP($AC611,'Cost and Score'!$B$27:$O$40,10,0)</f>
        <v>490.53030303030306</v>
      </c>
      <c r="BP611" s="48">
        <f>$G611/5280*VLOOKUP($AC611,'Cost and Score'!$B$27:$O$40,11,0)</f>
        <v>0</v>
      </c>
      <c r="BQ611" s="48">
        <f>$G611/5280*VLOOKUP($AC611,'Cost and Score'!$B$27:$O$40,12,0)</f>
        <v>49.053030303030305</v>
      </c>
      <c r="BR611" s="48">
        <f>$G611/5280*VLOOKUP($AC611,'Cost and Score'!$B$27:$O$40,13,0)</f>
        <v>58.863636363636367</v>
      </c>
      <c r="BS611" s="48">
        <f>$G611/5280*VLOOKUP($AC611,'Cost and Score'!$B$27:$O$40,14,0)</f>
        <v>0</v>
      </c>
      <c r="BT611" s="220">
        <f t="shared" si="313"/>
        <v>0.49053030303030304</v>
      </c>
    </row>
    <row r="612" spans="1:103" s="2" customFormat="1" ht="14.45" hidden="1" customHeight="1" x14ac:dyDescent="0.25">
      <c r="A612" s="38" t="s">
        <v>1285</v>
      </c>
      <c r="B612" s="34" t="s">
        <v>1284</v>
      </c>
      <c r="C612" s="26" t="s">
        <v>1284</v>
      </c>
      <c r="D612" s="82"/>
      <c r="E612" s="82" t="s">
        <v>25</v>
      </c>
      <c r="F612" s="82" t="s">
        <v>28</v>
      </c>
      <c r="G612" s="29">
        <v>5300</v>
      </c>
      <c r="H612" s="29">
        <f t="shared" si="327"/>
        <v>20</v>
      </c>
      <c r="I612" s="26" t="s">
        <v>13</v>
      </c>
      <c r="J612" s="26" t="s">
        <v>26</v>
      </c>
      <c r="K612" s="26">
        <f t="shared" si="317"/>
        <v>0</v>
      </c>
      <c r="L612" s="42">
        <v>5</v>
      </c>
      <c r="M612" s="42">
        <v>5</v>
      </c>
      <c r="N612" s="42">
        <v>5</v>
      </c>
      <c r="O612" s="83">
        <v>4</v>
      </c>
      <c r="P612" s="83">
        <v>4</v>
      </c>
      <c r="Q612" s="83">
        <v>7</v>
      </c>
      <c r="R612" s="83">
        <v>7</v>
      </c>
      <c r="S612" s="83">
        <v>7</v>
      </c>
      <c r="T612" s="83">
        <v>7</v>
      </c>
      <c r="U612" s="83">
        <v>7</v>
      </c>
      <c r="V612" s="42"/>
      <c r="W612" s="42"/>
      <c r="X612" s="42"/>
      <c r="Y612" s="26">
        <v>50</v>
      </c>
      <c r="Z612" s="26">
        <f t="shared" si="328"/>
        <v>0</v>
      </c>
      <c r="AA612" s="82" t="s">
        <v>147</v>
      </c>
      <c r="AB612" s="111">
        <f t="shared" si="329"/>
        <v>6</v>
      </c>
      <c r="AC612" s="85" t="s">
        <v>13</v>
      </c>
      <c r="AD612" s="84">
        <f t="shared" si="311"/>
        <v>21079.545454545456</v>
      </c>
      <c r="AE612" s="140"/>
      <c r="AF612" s="113">
        <f t="shared" si="326"/>
        <v>0</v>
      </c>
      <c r="AG612" s="26">
        <v>2024</v>
      </c>
      <c r="AH612" s="26" t="str">
        <f t="shared" si="316"/>
        <v/>
      </c>
      <c r="AI612" s="26" t="str">
        <f t="shared" si="332"/>
        <v/>
      </c>
      <c r="AJ612" s="26" t="str">
        <f t="shared" si="308"/>
        <v>Chip Seal and Fog</v>
      </c>
      <c r="AK612" s="26" t="str">
        <f t="shared" si="333"/>
        <v/>
      </c>
      <c r="AL612" s="26" t="str">
        <f t="shared" si="333"/>
        <v/>
      </c>
      <c r="AM612" s="26" t="str">
        <f t="shared" si="333"/>
        <v/>
      </c>
      <c r="AN612" s="26" t="str">
        <f t="shared" si="325"/>
        <v>Chip Seal and Fog</v>
      </c>
      <c r="AO612" s="26" t="str">
        <f t="shared" si="309"/>
        <v/>
      </c>
      <c r="AP612" s="26" t="str">
        <f t="shared" si="318"/>
        <v/>
      </c>
      <c r="AQ612" s="68">
        <f t="shared" si="330"/>
        <v>3</v>
      </c>
      <c r="AR612" s="68">
        <f t="shared" si="331"/>
        <v>6</v>
      </c>
      <c r="AS612" s="68">
        <f t="shared" si="319"/>
        <v>1.25</v>
      </c>
      <c r="AT612" s="68">
        <f t="shared" si="320"/>
        <v>1.25</v>
      </c>
      <c r="AU612" s="68">
        <f t="shared" si="321"/>
        <v>1.25</v>
      </c>
      <c r="AV612" s="68">
        <f t="shared" si="322"/>
        <v>1.5</v>
      </c>
      <c r="AW612" s="68">
        <f t="shared" si="323"/>
        <v>1.5</v>
      </c>
      <c r="AX612" s="68">
        <f t="shared" ca="1" si="324"/>
        <v>0</v>
      </c>
      <c r="AY612" s="68">
        <v>2018</v>
      </c>
      <c r="AZ612" s="68" t="s">
        <v>2072</v>
      </c>
      <c r="BA612" s="106" t="str">
        <f t="shared" si="312"/>
        <v>SP/CS</v>
      </c>
      <c r="BB612" s="178"/>
      <c r="BC612" s="178">
        <v>5</v>
      </c>
      <c r="BD612" s="178"/>
      <c r="BE612" s="178"/>
      <c r="BF612" s="178"/>
      <c r="BG612" s="178"/>
      <c r="BH612" s="178"/>
      <c r="BI612" s="33"/>
      <c r="BK612" s="48">
        <f>$G612/5280*VLOOKUP($AC612,'Cost and Score'!$B$27:$O$40,6,0)</f>
        <v>0.2007575757575758</v>
      </c>
      <c r="BL612" s="48">
        <f>$G612/5280*VLOOKUP($AC612,'Cost and Score'!$B$27:$O$40,7,0)</f>
        <v>22.083333333333336</v>
      </c>
      <c r="BM612" s="48">
        <f>$G612/5280*VLOOKUP($AC612,'Cost and Score'!$B$27:$O$40,8,0)</f>
        <v>0</v>
      </c>
      <c r="BN612" s="48">
        <f>$G612/5280*VLOOKUP($AC612,'Cost and Score'!$B$27:$O$40,9,0)</f>
        <v>4517.045454545455</v>
      </c>
      <c r="BO612" s="48">
        <f>$G612/5280*VLOOKUP($AC612,'Cost and Score'!$B$27:$O$40,10,0)</f>
        <v>1003.7878787878789</v>
      </c>
      <c r="BP612" s="48">
        <f>$G612/5280*VLOOKUP($AC612,'Cost and Score'!$B$27:$O$40,11,0)</f>
        <v>0</v>
      </c>
      <c r="BQ612" s="48">
        <f>$G612/5280*VLOOKUP($AC612,'Cost and Score'!$B$27:$O$40,12,0)</f>
        <v>100.37878787878789</v>
      </c>
      <c r="BR612" s="48">
        <f>$G612/5280*VLOOKUP($AC612,'Cost and Score'!$B$27:$O$40,13,0)</f>
        <v>120.45454545454547</v>
      </c>
      <c r="BS612" s="48">
        <f>$G612/5280*VLOOKUP($AC612,'Cost and Score'!$B$27:$O$40,14,0)</f>
        <v>0</v>
      </c>
      <c r="BT612" s="220">
        <f t="shared" si="313"/>
        <v>1.0037878787878789</v>
      </c>
      <c r="CS612" s="112"/>
      <c r="CT612" s="112"/>
      <c r="CU612" s="112"/>
    </row>
    <row r="613" spans="1:103" s="2" customFormat="1" ht="14.45" hidden="1" customHeight="1" x14ac:dyDescent="0.25">
      <c r="A613" s="38" t="s">
        <v>1287</v>
      </c>
      <c r="B613" s="34" t="s">
        <v>1286</v>
      </c>
      <c r="C613" s="26" t="s">
        <v>1286</v>
      </c>
      <c r="D613" s="26"/>
      <c r="E613" s="26" t="s">
        <v>817</v>
      </c>
      <c r="F613" s="26" t="s">
        <v>110</v>
      </c>
      <c r="G613" s="29">
        <v>2650</v>
      </c>
      <c r="H613" s="29">
        <f t="shared" si="327"/>
        <v>20</v>
      </c>
      <c r="I613" s="106" t="s">
        <v>13</v>
      </c>
      <c r="J613" s="26" t="s">
        <v>172</v>
      </c>
      <c r="K613" s="26">
        <f t="shared" si="317"/>
        <v>0</v>
      </c>
      <c r="L613" s="42">
        <v>5</v>
      </c>
      <c r="M613" s="42">
        <v>4</v>
      </c>
      <c r="N613" s="42">
        <v>10</v>
      </c>
      <c r="O613" s="42">
        <v>9</v>
      </c>
      <c r="P613" s="42">
        <v>8</v>
      </c>
      <c r="Q613" s="42">
        <v>8</v>
      </c>
      <c r="R613" s="42">
        <v>8</v>
      </c>
      <c r="S613" s="42">
        <v>7</v>
      </c>
      <c r="T613" s="42">
        <v>7</v>
      </c>
      <c r="U613" s="42">
        <v>7</v>
      </c>
      <c r="V613" s="42"/>
      <c r="W613" s="42"/>
      <c r="X613" s="42"/>
      <c r="Y613" s="26">
        <v>50</v>
      </c>
      <c r="Z613" s="26">
        <f t="shared" si="328"/>
        <v>0</v>
      </c>
      <c r="AA613" s="26" t="s">
        <v>147</v>
      </c>
      <c r="AB613" s="111">
        <f t="shared" si="329"/>
        <v>2</v>
      </c>
      <c r="AC613" s="26" t="s">
        <v>13</v>
      </c>
      <c r="AD613" s="47">
        <f t="shared" si="311"/>
        <v>10539.772727272728</v>
      </c>
      <c r="AE613" s="140"/>
      <c r="AF613" s="113">
        <f t="shared" si="326"/>
        <v>0</v>
      </c>
      <c r="AG613" s="26">
        <v>2022</v>
      </c>
      <c r="AH613" s="26" t="str">
        <f t="shared" si="316"/>
        <v>Chip Seal and Fog</v>
      </c>
      <c r="AI613" s="26" t="str">
        <f t="shared" si="332"/>
        <v/>
      </c>
      <c r="AJ613" s="26" t="str">
        <f t="shared" si="308"/>
        <v/>
      </c>
      <c r="AK613" s="26" t="str">
        <f t="shared" si="333"/>
        <v/>
      </c>
      <c r="AL613" s="26" t="str">
        <f t="shared" si="333"/>
        <v/>
      </c>
      <c r="AM613" s="26" t="str">
        <f t="shared" si="333"/>
        <v/>
      </c>
      <c r="AN613" s="26" t="str">
        <f t="shared" si="325"/>
        <v>Chip Seal and Fog</v>
      </c>
      <c r="AO613" s="26" t="str">
        <f t="shared" si="309"/>
        <v/>
      </c>
      <c r="AP613" s="26" t="str">
        <f t="shared" si="318"/>
        <v/>
      </c>
      <c r="AQ613" s="68">
        <f t="shared" si="330"/>
        <v>14</v>
      </c>
      <c r="AR613" s="68">
        <f t="shared" si="331"/>
        <v>6</v>
      </c>
      <c r="AS613" s="68">
        <f t="shared" si="319"/>
        <v>1.25</v>
      </c>
      <c r="AT613" s="68">
        <f t="shared" si="320"/>
        <v>1.5</v>
      </c>
      <c r="AU613" s="68">
        <f t="shared" si="321"/>
        <v>1</v>
      </c>
      <c r="AV613" s="68">
        <f t="shared" si="322"/>
        <v>1</v>
      </c>
      <c r="AW613" s="68">
        <f t="shared" si="323"/>
        <v>1</v>
      </c>
      <c r="AX613" s="68">
        <f t="shared" ca="1" si="324"/>
        <v>-2</v>
      </c>
      <c r="AY613" s="68">
        <v>2016</v>
      </c>
      <c r="AZ613" s="68" t="s">
        <v>2072</v>
      </c>
      <c r="BA613" s="106" t="str">
        <f t="shared" si="312"/>
        <v/>
      </c>
      <c r="BB613" s="178"/>
      <c r="BC613" s="178">
        <v>7</v>
      </c>
      <c r="BD613" s="178"/>
      <c r="BE613" s="178"/>
      <c r="BF613" s="178"/>
      <c r="BG613" s="178"/>
      <c r="BH613" s="178"/>
      <c r="BI613" s="33"/>
      <c r="BK613" s="48">
        <f>$G613/5280*VLOOKUP($AC613,'Cost and Score'!$B$27:$O$40,6,0)</f>
        <v>0.1003787878787879</v>
      </c>
      <c r="BL613" s="48">
        <f>$G613/5280*VLOOKUP($AC613,'Cost and Score'!$B$27:$O$40,7,0)</f>
        <v>11.041666666666668</v>
      </c>
      <c r="BM613" s="48">
        <f>$G613/5280*VLOOKUP($AC613,'Cost and Score'!$B$27:$O$40,8,0)</f>
        <v>0</v>
      </c>
      <c r="BN613" s="48">
        <f>$G613/5280*VLOOKUP($AC613,'Cost and Score'!$B$27:$O$40,9,0)</f>
        <v>2258.5227272727275</v>
      </c>
      <c r="BO613" s="48">
        <f>$G613/5280*VLOOKUP($AC613,'Cost and Score'!$B$27:$O$40,10,0)</f>
        <v>501.89393939393943</v>
      </c>
      <c r="BP613" s="48">
        <f>$G613/5280*VLOOKUP($AC613,'Cost and Score'!$B$27:$O$40,11,0)</f>
        <v>0</v>
      </c>
      <c r="BQ613" s="48">
        <f>$G613/5280*VLOOKUP($AC613,'Cost and Score'!$B$27:$O$40,12,0)</f>
        <v>50.189393939393945</v>
      </c>
      <c r="BR613" s="48">
        <f>$G613/5280*VLOOKUP($AC613,'Cost and Score'!$B$27:$O$40,13,0)</f>
        <v>60.227272727272734</v>
      </c>
      <c r="BS613" s="48">
        <f>$G613/5280*VLOOKUP($AC613,'Cost and Score'!$B$27:$O$40,14,0)</f>
        <v>0</v>
      </c>
      <c r="BT613" s="220">
        <f t="shared" si="313"/>
        <v>0.50189393939393945</v>
      </c>
    </row>
    <row r="614" spans="1:103" s="2" customFormat="1" ht="14.45" hidden="1" customHeight="1" x14ac:dyDescent="0.25">
      <c r="A614" s="36" t="s">
        <v>1289</v>
      </c>
      <c r="B614" s="34" t="s">
        <v>1288</v>
      </c>
      <c r="C614" s="26" t="s">
        <v>1288</v>
      </c>
      <c r="D614" s="82"/>
      <c r="E614" s="82" t="s">
        <v>210</v>
      </c>
      <c r="F614" s="82" t="s">
        <v>817</v>
      </c>
      <c r="G614" s="29">
        <v>2620</v>
      </c>
      <c r="H614" s="29">
        <f t="shared" si="327"/>
        <v>20</v>
      </c>
      <c r="I614" s="26" t="s">
        <v>8</v>
      </c>
      <c r="J614" s="26" t="s">
        <v>172</v>
      </c>
      <c r="K614" s="26">
        <f t="shared" si="317"/>
        <v>0</v>
      </c>
      <c r="L614" s="42">
        <v>9</v>
      </c>
      <c r="M614" s="42">
        <v>8</v>
      </c>
      <c r="N614" s="42">
        <v>8</v>
      </c>
      <c r="O614" s="83">
        <v>8</v>
      </c>
      <c r="P614" s="83">
        <v>8</v>
      </c>
      <c r="Q614" s="83">
        <v>8</v>
      </c>
      <c r="R614" s="83">
        <v>8</v>
      </c>
      <c r="S614" s="83">
        <v>7</v>
      </c>
      <c r="T614" s="83">
        <v>7</v>
      </c>
      <c r="U614" s="83">
        <v>7</v>
      </c>
      <c r="V614" s="42"/>
      <c r="W614" s="42"/>
      <c r="X614" s="42"/>
      <c r="Y614" s="26">
        <v>58</v>
      </c>
      <c r="Z614" s="26">
        <f t="shared" si="328"/>
        <v>0</v>
      </c>
      <c r="AA614" s="82" t="s">
        <v>147</v>
      </c>
      <c r="AB614" s="111">
        <f t="shared" si="329"/>
        <v>2</v>
      </c>
      <c r="AC614" s="85" t="s">
        <v>13</v>
      </c>
      <c r="AD614" s="84">
        <f t="shared" si="311"/>
        <v>10420.454545454546</v>
      </c>
      <c r="AE614" s="140"/>
      <c r="AF614" s="113">
        <f t="shared" si="326"/>
        <v>0</v>
      </c>
      <c r="AG614" s="85">
        <v>2026</v>
      </c>
      <c r="AH614" s="26" t="str">
        <f t="shared" si="316"/>
        <v/>
      </c>
      <c r="AI614" s="26" t="str">
        <f t="shared" si="332"/>
        <v/>
      </c>
      <c r="AJ614" s="26" t="str">
        <f t="shared" si="308"/>
        <v/>
      </c>
      <c r="AK614" s="26" t="str">
        <f t="shared" si="333"/>
        <v/>
      </c>
      <c r="AL614" s="26" t="str">
        <f t="shared" si="333"/>
        <v>Chip Seal and Fog</v>
      </c>
      <c r="AM614" s="26" t="str">
        <f t="shared" si="333"/>
        <v/>
      </c>
      <c r="AN614" s="26" t="str">
        <f t="shared" si="325"/>
        <v>Chip Seal and Fog</v>
      </c>
      <c r="AO614" s="26" t="str">
        <f t="shared" si="309"/>
        <v/>
      </c>
      <c r="AP614" s="26" t="str">
        <f t="shared" si="318"/>
        <v/>
      </c>
      <c r="AQ614" s="68">
        <f t="shared" si="330"/>
        <v>12</v>
      </c>
      <c r="AR614" s="68">
        <f t="shared" si="331"/>
        <v>6</v>
      </c>
      <c r="AS614" s="68">
        <f t="shared" si="319"/>
        <v>1</v>
      </c>
      <c r="AT614" s="68">
        <f t="shared" si="320"/>
        <v>1</v>
      </c>
      <c r="AU614" s="68">
        <f t="shared" si="321"/>
        <v>1</v>
      </c>
      <c r="AV614" s="68">
        <f t="shared" si="322"/>
        <v>1</v>
      </c>
      <c r="AW614" s="68">
        <f t="shared" si="323"/>
        <v>1</v>
      </c>
      <c r="AX614" s="68">
        <f t="shared" ca="1" si="324"/>
        <v>2</v>
      </c>
      <c r="AY614" s="68">
        <v>2020</v>
      </c>
      <c r="AZ614" s="68" t="s">
        <v>2075</v>
      </c>
      <c r="BA614" s="106" t="str">
        <f t="shared" si="312"/>
        <v/>
      </c>
      <c r="BB614" s="178"/>
      <c r="BC614" s="178">
        <v>7</v>
      </c>
      <c r="BD614" s="178"/>
      <c r="BE614" s="178"/>
      <c r="BF614" s="178"/>
      <c r="BG614" s="178"/>
      <c r="BH614" s="178"/>
      <c r="BI614" s="33"/>
      <c r="BK614" s="48">
        <f>$G614/5280*VLOOKUP($AC614,'Cost and Score'!$B$27:$O$40,6,0)</f>
        <v>9.9242424242424243E-2</v>
      </c>
      <c r="BL614" s="48">
        <f>$G614/5280*VLOOKUP($AC614,'Cost and Score'!$B$27:$O$40,7,0)</f>
        <v>10.916666666666666</v>
      </c>
      <c r="BM614" s="48">
        <f>$G614/5280*VLOOKUP($AC614,'Cost and Score'!$B$27:$O$40,8,0)</f>
        <v>0</v>
      </c>
      <c r="BN614" s="48">
        <f>$G614/5280*VLOOKUP($AC614,'Cost and Score'!$B$27:$O$40,9,0)</f>
        <v>2232.9545454545455</v>
      </c>
      <c r="BO614" s="48">
        <f>$G614/5280*VLOOKUP($AC614,'Cost and Score'!$B$27:$O$40,10,0)</f>
        <v>496.21212121212119</v>
      </c>
      <c r="BP614" s="48">
        <f>$G614/5280*VLOOKUP($AC614,'Cost and Score'!$B$27:$O$40,11,0)</f>
        <v>0</v>
      </c>
      <c r="BQ614" s="48">
        <f>$G614/5280*VLOOKUP($AC614,'Cost and Score'!$B$27:$O$40,12,0)</f>
        <v>49.621212121212125</v>
      </c>
      <c r="BR614" s="48">
        <f>$G614/5280*VLOOKUP($AC614,'Cost and Score'!$B$27:$O$40,13,0)</f>
        <v>59.545454545454547</v>
      </c>
      <c r="BS614" s="48">
        <f>$G614/5280*VLOOKUP($AC614,'Cost and Score'!$B$27:$O$40,14,0)</f>
        <v>0</v>
      </c>
      <c r="BT614" s="220">
        <f t="shared" si="313"/>
        <v>0.49621212121212122</v>
      </c>
    </row>
    <row r="615" spans="1:103" s="2" customFormat="1" ht="14.45" hidden="1" customHeight="1" x14ac:dyDescent="0.25">
      <c r="A615" s="38" t="s">
        <v>1291</v>
      </c>
      <c r="B615" s="34" t="s">
        <v>1290</v>
      </c>
      <c r="C615" s="26" t="s">
        <v>1290</v>
      </c>
      <c r="D615" s="82"/>
      <c r="E615" s="82" t="s">
        <v>28</v>
      </c>
      <c r="F615" s="82" t="s">
        <v>9</v>
      </c>
      <c r="G615" s="29">
        <v>4985</v>
      </c>
      <c r="H615" s="29">
        <f t="shared" si="327"/>
        <v>20</v>
      </c>
      <c r="I615" s="26" t="s">
        <v>13</v>
      </c>
      <c r="J615" s="26" t="s">
        <v>26</v>
      </c>
      <c r="K615" s="26">
        <f t="shared" si="317"/>
        <v>0</v>
      </c>
      <c r="L615" s="42">
        <v>8</v>
      </c>
      <c r="M615" s="42">
        <v>9</v>
      </c>
      <c r="N615" s="42">
        <v>9</v>
      </c>
      <c r="O615" s="83">
        <v>8</v>
      </c>
      <c r="P615" s="83">
        <v>7</v>
      </c>
      <c r="Q615" s="83">
        <v>7</v>
      </c>
      <c r="R615" s="83">
        <v>6</v>
      </c>
      <c r="S615" s="83">
        <v>6</v>
      </c>
      <c r="T615" s="83">
        <v>7</v>
      </c>
      <c r="U615" s="83">
        <v>7</v>
      </c>
      <c r="V615" s="42"/>
      <c r="W615" s="42"/>
      <c r="X615" s="42"/>
      <c r="Y615" s="26">
        <v>50</v>
      </c>
      <c r="Z615" s="26">
        <f t="shared" si="328"/>
        <v>0</v>
      </c>
      <c r="AA615" s="82" t="s">
        <v>147</v>
      </c>
      <c r="AB615" s="111">
        <f t="shared" si="329"/>
        <v>3</v>
      </c>
      <c r="AC615" s="82" t="s">
        <v>2072</v>
      </c>
      <c r="AD615" s="84">
        <f t="shared" si="311"/>
        <v>43429.92424242424</v>
      </c>
      <c r="AE615" s="140"/>
      <c r="AF615" s="113">
        <f t="shared" si="326"/>
        <v>0</v>
      </c>
      <c r="AG615" s="26">
        <v>2027</v>
      </c>
      <c r="AH615" s="26" t="str">
        <f t="shared" si="316"/>
        <v/>
      </c>
      <c r="AI615" s="26" t="str">
        <f t="shared" si="332"/>
        <v/>
      </c>
      <c r="AJ615" s="26" t="str">
        <f t="shared" ref="AJ615:AJ678" si="334">IF($AG615=AJ$1,VLOOKUP($AC615,RSL,3,FALSE),"")</f>
        <v/>
      </c>
      <c r="AK615" s="26" t="str">
        <f t="shared" si="333"/>
        <v/>
      </c>
      <c r="AL615" s="26" t="str">
        <f t="shared" si="333"/>
        <v/>
      </c>
      <c r="AM615" s="26" t="str">
        <f t="shared" si="333"/>
        <v>Chip Seal - Triple</v>
      </c>
      <c r="AN615" s="26" t="str">
        <f t="shared" si="325"/>
        <v>Chip Seal - Triple</v>
      </c>
      <c r="AO615" s="26" t="str">
        <f t="shared" ref="AO615:AO678" si="335">IF(AY615=AO$1,VLOOKUP(AZ615,RSL,3,FALSE),"")</f>
        <v>Chip Seal and Fog</v>
      </c>
      <c r="AP615" s="26" t="str">
        <f t="shared" si="318"/>
        <v/>
      </c>
      <c r="AQ615" s="68">
        <f t="shared" si="330"/>
        <v>12</v>
      </c>
      <c r="AR615" s="68">
        <f t="shared" si="331"/>
        <v>8</v>
      </c>
      <c r="AS615" s="68">
        <f t="shared" si="319"/>
        <v>1</v>
      </c>
      <c r="AT615" s="68">
        <f t="shared" si="320"/>
        <v>1</v>
      </c>
      <c r="AU615" s="68">
        <f t="shared" si="321"/>
        <v>1</v>
      </c>
      <c r="AV615" s="68">
        <f t="shared" si="322"/>
        <v>1</v>
      </c>
      <c r="AW615" s="68">
        <f t="shared" si="323"/>
        <v>1.05</v>
      </c>
      <c r="AX615" s="68">
        <f t="shared" ca="1" si="324"/>
        <v>3</v>
      </c>
      <c r="AY615" s="68">
        <v>2021</v>
      </c>
      <c r="AZ615" s="68" t="s">
        <v>13</v>
      </c>
      <c r="BA615" s="106" t="str">
        <f t="shared" si="312"/>
        <v/>
      </c>
      <c r="BB615" s="178">
        <v>66</v>
      </c>
      <c r="BC615" s="178">
        <v>5</v>
      </c>
      <c r="BD615" s="178"/>
      <c r="BE615" s="178"/>
      <c r="BF615" s="178"/>
      <c r="BG615" s="178"/>
      <c r="BH615" s="178"/>
      <c r="BI615" s="33"/>
      <c r="BK615" s="48">
        <f>$G615/5280*VLOOKUP($AC615,'Cost and Score'!$B$27:$O$40,6,0)</f>
        <v>0.56647727272727266</v>
      </c>
      <c r="BL615" s="48">
        <f>$G615/5280*VLOOKUP($AC615,'Cost and Score'!$B$27:$O$40,7,0)</f>
        <v>118.01609848484848</v>
      </c>
      <c r="BM615" s="48">
        <f>$G615/5280*VLOOKUP($AC615,'Cost and Score'!$B$27:$O$40,8,0)</f>
        <v>188.82575757575756</v>
      </c>
      <c r="BN615" s="48">
        <f>$G615/5280*VLOOKUP($AC615,'Cost and Score'!$B$27:$O$40,9,0)</f>
        <v>1888.2575757575758</v>
      </c>
      <c r="BO615" s="48">
        <f>$G615/5280*VLOOKUP($AC615,'Cost and Score'!$B$27:$O$40,10,0)</f>
        <v>472.06439393939394</v>
      </c>
      <c r="BP615" s="48">
        <f>$G615/5280*VLOOKUP($AC615,'Cost and Score'!$B$27:$O$40,11,0)</f>
        <v>94.412878787878782</v>
      </c>
      <c r="BQ615" s="48">
        <f>$G615/5280*VLOOKUP($AC615,'Cost and Score'!$B$27:$O$40,12,0)</f>
        <v>755.30303030303025</v>
      </c>
      <c r="BR615" s="48">
        <f>$G615/5280*VLOOKUP($AC615,'Cost and Score'!$B$27:$O$40,13,0)</f>
        <v>75.530303030303031</v>
      </c>
      <c r="BS615" s="48">
        <f>$G615/5280*VLOOKUP($AC615,'Cost and Score'!$B$27:$O$40,14,0)</f>
        <v>0</v>
      </c>
      <c r="BT615" s="220">
        <f t="shared" si="313"/>
        <v>0.94412878787878785</v>
      </c>
    </row>
    <row r="616" spans="1:103" s="2" customFormat="1" ht="14.45" hidden="1" customHeight="1" x14ac:dyDescent="0.25">
      <c r="A616" s="38" t="s">
        <v>1293</v>
      </c>
      <c r="B616" s="34" t="s">
        <v>1292</v>
      </c>
      <c r="C616" s="26" t="s">
        <v>1292</v>
      </c>
      <c r="D616" s="82"/>
      <c r="E616" s="82" t="s">
        <v>35</v>
      </c>
      <c r="F616" s="82" t="s">
        <v>9</v>
      </c>
      <c r="G616" s="29">
        <v>2650</v>
      </c>
      <c r="H616" s="29">
        <f t="shared" si="327"/>
        <v>20</v>
      </c>
      <c r="I616" s="26" t="s">
        <v>13</v>
      </c>
      <c r="J616" s="26" t="s">
        <v>17</v>
      </c>
      <c r="K616" s="26">
        <f t="shared" si="317"/>
        <v>0</v>
      </c>
      <c r="L616" s="42">
        <v>6</v>
      </c>
      <c r="M616" s="42">
        <v>9</v>
      </c>
      <c r="N616" s="42">
        <v>7</v>
      </c>
      <c r="O616" s="83">
        <v>7</v>
      </c>
      <c r="P616" s="83">
        <v>7</v>
      </c>
      <c r="Q616" s="83">
        <v>7</v>
      </c>
      <c r="R616" s="83">
        <v>6</v>
      </c>
      <c r="S616" s="83">
        <v>7</v>
      </c>
      <c r="T616" s="83">
        <v>7</v>
      </c>
      <c r="U616" s="83">
        <v>7</v>
      </c>
      <c r="V616" s="42"/>
      <c r="W616" s="42"/>
      <c r="X616" s="42"/>
      <c r="Y616" s="26">
        <v>50</v>
      </c>
      <c r="Z616" s="26">
        <f t="shared" si="328"/>
        <v>0</v>
      </c>
      <c r="AA616" s="82" t="s">
        <v>147</v>
      </c>
      <c r="AB616" s="111">
        <f t="shared" si="329"/>
        <v>3</v>
      </c>
      <c r="AC616" s="82" t="s">
        <v>2073</v>
      </c>
      <c r="AD616" s="84">
        <f t="shared" si="311"/>
        <v>16060.60606060606</v>
      </c>
      <c r="AE616" s="140">
        <v>1</v>
      </c>
      <c r="AF616" s="113">
        <f t="shared" si="326"/>
        <v>16060.60606060606</v>
      </c>
      <c r="AG616" s="26">
        <v>2023</v>
      </c>
      <c r="AH616" s="26" t="str">
        <f t="shared" si="316"/>
        <v/>
      </c>
      <c r="AI616" s="26" t="str">
        <f t="shared" si="332"/>
        <v>Chip Seal - Double and Fog</v>
      </c>
      <c r="AJ616" s="26" t="str">
        <f t="shared" si="334"/>
        <v/>
      </c>
      <c r="AK616" s="26" t="str">
        <f t="shared" si="333"/>
        <v/>
      </c>
      <c r="AL616" s="26" t="str">
        <f t="shared" si="333"/>
        <v/>
      </c>
      <c r="AM616" s="26" t="str">
        <f t="shared" si="333"/>
        <v/>
      </c>
      <c r="AN616" s="26" t="str">
        <f t="shared" si="325"/>
        <v>Chip Seal - Double and Fog</v>
      </c>
      <c r="AO616" s="26" t="str">
        <f t="shared" si="335"/>
        <v/>
      </c>
      <c r="AP616" s="26" t="str">
        <f t="shared" si="318"/>
        <v/>
      </c>
      <c r="AQ616" s="68">
        <f t="shared" si="330"/>
        <v>10</v>
      </c>
      <c r="AR616" s="68">
        <f t="shared" si="331"/>
        <v>6</v>
      </c>
      <c r="AS616" s="68">
        <f t="shared" si="319"/>
        <v>1.1000000000000001</v>
      </c>
      <c r="AT616" s="68">
        <f t="shared" si="320"/>
        <v>1</v>
      </c>
      <c r="AU616" s="68">
        <f t="shared" si="321"/>
        <v>1.05</v>
      </c>
      <c r="AV616" s="68">
        <f t="shared" si="322"/>
        <v>1.05</v>
      </c>
      <c r="AW616" s="68">
        <f t="shared" si="323"/>
        <v>1.05</v>
      </c>
      <c r="AX616" s="68">
        <f t="shared" ca="1" si="324"/>
        <v>-1.05</v>
      </c>
      <c r="AY616" s="68">
        <v>2023</v>
      </c>
      <c r="AZ616" s="68" t="s">
        <v>2073</v>
      </c>
      <c r="BA616" s="106" t="str">
        <f t="shared" si="312"/>
        <v/>
      </c>
      <c r="BB616" s="178"/>
      <c r="BC616" s="178">
        <v>5</v>
      </c>
      <c r="BD616" s="178"/>
      <c r="BE616" s="178"/>
      <c r="BF616" s="178"/>
      <c r="BG616" s="178"/>
      <c r="BH616" s="178"/>
      <c r="BI616" s="33"/>
      <c r="BK616" s="48">
        <f>$G616/5280*VLOOKUP($AC616,'Cost and Score'!$B$27:$O$40,6,0)</f>
        <v>0.25094696969696972</v>
      </c>
      <c r="BL616" s="48">
        <f>$G616/5280*VLOOKUP($AC616,'Cost and Score'!$B$27:$O$40,7,0)</f>
        <v>25.094696969696972</v>
      </c>
      <c r="BM616" s="48">
        <f>$G616/5280*VLOOKUP($AC616,'Cost and Score'!$B$27:$O$40,8,0)</f>
        <v>0</v>
      </c>
      <c r="BN616" s="48">
        <f>$G616/5280*VLOOKUP($AC616,'Cost and Score'!$B$27:$O$40,9,0)</f>
        <v>4767.9924242424249</v>
      </c>
      <c r="BO616" s="48">
        <f>$G616/5280*VLOOKUP($AC616,'Cost and Score'!$B$27:$O$40,10,0)</f>
        <v>501.89393939393943</v>
      </c>
      <c r="BP616" s="48">
        <f>$G616/5280*VLOOKUP($AC616,'Cost and Score'!$B$27:$O$40,11,0)</f>
        <v>0</v>
      </c>
      <c r="BQ616" s="48">
        <f>$G616/5280*VLOOKUP($AC616,'Cost and Score'!$B$27:$O$40,12,0)</f>
        <v>100.37878787878789</v>
      </c>
      <c r="BR616" s="48">
        <f>$G616/5280*VLOOKUP($AC616,'Cost and Score'!$B$27:$O$40,13,0)</f>
        <v>90.340909090909093</v>
      </c>
      <c r="BS616" s="48">
        <f>$G616/5280*VLOOKUP($AC616,'Cost and Score'!$B$27:$O$40,14,0)</f>
        <v>120.45454545454547</v>
      </c>
      <c r="BT616" s="220">
        <f t="shared" si="313"/>
        <v>0.50189393939393945</v>
      </c>
    </row>
    <row r="617" spans="1:103" s="2" customFormat="1" ht="14.45" hidden="1" customHeight="1" x14ac:dyDescent="0.25">
      <c r="A617" s="38" t="s">
        <v>1295</v>
      </c>
      <c r="B617" s="34" t="s">
        <v>1294</v>
      </c>
      <c r="C617" s="26" t="s">
        <v>1294</v>
      </c>
      <c r="D617" s="82"/>
      <c r="E617" s="82" t="s">
        <v>107</v>
      </c>
      <c r="F617" s="82" t="s">
        <v>1276</v>
      </c>
      <c r="G617" s="29">
        <v>1880</v>
      </c>
      <c r="H617" s="29">
        <f t="shared" si="327"/>
        <v>20</v>
      </c>
      <c r="I617" s="26" t="s">
        <v>8</v>
      </c>
      <c r="J617" s="26" t="s">
        <v>172</v>
      </c>
      <c r="K617" s="26">
        <f t="shared" si="317"/>
        <v>0</v>
      </c>
      <c r="L617" s="42">
        <v>5</v>
      </c>
      <c r="M617" s="42">
        <v>5</v>
      </c>
      <c r="N617" s="42">
        <v>7</v>
      </c>
      <c r="O617" s="83">
        <v>7</v>
      </c>
      <c r="P617" s="83">
        <v>7</v>
      </c>
      <c r="Q617" s="83">
        <v>7</v>
      </c>
      <c r="R617" s="83">
        <v>7</v>
      </c>
      <c r="S617" s="83">
        <v>7</v>
      </c>
      <c r="T617" s="83">
        <v>7</v>
      </c>
      <c r="U617" s="83">
        <v>7</v>
      </c>
      <c r="V617" s="42"/>
      <c r="W617" s="42"/>
      <c r="X617" s="42"/>
      <c r="Y617" s="26">
        <v>50</v>
      </c>
      <c r="Z617" s="26">
        <f t="shared" si="328"/>
        <v>0</v>
      </c>
      <c r="AA617" s="82" t="s">
        <v>147</v>
      </c>
      <c r="AB617" s="111">
        <f t="shared" si="329"/>
        <v>3</v>
      </c>
      <c r="AC617" s="82" t="s">
        <v>13</v>
      </c>
      <c r="AD617" s="84">
        <f t="shared" si="311"/>
        <v>7477.272727272727</v>
      </c>
      <c r="AE617" s="140"/>
      <c r="AF617" s="113">
        <f t="shared" si="326"/>
        <v>0</v>
      </c>
      <c r="AG617" s="26">
        <v>2022</v>
      </c>
      <c r="AH617" s="26" t="str">
        <f t="shared" si="316"/>
        <v>Chip Seal and Fog</v>
      </c>
      <c r="AI617" s="26" t="str">
        <f t="shared" si="332"/>
        <v/>
      </c>
      <c r="AJ617" s="26" t="str">
        <f t="shared" si="334"/>
        <v/>
      </c>
      <c r="AK617" s="26" t="str">
        <f t="shared" si="333"/>
        <v/>
      </c>
      <c r="AL617" s="26" t="str">
        <f t="shared" si="333"/>
        <v/>
      </c>
      <c r="AM617" s="26" t="str">
        <f t="shared" si="333"/>
        <v/>
      </c>
      <c r="AN617" s="26" t="str">
        <f t="shared" si="325"/>
        <v>Chip Seal and Fog</v>
      </c>
      <c r="AO617" s="26" t="str">
        <f t="shared" si="335"/>
        <v/>
      </c>
      <c r="AP617" s="26" t="str">
        <f t="shared" si="318"/>
        <v/>
      </c>
      <c r="AQ617" s="68">
        <f t="shared" si="330"/>
        <v>10</v>
      </c>
      <c r="AR617" s="68">
        <f t="shared" si="331"/>
        <v>6</v>
      </c>
      <c r="AS617" s="68">
        <f t="shared" si="319"/>
        <v>1.25</v>
      </c>
      <c r="AT617" s="68">
        <f t="shared" si="320"/>
        <v>1.25</v>
      </c>
      <c r="AU617" s="68">
        <f t="shared" si="321"/>
        <v>1.05</v>
      </c>
      <c r="AV617" s="68">
        <f t="shared" si="322"/>
        <v>1.05</v>
      </c>
      <c r="AW617" s="68">
        <f t="shared" si="323"/>
        <v>1.05</v>
      </c>
      <c r="AX617" s="68">
        <f t="shared" ca="1" si="324"/>
        <v>-2.1</v>
      </c>
      <c r="AY617" s="68"/>
      <c r="AZ617" s="68"/>
      <c r="BA617" s="106" t="str">
        <f t="shared" si="312"/>
        <v/>
      </c>
      <c r="BB617" s="178">
        <v>62</v>
      </c>
      <c r="BC617" s="178">
        <v>7</v>
      </c>
      <c r="BD617" s="178"/>
      <c r="BE617" s="178"/>
      <c r="BF617" s="178"/>
      <c r="BG617" s="178"/>
      <c r="BH617" s="178"/>
      <c r="BI617" s="33"/>
      <c r="BK617" s="48">
        <f>$G617/5280*VLOOKUP($AC617,'Cost and Score'!$B$27:$O$40,6,0)</f>
        <v>7.1212121212121213E-2</v>
      </c>
      <c r="BL617" s="48">
        <f>$G617/5280*VLOOKUP($AC617,'Cost and Score'!$B$27:$O$40,7,0)</f>
        <v>7.8333333333333339</v>
      </c>
      <c r="BM617" s="48">
        <f>$G617/5280*VLOOKUP($AC617,'Cost and Score'!$B$27:$O$40,8,0)</f>
        <v>0</v>
      </c>
      <c r="BN617" s="48">
        <f>$G617/5280*VLOOKUP($AC617,'Cost and Score'!$B$27:$O$40,9,0)</f>
        <v>1602.2727272727273</v>
      </c>
      <c r="BO617" s="48">
        <f>$G617/5280*VLOOKUP($AC617,'Cost and Score'!$B$27:$O$40,10,0)</f>
        <v>356.06060606060606</v>
      </c>
      <c r="BP617" s="48">
        <f>$G617/5280*VLOOKUP($AC617,'Cost and Score'!$B$27:$O$40,11,0)</f>
        <v>0</v>
      </c>
      <c r="BQ617" s="48">
        <f>$G617/5280*VLOOKUP($AC617,'Cost and Score'!$B$27:$O$40,12,0)</f>
        <v>35.606060606060609</v>
      </c>
      <c r="BR617" s="48">
        <f>$G617/5280*VLOOKUP($AC617,'Cost and Score'!$B$27:$O$40,13,0)</f>
        <v>42.727272727272727</v>
      </c>
      <c r="BS617" s="48">
        <f>$G617/5280*VLOOKUP($AC617,'Cost and Score'!$B$27:$O$40,14,0)</f>
        <v>0</v>
      </c>
      <c r="BT617" s="220">
        <f t="shared" si="313"/>
        <v>0.35606060606060608</v>
      </c>
    </row>
    <row r="618" spans="1:103" s="2" customFormat="1" ht="14.45" hidden="1" customHeight="1" x14ac:dyDescent="0.25">
      <c r="A618" s="38"/>
      <c r="B618" s="108" t="s">
        <v>2427</v>
      </c>
      <c r="C618" s="108" t="s">
        <v>2427</v>
      </c>
      <c r="D618" s="106"/>
      <c r="E618" s="106" t="s">
        <v>307</v>
      </c>
      <c r="F618" s="106" t="s">
        <v>119</v>
      </c>
      <c r="G618" s="109">
        <v>3700</v>
      </c>
      <c r="H618" s="109">
        <v>20</v>
      </c>
      <c r="I618" s="106" t="s">
        <v>13</v>
      </c>
      <c r="J618" s="106" t="s">
        <v>26</v>
      </c>
      <c r="K618" s="106">
        <f t="shared" si="317"/>
        <v>0</v>
      </c>
      <c r="L618" s="110"/>
      <c r="M618" s="110">
        <v>7</v>
      </c>
      <c r="N618" s="110"/>
      <c r="O618" s="110">
        <v>7</v>
      </c>
      <c r="P618" s="110">
        <v>7</v>
      </c>
      <c r="Q618" s="110">
        <v>7</v>
      </c>
      <c r="R618" s="110">
        <v>7</v>
      </c>
      <c r="S618" s="110">
        <v>6</v>
      </c>
      <c r="T618" s="110">
        <v>7</v>
      </c>
      <c r="U618" s="110">
        <v>7</v>
      </c>
      <c r="V618" s="110"/>
      <c r="W618" s="110"/>
      <c r="X618" s="110"/>
      <c r="Y618" s="106">
        <v>200</v>
      </c>
      <c r="Z618" s="106">
        <f t="shared" si="328"/>
        <v>0</v>
      </c>
      <c r="AA618" s="106" t="s">
        <v>149</v>
      </c>
      <c r="AB618" s="111">
        <f t="shared" si="329"/>
        <v>3</v>
      </c>
      <c r="AC618" s="82" t="s">
        <v>751</v>
      </c>
      <c r="AD618" s="107">
        <f t="shared" si="311"/>
        <v>77083.333333333328</v>
      </c>
      <c r="AE618" s="198">
        <v>1</v>
      </c>
      <c r="AF618" s="113">
        <f t="shared" si="326"/>
        <v>77083.333333333328</v>
      </c>
      <c r="AG618" s="85">
        <v>2023</v>
      </c>
      <c r="AH618" s="26" t="str">
        <f t="shared" si="316"/>
        <v/>
      </c>
      <c r="AI618" s="26" t="str">
        <f t="shared" si="332"/>
        <v>Overlay - 2"</v>
      </c>
      <c r="AJ618" s="26" t="str">
        <f t="shared" si="334"/>
        <v/>
      </c>
      <c r="AK618" s="26" t="str">
        <f t="shared" si="333"/>
        <v/>
      </c>
      <c r="AL618" s="26" t="str">
        <f t="shared" si="333"/>
        <v/>
      </c>
      <c r="AM618" s="26" t="str">
        <f t="shared" si="333"/>
        <v/>
      </c>
      <c r="AN618" s="26" t="str">
        <f t="shared" si="325"/>
        <v>Overlay - 2"</v>
      </c>
      <c r="AO618" s="26" t="str">
        <f t="shared" si="335"/>
        <v/>
      </c>
      <c r="AP618" s="26" t="str">
        <f t="shared" si="318"/>
        <v/>
      </c>
      <c r="AQ618" s="68">
        <f t="shared" si="330"/>
        <v>10</v>
      </c>
      <c r="AR618" s="68">
        <f t="shared" si="331"/>
        <v>12</v>
      </c>
      <c r="AS618" s="68">
        <f t="shared" si="319"/>
        <v>0</v>
      </c>
      <c r="AT618" s="68">
        <f t="shared" si="320"/>
        <v>1.05</v>
      </c>
      <c r="AU618" s="68">
        <f t="shared" si="321"/>
        <v>0</v>
      </c>
      <c r="AV618" s="68">
        <f t="shared" si="322"/>
        <v>1.05</v>
      </c>
      <c r="AW618" s="68">
        <f t="shared" si="323"/>
        <v>1.05</v>
      </c>
      <c r="AX618" s="68">
        <f t="shared" ca="1" si="324"/>
        <v>0</v>
      </c>
      <c r="AY618" s="106">
        <v>2023</v>
      </c>
      <c r="AZ618" s="106" t="s">
        <v>751</v>
      </c>
      <c r="BA618" s="106" t="str">
        <f t="shared" si="312"/>
        <v/>
      </c>
      <c r="BB618" s="177"/>
      <c r="BC618" s="177">
        <v>7</v>
      </c>
      <c r="BD618" s="177"/>
      <c r="BE618" s="177"/>
      <c r="BF618" s="177"/>
      <c r="BG618" s="177"/>
      <c r="BH618" s="177"/>
      <c r="BI618" s="33"/>
      <c r="BK618" s="48">
        <f>$G618/5280*VLOOKUP($AC618,'Cost and Score'!$B$27:$O$40,6,0)</f>
        <v>1.5767045454545456</v>
      </c>
      <c r="BL618" s="48">
        <f>$G618/5280*VLOOKUP($AC618,'Cost and Score'!$B$27:$O$40,7,0)</f>
        <v>147.15909090909091</v>
      </c>
      <c r="BM618" s="48">
        <f>$G618/5280*VLOOKUP($AC618,'Cost and Score'!$B$27:$O$40,8,0)</f>
        <v>245.26515151515153</v>
      </c>
      <c r="BN618" s="48">
        <f>$G618/5280*VLOOKUP($AC618,'Cost and Score'!$B$27:$O$40,9,0)</f>
        <v>0</v>
      </c>
      <c r="BO618" s="48">
        <f>$G618/5280*VLOOKUP($AC618,'Cost and Score'!$B$27:$O$40,10,0)</f>
        <v>0</v>
      </c>
      <c r="BP618" s="48">
        <f>$G618/5280*VLOOKUP($AC618,'Cost and Score'!$B$27:$O$40,11,0)</f>
        <v>140.15151515151516</v>
      </c>
      <c r="BQ618" s="48">
        <f>$G618/5280*VLOOKUP($AC618,'Cost and Score'!$B$27:$O$40,12,0)</f>
        <v>1191.2878787878788</v>
      </c>
      <c r="BR618" s="48">
        <f>$G618/5280*VLOOKUP($AC618,'Cost and Score'!$B$27:$O$40,13,0)</f>
        <v>0</v>
      </c>
      <c r="BS618" s="48">
        <f>$G618/5280*VLOOKUP($AC618,'Cost and Score'!$B$27:$O$40,14,0)</f>
        <v>0</v>
      </c>
      <c r="BT618" s="220">
        <f t="shared" si="313"/>
        <v>0.7007575757575758</v>
      </c>
      <c r="CF618" s="112"/>
      <c r="CR618" s="112"/>
      <c r="CW618" s="112"/>
      <c r="CX618" s="112"/>
      <c r="CY618" s="112"/>
    </row>
    <row r="619" spans="1:103" s="112" customFormat="1" ht="14.45" hidden="1" customHeight="1" x14ac:dyDescent="0.25">
      <c r="A619" s="38" t="s">
        <v>1297</v>
      </c>
      <c r="B619" s="34" t="s">
        <v>1296</v>
      </c>
      <c r="C619" s="26" t="s">
        <v>1296</v>
      </c>
      <c r="D619" s="82"/>
      <c r="E619" s="82" t="s">
        <v>299</v>
      </c>
      <c r="F619" s="82" t="s">
        <v>100</v>
      </c>
      <c r="G619" s="29">
        <v>2650</v>
      </c>
      <c r="H619" s="29">
        <f t="shared" ref="H619:H650" si="336">IF(I619="NC",26,20)</f>
        <v>20</v>
      </c>
      <c r="I619" s="26" t="s">
        <v>13</v>
      </c>
      <c r="J619" s="26" t="s">
        <v>172</v>
      </c>
      <c r="K619" s="26">
        <f t="shared" si="317"/>
        <v>0</v>
      </c>
      <c r="L619" s="42">
        <v>5</v>
      </c>
      <c r="M619" s="42">
        <v>5</v>
      </c>
      <c r="N619" s="42">
        <v>5</v>
      </c>
      <c r="O619" s="83">
        <v>2</v>
      </c>
      <c r="P619" s="83">
        <v>2</v>
      </c>
      <c r="Q619" s="83">
        <v>9</v>
      </c>
      <c r="R619" s="83">
        <v>8</v>
      </c>
      <c r="S619" s="83">
        <v>8</v>
      </c>
      <c r="T619" s="83">
        <v>7</v>
      </c>
      <c r="U619" s="83">
        <v>7</v>
      </c>
      <c r="V619" s="42"/>
      <c r="W619" s="42"/>
      <c r="X619" s="42"/>
      <c r="Y619" s="26">
        <v>50</v>
      </c>
      <c r="Z619" s="26">
        <f t="shared" si="328"/>
        <v>0</v>
      </c>
      <c r="AA619" s="82" t="s">
        <v>149</v>
      </c>
      <c r="AB619" s="111">
        <f t="shared" si="329"/>
        <v>8</v>
      </c>
      <c r="AC619" s="85" t="s">
        <v>2073</v>
      </c>
      <c r="AD619" s="84">
        <f t="shared" si="311"/>
        <v>16060.60606060606</v>
      </c>
      <c r="AE619" s="140"/>
      <c r="AF619" s="113">
        <f t="shared" si="326"/>
        <v>0</v>
      </c>
      <c r="AG619" s="26">
        <v>2024</v>
      </c>
      <c r="AH619" s="26" t="str">
        <f t="shared" si="316"/>
        <v/>
      </c>
      <c r="AI619" s="26" t="str">
        <f t="shared" si="332"/>
        <v/>
      </c>
      <c r="AJ619" s="26" t="str">
        <f t="shared" si="334"/>
        <v>Chip Seal - Double and Fog</v>
      </c>
      <c r="AK619" s="26" t="str">
        <f t="shared" si="333"/>
        <v/>
      </c>
      <c r="AL619" s="26" t="str">
        <f t="shared" si="333"/>
        <v/>
      </c>
      <c r="AM619" s="26" t="str">
        <f t="shared" si="333"/>
        <v/>
      </c>
      <c r="AN619" s="26" t="str">
        <f t="shared" si="325"/>
        <v>Chip Seal - Double and Fog</v>
      </c>
      <c r="AO619" s="26" t="str">
        <f t="shared" si="335"/>
        <v/>
      </c>
      <c r="AP619" s="26" t="str">
        <f t="shared" si="318"/>
        <v/>
      </c>
      <c r="AQ619" s="68">
        <f t="shared" si="330"/>
        <v>0</v>
      </c>
      <c r="AR619" s="68">
        <f t="shared" si="331"/>
        <v>6</v>
      </c>
      <c r="AS619" s="68">
        <f t="shared" si="319"/>
        <v>1.25</v>
      </c>
      <c r="AT619" s="68">
        <f t="shared" si="320"/>
        <v>1.25</v>
      </c>
      <c r="AU619" s="68">
        <f t="shared" si="321"/>
        <v>1.25</v>
      </c>
      <c r="AV619" s="68">
        <f t="shared" si="322"/>
        <v>2</v>
      </c>
      <c r="AW619" s="68">
        <f t="shared" si="323"/>
        <v>2</v>
      </c>
      <c r="AX619" s="68">
        <f t="shared" ca="1" si="324"/>
        <v>0</v>
      </c>
      <c r="AY619" s="106">
        <v>2018</v>
      </c>
      <c r="AZ619" s="106" t="s">
        <v>751</v>
      </c>
      <c r="BA619" s="106" t="str">
        <f t="shared" si="312"/>
        <v>P</v>
      </c>
      <c r="BB619" s="177"/>
      <c r="BC619" s="177">
        <v>7</v>
      </c>
      <c r="BD619" s="177"/>
      <c r="BE619" s="177"/>
      <c r="BF619" s="177"/>
      <c r="BG619" s="177"/>
      <c r="BH619" s="177"/>
      <c r="BI619" s="33"/>
      <c r="BJ619" s="2"/>
      <c r="BK619" s="48">
        <f>$G619/5280*VLOOKUP($AC619,'Cost and Score'!$B$27:$O$40,6,0)</f>
        <v>0.25094696969696972</v>
      </c>
      <c r="BL619" s="48">
        <f>$G619/5280*VLOOKUP($AC619,'Cost and Score'!$B$27:$O$40,7,0)</f>
        <v>25.094696969696972</v>
      </c>
      <c r="BM619" s="48">
        <f>$G619/5280*VLOOKUP($AC619,'Cost and Score'!$B$27:$O$40,8,0)</f>
        <v>0</v>
      </c>
      <c r="BN619" s="48">
        <f>$G619/5280*VLOOKUP($AC619,'Cost and Score'!$B$27:$O$40,9,0)</f>
        <v>4767.9924242424249</v>
      </c>
      <c r="BO619" s="48">
        <f>$G619/5280*VLOOKUP($AC619,'Cost and Score'!$B$27:$O$40,10,0)</f>
        <v>501.89393939393943</v>
      </c>
      <c r="BP619" s="48">
        <f>$G619/5280*VLOOKUP($AC619,'Cost and Score'!$B$27:$O$40,11,0)</f>
        <v>0</v>
      </c>
      <c r="BQ619" s="48">
        <f>$G619/5280*VLOOKUP($AC619,'Cost and Score'!$B$27:$O$40,12,0)</f>
        <v>100.37878787878789</v>
      </c>
      <c r="BR619" s="48">
        <f>$G619/5280*VLOOKUP($AC619,'Cost and Score'!$B$27:$O$40,13,0)</f>
        <v>90.340909090909093</v>
      </c>
      <c r="BS619" s="48">
        <f>$G619/5280*VLOOKUP($AC619,'Cost and Score'!$B$27:$O$40,14,0)</f>
        <v>120.45454545454547</v>
      </c>
      <c r="BT619" s="220">
        <f t="shared" si="313"/>
        <v>0.50189393939393945</v>
      </c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N619" s="2"/>
      <c r="CO619" s="2"/>
      <c r="CP619" s="2"/>
      <c r="CQ619" s="2"/>
      <c r="CR619" s="2"/>
      <c r="CV619" s="2"/>
      <c r="CW619" s="2"/>
      <c r="CX619" s="2"/>
      <c r="CY619" s="2"/>
    </row>
    <row r="620" spans="1:103" s="2" customFormat="1" ht="14.45" hidden="1" customHeight="1" x14ac:dyDescent="0.25">
      <c r="A620" s="38" t="s">
        <v>2358</v>
      </c>
      <c r="B620" s="26" t="s">
        <v>1298</v>
      </c>
      <c r="C620" s="26" t="s">
        <v>1298</v>
      </c>
      <c r="D620" s="82"/>
      <c r="E620" s="82" t="s">
        <v>119</v>
      </c>
      <c r="F620" s="82" t="s">
        <v>222</v>
      </c>
      <c r="G620" s="29">
        <v>3695</v>
      </c>
      <c r="H620" s="29">
        <f t="shared" si="336"/>
        <v>20</v>
      </c>
      <c r="I620" s="26" t="s">
        <v>8</v>
      </c>
      <c r="J620" s="26" t="s">
        <v>26</v>
      </c>
      <c r="K620" s="26">
        <f t="shared" si="317"/>
        <v>0</v>
      </c>
      <c r="L620" s="42">
        <v>7</v>
      </c>
      <c r="M620" s="42">
        <v>7</v>
      </c>
      <c r="N620" s="42">
        <v>7</v>
      </c>
      <c r="O620" s="83">
        <v>7</v>
      </c>
      <c r="P620" s="83">
        <v>7</v>
      </c>
      <c r="Q620" s="83">
        <v>7</v>
      </c>
      <c r="R620" s="83">
        <v>7</v>
      </c>
      <c r="S620" s="83">
        <v>8</v>
      </c>
      <c r="T620" s="83">
        <v>7</v>
      </c>
      <c r="U620" s="83">
        <v>7</v>
      </c>
      <c r="V620" s="42"/>
      <c r="W620" s="42"/>
      <c r="X620" s="42"/>
      <c r="Y620" s="26">
        <v>335</v>
      </c>
      <c r="Z620" s="26">
        <f t="shared" si="328"/>
        <v>0</v>
      </c>
      <c r="AA620" s="82" t="s">
        <v>149</v>
      </c>
      <c r="AB620" s="111">
        <f t="shared" si="329"/>
        <v>3</v>
      </c>
      <c r="AC620" s="82" t="s">
        <v>13</v>
      </c>
      <c r="AD620" s="84">
        <f t="shared" si="311"/>
        <v>14696.022727272728</v>
      </c>
      <c r="AE620" s="140"/>
      <c r="AF620" s="113">
        <f t="shared" si="326"/>
        <v>0</v>
      </c>
      <c r="AG620" s="85">
        <v>2026</v>
      </c>
      <c r="AH620" s="26" t="str">
        <f t="shared" si="316"/>
        <v/>
      </c>
      <c r="AI620" s="26" t="str">
        <f t="shared" si="332"/>
        <v/>
      </c>
      <c r="AJ620" s="26" t="str">
        <f t="shared" si="334"/>
        <v/>
      </c>
      <c r="AK620" s="26" t="str">
        <f t="shared" si="333"/>
        <v/>
      </c>
      <c r="AL620" s="26" t="str">
        <f t="shared" si="333"/>
        <v>Chip Seal and Fog</v>
      </c>
      <c r="AM620" s="26" t="str">
        <f t="shared" si="333"/>
        <v/>
      </c>
      <c r="AN620" s="26" t="str">
        <f t="shared" si="325"/>
        <v>Chip Seal and Fog</v>
      </c>
      <c r="AO620" s="26" t="str">
        <f t="shared" si="335"/>
        <v/>
      </c>
      <c r="AP620" s="26" t="str">
        <f t="shared" si="318"/>
        <v/>
      </c>
      <c r="AQ620" s="68">
        <f t="shared" si="330"/>
        <v>10</v>
      </c>
      <c r="AR620" s="68">
        <f t="shared" si="331"/>
        <v>6</v>
      </c>
      <c r="AS620" s="68">
        <f t="shared" si="319"/>
        <v>1.05</v>
      </c>
      <c r="AT620" s="68">
        <f t="shared" si="320"/>
        <v>1.05</v>
      </c>
      <c r="AU620" s="68">
        <f t="shared" si="321"/>
        <v>1.05</v>
      </c>
      <c r="AV620" s="68">
        <f t="shared" si="322"/>
        <v>1.05</v>
      </c>
      <c r="AW620" s="68">
        <f t="shared" si="323"/>
        <v>1.05</v>
      </c>
      <c r="AX620" s="68">
        <f t="shared" ca="1" si="324"/>
        <v>2.1</v>
      </c>
      <c r="AY620" s="68">
        <v>2020</v>
      </c>
      <c r="AZ620" s="68" t="s">
        <v>13</v>
      </c>
      <c r="BA620" s="106" t="str">
        <f t="shared" si="312"/>
        <v/>
      </c>
      <c r="BB620" s="178"/>
      <c r="BC620" s="178">
        <v>7</v>
      </c>
      <c r="BD620" s="178"/>
      <c r="BE620" s="178"/>
      <c r="BF620" s="178"/>
      <c r="BG620" s="178"/>
      <c r="BH620" s="178"/>
      <c r="BI620" s="33"/>
      <c r="BK620" s="48">
        <f>$G620/5280*VLOOKUP($AC620,'Cost and Score'!$B$27:$O$40,6,0)</f>
        <v>0.13996212121212123</v>
      </c>
      <c r="BL620" s="48">
        <f>$G620/5280*VLOOKUP($AC620,'Cost and Score'!$B$27:$O$40,7,0)</f>
        <v>15.395833333333334</v>
      </c>
      <c r="BM620" s="48">
        <f>$G620/5280*VLOOKUP($AC620,'Cost and Score'!$B$27:$O$40,8,0)</f>
        <v>0</v>
      </c>
      <c r="BN620" s="48">
        <f>$G620/5280*VLOOKUP($AC620,'Cost and Score'!$B$27:$O$40,9,0)</f>
        <v>3149.1477272727275</v>
      </c>
      <c r="BO620" s="48">
        <f>$G620/5280*VLOOKUP($AC620,'Cost and Score'!$B$27:$O$40,10,0)</f>
        <v>699.81060606060612</v>
      </c>
      <c r="BP620" s="48">
        <f>$G620/5280*VLOOKUP($AC620,'Cost and Score'!$B$27:$O$40,11,0)</f>
        <v>0</v>
      </c>
      <c r="BQ620" s="48">
        <f>$G620/5280*VLOOKUP($AC620,'Cost and Score'!$B$27:$O$40,12,0)</f>
        <v>69.981060606060609</v>
      </c>
      <c r="BR620" s="48">
        <f>$G620/5280*VLOOKUP($AC620,'Cost and Score'!$B$27:$O$40,13,0)</f>
        <v>83.977272727272734</v>
      </c>
      <c r="BS620" s="48">
        <f>$G620/5280*VLOOKUP($AC620,'Cost and Score'!$B$27:$O$40,14,0)</f>
        <v>0</v>
      </c>
      <c r="BT620" s="220">
        <f t="shared" si="313"/>
        <v>0.69981060606060608</v>
      </c>
      <c r="CN620" s="112"/>
      <c r="CO620" s="112"/>
      <c r="CP620" s="112"/>
      <c r="CQ620" s="112"/>
      <c r="CR620" s="112"/>
      <c r="CV620" s="112"/>
    </row>
    <row r="621" spans="1:103" s="112" customFormat="1" ht="14.45" customHeight="1" x14ac:dyDescent="0.25">
      <c r="A621" s="38" t="s">
        <v>2185</v>
      </c>
      <c r="B621" s="34" t="s">
        <v>1100</v>
      </c>
      <c r="C621" s="26" t="s">
        <v>1100</v>
      </c>
      <c r="D621" s="82"/>
      <c r="E621" s="82" t="s">
        <v>461</v>
      </c>
      <c r="F621" s="82" t="s">
        <v>418</v>
      </c>
      <c r="G621" s="29">
        <v>2530</v>
      </c>
      <c r="H621" s="29">
        <f t="shared" si="336"/>
        <v>20</v>
      </c>
      <c r="I621" s="26" t="s">
        <v>8</v>
      </c>
      <c r="J621" s="26" t="s">
        <v>62</v>
      </c>
      <c r="K621" s="26">
        <f t="shared" si="317"/>
        <v>0</v>
      </c>
      <c r="L621" s="42">
        <v>4</v>
      </c>
      <c r="M621" s="42">
        <v>4</v>
      </c>
      <c r="N621" s="42">
        <v>4</v>
      </c>
      <c r="O621" s="83">
        <v>9</v>
      </c>
      <c r="P621" s="83">
        <v>8</v>
      </c>
      <c r="Q621" s="83">
        <v>8</v>
      </c>
      <c r="R621" s="83">
        <v>8</v>
      </c>
      <c r="S621" s="83">
        <v>7</v>
      </c>
      <c r="T621" s="83">
        <v>7</v>
      </c>
      <c r="U621" s="83">
        <v>7</v>
      </c>
      <c r="V621" s="42"/>
      <c r="W621" s="42"/>
      <c r="X621" s="42"/>
      <c r="Y621" s="26">
        <v>10</v>
      </c>
      <c r="Z621" s="26">
        <f t="shared" si="328"/>
        <v>0</v>
      </c>
      <c r="AA621" s="82" t="s">
        <v>416</v>
      </c>
      <c r="AB621" s="111">
        <f t="shared" si="329"/>
        <v>2</v>
      </c>
      <c r="AC621" s="82" t="s">
        <v>13</v>
      </c>
      <c r="AD621" s="84">
        <f t="shared" si="311"/>
        <v>10062.5</v>
      </c>
      <c r="AE621" s="140"/>
      <c r="AF621" s="113">
        <f t="shared" si="326"/>
        <v>0</v>
      </c>
      <c r="AG621" s="106">
        <v>2025</v>
      </c>
      <c r="AH621" s="26" t="str">
        <f t="shared" si="316"/>
        <v/>
      </c>
      <c r="AI621" s="26" t="str">
        <f t="shared" si="332"/>
        <v/>
      </c>
      <c r="AJ621" s="26" t="str">
        <f t="shared" si="334"/>
        <v/>
      </c>
      <c r="AK621" s="26" t="str">
        <f t="shared" si="333"/>
        <v>Chip Seal and Fog</v>
      </c>
      <c r="AL621" s="26" t="str">
        <f t="shared" si="333"/>
        <v/>
      </c>
      <c r="AM621" s="26" t="str">
        <f t="shared" si="333"/>
        <v/>
      </c>
      <c r="AN621" s="26" t="str">
        <f t="shared" si="325"/>
        <v>Chip Seal and Fog</v>
      </c>
      <c r="AO621" s="26" t="str">
        <f t="shared" si="335"/>
        <v/>
      </c>
      <c r="AP621" s="26" t="str">
        <f t="shared" si="318"/>
        <v/>
      </c>
      <c r="AQ621" s="68">
        <f t="shared" si="330"/>
        <v>14</v>
      </c>
      <c r="AR621" s="68">
        <f t="shared" si="331"/>
        <v>6</v>
      </c>
      <c r="AS621" s="68">
        <f t="shared" si="319"/>
        <v>1.5</v>
      </c>
      <c r="AT621" s="68">
        <f t="shared" si="320"/>
        <v>1.5</v>
      </c>
      <c r="AU621" s="68">
        <f t="shared" si="321"/>
        <v>1.5</v>
      </c>
      <c r="AV621" s="68">
        <f t="shared" si="322"/>
        <v>1</v>
      </c>
      <c r="AW621" s="68">
        <f t="shared" si="323"/>
        <v>1</v>
      </c>
      <c r="AX621" s="68">
        <f t="shared" ca="1" si="324"/>
        <v>1.5</v>
      </c>
      <c r="AY621" s="68">
        <v>2019</v>
      </c>
      <c r="AZ621" s="68" t="s">
        <v>2072</v>
      </c>
      <c r="BA621" s="106" t="str">
        <f t="shared" si="312"/>
        <v/>
      </c>
      <c r="BB621" s="178"/>
      <c r="BC621" s="178">
        <v>3</v>
      </c>
      <c r="BD621" s="178"/>
      <c r="BE621" s="178"/>
      <c r="BF621" s="178"/>
      <c r="BG621" s="178"/>
      <c r="BH621" s="178"/>
      <c r="BI621" s="33"/>
      <c r="BJ621" s="2"/>
      <c r="BK621" s="48">
        <f>$G621/5280*VLOOKUP($AC621,'Cost and Score'!$B$27:$O$40,6,0)</f>
        <v>9.583333333333334E-2</v>
      </c>
      <c r="BL621" s="48">
        <f>$G621/5280*VLOOKUP($AC621,'Cost and Score'!$B$27:$O$40,7,0)</f>
        <v>10.541666666666668</v>
      </c>
      <c r="BM621" s="48">
        <f>$G621/5280*VLOOKUP($AC621,'Cost and Score'!$B$27:$O$40,8,0)</f>
        <v>0</v>
      </c>
      <c r="BN621" s="48">
        <f>$G621/5280*VLOOKUP($AC621,'Cost and Score'!$B$27:$O$40,9,0)</f>
        <v>2156.25</v>
      </c>
      <c r="BO621" s="48">
        <f>$G621/5280*VLOOKUP($AC621,'Cost and Score'!$B$27:$O$40,10,0)</f>
        <v>479.16666666666669</v>
      </c>
      <c r="BP621" s="48">
        <f>$G621/5280*VLOOKUP($AC621,'Cost and Score'!$B$27:$O$40,11,0)</f>
        <v>0</v>
      </c>
      <c r="BQ621" s="48">
        <f>$G621/5280*VLOOKUP($AC621,'Cost and Score'!$B$27:$O$40,12,0)</f>
        <v>47.916666666666671</v>
      </c>
      <c r="BR621" s="48">
        <f>$G621/5280*VLOOKUP($AC621,'Cost and Score'!$B$27:$O$40,13,0)</f>
        <v>57.5</v>
      </c>
      <c r="BS621" s="48">
        <f>$G621/5280*VLOOKUP($AC621,'Cost and Score'!$B$27:$O$40,14,0)</f>
        <v>0</v>
      </c>
      <c r="BT621" s="220">
        <f t="shared" si="313"/>
        <v>0.47916666666666669</v>
      </c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R621" s="2"/>
      <c r="CS621" s="2"/>
      <c r="CT621" s="2"/>
      <c r="CU621" s="2"/>
      <c r="CW621" s="2"/>
      <c r="CX621" s="2"/>
      <c r="CY621" s="2"/>
    </row>
    <row r="622" spans="1:103" s="2" customFormat="1" ht="14.45" customHeight="1" x14ac:dyDescent="0.25">
      <c r="A622" s="15" t="s">
        <v>2119</v>
      </c>
      <c r="B622" s="34" t="s">
        <v>134</v>
      </c>
      <c r="C622" s="26" t="s">
        <v>134</v>
      </c>
      <c r="D622" s="82"/>
      <c r="E622" s="82" t="s">
        <v>131</v>
      </c>
      <c r="F622" s="82" t="s">
        <v>135</v>
      </c>
      <c r="G622" s="29">
        <v>3639</v>
      </c>
      <c r="H622" s="29">
        <f t="shared" si="336"/>
        <v>20</v>
      </c>
      <c r="I622" s="26" t="s">
        <v>8</v>
      </c>
      <c r="J622" s="26" t="s">
        <v>125</v>
      </c>
      <c r="K622" s="26">
        <f t="shared" si="317"/>
        <v>0</v>
      </c>
      <c r="L622" s="42">
        <v>6</v>
      </c>
      <c r="M622" s="42">
        <v>6</v>
      </c>
      <c r="N622" s="42">
        <v>6</v>
      </c>
      <c r="O622" s="83">
        <v>6</v>
      </c>
      <c r="P622" s="83">
        <v>6</v>
      </c>
      <c r="Q622" s="83">
        <v>8</v>
      </c>
      <c r="R622" s="83">
        <v>7</v>
      </c>
      <c r="S622" s="83">
        <v>7</v>
      </c>
      <c r="T622" s="83">
        <v>7</v>
      </c>
      <c r="U622" s="83">
        <v>7</v>
      </c>
      <c r="V622" s="42">
        <v>2022</v>
      </c>
      <c r="W622" s="42">
        <v>2022</v>
      </c>
      <c r="X622" s="42" t="s">
        <v>2612</v>
      </c>
      <c r="Y622" s="26">
        <v>2437</v>
      </c>
      <c r="Z622" s="26">
        <f t="shared" si="328"/>
        <v>1</v>
      </c>
      <c r="AA622" s="82" t="s">
        <v>119</v>
      </c>
      <c r="AB622" s="111">
        <f t="shared" si="329"/>
        <v>5</v>
      </c>
      <c r="AC622" s="85" t="s">
        <v>2073</v>
      </c>
      <c r="AD622" s="84">
        <f t="shared" si="311"/>
        <v>22054.545454545456</v>
      </c>
      <c r="AE622" s="140"/>
      <c r="AF622" s="113">
        <f t="shared" si="326"/>
        <v>0</v>
      </c>
      <c r="AG622" s="26">
        <v>2025</v>
      </c>
      <c r="AH622" s="26" t="str">
        <f t="shared" si="316"/>
        <v/>
      </c>
      <c r="AI622" s="26" t="str">
        <f t="shared" si="332"/>
        <v/>
      </c>
      <c r="AJ622" s="26" t="str">
        <f t="shared" si="334"/>
        <v/>
      </c>
      <c r="AK622" s="26" t="str">
        <f t="shared" si="333"/>
        <v>Chip Seal - Double and Fog</v>
      </c>
      <c r="AL622" s="26" t="str">
        <f t="shared" si="333"/>
        <v/>
      </c>
      <c r="AM622" s="26" t="str">
        <f t="shared" si="333"/>
        <v/>
      </c>
      <c r="AN622" s="26" t="str">
        <f t="shared" si="325"/>
        <v>Chip Seal - Double and Fog</v>
      </c>
      <c r="AO622" s="26" t="str">
        <f t="shared" si="335"/>
        <v/>
      </c>
      <c r="AP622" s="26" t="str">
        <f t="shared" si="318"/>
        <v/>
      </c>
      <c r="AQ622" s="68">
        <f t="shared" si="330"/>
        <v>8</v>
      </c>
      <c r="AR622" s="68">
        <f t="shared" si="331"/>
        <v>6</v>
      </c>
      <c r="AS622" s="68">
        <f t="shared" si="319"/>
        <v>1.1000000000000001</v>
      </c>
      <c r="AT622" s="68">
        <f t="shared" si="320"/>
        <v>1.1000000000000001</v>
      </c>
      <c r="AU622" s="68">
        <f t="shared" si="321"/>
        <v>1.1000000000000001</v>
      </c>
      <c r="AV622" s="68">
        <f t="shared" si="322"/>
        <v>1.1000000000000001</v>
      </c>
      <c r="AW622" s="68">
        <f t="shared" si="323"/>
        <v>1.1000000000000001</v>
      </c>
      <c r="AX622" s="68">
        <f t="shared" ca="1" si="324"/>
        <v>1.1000000000000001</v>
      </c>
      <c r="AY622" s="106">
        <v>2018</v>
      </c>
      <c r="AZ622" s="106" t="s">
        <v>13</v>
      </c>
      <c r="BA622" s="106" t="str">
        <f t="shared" si="312"/>
        <v>CS</v>
      </c>
      <c r="BB622" s="177"/>
      <c r="BC622" s="177">
        <v>6</v>
      </c>
      <c r="BD622" s="177"/>
      <c r="BE622" s="177"/>
      <c r="BF622" s="177"/>
      <c r="BG622" s="177"/>
      <c r="BH622" s="177"/>
      <c r="BI622" s="33"/>
      <c r="BK622" s="48">
        <f>$G622/5280*VLOOKUP($AC622,'Cost and Score'!$B$27:$O$40,6,0)</f>
        <v>0.34460227272727273</v>
      </c>
      <c r="BL622" s="48">
        <f>$G622/5280*VLOOKUP($AC622,'Cost and Score'!$B$27:$O$40,7,0)</f>
        <v>34.460227272727273</v>
      </c>
      <c r="BM622" s="48">
        <f>$G622/5280*VLOOKUP($AC622,'Cost and Score'!$B$27:$O$40,8,0)</f>
        <v>0</v>
      </c>
      <c r="BN622" s="48">
        <f>$G622/5280*VLOOKUP($AC622,'Cost and Score'!$B$27:$O$40,9,0)</f>
        <v>6547.443181818182</v>
      </c>
      <c r="BO622" s="48">
        <f>$G622/5280*VLOOKUP($AC622,'Cost and Score'!$B$27:$O$40,10,0)</f>
        <v>689.2045454545455</v>
      </c>
      <c r="BP622" s="48">
        <f>$G622/5280*VLOOKUP($AC622,'Cost and Score'!$B$27:$O$40,11,0)</f>
        <v>0</v>
      </c>
      <c r="BQ622" s="48">
        <f>$G622/5280*VLOOKUP($AC622,'Cost and Score'!$B$27:$O$40,12,0)</f>
        <v>137.84090909090909</v>
      </c>
      <c r="BR622" s="48">
        <f>$G622/5280*VLOOKUP($AC622,'Cost and Score'!$B$27:$O$40,13,0)</f>
        <v>124.05681818181819</v>
      </c>
      <c r="BS622" s="48">
        <f>$G622/5280*VLOOKUP($AC622,'Cost and Score'!$B$27:$O$40,14,0)</f>
        <v>165.40909090909091</v>
      </c>
      <c r="BT622" s="220">
        <f t="shared" si="313"/>
        <v>0.68920454545454546</v>
      </c>
      <c r="BY622" s="2" t="s">
        <v>2312</v>
      </c>
      <c r="BZ622" s="27">
        <f>6500+10000</f>
        <v>16500</v>
      </c>
      <c r="CA622" s="2" t="s">
        <v>2313</v>
      </c>
      <c r="CW622" s="112"/>
      <c r="CX622" s="112"/>
      <c r="CY622" s="112"/>
    </row>
    <row r="623" spans="1:103" s="2" customFormat="1" ht="14.45" hidden="1" customHeight="1" x14ac:dyDescent="0.25">
      <c r="A623" s="38" t="s">
        <v>1303</v>
      </c>
      <c r="B623" s="34" t="s">
        <v>1302</v>
      </c>
      <c r="C623" s="26" t="s">
        <v>1302</v>
      </c>
      <c r="D623" s="82"/>
      <c r="E623" s="82" t="s">
        <v>197</v>
      </c>
      <c r="F623" s="82" t="s">
        <v>24</v>
      </c>
      <c r="G623" s="29">
        <v>2619</v>
      </c>
      <c r="H623" s="29">
        <f t="shared" si="336"/>
        <v>20</v>
      </c>
      <c r="I623" s="26" t="s">
        <v>8</v>
      </c>
      <c r="J623" s="26" t="s">
        <v>26</v>
      </c>
      <c r="K623" s="26">
        <f t="shared" ref="K623:K654" si="337">VLOOKUP(J623,TOWNSHIPS,2,FALSE)</f>
        <v>0</v>
      </c>
      <c r="L623" s="42">
        <v>7</v>
      </c>
      <c r="M623" s="42">
        <v>8</v>
      </c>
      <c r="N623" s="42">
        <v>7</v>
      </c>
      <c r="O623" s="83">
        <v>7</v>
      </c>
      <c r="P623" s="83">
        <v>7</v>
      </c>
      <c r="Q623" s="83">
        <v>7</v>
      </c>
      <c r="R623" s="83">
        <v>7</v>
      </c>
      <c r="S623" s="83">
        <v>6</v>
      </c>
      <c r="T623" s="83">
        <v>7</v>
      </c>
      <c r="U623" s="83">
        <v>7</v>
      </c>
      <c r="V623" s="42"/>
      <c r="W623" s="42"/>
      <c r="X623" s="42"/>
      <c r="Y623" s="26">
        <v>228</v>
      </c>
      <c r="Z623" s="26">
        <f t="shared" si="328"/>
        <v>0</v>
      </c>
      <c r="AA623" s="82" t="s">
        <v>149</v>
      </c>
      <c r="AB623" s="111">
        <f t="shared" si="329"/>
        <v>3</v>
      </c>
      <c r="AC623" s="82" t="s">
        <v>2072</v>
      </c>
      <c r="AD623" s="84">
        <f t="shared" si="311"/>
        <v>22817.045454545456</v>
      </c>
      <c r="AE623" s="140"/>
      <c r="AF623" s="113">
        <f t="shared" si="326"/>
        <v>0</v>
      </c>
      <c r="AG623" s="26">
        <v>2027</v>
      </c>
      <c r="AH623" s="26" t="str">
        <f t="shared" si="316"/>
        <v/>
      </c>
      <c r="AI623" s="26" t="str">
        <f t="shared" si="332"/>
        <v/>
      </c>
      <c r="AJ623" s="26" t="str">
        <f t="shared" si="334"/>
        <v/>
      </c>
      <c r="AK623" s="26" t="str">
        <f t="shared" si="333"/>
        <v/>
      </c>
      <c r="AL623" s="26" t="str">
        <f t="shared" si="333"/>
        <v/>
      </c>
      <c r="AM623" s="26" t="str">
        <f t="shared" si="333"/>
        <v>Chip Seal - Triple</v>
      </c>
      <c r="AN623" s="26" t="str">
        <f t="shared" si="325"/>
        <v>Chip Seal - Triple</v>
      </c>
      <c r="AO623" s="26" t="str">
        <f t="shared" si="335"/>
        <v>Chip Seal and Fog</v>
      </c>
      <c r="AP623" s="26" t="str">
        <f t="shared" si="318"/>
        <v/>
      </c>
      <c r="AQ623" s="68">
        <f t="shared" si="330"/>
        <v>10</v>
      </c>
      <c r="AR623" s="68">
        <f t="shared" si="331"/>
        <v>8</v>
      </c>
      <c r="AS623" s="68">
        <f t="shared" si="319"/>
        <v>1.05</v>
      </c>
      <c r="AT623" s="68">
        <f t="shared" si="320"/>
        <v>1</v>
      </c>
      <c r="AU623" s="68">
        <f t="shared" si="321"/>
        <v>1.05</v>
      </c>
      <c r="AV623" s="68">
        <f t="shared" si="322"/>
        <v>1.05</v>
      </c>
      <c r="AW623" s="68">
        <f t="shared" si="323"/>
        <v>1.05</v>
      </c>
      <c r="AX623" s="68">
        <f t="shared" ca="1" si="324"/>
        <v>3.1500000000000004</v>
      </c>
      <c r="AY623" s="68">
        <v>2021</v>
      </c>
      <c r="AZ623" s="68" t="s">
        <v>13</v>
      </c>
      <c r="BA623" s="106" t="str">
        <f t="shared" si="312"/>
        <v/>
      </c>
      <c r="BB623" s="178">
        <v>68</v>
      </c>
      <c r="BC623" s="178">
        <v>5</v>
      </c>
      <c r="BD623" s="178"/>
      <c r="BE623" s="178"/>
      <c r="BF623" s="178"/>
      <c r="BG623" s="178"/>
      <c r="BH623" s="178"/>
      <c r="BI623" s="33"/>
      <c r="BK623" s="48">
        <f>$G623/5280*VLOOKUP($AC623,'Cost and Score'!$B$27:$O$40,6,0)</f>
        <v>0.29761363636363636</v>
      </c>
      <c r="BL623" s="48">
        <f>$G623/5280*VLOOKUP($AC623,'Cost and Score'!$B$27:$O$40,7,0)</f>
        <v>62.002840909090914</v>
      </c>
      <c r="BM623" s="48">
        <f>$G623/5280*VLOOKUP($AC623,'Cost and Score'!$B$27:$O$40,8,0)</f>
        <v>99.204545454545453</v>
      </c>
      <c r="BN623" s="48">
        <f>$G623/5280*VLOOKUP($AC623,'Cost and Score'!$B$27:$O$40,9,0)</f>
        <v>992.04545454545462</v>
      </c>
      <c r="BO623" s="48">
        <f>$G623/5280*VLOOKUP($AC623,'Cost and Score'!$B$27:$O$40,10,0)</f>
        <v>248.01136363636365</v>
      </c>
      <c r="BP623" s="48">
        <f>$G623/5280*VLOOKUP($AC623,'Cost and Score'!$B$27:$O$40,11,0)</f>
        <v>49.602272727272727</v>
      </c>
      <c r="BQ623" s="48">
        <f>$G623/5280*VLOOKUP($AC623,'Cost and Score'!$B$27:$O$40,12,0)</f>
        <v>396.81818181818181</v>
      </c>
      <c r="BR623" s="48">
        <f>$G623/5280*VLOOKUP($AC623,'Cost and Score'!$B$27:$O$40,13,0)</f>
        <v>39.68181818181818</v>
      </c>
      <c r="BS623" s="48">
        <f>$G623/5280*VLOOKUP($AC623,'Cost and Score'!$B$27:$O$40,14,0)</f>
        <v>0</v>
      </c>
      <c r="BT623" s="220">
        <f t="shared" si="313"/>
        <v>0.49602272727272728</v>
      </c>
    </row>
    <row r="624" spans="1:103" s="2" customFormat="1" ht="14.45" hidden="1" customHeight="1" x14ac:dyDescent="0.25">
      <c r="A624" s="38">
        <v>100</v>
      </c>
      <c r="B624" s="34" t="s">
        <v>1304</v>
      </c>
      <c r="C624" s="26" t="s">
        <v>1304</v>
      </c>
      <c r="D624" s="82"/>
      <c r="E624" s="82" t="s">
        <v>24</v>
      </c>
      <c r="F624" s="82" t="s">
        <v>25</v>
      </c>
      <c r="G624" s="29">
        <v>2652</v>
      </c>
      <c r="H624" s="29">
        <f t="shared" si="336"/>
        <v>20</v>
      </c>
      <c r="I624" s="26" t="s">
        <v>8</v>
      </c>
      <c r="J624" s="26" t="s">
        <v>26</v>
      </c>
      <c r="K624" s="26">
        <f t="shared" si="337"/>
        <v>0</v>
      </c>
      <c r="L624" s="42">
        <v>7</v>
      </c>
      <c r="M624" s="42">
        <v>9</v>
      </c>
      <c r="N624" s="42">
        <v>7</v>
      </c>
      <c r="O624" s="83">
        <v>7</v>
      </c>
      <c r="P624" s="83">
        <v>7</v>
      </c>
      <c r="Q624" s="83">
        <v>7</v>
      </c>
      <c r="R624" s="83">
        <v>7</v>
      </c>
      <c r="S624" s="83">
        <v>7</v>
      </c>
      <c r="T624" s="83">
        <v>7</v>
      </c>
      <c r="U624" s="83">
        <v>7</v>
      </c>
      <c r="V624" s="42"/>
      <c r="W624" s="42"/>
      <c r="X624" s="42"/>
      <c r="Y624" s="26">
        <v>185</v>
      </c>
      <c r="Z624" s="26">
        <f t="shared" si="328"/>
        <v>0</v>
      </c>
      <c r="AA624" s="82" t="s">
        <v>149</v>
      </c>
      <c r="AB624" s="111">
        <f t="shared" si="329"/>
        <v>3</v>
      </c>
      <c r="AC624" s="82" t="s">
        <v>13</v>
      </c>
      <c r="AD624" s="84">
        <f t="shared" si="311"/>
        <v>10547.727272727272</v>
      </c>
      <c r="AE624" s="140"/>
      <c r="AF624" s="113">
        <f t="shared" si="326"/>
        <v>0</v>
      </c>
      <c r="AG624" s="26">
        <v>2027</v>
      </c>
      <c r="AH624" s="26" t="str">
        <f t="shared" si="316"/>
        <v/>
      </c>
      <c r="AI624" s="26" t="str">
        <f t="shared" si="332"/>
        <v/>
      </c>
      <c r="AJ624" s="26" t="str">
        <f t="shared" si="334"/>
        <v/>
      </c>
      <c r="AK624" s="26" t="str">
        <f t="shared" si="333"/>
        <v/>
      </c>
      <c r="AL624" s="26" t="str">
        <f t="shared" si="333"/>
        <v/>
      </c>
      <c r="AM624" s="26" t="str">
        <f t="shared" si="333"/>
        <v>Chip Seal and Fog</v>
      </c>
      <c r="AN624" s="26" t="str">
        <f t="shared" si="325"/>
        <v>Chip Seal and Fog</v>
      </c>
      <c r="AO624" s="26" t="str">
        <f t="shared" si="335"/>
        <v>Chip Seal and Fog</v>
      </c>
      <c r="AP624" s="26" t="str">
        <f t="shared" si="318"/>
        <v/>
      </c>
      <c r="AQ624" s="68">
        <f t="shared" si="330"/>
        <v>10</v>
      </c>
      <c r="AR624" s="68">
        <f t="shared" si="331"/>
        <v>6</v>
      </c>
      <c r="AS624" s="68">
        <f t="shared" si="319"/>
        <v>1.05</v>
      </c>
      <c r="AT624" s="68">
        <f t="shared" si="320"/>
        <v>1</v>
      </c>
      <c r="AU624" s="68">
        <f t="shared" si="321"/>
        <v>1.05</v>
      </c>
      <c r="AV624" s="68">
        <f t="shared" si="322"/>
        <v>1.05</v>
      </c>
      <c r="AW624" s="68">
        <f t="shared" si="323"/>
        <v>1.05</v>
      </c>
      <c r="AX624" s="68">
        <f t="shared" ca="1" si="324"/>
        <v>3.1500000000000004</v>
      </c>
      <c r="AY624" s="68">
        <v>2021</v>
      </c>
      <c r="AZ624" s="68" t="s">
        <v>13</v>
      </c>
      <c r="BA624" s="106" t="str">
        <f t="shared" si="312"/>
        <v/>
      </c>
      <c r="BB624" s="178">
        <v>69</v>
      </c>
      <c r="BC624" s="178">
        <v>5</v>
      </c>
      <c r="BD624" s="178"/>
      <c r="BE624" s="178"/>
      <c r="BF624" s="178"/>
      <c r="BG624" s="178"/>
      <c r="BH624" s="178"/>
      <c r="BI624" s="33"/>
      <c r="BK624" s="48">
        <f>$G624/5280*VLOOKUP($AC624,'Cost and Score'!$B$27:$O$40,6,0)</f>
        <v>0.10045454545454546</v>
      </c>
      <c r="BL624" s="48">
        <f>$G624/5280*VLOOKUP($AC624,'Cost and Score'!$B$27:$O$40,7,0)</f>
        <v>11.05</v>
      </c>
      <c r="BM624" s="48">
        <f>$G624/5280*VLOOKUP($AC624,'Cost and Score'!$B$27:$O$40,8,0)</f>
        <v>0</v>
      </c>
      <c r="BN624" s="48">
        <f>$G624/5280*VLOOKUP($AC624,'Cost and Score'!$B$27:$O$40,9,0)</f>
        <v>2260.227272727273</v>
      </c>
      <c r="BO624" s="48">
        <f>$G624/5280*VLOOKUP($AC624,'Cost and Score'!$B$27:$O$40,10,0)</f>
        <v>502.27272727272731</v>
      </c>
      <c r="BP624" s="48">
        <f>$G624/5280*VLOOKUP($AC624,'Cost and Score'!$B$27:$O$40,11,0)</f>
        <v>0</v>
      </c>
      <c r="BQ624" s="48">
        <f>$G624/5280*VLOOKUP($AC624,'Cost and Score'!$B$27:$O$40,12,0)</f>
        <v>50.227272727272734</v>
      </c>
      <c r="BR624" s="48">
        <f>$G624/5280*VLOOKUP($AC624,'Cost and Score'!$B$27:$O$40,13,0)</f>
        <v>60.27272727272728</v>
      </c>
      <c r="BS624" s="48">
        <f>$G624/5280*VLOOKUP($AC624,'Cost and Score'!$B$27:$O$40,14,0)</f>
        <v>0</v>
      </c>
      <c r="BT624" s="220">
        <f t="shared" si="313"/>
        <v>0.50227272727272732</v>
      </c>
    </row>
    <row r="625" spans="1:103" s="2" customFormat="1" ht="14.45" hidden="1" customHeight="1" x14ac:dyDescent="0.25">
      <c r="A625" s="38" t="s">
        <v>1306</v>
      </c>
      <c r="B625" s="108" t="s">
        <v>1305</v>
      </c>
      <c r="C625" s="106" t="s">
        <v>1305</v>
      </c>
      <c r="D625" s="106"/>
      <c r="E625" s="106" t="s">
        <v>28</v>
      </c>
      <c r="F625" s="106" t="s">
        <v>25</v>
      </c>
      <c r="G625" s="109">
        <v>5320</v>
      </c>
      <c r="H625" s="109">
        <f t="shared" si="336"/>
        <v>20</v>
      </c>
      <c r="I625" s="106" t="s">
        <v>13</v>
      </c>
      <c r="J625" s="106" t="s">
        <v>26</v>
      </c>
      <c r="K625" s="106">
        <f t="shared" si="337"/>
        <v>0</v>
      </c>
      <c r="L625" s="110">
        <v>6</v>
      </c>
      <c r="M625" s="110">
        <v>7</v>
      </c>
      <c r="N625" s="110">
        <v>7</v>
      </c>
      <c r="O625" s="110">
        <v>7</v>
      </c>
      <c r="P625" s="110">
        <v>7</v>
      </c>
      <c r="Q625" s="110">
        <v>7</v>
      </c>
      <c r="R625" s="110">
        <v>7</v>
      </c>
      <c r="S625" s="110">
        <v>7</v>
      </c>
      <c r="T625" s="110">
        <v>7</v>
      </c>
      <c r="U625" s="110">
        <v>7</v>
      </c>
      <c r="V625" s="110"/>
      <c r="W625" s="110"/>
      <c r="X625" s="110"/>
      <c r="Y625" s="106">
        <v>185</v>
      </c>
      <c r="Z625" s="106">
        <f t="shared" si="328"/>
        <v>0</v>
      </c>
      <c r="AA625" s="106" t="s">
        <v>149</v>
      </c>
      <c r="AB625" s="111">
        <f t="shared" si="329"/>
        <v>3</v>
      </c>
      <c r="AC625" s="26" t="s">
        <v>13</v>
      </c>
      <c r="AD625" s="107">
        <f t="shared" si="311"/>
        <v>21159.090909090908</v>
      </c>
      <c r="AE625" s="198">
        <v>1</v>
      </c>
      <c r="AF625" s="113">
        <f t="shared" si="326"/>
        <v>21159.090909090908</v>
      </c>
      <c r="AG625" s="106">
        <v>2023</v>
      </c>
      <c r="AH625" s="26" t="str">
        <f t="shared" si="316"/>
        <v/>
      </c>
      <c r="AI625" s="26" t="str">
        <f t="shared" si="332"/>
        <v>Chip Seal and Fog</v>
      </c>
      <c r="AJ625" s="26" t="str">
        <f t="shared" si="334"/>
        <v/>
      </c>
      <c r="AK625" s="26" t="str">
        <f t="shared" si="333"/>
        <v/>
      </c>
      <c r="AL625" s="26" t="str">
        <f t="shared" si="333"/>
        <v/>
      </c>
      <c r="AM625" s="26" t="str">
        <f t="shared" si="333"/>
        <v/>
      </c>
      <c r="AN625" s="26" t="str">
        <f t="shared" si="325"/>
        <v>Chip Seal and Fog</v>
      </c>
      <c r="AO625" s="26" t="str">
        <f t="shared" si="335"/>
        <v/>
      </c>
      <c r="AP625" s="26" t="str">
        <f t="shared" si="318"/>
        <v/>
      </c>
      <c r="AQ625" s="68">
        <f t="shared" si="330"/>
        <v>10</v>
      </c>
      <c r="AR625" s="68">
        <f t="shared" si="331"/>
        <v>6</v>
      </c>
      <c r="AS625" s="68">
        <f t="shared" si="319"/>
        <v>1.1000000000000001</v>
      </c>
      <c r="AT625" s="68">
        <f t="shared" si="320"/>
        <v>1.05</v>
      </c>
      <c r="AU625" s="68">
        <f t="shared" si="321"/>
        <v>1.05</v>
      </c>
      <c r="AV625" s="68">
        <f t="shared" si="322"/>
        <v>1.05</v>
      </c>
      <c r="AW625" s="68">
        <f t="shared" si="323"/>
        <v>1.05</v>
      </c>
      <c r="AX625" s="68">
        <f t="shared" ca="1" si="324"/>
        <v>-1.05</v>
      </c>
      <c r="AY625" s="106">
        <v>2023</v>
      </c>
      <c r="AZ625" s="106" t="s">
        <v>13</v>
      </c>
      <c r="BA625" s="106" t="str">
        <f t="shared" si="312"/>
        <v/>
      </c>
      <c r="BB625" s="177"/>
      <c r="BC625" s="177">
        <v>5</v>
      </c>
      <c r="BD625" s="177"/>
      <c r="BE625" s="177"/>
      <c r="BF625" s="177"/>
      <c r="BG625" s="177"/>
      <c r="BH625" s="177"/>
      <c r="BI625" s="33"/>
      <c r="BK625" s="48">
        <f>$G625/5280*VLOOKUP($AC625,'Cost and Score'!$B$27:$O$40,6,0)</f>
        <v>0.20151515151515154</v>
      </c>
      <c r="BL625" s="48">
        <f>$G625/5280*VLOOKUP($AC625,'Cost and Score'!$B$27:$O$40,7,0)</f>
        <v>22.166666666666668</v>
      </c>
      <c r="BM625" s="48">
        <f>$G625/5280*VLOOKUP($AC625,'Cost and Score'!$B$27:$O$40,8,0)</f>
        <v>0</v>
      </c>
      <c r="BN625" s="48">
        <f>$G625/5280*VLOOKUP($AC625,'Cost and Score'!$B$27:$O$40,9,0)</f>
        <v>4534.090909090909</v>
      </c>
      <c r="BO625" s="48">
        <f>$G625/5280*VLOOKUP($AC625,'Cost and Score'!$B$27:$O$40,10,0)</f>
        <v>1007.5757575757576</v>
      </c>
      <c r="BP625" s="48">
        <f>$G625/5280*VLOOKUP($AC625,'Cost and Score'!$B$27:$O$40,11,0)</f>
        <v>0</v>
      </c>
      <c r="BQ625" s="48">
        <f>$G625/5280*VLOOKUP($AC625,'Cost and Score'!$B$27:$O$40,12,0)</f>
        <v>100.75757575757575</v>
      </c>
      <c r="BR625" s="48">
        <f>$G625/5280*VLOOKUP($AC625,'Cost and Score'!$B$27:$O$40,13,0)</f>
        <v>120.90909090909091</v>
      </c>
      <c r="BS625" s="48">
        <f>$G625/5280*VLOOKUP($AC625,'Cost and Score'!$B$27:$O$40,14,0)</f>
        <v>0</v>
      </c>
      <c r="BT625" s="220">
        <f t="shared" si="313"/>
        <v>1.0075757575757576</v>
      </c>
    </row>
    <row r="626" spans="1:103" s="112" customFormat="1" ht="14.45" hidden="1" customHeight="1" x14ac:dyDescent="0.25">
      <c r="A626" s="38" t="s">
        <v>1308</v>
      </c>
      <c r="B626" s="34" t="s">
        <v>1307</v>
      </c>
      <c r="C626" s="26" t="s">
        <v>1307</v>
      </c>
      <c r="D626" s="26"/>
      <c r="E626" s="26" t="s">
        <v>100</v>
      </c>
      <c r="F626" s="26" t="s">
        <v>940</v>
      </c>
      <c r="G626" s="29">
        <v>2645</v>
      </c>
      <c r="H626" s="29">
        <f t="shared" si="336"/>
        <v>20</v>
      </c>
      <c r="I626" s="26" t="s">
        <v>13</v>
      </c>
      <c r="J626" s="26" t="s">
        <v>172</v>
      </c>
      <c r="K626" s="26">
        <f t="shared" si="337"/>
        <v>0</v>
      </c>
      <c r="L626" s="42">
        <v>4</v>
      </c>
      <c r="M626" s="42">
        <v>6</v>
      </c>
      <c r="N626" s="42">
        <v>10</v>
      </c>
      <c r="O626" s="42">
        <v>9</v>
      </c>
      <c r="P626" s="42">
        <v>8</v>
      </c>
      <c r="Q626" s="42">
        <v>7</v>
      </c>
      <c r="R626" s="42">
        <v>6</v>
      </c>
      <c r="S626" s="42">
        <v>6</v>
      </c>
      <c r="T626" s="42">
        <v>6</v>
      </c>
      <c r="U626" s="42">
        <v>6</v>
      </c>
      <c r="V626" s="42"/>
      <c r="W626" s="42"/>
      <c r="X626" s="42"/>
      <c r="Y626" s="26">
        <v>50</v>
      </c>
      <c r="Z626" s="26">
        <f t="shared" si="328"/>
        <v>0</v>
      </c>
      <c r="AA626" s="26" t="s">
        <v>149</v>
      </c>
      <c r="AB626" s="111">
        <f t="shared" si="329"/>
        <v>2</v>
      </c>
      <c r="AC626" s="26" t="s">
        <v>13</v>
      </c>
      <c r="AD626" s="47">
        <f t="shared" si="311"/>
        <v>10519.886363636364</v>
      </c>
      <c r="AE626" s="140"/>
      <c r="AF626" s="113">
        <f t="shared" si="326"/>
        <v>0</v>
      </c>
      <c r="AG626" s="26">
        <v>2024</v>
      </c>
      <c r="AH626" s="26" t="str">
        <f t="shared" si="316"/>
        <v/>
      </c>
      <c r="AI626" s="26" t="str">
        <f t="shared" si="332"/>
        <v/>
      </c>
      <c r="AJ626" s="26" t="str">
        <f t="shared" si="334"/>
        <v>Chip Seal and Fog</v>
      </c>
      <c r="AK626" s="26" t="str">
        <f t="shared" si="333"/>
        <v/>
      </c>
      <c r="AL626" s="26" t="str">
        <f t="shared" si="333"/>
        <v/>
      </c>
      <c r="AM626" s="26" t="str">
        <f t="shared" si="333"/>
        <v/>
      </c>
      <c r="AN626" s="26" t="str">
        <f t="shared" si="325"/>
        <v>Chip Seal and Fog</v>
      </c>
      <c r="AO626" s="26" t="str">
        <f t="shared" si="335"/>
        <v/>
      </c>
      <c r="AP626" s="26" t="str">
        <f t="shared" si="318"/>
        <v/>
      </c>
      <c r="AQ626" s="68">
        <f t="shared" si="330"/>
        <v>14</v>
      </c>
      <c r="AR626" s="68">
        <f t="shared" si="331"/>
        <v>6</v>
      </c>
      <c r="AS626" s="68">
        <f t="shared" si="319"/>
        <v>1.5</v>
      </c>
      <c r="AT626" s="68">
        <f t="shared" si="320"/>
        <v>1.1000000000000001</v>
      </c>
      <c r="AU626" s="68">
        <f t="shared" si="321"/>
        <v>1</v>
      </c>
      <c r="AV626" s="68">
        <f t="shared" si="322"/>
        <v>1</v>
      </c>
      <c r="AW626" s="68">
        <f t="shared" si="323"/>
        <v>1</v>
      </c>
      <c r="AX626" s="68">
        <f t="shared" ca="1" si="324"/>
        <v>0</v>
      </c>
      <c r="AY626" s="68">
        <v>2023</v>
      </c>
      <c r="AZ626" s="68" t="s">
        <v>751</v>
      </c>
      <c r="BA626" s="106" t="str">
        <f t="shared" si="312"/>
        <v/>
      </c>
      <c r="BB626" s="178"/>
      <c r="BC626" s="178">
        <v>7</v>
      </c>
      <c r="BD626" s="178"/>
      <c r="BE626" s="178"/>
      <c r="BF626" s="178"/>
      <c r="BG626" s="178"/>
      <c r="BH626" s="178"/>
      <c r="BI626" s="33"/>
      <c r="BJ626" s="2"/>
      <c r="BK626" s="48">
        <f>$G626/5280*VLOOKUP($AC626,'Cost and Score'!$B$27:$O$40,6,0)</f>
        <v>0.10018939393939395</v>
      </c>
      <c r="BL626" s="48">
        <f>$G626/5280*VLOOKUP($AC626,'Cost and Score'!$B$27:$O$40,7,0)</f>
        <v>11.020833333333334</v>
      </c>
      <c r="BM626" s="48">
        <f>$G626/5280*VLOOKUP($AC626,'Cost and Score'!$B$27:$O$40,8,0)</f>
        <v>0</v>
      </c>
      <c r="BN626" s="48">
        <f>$G626/5280*VLOOKUP($AC626,'Cost and Score'!$B$27:$O$40,9,0)</f>
        <v>2254.261363636364</v>
      </c>
      <c r="BO626" s="48">
        <f>$G626/5280*VLOOKUP($AC626,'Cost and Score'!$B$27:$O$40,10,0)</f>
        <v>500.94696969696975</v>
      </c>
      <c r="BP626" s="48">
        <f>$G626/5280*VLOOKUP($AC626,'Cost and Score'!$B$27:$O$40,11,0)</f>
        <v>0</v>
      </c>
      <c r="BQ626" s="48">
        <f>$G626/5280*VLOOKUP($AC626,'Cost and Score'!$B$27:$O$40,12,0)</f>
        <v>50.094696969696969</v>
      </c>
      <c r="BR626" s="48">
        <f>$G626/5280*VLOOKUP($AC626,'Cost and Score'!$B$27:$O$40,13,0)</f>
        <v>60.113636363636367</v>
      </c>
      <c r="BS626" s="48">
        <f>$G626/5280*VLOOKUP($AC626,'Cost and Score'!$B$27:$O$40,14,0)</f>
        <v>0</v>
      </c>
      <c r="BT626" s="220">
        <f t="shared" si="313"/>
        <v>0.50094696969696972</v>
      </c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</row>
    <row r="627" spans="1:103" s="2" customFormat="1" ht="14.45" hidden="1" customHeight="1" x14ac:dyDescent="0.25">
      <c r="A627" s="38" t="s">
        <v>1310</v>
      </c>
      <c r="B627" s="34" t="s">
        <v>1309</v>
      </c>
      <c r="C627" s="26" t="s">
        <v>1309</v>
      </c>
      <c r="D627" s="26"/>
      <c r="E627" s="26" t="s">
        <v>9</v>
      </c>
      <c r="F627" s="26" t="s">
        <v>28</v>
      </c>
      <c r="G627" s="29">
        <v>5010</v>
      </c>
      <c r="H627" s="29">
        <f t="shared" si="336"/>
        <v>20</v>
      </c>
      <c r="I627" s="106" t="s">
        <v>13</v>
      </c>
      <c r="J627" s="26" t="s">
        <v>26</v>
      </c>
      <c r="K627" s="26">
        <f t="shared" si="337"/>
        <v>0</v>
      </c>
      <c r="L627" s="42">
        <v>5</v>
      </c>
      <c r="M627" s="42">
        <v>7</v>
      </c>
      <c r="N627" s="42">
        <v>10</v>
      </c>
      <c r="O627" s="42">
        <v>4</v>
      </c>
      <c r="P627" s="42">
        <v>8</v>
      </c>
      <c r="Q627" s="42">
        <v>8</v>
      </c>
      <c r="R627" s="42">
        <v>7</v>
      </c>
      <c r="S627" s="42">
        <v>7</v>
      </c>
      <c r="T627" s="42">
        <v>7</v>
      </c>
      <c r="U627" s="42">
        <v>7</v>
      </c>
      <c r="V627" s="42"/>
      <c r="W627" s="42"/>
      <c r="X627" s="42"/>
      <c r="Y627" s="26">
        <v>50</v>
      </c>
      <c r="Z627" s="26">
        <f t="shared" si="328"/>
        <v>0</v>
      </c>
      <c r="AA627" s="26" t="s">
        <v>149</v>
      </c>
      <c r="AB627" s="111">
        <f t="shared" si="329"/>
        <v>2</v>
      </c>
      <c r="AC627" s="26" t="s">
        <v>13</v>
      </c>
      <c r="AD627" s="47">
        <f t="shared" si="311"/>
        <v>19926.136363636364</v>
      </c>
      <c r="AE627" s="140"/>
      <c r="AF627" s="113">
        <f t="shared" si="326"/>
        <v>0</v>
      </c>
      <c r="AG627" s="26">
        <v>2022</v>
      </c>
      <c r="AH627" s="26" t="str">
        <f t="shared" si="316"/>
        <v>Chip Seal and Fog</v>
      </c>
      <c r="AI627" s="26" t="str">
        <f t="shared" si="332"/>
        <v/>
      </c>
      <c r="AJ627" s="26" t="str">
        <f t="shared" si="334"/>
        <v/>
      </c>
      <c r="AK627" s="26" t="str">
        <f t="shared" si="333"/>
        <v/>
      </c>
      <c r="AL627" s="26" t="str">
        <f t="shared" si="333"/>
        <v/>
      </c>
      <c r="AM627" s="26" t="str">
        <f t="shared" si="333"/>
        <v/>
      </c>
      <c r="AN627" s="26" t="str">
        <f t="shared" si="325"/>
        <v>Chip Seal and Fog</v>
      </c>
      <c r="AO627" s="26" t="str">
        <f t="shared" si="335"/>
        <v/>
      </c>
      <c r="AP627" s="26" t="str">
        <f t="shared" si="318"/>
        <v>Chip Seal and Fog</v>
      </c>
      <c r="AQ627" s="68">
        <f t="shared" si="330"/>
        <v>3</v>
      </c>
      <c r="AR627" s="68">
        <f t="shared" si="331"/>
        <v>6</v>
      </c>
      <c r="AS627" s="68">
        <f t="shared" si="319"/>
        <v>1.25</v>
      </c>
      <c r="AT627" s="68">
        <f t="shared" si="320"/>
        <v>1.05</v>
      </c>
      <c r="AU627" s="68">
        <f t="shared" si="321"/>
        <v>1</v>
      </c>
      <c r="AV627" s="68">
        <f t="shared" si="322"/>
        <v>1.5</v>
      </c>
      <c r="AW627" s="68">
        <f t="shared" si="323"/>
        <v>1</v>
      </c>
      <c r="AX627" s="68">
        <f t="shared" ca="1" si="324"/>
        <v>-2</v>
      </c>
      <c r="AY627" s="68">
        <v>2022</v>
      </c>
      <c r="AZ627" s="68" t="s">
        <v>13</v>
      </c>
      <c r="BA627" s="106" t="str">
        <f t="shared" si="312"/>
        <v/>
      </c>
      <c r="BB627" s="178"/>
      <c r="BC627" s="178">
        <v>5</v>
      </c>
      <c r="BD627" s="178"/>
      <c r="BE627" s="178"/>
      <c r="BF627" s="178"/>
      <c r="BG627" s="178"/>
      <c r="BH627" s="178"/>
      <c r="BI627" s="33"/>
      <c r="BK627" s="48">
        <f>$G627/5280*VLOOKUP($AC627,'Cost and Score'!$B$27:$O$40,6,0)</f>
        <v>0.18977272727272729</v>
      </c>
      <c r="BL627" s="48">
        <f>$G627/5280*VLOOKUP($AC627,'Cost and Score'!$B$27:$O$40,7,0)</f>
        <v>20.875</v>
      </c>
      <c r="BM627" s="48">
        <f>$G627/5280*VLOOKUP($AC627,'Cost and Score'!$B$27:$O$40,8,0)</f>
        <v>0</v>
      </c>
      <c r="BN627" s="48">
        <f>$G627/5280*VLOOKUP($AC627,'Cost and Score'!$B$27:$O$40,9,0)</f>
        <v>4269.886363636364</v>
      </c>
      <c r="BO627" s="48">
        <f>$G627/5280*VLOOKUP($AC627,'Cost and Score'!$B$27:$O$40,10,0)</f>
        <v>948.86363636363637</v>
      </c>
      <c r="BP627" s="48">
        <f>$G627/5280*VLOOKUP($AC627,'Cost and Score'!$B$27:$O$40,11,0)</f>
        <v>0</v>
      </c>
      <c r="BQ627" s="48">
        <f>$G627/5280*VLOOKUP($AC627,'Cost and Score'!$B$27:$O$40,12,0)</f>
        <v>94.88636363636364</v>
      </c>
      <c r="BR627" s="48">
        <f>$G627/5280*VLOOKUP($AC627,'Cost and Score'!$B$27:$O$40,13,0)</f>
        <v>113.86363636363636</v>
      </c>
      <c r="BS627" s="48">
        <f>$G627/5280*VLOOKUP($AC627,'Cost and Score'!$B$27:$O$40,14,0)</f>
        <v>0</v>
      </c>
      <c r="BT627" s="220">
        <f t="shared" si="313"/>
        <v>0.94886363636363635</v>
      </c>
      <c r="CV627" s="112"/>
      <c r="CW627" s="112"/>
      <c r="CX627" s="112"/>
      <c r="CY627" s="112"/>
    </row>
    <row r="628" spans="1:103" s="2" customFormat="1" ht="14.45" hidden="1" customHeight="1" x14ac:dyDescent="0.25">
      <c r="A628" s="38" t="s">
        <v>1312</v>
      </c>
      <c r="B628" s="34" t="s">
        <v>1311</v>
      </c>
      <c r="C628" s="26" t="s">
        <v>1311</v>
      </c>
      <c r="D628" s="26"/>
      <c r="E628" s="26" t="s">
        <v>940</v>
      </c>
      <c r="F628" s="26" t="s">
        <v>240</v>
      </c>
      <c r="G628" s="29">
        <v>4000</v>
      </c>
      <c r="H628" s="29">
        <f t="shared" si="336"/>
        <v>20</v>
      </c>
      <c r="I628" s="26" t="s">
        <v>13</v>
      </c>
      <c r="J628" s="26" t="s">
        <v>172</v>
      </c>
      <c r="K628" s="26">
        <f t="shared" si="337"/>
        <v>0</v>
      </c>
      <c r="L628" s="42">
        <v>7</v>
      </c>
      <c r="M628" s="42">
        <v>6</v>
      </c>
      <c r="N628" s="42">
        <v>6</v>
      </c>
      <c r="O628" s="42">
        <v>9</v>
      </c>
      <c r="P628" s="42">
        <v>9</v>
      </c>
      <c r="Q628" s="42">
        <v>8</v>
      </c>
      <c r="R628" s="42">
        <v>8</v>
      </c>
      <c r="S628" s="42">
        <v>7</v>
      </c>
      <c r="T628" s="42">
        <v>7</v>
      </c>
      <c r="U628" s="42">
        <v>7</v>
      </c>
      <c r="V628" s="42"/>
      <c r="W628" s="42"/>
      <c r="X628" s="42"/>
      <c r="Y628" s="26">
        <v>50</v>
      </c>
      <c r="Z628" s="26">
        <f t="shared" si="328"/>
        <v>0</v>
      </c>
      <c r="AA628" s="26" t="s">
        <v>149</v>
      </c>
      <c r="AB628" s="111">
        <f t="shared" si="329"/>
        <v>1</v>
      </c>
      <c r="AC628" s="26" t="s">
        <v>2073</v>
      </c>
      <c r="AD628" s="47">
        <f t="shared" si="311"/>
        <v>24242.424242424244</v>
      </c>
      <c r="AE628" s="140"/>
      <c r="AF628" s="113">
        <f t="shared" si="326"/>
        <v>0</v>
      </c>
      <c r="AG628" s="26">
        <v>2026</v>
      </c>
      <c r="AH628" s="26" t="str">
        <f t="shared" si="316"/>
        <v/>
      </c>
      <c r="AI628" s="26" t="str">
        <f t="shared" si="332"/>
        <v/>
      </c>
      <c r="AJ628" s="26" t="str">
        <f t="shared" si="334"/>
        <v/>
      </c>
      <c r="AK628" s="26" t="str">
        <f t="shared" ref="AK628:AM647" si="338">IF($AG628=AK$1,VLOOKUP($AC628,RSL,3,FALSE),"")</f>
        <v/>
      </c>
      <c r="AL628" s="26" t="str">
        <f t="shared" si="338"/>
        <v>Chip Seal - Double and Fog</v>
      </c>
      <c r="AM628" s="26" t="str">
        <f t="shared" si="338"/>
        <v/>
      </c>
      <c r="AN628" s="26" t="str">
        <f t="shared" si="325"/>
        <v>Chip Seal - Double and Fog</v>
      </c>
      <c r="AO628" s="26" t="str">
        <f t="shared" si="335"/>
        <v/>
      </c>
      <c r="AP628" s="26" t="str">
        <f t="shared" si="318"/>
        <v/>
      </c>
      <c r="AQ628" s="68">
        <f t="shared" si="330"/>
        <v>14</v>
      </c>
      <c r="AR628" s="68">
        <f t="shared" si="331"/>
        <v>6</v>
      </c>
      <c r="AS628" s="68">
        <f t="shared" si="319"/>
        <v>1.05</v>
      </c>
      <c r="AT628" s="68">
        <f t="shared" si="320"/>
        <v>1.1000000000000001</v>
      </c>
      <c r="AU628" s="68">
        <f t="shared" si="321"/>
        <v>1.1000000000000001</v>
      </c>
      <c r="AV628" s="68">
        <f t="shared" si="322"/>
        <v>1</v>
      </c>
      <c r="AW628" s="68">
        <f t="shared" si="323"/>
        <v>1</v>
      </c>
      <c r="AX628" s="68">
        <f t="shared" ca="1" si="324"/>
        <v>2.2000000000000002</v>
      </c>
      <c r="AY628" s="68">
        <v>2016</v>
      </c>
      <c r="AZ628" s="68" t="s">
        <v>2073</v>
      </c>
      <c r="BA628" s="106" t="str">
        <f t="shared" si="312"/>
        <v/>
      </c>
      <c r="BB628" s="178"/>
      <c r="BC628" s="178">
        <v>7</v>
      </c>
      <c r="BD628" s="178"/>
      <c r="BE628" s="178"/>
      <c r="BF628" s="178"/>
      <c r="BG628" s="178"/>
      <c r="BH628" s="178"/>
      <c r="BI628" s="33"/>
      <c r="BK628" s="48">
        <f>$G628/5280*VLOOKUP($AC628,'Cost and Score'!$B$27:$O$40,6,0)</f>
        <v>0.37878787878787878</v>
      </c>
      <c r="BL628" s="48">
        <f>$G628/5280*VLOOKUP($AC628,'Cost and Score'!$B$27:$O$40,7,0)</f>
        <v>37.878787878787875</v>
      </c>
      <c r="BM628" s="48">
        <f>$G628/5280*VLOOKUP($AC628,'Cost and Score'!$B$27:$O$40,8,0)</f>
        <v>0</v>
      </c>
      <c r="BN628" s="48">
        <f>$G628/5280*VLOOKUP($AC628,'Cost and Score'!$B$27:$O$40,9,0)</f>
        <v>7196.969696969697</v>
      </c>
      <c r="BO628" s="48">
        <f>$G628/5280*VLOOKUP($AC628,'Cost and Score'!$B$27:$O$40,10,0)</f>
        <v>757.57575757575762</v>
      </c>
      <c r="BP628" s="48">
        <f>$G628/5280*VLOOKUP($AC628,'Cost and Score'!$B$27:$O$40,11,0)</f>
        <v>0</v>
      </c>
      <c r="BQ628" s="48">
        <f>$G628/5280*VLOOKUP($AC628,'Cost and Score'!$B$27:$O$40,12,0)</f>
        <v>151.5151515151515</v>
      </c>
      <c r="BR628" s="48">
        <f>$G628/5280*VLOOKUP($AC628,'Cost and Score'!$B$27:$O$40,13,0)</f>
        <v>136.36363636363637</v>
      </c>
      <c r="BS628" s="48">
        <f>$G628/5280*VLOOKUP($AC628,'Cost and Score'!$B$27:$O$40,14,0)</f>
        <v>181.81818181818181</v>
      </c>
      <c r="BT628" s="220">
        <f t="shared" si="313"/>
        <v>0.75757575757575757</v>
      </c>
      <c r="CN628" s="112"/>
      <c r="CO628" s="112"/>
      <c r="CP628" s="112"/>
      <c r="CQ628" s="112"/>
    </row>
    <row r="629" spans="1:103" s="2" customFormat="1" ht="14.45" hidden="1" customHeight="1" x14ac:dyDescent="0.25">
      <c r="A629" s="38" t="s">
        <v>1314</v>
      </c>
      <c r="B629" s="34" t="s">
        <v>1313</v>
      </c>
      <c r="C629" s="26" t="s">
        <v>1313</v>
      </c>
      <c r="D629" s="82"/>
      <c r="E629" s="82" t="s">
        <v>240</v>
      </c>
      <c r="F629" s="82" t="s">
        <v>307</v>
      </c>
      <c r="G629" s="29">
        <v>1468</v>
      </c>
      <c r="H629" s="29">
        <f t="shared" si="336"/>
        <v>20</v>
      </c>
      <c r="I629" s="26" t="s">
        <v>8</v>
      </c>
      <c r="J629" s="26" t="s">
        <v>26</v>
      </c>
      <c r="K629" s="26">
        <f t="shared" si="337"/>
        <v>0</v>
      </c>
      <c r="L629" s="42">
        <v>5</v>
      </c>
      <c r="M629" s="42">
        <v>5</v>
      </c>
      <c r="N629" s="42">
        <v>5</v>
      </c>
      <c r="O629" s="83">
        <v>9</v>
      </c>
      <c r="P629" s="83">
        <v>8</v>
      </c>
      <c r="Q629" s="83">
        <v>7</v>
      </c>
      <c r="R629" s="83">
        <v>7</v>
      </c>
      <c r="S629" s="83">
        <v>7</v>
      </c>
      <c r="T629" s="83">
        <v>7</v>
      </c>
      <c r="U629" s="83">
        <v>7</v>
      </c>
      <c r="V629" s="42"/>
      <c r="W629" s="42"/>
      <c r="X629" s="42"/>
      <c r="Y629" s="26">
        <v>50</v>
      </c>
      <c r="Z629" s="26">
        <f t="shared" si="328"/>
        <v>0</v>
      </c>
      <c r="AA629" s="82" t="s">
        <v>149</v>
      </c>
      <c r="AB629" s="111">
        <f t="shared" si="329"/>
        <v>2</v>
      </c>
      <c r="AC629" s="82" t="s">
        <v>13</v>
      </c>
      <c r="AD629" s="84">
        <f t="shared" si="311"/>
        <v>5838.636363636364</v>
      </c>
      <c r="AE629" s="140"/>
      <c r="AF629" s="113">
        <f t="shared" si="326"/>
        <v>0</v>
      </c>
      <c r="AG629" s="82">
        <v>2022</v>
      </c>
      <c r="AH629" s="26" t="str">
        <f t="shared" si="316"/>
        <v>Chip Seal and Fog</v>
      </c>
      <c r="AI629" s="26" t="str">
        <f t="shared" si="332"/>
        <v/>
      </c>
      <c r="AJ629" s="26" t="str">
        <f t="shared" si="334"/>
        <v/>
      </c>
      <c r="AK629" s="26" t="str">
        <f t="shared" si="338"/>
        <v/>
      </c>
      <c r="AL629" s="26" t="str">
        <f t="shared" si="338"/>
        <v/>
      </c>
      <c r="AM629" s="26" t="str">
        <f t="shared" si="338"/>
        <v/>
      </c>
      <c r="AN629" s="26" t="str">
        <f t="shared" si="325"/>
        <v>Chip Seal and Fog</v>
      </c>
      <c r="AO629" s="26" t="str">
        <f t="shared" si="335"/>
        <v/>
      </c>
      <c r="AP629" s="26" t="str">
        <f t="shared" si="318"/>
        <v/>
      </c>
      <c r="AQ629" s="68">
        <f t="shared" si="330"/>
        <v>14</v>
      </c>
      <c r="AR629" s="68">
        <f t="shared" si="331"/>
        <v>6</v>
      </c>
      <c r="AS629" s="68">
        <f t="shared" si="319"/>
        <v>1.25</v>
      </c>
      <c r="AT629" s="68">
        <f t="shared" si="320"/>
        <v>1.25</v>
      </c>
      <c r="AU629" s="68">
        <f t="shared" si="321"/>
        <v>1.25</v>
      </c>
      <c r="AV629" s="68">
        <f t="shared" si="322"/>
        <v>1</v>
      </c>
      <c r="AW629" s="68">
        <f t="shared" si="323"/>
        <v>1</v>
      </c>
      <c r="AX629" s="68">
        <f t="shared" ca="1" si="324"/>
        <v>-2.5</v>
      </c>
      <c r="AY629" s="68"/>
      <c r="AZ629" s="68"/>
      <c r="BA629" s="106" t="str">
        <f t="shared" si="312"/>
        <v/>
      </c>
      <c r="BB629" s="178"/>
      <c r="BC629" s="178">
        <v>7</v>
      </c>
      <c r="BD629" s="178"/>
      <c r="BE629" s="178"/>
      <c r="BF629" s="178"/>
      <c r="BG629" s="178"/>
      <c r="BH629" s="178"/>
      <c r="BI629" s="33"/>
      <c r="BK629" s="48">
        <f>$G629/5280*VLOOKUP($AC629,'Cost and Score'!$B$27:$O$40,6,0)</f>
        <v>5.5606060606060603E-2</v>
      </c>
      <c r="BL629" s="48">
        <f>$G629/5280*VLOOKUP($AC629,'Cost and Score'!$B$27:$O$40,7,0)</f>
        <v>6.1166666666666663</v>
      </c>
      <c r="BM629" s="48">
        <f>$G629/5280*VLOOKUP($AC629,'Cost and Score'!$B$27:$O$40,8,0)</f>
        <v>0</v>
      </c>
      <c r="BN629" s="48">
        <f>$G629/5280*VLOOKUP($AC629,'Cost and Score'!$B$27:$O$40,9,0)</f>
        <v>1251.1363636363635</v>
      </c>
      <c r="BO629" s="48">
        <f>$G629/5280*VLOOKUP($AC629,'Cost and Score'!$B$27:$O$40,10,0)</f>
        <v>278.030303030303</v>
      </c>
      <c r="BP629" s="48">
        <f>$G629/5280*VLOOKUP($AC629,'Cost and Score'!$B$27:$O$40,11,0)</f>
        <v>0</v>
      </c>
      <c r="BQ629" s="48">
        <f>$G629/5280*VLOOKUP($AC629,'Cost and Score'!$B$27:$O$40,12,0)</f>
        <v>27.803030303030301</v>
      </c>
      <c r="BR629" s="48">
        <f>$G629/5280*VLOOKUP($AC629,'Cost and Score'!$B$27:$O$40,13,0)</f>
        <v>33.36363636363636</v>
      </c>
      <c r="BS629" s="48">
        <f>$G629/5280*VLOOKUP($AC629,'Cost and Score'!$B$27:$O$40,14,0)</f>
        <v>0</v>
      </c>
      <c r="BT629" s="220">
        <f t="shared" si="313"/>
        <v>0.27803030303030302</v>
      </c>
    </row>
    <row r="630" spans="1:103" s="2" customFormat="1" ht="14.45" hidden="1" customHeight="1" x14ac:dyDescent="0.25">
      <c r="A630" s="38" t="s">
        <v>1316</v>
      </c>
      <c r="B630" s="34" t="s">
        <v>1315</v>
      </c>
      <c r="C630" s="26" t="s">
        <v>1315</v>
      </c>
      <c r="D630" s="26"/>
      <c r="E630" s="26" t="s">
        <v>406</v>
      </c>
      <c r="F630" s="26" t="s">
        <v>67</v>
      </c>
      <c r="G630" s="29">
        <v>5036</v>
      </c>
      <c r="H630" s="29">
        <f t="shared" si="336"/>
        <v>20</v>
      </c>
      <c r="I630" s="26" t="s">
        <v>2073</v>
      </c>
      <c r="J630" s="26" t="s">
        <v>11</v>
      </c>
      <c r="K630" s="26">
        <f t="shared" si="337"/>
        <v>0</v>
      </c>
      <c r="L630" s="42">
        <v>7</v>
      </c>
      <c r="M630" s="42">
        <v>7</v>
      </c>
      <c r="N630" s="42">
        <v>7</v>
      </c>
      <c r="O630" s="42">
        <v>7</v>
      </c>
      <c r="P630" s="42">
        <v>6</v>
      </c>
      <c r="Q630" s="42">
        <v>6</v>
      </c>
      <c r="R630" s="42">
        <v>6</v>
      </c>
      <c r="S630" s="42">
        <v>6</v>
      </c>
      <c r="T630" s="42">
        <v>6</v>
      </c>
      <c r="U630" s="42">
        <v>8</v>
      </c>
      <c r="V630" s="42"/>
      <c r="W630" s="42"/>
      <c r="X630" s="42"/>
      <c r="Y630" s="26">
        <v>47</v>
      </c>
      <c r="Z630" s="26">
        <f t="shared" si="328"/>
        <v>0</v>
      </c>
      <c r="AA630" s="26" t="s">
        <v>958</v>
      </c>
      <c r="AB630" s="111">
        <f t="shared" si="329"/>
        <v>4</v>
      </c>
      <c r="AC630" s="26" t="s">
        <v>2073</v>
      </c>
      <c r="AD630" s="47">
        <f t="shared" si="311"/>
        <v>30521.21212121212</v>
      </c>
      <c r="AE630" s="140"/>
      <c r="AF630" s="113">
        <f t="shared" si="326"/>
        <v>0</v>
      </c>
      <c r="AG630" s="26">
        <v>2022</v>
      </c>
      <c r="AH630" s="26" t="str">
        <f t="shared" si="316"/>
        <v>Chip Seal - Double and Fog</v>
      </c>
      <c r="AI630" s="26" t="str">
        <f t="shared" si="332"/>
        <v/>
      </c>
      <c r="AJ630" s="26" t="str">
        <f t="shared" si="334"/>
        <v/>
      </c>
      <c r="AK630" s="26" t="str">
        <f t="shared" si="338"/>
        <v/>
      </c>
      <c r="AL630" s="26" t="str">
        <f t="shared" si="338"/>
        <v/>
      </c>
      <c r="AM630" s="26" t="str">
        <f t="shared" si="338"/>
        <v/>
      </c>
      <c r="AN630" s="26" t="str">
        <f t="shared" si="325"/>
        <v>Chip Seal - Double and Fog</v>
      </c>
      <c r="AO630" s="26" t="str">
        <f t="shared" si="335"/>
        <v/>
      </c>
      <c r="AP630" s="26" t="str">
        <f t="shared" si="318"/>
        <v>Chip Seal - Double and Fog</v>
      </c>
      <c r="AQ630" s="68">
        <f t="shared" si="330"/>
        <v>10</v>
      </c>
      <c r="AR630" s="68">
        <f t="shared" si="331"/>
        <v>6</v>
      </c>
      <c r="AS630" s="68">
        <f t="shared" si="319"/>
        <v>1.05</v>
      </c>
      <c r="AT630" s="68">
        <f t="shared" si="320"/>
        <v>1.05</v>
      </c>
      <c r="AU630" s="68">
        <f t="shared" si="321"/>
        <v>1.05</v>
      </c>
      <c r="AV630" s="68">
        <f t="shared" si="322"/>
        <v>1.05</v>
      </c>
      <c r="AW630" s="68">
        <f t="shared" si="323"/>
        <v>1.1000000000000001</v>
      </c>
      <c r="AX630" s="68">
        <f t="shared" ca="1" si="324"/>
        <v>-2.1</v>
      </c>
      <c r="AY630" s="68">
        <v>2022</v>
      </c>
      <c r="AZ630" s="68" t="s">
        <v>2073</v>
      </c>
      <c r="BA630" s="106" t="str">
        <f t="shared" si="312"/>
        <v/>
      </c>
      <c r="BB630" s="178">
        <v>67</v>
      </c>
      <c r="BC630" s="178">
        <v>4</v>
      </c>
      <c r="BD630" s="178"/>
      <c r="BE630" s="178"/>
      <c r="BF630" s="178"/>
      <c r="BG630" s="178"/>
      <c r="BH630" s="178"/>
      <c r="BI630" s="33"/>
      <c r="BK630" s="48">
        <f>$G630/5280*VLOOKUP($AC630,'Cost and Score'!$B$27:$O$40,6,0)</f>
        <v>0.47689393939393937</v>
      </c>
      <c r="BL630" s="48">
        <f>$G630/5280*VLOOKUP($AC630,'Cost and Score'!$B$27:$O$40,7,0)</f>
        <v>47.689393939393938</v>
      </c>
      <c r="BM630" s="48">
        <f>$G630/5280*VLOOKUP($AC630,'Cost and Score'!$B$27:$O$40,8,0)</f>
        <v>0</v>
      </c>
      <c r="BN630" s="48">
        <f>$G630/5280*VLOOKUP($AC630,'Cost and Score'!$B$27:$O$40,9,0)</f>
        <v>9060.984848484848</v>
      </c>
      <c r="BO630" s="48">
        <f>$G630/5280*VLOOKUP($AC630,'Cost and Score'!$B$27:$O$40,10,0)</f>
        <v>953.78787878787875</v>
      </c>
      <c r="BP630" s="48">
        <f>$G630/5280*VLOOKUP($AC630,'Cost and Score'!$B$27:$O$40,11,0)</f>
        <v>0</v>
      </c>
      <c r="BQ630" s="48">
        <f>$G630/5280*VLOOKUP($AC630,'Cost and Score'!$B$27:$O$40,12,0)</f>
        <v>190.75757575757575</v>
      </c>
      <c r="BR630" s="48">
        <f>$G630/5280*VLOOKUP($AC630,'Cost and Score'!$B$27:$O$40,13,0)</f>
        <v>171.68181818181819</v>
      </c>
      <c r="BS630" s="48">
        <f>$G630/5280*VLOOKUP($AC630,'Cost and Score'!$B$27:$O$40,14,0)</f>
        <v>228.90909090909091</v>
      </c>
      <c r="BT630" s="220">
        <f t="shared" si="313"/>
        <v>0.95378787878787874</v>
      </c>
    </row>
    <row r="631" spans="1:103" s="2" customFormat="1" ht="14.45" customHeight="1" x14ac:dyDescent="0.25">
      <c r="A631" s="15" t="s">
        <v>275</v>
      </c>
      <c r="B631" s="34" t="s">
        <v>274</v>
      </c>
      <c r="C631" s="26" t="s">
        <v>274</v>
      </c>
      <c r="D631" s="82"/>
      <c r="E631" s="82" t="s">
        <v>35</v>
      </c>
      <c r="F631" s="82" t="s">
        <v>213</v>
      </c>
      <c r="G631" s="29">
        <v>2640</v>
      </c>
      <c r="H631" s="29">
        <f t="shared" si="336"/>
        <v>20</v>
      </c>
      <c r="I631" s="26" t="s">
        <v>8</v>
      </c>
      <c r="J631" s="26" t="s">
        <v>17</v>
      </c>
      <c r="K631" s="26">
        <f t="shared" si="337"/>
        <v>0</v>
      </c>
      <c r="L631" s="42">
        <v>7</v>
      </c>
      <c r="M631" s="42">
        <v>7</v>
      </c>
      <c r="N631" s="42">
        <v>7</v>
      </c>
      <c r="O631" s="83">
        <v>7</v>
      </c>
      <c r="P631" s="83">
        <v>7</v>
      </c>
      <c r="Q631" s="83">
        <v>9</v>
      </c>
      <c r="R631" s="83">
        <v>8</v>
      </c>
      <c r="S631" s="83">
        <v>8</v>
      </c>
      <c r="T631" s="83">
        <v>7</v>
      </c>
      <c r="U631" s="83">
        <v>7</v>
      </c>
      <c r="V631" s="42"/>
      <c r="W631" s="42">
        <v>2019</v>
      </c>
      <c r="X631" s="42" t="s">
        <v>2612</v>
      </c>
      <c r="Y631" s="26">
        <v>1197</v>
      </c>
      <c r="Z631" s="26">
        <f t="shared" si="328"/>
        <v>0.5</v>
      </c>
      <c r="AA631" s="82" t="s">
        <v>52</v>
      </c>
      <c r="AB631" s="111">
        <f t="shared" si="329"/>
        <v>3.5</v>
      </c>
      <c r="AC631" s="85" t="s">
        <v>2073</v>
      </c>
      <c r="AD631" s="84">
        <f t="shared" si="311"/>
        <v>16000</v>
      </c>
      <c r="AE631" s="140"/>
      <c r="AF631" s="113">
        <f t="shared" si="326"/>
        <v>0</v>
      </c>
      <c r="AG631" s="26">
        <v>2025</v>
      </c>
      <c r="AH631" s="26" t="str">
        <f t="shared" si="316"/>
        <v/>
      </c>
      <c r="AI631" s="26" t="str">
        <f t="shared" si="332"/>
        <v/>
      </c>
      <c r="AJ631" s="26" t="str">
        <f t="shared" si="334"/>
        <v/>
      </c>
      <c r="AK631" s="26" t="str">
        <f t="shared" si="338"/>
        <v>Chip Seal - Double and Fog</v>
      </c>
      <c r="AL631" s="26" t="str">
        <f t="shared" si="338"/>
        <v/>
      </c>
      <c r="AM631" s="26" t="str">
        <f t="shared" si="338"/>
        <v/>
      </c>
      <c r="AN631" s="26" t="str">
        <f t="shared" si="325"/>
        <v>Chip Seal - Double and Fog</v>
      </c>
      <c r="AO631" s="26" t="str">
        <f t="shared" si="335"/>
        <v/>
      </c>
      <c r="AP631" s="26" t="str">
        <f t="shared" si="318"/>
        <v/>
      </c>
      <c r="AQ631" s="68">
        <f t="shared" si="330"/>
        <v>10</v>
      </c>
      <c r="AR631" s="68">
        <f t="shared" si="331"/>
        <v>6</v>
      </c>
      <c r="AS631" s="68">
        <f t="shared" si="319"/>
        <v>1.05</v>
      </c>
      <c r="AT631" s="68">
        <f t="shared" si="320"/>
        <v>1.05</v>
      </c>
      <c r="AU631" s="68">
        <f t="shared" si="321"/>
        <v>1.05</v>
      </c>
      <c r="AV631" s="68">
        <f t="shared" si="322"/>
        <v>1.05</v>
      </c>
      <c r="AW631" s="68">
        <f t="shared" si="323"/>
        <v>1.05</v>
      </c>
      <c r="AX631" s="68">
        <f t="shared" ca="1" si="324"/>
        <v>1.05</v>
      </c>
      <c r="AY631" s="106">
        <v>2018</v>
      </c>
      <c r="AZ631" s="106" t="s">
        <v>13</v>
      </c>
      <c r="BA631" s="106" t="str">
        <f t="shared" si="312"/>
        <v>CS</v>
      </c>
      <c r="BB631" s="177"/>
      <c r="BC631" s="177">
        <v>5</v>
      </c>
      <c r="BD631" s="177"/>
      <c r="BE631" s="177"/>
      <c r="BF631" s="177"/>
      <c r="BG631" s="177"/>
      <c r="BH631" s="177"/>
      <c r="BI631" s="33"/>
      <c r="BK631" s="48">
        <f>$G631/5280*VLOOKUP($AC631,'Cost and Score'!$B$27:$O$40,6,0)</f>
        <v>0.25</v>
      </c>
      <c r="BL631" s="48">
        <f>$G631/5280*VLOOKUP($AC631,'Cost and Score'!$B$27:$O$40,7,0)</f>
        <v>25</v>
      </c>
      <c r="BM631" s="48">
        <f>$G631/5280*VLOOKUP($AC631,'Cost and Score'!$B$27:$O$40,8,0)</f>
        <v>0</v>
      </c>
      <c r="BN631" s="48">
        <f>$G631/5280*VLOOKUP($AC631,'Cost and Score'!$B$27:$O$40,9,0)</f>
        <v>4750</v>
      </c>
      <c r="BO631" s="48">
        <f>$G631/5280*VLOOKUP($AC631,'Cost and Score'!$B$27:$O$40,10,0)</f>
        <v>500</v>
      </c>
      <c r="BP631" s="48">
        <f>$G631/5280*VLOOKUP($AC631,'Cost and Score'!$B$27:$O$40,11,0)</f>
        <v>0</v>
      </c>
      <c r="BQ631" s="48">
        <f>$G631/5280*VLOOKUP($AC631,'Cost and Score'!$B$27:$O$40,12,0)</f>
        <v>100</v>
      </c>
      <c r="BR631" s="48">
        <f>$G631/5280*VLOOKUP($AC631,'Cost and Score'!$B$27:$O$40,13,0)</f>
        <v>90</v>
      </c>
      <c r="BS631" s="48">
        <f>$G631/5280*VLOOKUP($AC631,'Cost and Score'!$B$27:$O$40,14,0)</f>
        <v>120</v>
      </c>
      <c r="BT631" s="220">
        <f t="shared" si="313"/>
        <v>0.5</v>
      </c>
    </row>
    <row r="632" spans="1:103" s="2" customFormat="1" ht="14.45" hidden="1" customHeight="1" x14ac:dyDescent="0.25">
      <c r="A632" s="38" t="s">
        <v>1319</v>
      </c>
      <c r="B632" s="34" t="s">
        <v>1318</v>
      </c>
      <c r="C632" s="26" t="s">
        <v>1318</v>
      </c>
      <c r="D632" s="26"/>
      <c r="E632" s="26" t="s">
        <v>9</v>
      </c>
      <c r="F632" s="26" t="s">
        <v>35</v>
      </c>
      <c r="G632" s="29">
        <v>2689</v>
      </c>
      <c r="H632" s="29">
        <f t="shared" si="336"/>
        <v>20</v>
      </c>
      <c r="I632" s="106" t="s">
        <v>13</v>
      </c>
      <c r="J632" s="26" t="s">
        <v>17</v>
      </c>
      <c r="K632" s="26">
        <f t="shared" si="337"/>
        <v>0</v>
      </c>
      <c r="L632" s="42">
        <v>4</v>
      </c>
      <c r="M632" s="42">
        <v>6</v>
      </c>
      <c r="N632" s="42">
        <v>10</v>
      </c>
      <c r="O632" s="42">
        <v>9</v>
      </c>
      <c r="P632" s="42">
        <v>8</v>
      </c>
      <c r="Q632" s="42">
        <v>7</v>
      </c>
      <c r="R632" s="42">
        <v>6</v>
      </c>
      <c r="S632" s="42">
        <v>7</v>
      </c>
      <c r="T632" s="42">
        <v>7</v>
      </c>
      <c r="U632" s="42">
        <v>7</v>
      </c>
      <c r="V632" s="42"/>
      <c r="W632" s="42"/>
      <c r="X632" s="42"/>
      <c r="Y632" s="26">
        <v>50</v>
      </c>
      <c r="Z632" s="26">
        <f t="shared" si="328"/>
        <v>0</v>
      </c>
      <c r="AA632" s="26" t="s">
        <v>1051</v>
      </c>
      <c r="AB632" s="111">
        <f t="shared" si="329"/>
        <v>2</v>
      </c>
      <c r="AC632" s="26" t="s">
        <v>13</v>
      </c>
      <c r="AD632" s="47">
        <f t="shared" si="311"/>
        <v>10694.886363636364</v>
      </c>
      <c r="AE632" s="140"/>
      <c r="AF632" s="113">
        <f t="shared" si="326"/>
        <v>0</v>
      </c>
      <c r="AG632" s="26">
        <v>2022</v>
      </c>
      <c r="AH632" s="26" t="str">
        <f t="shared" si="316"/>
        <v>Chip Seal and Fog</v>
      </c>
      <c r="AI632" s="26" t="str">
        <f t="shared" si="332"/>
        <v/>
      </c>
      <c r="AJ632" s="26" t="str">
        <f t="shared" si="334"/>
        <v/>
      </c>
      <c r="AK632" s="26" t="str">
        <f t="shared" si="338"/>
        <v/>
      </c>
      <c r="AL632" s="26" t="str">
        <f t="shared" si="338"/>
        <v/>
      </c>
      <c r="AM632" s="26" t="str">
        <f t="shared" si="338"/>
        <v/>
      </c>
      <c r="AN632" s="26" t="str">
        <f t="shared" si="325"/>
        <v>Chip Seal and Fog</v>
      </c>
      <c r="AO632" s="26" t="str">
        <f t="shared" si="335"/>
        <v/>
      </c>
      <c r="AP632" s="26" t="str">
        <f t="shared" si="318"/>
        <v>Chip Seal and Fog</v>
      </c>
      <c r="AQ632" s="68">
        <f t="shared" si="330"/>
        <v>14</v>
      </c>
      <c r="AR632" s="68">
        <f t="shared" si="331"/>
        <v>6</v>
      </c>
      <c r="AS632" s="68">
        <f t="shared" si="319"/>
        <v>1.5</v>
      </c>
      <c r="AT632" s="68">
        <f t="shared" si="320"/>
        <v>1.1000000000000001</v>
      </c>
      <c r="AU632" s="68">
        <f t="shared" si="321"/>
        <v>1</v>
      </c>
      <c r="AV632" s="68">
        <f t="shared" si="322"/>
        <v>1</v>
      </c>
      <c r="AW632" s="68">
        <f t="shared" si="323"/>
        <v>1</v>
      </c>
      <c r="AX632" s="68">
        <f t="shared" ca="1" si="324"/>
        <v>-2</v>
      </c>
      <c r="AY632" s="68">
        <v>2022</v>
      </c>
      <c r="AZ632" s="68" t="s">
        <v>13</v>
      </c>
      <c r="BA632" s="106" t="str">
        <f t="shared" si="312"/>
        <v/>
      </c>
      <c r="BB632" s="178"/>
      <c r="BC632" s="178">
        <v>5</v>
      </c>
      <c r="BD632" s="178"/>
      <c r="BE632" s="178"/>
      <c r="BF632" s="178"/>
      <c r="BG632" s="178"/>
      <c r="BH632" s="178"/>
      <c r="BI632" s="33"/>
      <c r="BK632" s="48">
        <f>$G632/5280*VLOOKUP($AC632,'Cost and Score'!$B$27:$O$40,6,0)</f>
        <v>0.10185606060606062</v>
      </c>
      <c r="BL632" s="48">
        <f>$G632/5280*VLOOKUP($AC632,'Cost and Score'!$B$27:$O$40,7,0)</f>
        <v>11.204166666666666</v>
      </c>
      <c r="BM632" s="48">
        <f>$G632/5280*VLOOKUP($AC632,'Cost and Score'!$B$27:$O$40,8,0)</f>
        <v>0</v>
      </c>
      <c r="BN632" s="48">
        <f>$G632/5280*VLOOKUP($AC632,'Cost and Score'!$B$27:$O$40,9,0)</f>
        <v>2291.7613636363635</v>
      </c>
      <c r="BO632" s="48">
        <f>$G632/5280*VLOOKUP($AC632,'Cost and Score'!$B$27:$O$40,10,0)</f>
        <v>509.280303030303</v>
      </c>
      <c r="BP632" s="48">
        <f>$G632/5280*VLOOKUP($AC632,'Cost and Score'!$B$27:$O$40,11,0)</f>
        <v>0</v>
      </c>
      <c r="BQ632" s="48">
        <f>$G632/5280*VLOOKUP($AC632,'Cost and Score'!$B$27:$O$40,12,0)</f>
        <v>50.928030303030305</v>
      </c>
      <c r="BR632" s="48">
        <f>$G632/5280*VLOOKUP($AC632,'Cost and Score'!$B$27:$O$40,13,0)</f>
        <v>61.11363636363636</v>
      </c>
      <c r="BS632" s="48">
        <f>$G632/5280*VLOOKUP($AC632,'Cost and Score'!$B$27:$O$40,14,0)</f>
        <v>0</v>
      </c>
      <c r="BT632" s="220">
        <f t="shared" si="313"/>
        <v>0.50928030303030303</v>
      </c>
    </row>
    <row r="633" spans="1:103" s="2" customFormat="1" ht="14.45" hidden="1" customHeight="1" x14ac:dyDescent="0.25">
      <c r="A633" s="38" t="s">
        <v>1321</v>
      </c>
      <c r="B633" s="34" t="s">
        <v>1320</v>
      </c>
      <c r="C633" s="26" t="s">
        <v>1320</v>
      </c>
      <c r="D633" s="82"/>
      <c r="E633" s="82" t="s">
        <v>99</v>
      </c>
      <c r="F633" s="82" t="s">
        <v>299</v>
      </c>
      <c r="G633" s="29">
        <v>2550</v>
      </c>
      <c r="H633" s="29">
        <f t="shared" si="336"/>
        <v>20</v>
      </c>
      <c r="I633" s="26" t="s">
        <v>13</v>
      </c>
      <c r="J633" s="26" t="s">
        <v>172</v>
      </c>
      <c r="K633" s="26">
        <f t="shared" si="337"/>
        <v>0</v>
      </c>
      <c r="L633" s="42">
        <v>6</v>
      </c>
      <c r="M633" s="42">
        <v>7</v>
      </c>
      <c r="N633" s="42">
        <v>7</v>
      </c>
      <c r="O633" s="83">
        <v>7</v>
      </c>
      <c r="P633" s="83">
        <v>7</v>
      </c>
      <c r="Q633" s="83">
        <v>7</v>
      </c>
      <c r="R633" s="83">
        <v>6</v>
      </c>
      <c r="S633" s="83">
        <v>6</v>
      </c>
      <c r="T633" s="83">
        <v>6</v>
      </c>
      <c r="U633" s="83">
        <v>7</v>
      </c>
      <c r="V633" s="42"/>
      <c r="W633" s="42"/>
      <c r="X633" s="42"/>
      <c r="Y633" s="26">
        <v>50</v>
      </c>
      <c r="Z633" s="26">
        <f t="shared" si="328"/>
        <v>0</v>
      </c>
      <c r="AA633" s="82" t="s">
        <v>297</v>
      </c>
      <c r="AB633" s="111">
        <f t="shared" si="329"/>
        <v>3</v>
      </c>
      <c r="AC633" s="85" t="s">
        <v>13</v>
      </c>
      <c r="AD633" s="84">
        <f t="shared" si="311"/>
        <v>10142.045454545454</v>
      </c>
      <c r="AE633" s="140"/>
      <c r="AF633" s="113">
        <f t="shared" si="326"/>
        <v>0</v>
      </c>
      <c r="AG633" s="26">
        <v>2022</v>
      </c>
      <c r="AH633" s="26" t="str">
        <f t="shared" si="316"/>
        <v>Chip Seal and Fog</v>
      </c>
      <c r="AI633" s="26" t="str">
        <f t="shared" si="332"/>
        <v/>
      </c>
      <c r="AJ633" s="26" t="str">
        <f t="shared" si="334"/>
        <v/>
      </c>
      <c r="AK633" s="26" t="str">
        <f t="shared" si="338"/>
        <v/>
      </c>
      <c r="AL633" s="26" t="str">
        <f t="shared" si="338"/>
        <v/>
      </c>
      <c r="AM633" s="26" t="str">
        <f t="shared" si="338"/>
        <v/>
      </c>
      <c r="AN633" s="26" t="str">
        <f t="shared" si="325"/>
        <v>Chip Seal and Fog</v>
      </c>
      <c r="AO633" s="26" t="str">
        <f t="shared" si="335"/>
        <v/>
      </c>
      <c r="AP633" s="26" t="str">
        <f t="shared" si="318"/>
        <v/>
      </c>
      <c r="AQ633" s="68">
        <f t="shared" si="330"/>
        <v>10</v>
      </c>
      <c r="AR633" s="68">
        <f t="shared" si="331"/>
        <v>6</v>
      </c>
      <c r="AS633" s="68">
        <f t="shared" si="319"/>
        <v>1.1000000000000001</v>
      </c>
      <c r="AT633" s="68">
        <f t="shared" si="320"/>
        <v>1.05</v>
      </c>
      <c r="AU633" s="68">
        <f t="shared" si="321"/>
        <v>1.05</v>
      </c>
      <c r="AV633" s="68">
        <f t="shared" si="322"/>
        <v>1.05</v>
      </c>
      <c r="AW633" s="68">
        <f t="shared" si="323"/>
        <v>1.05</v>
      </c>
      <c r="AX633" s="68">
        <f t="shared" ca="1" si="324"/>
        <v>-2.1</v>
      </c>
      <c r="AY633" s="68"/>
      <c r="AZ633" s="68"/>
      <c r="BA633" s="106" t="str">
        <f t="shared" si="312"/>
        <v/>
      </c>
      <c r="BB633" s="178">
        <v>71</v>
      </c>
      <c r="BC633" s="178">
        <v>7</v>
      </c>
      <c r="BD633" s="178"/>
      <c r="BE633" s="178"/>
      <c r="BF633" s="178"/>
      <c r="BG633" s="178"/>
      <c r="BH633" s="178"/>
      <c r="BI633" s="33"/>
      <c r="BK633" s="48">
        <f>$G633/5280*VLOOKUP($AC633,'Cost and Score'!$B$27:$O$40,6,0)</f>
        <v>9.6590909090909102E-2</v>
      </c>
      <c r="BL633" s="48">
        <f>$G633/5280*VLOOKUP($AC633,'Cost and Score'!$B$27:$O$40,7,0)</f>
        <v>10.625</v>
      </c>
      <c r="BM633" s="48">
        <f>$G633/5280*VLOOKUP($AC633,'Cost and Score'!$B$27:$O$40,8,0)</f>
        <v>0</v>
      </c>
      <c r="BN633" s="48">
        <f>$G633/5280*VLOOKUP($AC633,'Cost and Score'!$B$27:$O$40,9,0)</f>
        <v>2173.2954545454545</v>
      </c>
      <c r="BO633" s="48">
        <f>$G633/5280*VLOOKUP($AC633,'Cost and Score'!$B$27:$O$40,10,0)</f>
        <v>482.9545454545455</v>
      </c>
      <c r="BP633" s="48">
        <f>$G633/5280*VLOOKUP($AC633,'Cost and Score'!$B$27:$O$40,11,0)</f>
        <v>0</v>
      </c>
      <c r="BQ633" s="48">
        <f>$G633/5280*VLOOKUP($AC633,'Cost and Score'!$B$27:$O$40,12,0)</f>
        <v>48.295454545454547</v>
      </c>
      <c r="BR633" s="48">
        <f>$G633/5280*VLOOKUP($AC633,'Cost and Score'!$B$27:$O$40,13,0)</f>
        <v>57.954545454545453</v>
      </c>
      <c r="BS633" s="48">
        <f>$G633/5280*VLOOKUP($AC633,'Cost and Score'!$B$27:$O$40,14,0)</f>
        <v>0</v>
      </c>
      <c r="BT633" s="220">
        <f t="shared" si="313"/>
        <v>0.48295454545454547</v>
      </c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</row>
    <row r="634" spans="1:103" s="2" customFormat="1" ht="14.45" hidden="1" customHeight="1" x14ac:dyDescent="0.25">
      <c r="A634" s="38" t="s">
        <v>1323</v>
      </c>
      <c r="B634" s="34" t="s">
        <v>1322</v>
      </c>
      <c r="C634" s="26" t="s">
        <v>1322</v>
      </c>
      <c r="D634" s="26"/>
      <c r="E634" s="26" t="s">
        <v>99</v>
      </c>
      <c r="F634" s="26" t="s">
        <v>104</v>
      </c>
      <c r="G634" s="29">
        <v>5330</v>
      </c>
      <c r="H634" s="29">
        <f t="shared" si="336"/>
        <v>20</v>
      </c>
      <c r="I634" s="26" t="s">
        <v>13</v>
      </c>
      <c r="J634" s="26" t="s">
        <v>172</v>
      </c>
      <c r="K634" s="26">
        <f t="shared" si="337"/>
        <v>0</v>
      </c>
      <c r="L634" s="42">
        <v>3</v>
      </c>
      <c r="M634" s="42">
        <v>6</v>
      </c>
      <c r="N634" s="42">
        <v>8</v>
      </c>
      <c r="O634" s="42">
        <v>7</v>
      </c>
      <c r="P634" s="42">
        <v>6</v>
      </c>
      <c r="Q634" s="42">
        <v>7</v>
      </c>
      <c r="R634" s="42">
        <v>6</v>
      </c>
      <c r="S634" s="42">
        <v>6</v>
      </c>
      <c r="T634" s="42">
        <v>6</v>
      </c>
      <c r="U634" s="42">
        <v>7</v>
      </c>
      <c r="V634" s="42"/>
      <c r="W634" s="42"/>
      <c r="X634" s="42"/>
      <c r="Y634" s="26">
        <v>50</v>
      </c>
      <c r="Z634" s="26">
        <f t="shared" si="328"/>
        <v>0</v>
      </c>
      <c r="AA634" s="26" t="s">
        <v>297</v>
      </c>
      <c r="AB634" s="111">
        <f t="shared" si="329"/>
        <v>4</v>
      </c>
      <c r="AC634" s="26" t="s">
        <v>13</v>
      </c>
      <c r="AD634" s="47">
        <f t="shared" si="311"/>
        <v>21198.863636363636</v>
      </c>
      <c r="AE634" s="140"/>
      <c r="AF634" s="113">
        <f t="shared" si="326"/>
        <v>0</v>
      </c>
      <c r="AG634" s="26">
        <v>2024</v>
      </c>
      <c r="AH634" s="26" t="str">
        <f t="shared" si="316"/>
        <v/>
      </c>
      <c r="AI634" s="26" t="str">
        <f t="shared" si="332"/>
        <v/>
      </c>
      <c r="AJ634" s="26" t="str">
        <f t="shared" si="334"/>
        <v>Chip Seal and Fog</v>
      </c>
      <c r="AK634" s="26" t="str">
        <f t="shared" si="338"/>
        <v/>
      </c>
      <c r="AL634" s="26" t="str">
        <f t="shared" si="338"/>
        <v/>
      </c>
      <c r="AM634" s="26" t="str">
        <f t="shared" si="338"/>
        <v/>
      </c>
      <c r="AN634" s="26" t="str">
        <f t="shared" si="325"/>
        <v>Chip Seal and Fog</v>
      </c>
      <c r="AO634" s="26" t="str">
        <f t="shared" si="335"/>
        <v/>
      </c>
      <c r="AP634" s="26" t="str">
        <f t="shared" si="318"/>
        <v/>
      </c>
      <c r="AQ634" s="68">
        <f t="shared" si="330"/>
        <v>10</v>
      </c>
      <c r="AR634" s="68">
        <f t="shared" si="331"/>
        <v>6</v>
      </c>
      <c r="AS634" s="68">
        <f t="shared" si="319"/>
        <v>1.75</v>
      </c>
      <c r="AT634" s="68">
        <f t="shared" si="320"/>
        <v>1.1000000000000001</v>
      </c>
      <c r="AU634" s="68">
        <f t="shared" si="321"/>
        <v>1</v>
      </c>
      <c r="AV634" s="68">
        <f t="shared" si="322"/>
        <v>1.05</v>
      </c>
      <c r="AW634" s="68">
        <f t="shared" si="323"/>
        <v>1.1000000000000001</v>
      </c>
      <c r="AX634" s="68">
        <f t="shared" ca="1" si="324"/>
        <v>0</v>
      </c>
      <c r="AY634" s="68">
        <v>2023</v>
      </c>
      <c r="AZ634" s="68" t="s">
        <v>751</v>
      </c>
      <c r="BA634" s="106" t="str">
        <f t="shared" si="312"/>
        <v/>
      </c>
      <c r="BB634" s="178"/>
      <c r="BC634" s="178">
        <v>7</v>
      </c>
      <c r="BD634" s="178"/>
      <c r="BE634" s="178"/>
      <c r="BF634" s="178"/>
      <c r="BG634" s="178"/>
      <c r="BH634" s="178"/>
      <c r="BI634" s="33" t="s">
        <v>2192</v>
      </c>
      <c r="BK634" s="48">
        <f>$G634/5280*VLOOKUP($AC634,'Cost and Score'!$B$27:$O$40,6,0)</f>
        <v>0.2018939393939394</v>
      </c>
      <c r="BL634" s="48">
        <f>$G634/5280*VLOOKUP($AC634,'Cost and Score'!$B$27:$O$40,7,0)</f>
        <v>22.208333333333336</v>
      </c>
      <c r="BM634" s="48">
        <f>$G634/5280*VLOOKUP($AC634,'Cost and Score'!$B$27:$O$40,8,0)</f>
        <v>0</v>
      </c>
      <c r="BN634" s="48">
        <f>$G634/5280*VLOOKUP($AC634,'Cost and Score'!$B$27:$O$40,9,0)</f>
        <v>4542.6136363636369</v>
      </c>
      <c r="BO634" s="48">
        <f>$G634/5280*VLOOKUP($AC634,'Cost and Score'!$B$27:$O$40,10,0)</f>
        <v>1009.469696969697</v>
      </c>
      <c r="BP634" s="48">
        <f>$G634/5280*VLOOKUP($AC634,'Cost and Score'!$B$27:$O$40,11,0)</f>
        <v>0</v>
      </c>
      <c r="BQ634" s="48">
        <f>$G634/5280*VLOOKUP($AC634,'Cost and Score'!$B$27:$O$40,12,0)</f>
        <v>100.9469696969697</v>
      </c>
      <c r="BR634" s="48">
        <f>$G634/5280*VLOOKUP($AC634,'Cost and Score'!$B$27:$O$40,13,0)</f>
        <v>121.13636363636364</v>
      </c>
      <c r="BS634" s="48">
        <f>$G634/5280*VLOOKUP($AC634,'Cost and Score'!$B$27:$O$40,14,0)</f>
        <v>0</v>
      </c>
      <c r="BT634" s="220">
        <f t="shared" si="313"/>
        <v>1.009469696969697</v>
      </c>
    </row>
    <row r="635" spans="1:103" s="2" customFormat="1" ht="14.45" customHeight="1" x14ac:dyDescent="0.25">
      <c r="A635" s="15" t="s">
        <v>273</v>
      </c>
      <c r="B635" s="34" t="s">
        <v>271</v>
      </c>
      <c r="C635" s="26" t="s">
        <v>271</v>
      </c>
      <c r="D635" s="82"/>
      <c r="E635" s="82" t="s">
        <v>272</v>
      </c>
      <c r="F635" s="82" t="s">
        <v>35</v>
      </c>
      <c r="G635" s="29">
        <v>2775</v>
      </c>
      <c r="H635" s="29">
        <f t="shared" si="336"/>
        <v>20</v>
      </c>
      <c r="I635" s="26" t="s">
        <v>8</v>
      </c>
      <c r="J635" s="26" t="s">
        <v>17</v>
      </c>
      <c r="K635" s="26">
        <f t="shared" si="337"/>
        <v>0</v>
      </c>
      <c r="L635" s="42">
        <v>7</v>
      </c>
      <c r="M635" s="42">
        <v>7</v>
      </c>
      <c r="N635" s="42">
        <v>7</v>
      </c>
      <c r="O635" s="83">
        <v>7</v>
      </c>
      <c r="P635" s="83">
        <v>6</v>
      </c>
      <c r="Q635" s="83">
        <v>9</v>
      </c>
      <c r="R635" s="83">
        <v>8</v>
      </c>
      <c r="S635" s="83">
        <v>8</v>
      </c>
      <c r="T635" s="83">
        <v>7</v>
      </c>
      <c r="U635" s="83">
        <v>7</v>
      </c>
      <c r="V635" s="42"/>
      <c r="W635" s="42">
        <v>2019</v>
      </c>
      <c r="X635" s="42" t="s">
        <v>2612</v>
      </c>
      <c r="Y635" s="26">
        <v>1143</v>
      </c>
      <c r="Z635" s="26">
        <f t="shared" si="328"/>
        <v>0.5</v>
      </c>
      <c r="AA635" s="82" t="s">
        <v>52</v>
      </c>
      <c r="AB635" s="111">
        <f t="shared" si="329"/>
        <v>4.5</v>
      </c>
      <c r="AC635" s="85" t="s">
        <v>2073</v>
      </c>
      <c r="AD635" s="84">
        <f t="shared" si="311"/>
        <v>16818.18181818182</v>
      </c>
      <c r="AE635" s="140"/>
      <c r="AF635" s="113">
        <f t="shared" si="326"/>
        <v>0</v>
      </c>
      <c r="AG635" s="26">
        <v>2025</v>
      </c>
      <c r="AH635" s="26" t="str">
        <f t="shared" si="316"/>
        <v/>
      </c>
      <c r="AI635" s="26" t="str">
        <f t="shared" si="332"/>
        <v/>
      </c>
      <c r="AJ635" s="26" t="str">
        <f t="shared" si="334"/>
        <v/>
      </c>
      <c r="AK635" s="26" t="str">
        <f t="shared" si="338"/>
        <v>Chip Seal - Double and Fog</v>
      </c>
      <c r="AL635" s="26" t="str">
        <f t="shared" si="338"/>
        <v/>
      </c>
      <c r="AM635" s="26" t="str">
        <f t="shared" si="338"/>
        <v/>
      </c>
      <c r="AN635" s="26" t="str">
        <f t="shared" si="325"/>
        <v>Chip Seal - Double and Fog</v>
      </c>
      <c r="AO635" s="26" t="str">
        <f t="shared" si="335"/>
        <v/>
      </c>
      <c r="AP635" s="26" t="str">
        <f t="shared" si="318"/>
        <v/>
      </c>
      <c r="AQ635" s="68">
        <f t="shared" si="330"/>
        <v>10</v>
      </c>
      <c r="AR635" s="68">
        <f t="shared" si="331"/>
        <v>6</v>
      </c>
      <c r="AS635" s="68">
        <f t="shared" si="319"/>
        <v>1.05</v>
      </c>
      <c r="AT635" s="68">
        <f t="shared" si="320"/>
        <v>1.05</v>
      </c>
      <c r="AU635" s="68">
        <f t="shared" si="321"/>
        <v>1.05</v>
      </c>
      <c r="AV635" s="68">
        <f t="shared" si="322"/>
        <v>1.05</v>
      </c>
      <c r="AW635" s="68">
        <f t="shared" si="323"/>
        <v>1.1000000000000001</v>
      </c>
      <c r="AX635" s="68">
        <f t="shared" ca="1" si="324"/>
        <v>1.05</v>
      </c>
      <c r="AY635" s="106">
        <v>2018</v>
      </c>
      <c r="AZ635" s="106" t="s">
        <v>13</v>
      </c>
      <c r="BA635" s="106" t="str">
        <f t="shared" si="312"/>
        <v>CS</v>
      </c>
      <c r="BB635" s="177"/>
      <c r="BC635" s="177">
        <v>5</v>
      </c>
      <c r="BD635" s="177"/>
      <c r="BE635" s="177"/>
      <c r="BF635" s="177"/>
      <c r="BG635" s="177"/>
      <c r="BH635" s="177"/>
      <c r="BI635" s="33"/>
      <c r="BK635" s="48">
        <f>$G635/5280*VLOOKUP($AC635,'Cost and Score'!$B$27:$O$40,6,0)</f>
        <v>0.26278409090909088</v>
      </c>
      <c r="BL635" s="48">
        <f>$G635/5280*VLOOKUP($AC635,'Cost and Score'!$B$27:$O$40,7,0)</f>
        <v>26.27840909090909</v>
      </c>
      <c r="BM635" s="48">
        <f>$G635/5280*VLOOKUP($AC635,'Cost and Score'!$B$27:$O$40,8,0)</f>
        <v>0</v>
      </c>
      <c r="BN635" s="48">
        <f>$G635/5280*VLOOKUP($AC635,'Cost and Score'!$B$27:$O$40,9,0)</f>
        <v>4992.897727272727</v>
      </c>
      <c r="BO635" s="48">
        <f>$G635/5280*VLOOKUP($AC635,'Cost and Score'!$B$27:$O$40,10,0)</f>
        <v>525.56818181818176</v>
      </c>
      <c r="BP635" s="48">
        <f>$G635/5280*VLOOKUP($AC635,'Cost and Score'!$B$27:$O$40,11,0)</f>
        <v>0</v>
      </c>
      <c r="BQ635" s="48">
        <f>$G635/5280*VLOOKUP($AC635,'Cost and Score'!$B$27:$O$40,12,0)</f>
        <v>105.11363636363636</v>
      </c>
      <c r="BR635" s="48">
        <f>$G635/5280*VLOOKUP($AC635,'Cost and Score'!$B$27:$O$40,13,0)</f>
        <v>94.60227272727272</v>
      </c>
      <c r="BS635" s="48">
        <f>$G635/5280*VLOOKUP($AC635,'Cost and Score'!$B$27:$O$40,14,0)</f>
        <v>126.13636363636363</v>
      </c>
      <c r="BT635" s="220">
        <f t="shared" si="313"/>
        <v>0.52556818181818177</v>
      </c>
    </row>
    <row r="636" spans="1:103" s="2" customFormat="1" ht="14.45" hidden="1" customHeight="1" x14ac:dyDescent="0.25">
      <c r="A636" s="38" t="s">
        <v>1327</v>
      </c>
      <c r="B636" s="34" t="s">
        <v>1326</v>
      </c>
      <c r="C636" s="26" t="s">
        <v>1326</v>
      </c>
      <c r="D636" s="82"/>
      <c r="E636" s="82" t="s">
        <v>785</v>
      </c>
      <c r="F636" s="82" t="s">
        <v>107</v>
      </c>
      <c r="G636" s="29">
        <v>2555</v>
      </c>
      <c r="H636" s="29">
        <f t="shared" si="336"/>
        <v>20</v>
      </c>
      <c r="I636" s="26" t="s">
        <v>62</v>
      </c>
      <c r="J636" s="26" t="s">
        <v>172</v>
      </c>
      <c r="K636" s="26">
        <f t="shared" si="337"/>
        <v>0</v>
      </c>
      <c r="L636" s="42">
        <v>4</v>
      </c>
      <c r="M636" s="42">
        <v>7</v>
      </c>
      <c r="N636" s="42">
        <v>7</v>
      </c>
      <c r="O636" s="83">
        <v>7</v>
      </c>
      <c r="P636" s="83">
        <v>6</v>
      </c>
      <c r="Q636" s="83">
        <v>8</v>
      </c>
      <c r="R636" s="83">
        <v>8</v>
      </c>
      <c r="S636" s="83">
        <v>8</v>
      </c>
      <c r="T636" s="83">
        <v>8</v>
      </c>
      <c r="U636" s="83">
        <v>8</v>
      </c>
      <c r="V636" s="42"/>
      <c r="W636" s="42"/>
      <c r="X636" s="42"/>
      <c r="Y636" s="26">
        <v>50</v>
      </c>
      <c r="Z636" s="26">
        <f t="shared" si="328"/>
        <v>0</v>
      </c>
      <c r="AA636" s="82" t="s">
        <v>297</v>
      </c>
      <c r="AB636" s="111">
        <f t="shared" si="329"/>
        <v>4</v>
      </c>
      <c r="AC636" s="85" t="s">
        <v>13</v>
      </c>
      <c r="AD636" s="84">
        <f t="shared" si="311"/>
        <v>10161.931818181818</v>
      </c>
      <c r="AE636" s="140"/>
      <c r="AF636" s="113">
        <f t="shared" si="326"/>
        <v>0</v>
      </c>
      <c r="AG636" s="26">
        <v>2024</v>
      </c>
      <c r="AH636" s="26" t="str">
        <f t="shared" si="316"/>
        <v/>
      </c>
      <c r="AI636" s="26" t="str">
        <f t="shared" si="332"/>
        <v/>
      </c>
      <c r="AJ636" s="26" t="str">
        <f t="shared" si="334"/>
        <v>Chip Seal and Fog</v>
      </c>
      <c r="AK636" s="26" t="str">
        <f t="shared" si="338"/>
        <v/>
      </c>
      <c r="AL636" s="26" t="str">
        <f t="shared" si="338"/>
        <v/>
      </c>
      <c r="AM636" s="26" t="str">
        <f t="shared" si="338"/>
        <v/>
      </c>
      <c r="AN636" s="26" t="str">
        <f t="shared" si="325"/>
        <v>Chip Seal and Fog</v>
      </c>
      <c r="AO636" s="26" t="str">
        <f t="shared" si="335"/>
        <v/>
      </c>
      <c r="AP636" s="26" t="str">
        <f t="shared" si="318"/>
        <v/>
      </c>
      <c r="AQ636" s="68">
        <f t="shared" si="330"/>
        <v>10</v>
      </c>
      <c r="AR636" s="68">
        <f t="shared" si="331"/>
        <v>6</v>
      </c>
      <c r="AS636" s="68">
        <f t="shared" si="319"/>
        <v>1.5</v>
      </c>
      <c r="AT636" s="68">
        <f t="shared" si="320"/>
        <v>1.05</v>
      </c>
      <c r="AU636" s="68">
        <f t="shared" si="321"/>
        <v>1.05</v>
      </c>
      <c r="AV636" s="68">
        <f t="shared" si="322"/>
        <v>1.05</v>
      </c>
      <c r="AW636" s="68">
        <f t="shared" si="323"/>
        <v>1.1000000000000001</v>
      </c>
      <c r="AX636" s="68">
        <f t="shared" ca="1" si="324"/>
        <v>0</v>
      </c>
      <c r="AY636" s="68"/>
      <c r="AZ636" s="68"/>
      <c r="BA636" s="106" t="str">
        <f t="shared" si="312"/>
        <v/>
      </c>
      <c r="BB636" s="178">
        <v>70</v>
      </c>
      <c r="BC636" s="178"/>
      <c r="BD636" s="178"/>
      <c r="BE636" s="178"/>
      <c r="BF636" s="178"/>
      <c r="BG636" s="178"/>
      <c r="BH636" s="178"/>
      <c r="BI636" s="33"/>
      <c r="BK636" s="48">
        <f>$G636/5280*VLOOKUP($AC636,'Cost and Score'!$B$27:$O$40,6,0)</f>
        <v>9.6780303030303036E-2</v>
      </c>
      <c r="BL636" s="48">
        <f>$G636/5280*VLOOKUP($AC636,'Cost and Score'!$B$27:$O$40,7,0)</f>
        <v>10.645833333333332</v>
      </c>
      <c r="BM636" s="48">
        <f>$G636/5280*VLOOKUP($AC636,'Cost and Score'!$B$27:$O$40,8,0)</f>
        <v>0</v>
      </c>
      <c r="BN636" s="48">
        <f>$G636/5280*VLOOKUP($AC636,'Cost and Score'!$B$27:$O$40,9,0)</f>
        <v>2177.556818181818</v>
      </c>
      <c r="BO636" s="48">
        <f>$G636/5280*VLOOKUP($AC636,'Cost and Score'!$B$27:$O$40,10,0)</f>
        <v>483.90151515151513</v>
      </c>
      <c r="BP636" s="48">
        <f>$G636/5280*VLOOKUP($AC636,'Cost and Score'!$B$27:$O$40,11,0)</f>
        <v>0</v>
      </c>
      <c r="BQ636" s="48">
        <f>$G636/5280*VLOOKUP($AC636,'Cost and Score'!$B$27:$O$40,12,0)</f>
        <v>48.390151515151516</v>
      </c>
      <c r="BR636" s="48">
        <f>$G636/5280*VLOOKUP($AC636,'Cost and Score'!$B$27:$O$40,13,0)</f>
        <v>58.068181818181813</v>
      </c>
      <c r="BS636" s="48">
        <f>$G636/5280*VLOOKUP($AC636,'Cost and Score'!$B$27:$O$40,14,0)</f>
        <v>0</v>
      </c>
      <c r="BT636" s="220">
        <f t="shared" si="313"/>
        <v>0.48390151515151514</v>
      </c>
    </row>
    <row r="637" spans="1:103" s="2" customFormat="1" ht="14.45" customHeight="1" x14ac:dyDescent="0.25">
      <c r="A637" s="15" t="s">
        <v>710</v>
      </c>
      <c r="B637" s="34" t="s">
        <v>709</v>
      </c>
      <c r="C637" s="26" t="s">
        <v>709</v>
      </c>
      <c r="D637" s="82"/>
      <c r="E637" s="82" t="s">
        <v>116</v>
      </c>
      <c r="F637" s="82" t="s">
        <v>121</v>
      </c>
      <c r="G637" s="29">
        <v>5280</v>
      </c>
      <c r="H637" s="29">
        <f t="shared" si="336"/>
        <v>20</v>
      </c>
      <c r="I637" s="26" t="s">
        <v>13</v>
      </c>
      <c r="J637" s="26" t="s">
        <v>6</v>
      </c>
      <c r="K637" s="26">
        <f t="shared" si="337"/>
        <v>0</v>
      </c>
      <c r="L637" s="42">
        <v>8</v>
      </c>
      <c r="M637" s="42">
        <v>7</v>
      </c>
      <c r="N637" s="42">
        <v>7</v>
      </c>
      <c r="O637" s="83">
        <v>7</v>
      </c>
      <c r="P637" s="83">
        <v>7</v>
      </c>
      <c r="Q637" s="83">
        <v>7</v>
      </c>
      <c r="R637" s="83">
        <v>7</v>
      </c>
      <c r="S637" s="83">
        <v>7</v>
      </c>
      <c r="T637" s="83">
        <v>7</v>
      </c>
      <c r="U637" s="83">
        <v>7</v>
      </c>
      <c r="V637" s="42"/>
      <c r="W637" s="42"/>
      <c r="X637" s="42"/>
      <c r="Y637" s="26">
        <v>721</v>
      </c>
      <c r="Z637" s="26">
        <f t="shared" si="328"/>
        <v>0.5</v>
      </c>
      <c r="AA637" s="82" t="s">
        <v>107</v>
      </c>
      <c r="AB637" s="111">
        <f t="shared" si="329"/>
        <v>3.5</v>
      </c>
      <c r="AC637" s="85" t="s">
        <v>2073</v>
      </c>
      <c r="AD637" s="84">
        <f t="shared" ref="AD637:AD700" si="339">VLOOKUP(AC637,Cost,2,FALSE)*G637/5280</f>
        <v>32000</v>
      </c>
      <c r="AE637" s="140"/>
      <c r="AF637" s="113">
        <f t="shared" si="326"/>
        <v>0</v>
      </c>
      <c r="AG637" s="82">
        <v>2025</v>
      </c>
      <c r="AH637" s="26" t="str">
        <f t="shared" si="316"/>
        <v/>
      </c>
      <c r="AI637" s="26" t="str">
        <f t="shared" si="332"/>
        <v/>
      </c>
      <c r="AJ637" s="26" t="str">
        <f t="shared" si="334"/>
        <v/>
      </c>
      <c r="AK637" s="26" t="str">
        <f t="shared" si="338"/>
        <v>Chip Seal - Double and Fog</v>
      </c>
      <c r="AL637" s="26" t="str">
        <f t="shared" si="338"/>
        <v/>
      </c>
      <c r="AM637" s="26" t="str">
        <f t="shared" si="338"/>
        <v/>
      </c>
      <c r="AN637" s="26" t="str">
        <f t="shared" si="325"/>
        <v>Chip Seal - Double and Fog</v>
      </c>
      <c r="AO637" s="26" t="str">
        <f t="shared" si="335"/>
        <v/>
      </c>
      <c r="AP637" s="26" t="str">
        <f t="shared" si="318"/>
        <v/>
      </c>
      <c r="AQ637" s="68">
        <f t="shared" si="330"/>
        <v>10</v>
      </c>
      <c r="AR637" s="68">
        <f t="shared" si="331"/>
        <v>6</v>
      </c>
      <c r="AS637" s="68">
        <f t="shared" si="319"/>
        <v>1</v>
      </c>
      <c r="AT637" s="68">
        <f t="shared" si="320"/>
        <v>1.05</v>
      </c>
      <c r="AU637" s="68">
        <f t="shared" si="321"/>
        <v>1.05</v>
      </c>
      <c r="AV637" s="68">
        <f t="shared" si="322"/>
        <v>1.05</v>
      </c>
      <c r="AW637" s="68">
        <f t="shared" si="323"/>
        <v>1.05</v>
      </c>
      <c r="AX637" s="68">
        <f t="shared" ca="1" si="324"/>
        <v>1.05</v>
      </c>
      <c r="AY637" s="68">
        <v>2018</v>
      </c>
      <c r="AZ637" s="68" t="s">
        <v>13</v>
      </c>
      <c r="BA637" s="106" t="str">
        <f t="shared" si="312"/>
        <v>CS</v>
      </c>
      <c r="BB637" s="178"/>
      <c r="BC637" s="178">
        <v>8</v>
      </c>
      <c r="BD637" s="178"/>
      <c r="BE637" s="178"/>
      <c r="BF637" s="178"/>
      <c r="BG637" s="178"/>
      <c r="BH637" s="178"/>
      <c r="BI637" s="33"/>
      <c r="BK637" s="48">
        <f>$G637/5280*VLOOKUP($AC637,'Cost and Score'!$B$27:$O$40,6,0)</f>
        <v>0.5</v>
      </c>
      <c r="BL637" s="48">
        <f>$G637/5280*VLOOKUP($AC637,'Cost and Score'!$B$27:$O$40,7,0)</f>
        <v>50</v>
      </c>
      <c r="BM637" s="48">
        <f>$G637/5280*VLOOKUP($AC637,'Cost and Score'!$B$27:$O$40,8,0)</f>
        <v>0</v>
      </c>
      <c r="BN637" s="48">
        <f>$G637/5280*VLOOKUP($AC637,'Cost and Score'!$B$27:$O$40,9,0)</f>
        <v>9500</v>
      </c>
      <c r="BO637" s="48">
        <f>$G637/5280*VLOOKUP($AC637,'Cost and Score'!$B$27:$O$40,10,0)</f>
        <v>1000</v>
      </c>
      <c r="BP637" s="48">
        <f>$G637/5280*VLOOKUP($AC637,'Cost and Score'!$B$27:$O$40,11,0)</f>
        <v>0</v>
      </c>
      <c r="BQ637" s="48">
        <f>$G637/5280*VLOOKUP($AC637,'Cost and Score'!$B$27:$O$40,12,0)</f>
        <v>200</v>
      </c>
      <c r="BR637" s="48">
        <f>$G637/5280*VLOOKUP($AC637,'Cost and Score'!$B$27:$O$40,13,0)</f>
        <v>180</v>
      </c>
      <c r="BS637" s="48">
        <f>$G637/5280*VLOOKUP($AC637,'Cost and Score'!$B$27:$O$40,14,0)</f>
        <v>240</v>
      </c>
      <c r="BT637" s="220">
        <f t="shared" si="313"/>
        <v>1</v>
      </c>
    </row>
    <row r="638" spans="1:103" s="2" customFormat="1" ht="14.45" hidden="1" customHeight="1" x14ac:dyDescent="0.25">
      <c r="A638" s="38" t="s">
        <v>1331</v>
      </c>
      <c r="B638" s="34" t="s">
        <v>1330</v>
      </c>
      <c r="C638" s="26" t="s">
        <v>1330</v>
      </c>
      <c r="D638" s="26"/>
      <c r="E638" s="26" t="s">
        <v>25</v>
      </c>
      <c r="F638" s="26" t="s">
        <v>28</v>
      </c>
      <c r="G638" s="29">
        <v>5325</v>
      </c>
      <c r="H638" s="29">
        <f t="shared" si="336"/>
        <v>20</v>
      </c>
      <c r="I638" s="26" t="s">
        <v>13</v>
      </c>
      <c r="J638" s="26" t="s">
        <v>26</v>
      </c>
      <c r="K638" s="26">
        <f t="shared" si="337"/>
        <v>0</v>
      </c>
      <c r="L638" s="42">
        <v>4</v>
      </c>
      <c r="M638" s="42">
        <v>4</v>
      </c>
      <c r="N638" s="42">
        <v>10</v>
      </c>
      <c r="O638" s="42">
        <v>9</v>
      </c>
      <c r="P638" s="42">
        <v>8</v>
      </c>
      <c r="Q638" s="42">
        <v>8</v>
      </c>
      <c r="R638" s="42">
        <v>8</v>
      </c>
      <c r="S638" s="42">
        <v>7</v>
      </c>
      <c r="T638" s="42">
        <v>7</v>
      </c>
      <c r="U638" s="42">
        <v>8</v>
      </c>
      <c r="V638" s="42"/>
      <c r="W638" s="42"/>
      <c r="X638" s="42"/>
      <c r="Y638" s="26">
        <v>50</v>
      </c>
      <c r="Z638" s="26">
        <f t="shared" si="328"/>
        <v>0</v>
      </c>
      <c r="AA638" s="26" t="s">
        <v>297</v>
      </c>
      <c r="AB638" s="111">
        <f t="shared" si="329"/>
        <v>2</v>
      </c>
      <c r="AC638" s="26" t="s">
        <v>2073</v>
      </c>
      <c r="AD638" s="47">
        <f t="shared" si="339"/>
        <v>32272.727272727272</v>
      </c>
      <c r="AE638" s="140">
        <v>1</v>
      </c>
      <c r="AF638" s="113">
        <f t="shared" si="326"/>
        <v>32272.727272727272</v>
      </c>
      <c r="AG638" s="26">
        <v>2023</v>
      </c>
      <c r="AH638" s="26" t="str">
        <f t="shared" si="316"/>
        <v/>
      </c>
      <c r="AI638" s="26" t="str">
        <f t="shared" si="332"/>
        <v>Chip Seal - Double and Fog</v>
      </c>
      <c r="AJ638" s="26" t="str">
        <f t="shared" si="334"/>
        <v/>
      </c>
      <c r="AK638" s="26" t="str">
        <f t="shared" si="338"/>
        <v/>
      </c>
      <c r="AL638" s="26" t="str">
        <f t="shared" si="338"/>
        <v/>
      </c>
      <c r="AM638" s="26" t="str">
        <f t="shared" si="338"/>
        <v/>
      </c>
      <c r="AN638" s="26" t="str">
        <f t="shared" si="325"/>
        <v>Chip Seal - Double and Fog</v>
      </c>
      <c r="AO638" s="26" t="str">
        <f t="shared" si="335"/>
        <v/>
      </c>
      <c r="AP638" s="26" t="str">
        <f t="shared" si="318"/>
        <v/>
      </c>
      <c r="AQ638" s="68">
        <f t="shared" si="330"/>
        <v>14</v>
      </c>
      <c r="AR638" s="68">
        <f t="shared" si="331"/>
        <v>6</v>
      </c>
      <c r="AS638" s="68">
        <f t="shared" si="319"/>
        <v>1.5</v>
      </c>
      <c r="AT638" s="68">
        <f t="shared" si="320"/>
        <v>1.5</v>
      </c>
      <c r="AU638" s="68">
        <f t="shared" si="321"/>
        <v>1</v>
      </c>
      <c r="AV638" s="68">
        <f t="shared" si="322"/>
        <v>1</v>
      </c>
      <c r="AW638" s="68">
        <f t="shared" si="323"/>
        <v>1</v>
      </c>
      <c r="AX638" s="68">
        <f t="shared" ca="1" si="324"/>
        <v>-1</v>
      </c>
      <c r="AY638" s="68">
        <v>2023</v>
      </c>
      <c r="AZ638" s="68" t="s">
        <v>2073</v>
      </c>
      <c r="BA638" s="106" t="str">
        <f t="shared" si="312"/>
        <v/>
      </c>
      <c r="BB638" s="178"/>
      <c r="BC638" s="178">
        <v>5</v>
      </c>
      <c r="BD638" s="178"/>
      <c r="BE638" s="178"/>
      <c r="BF638" s="178"/>
      <c r="BG638" s="178"/>
      <c r="BH638" s="178"/>
      <c r="BI638" s="33" t="s">
        <v>2192</v>
      </c>
      <c r="BK638" s="48">
        <f>$G638/5280*VLOOKUP($AC638,'Cost and Score'!$B$27:$O$40,6,0)</f>
        <v>0.50426136363636365</v>
      </c>
      <c r="BL638" s="48">
        <f>$G638/5280*VLOOKUP($AC638,'Cost and Score'!$B$27:$O$40,7,0)</f>
        <v>50.426136363636367</v>
      </c>
      <c r="BM638" s="48">
        <f>$G638/5280*VLOOKUP($AC638,'Cost and Score'!$B$27:$O$40,8,0)</f>
        <v>0</v>
      </c>
      <c r="BN638" s="48">
        <f>$G638/5280*VLOOKUP($AC638,'Cost and Score'!$B$27:$O$40,9,0)</f>
        <v>9580.9659090909099</v>
      </c>
      <c r="BO638" s="48">
        <f>$G638/5280*VLOOKUP($AC638,'Cost and Score'!$B$27:$O$40,10,0)</f>
        <v>1008.5227272727273</v>
      </c>
      <c r="BP638" s="48">
        <f>$G638/5280*VLOOKUP($AC638,'Cost and Score'!$B$27:$O$40,11,0)</f>
        <v>0</v>
      </c>
      <c r="BQ638" s="48">
        <f>$G638/5280*VLOOKUP($AC638,'Cost and Score'!$B$27:$O$40,12,0)</f>
        <v>201.70454545454547</v>
      </c>
      <c r="BR638" s="48">
        <f>$G638/5280*VLOOKUP($AC638,'Cost and Score'!$B$27:$O$40,13,0)</f>
        <v>181.53409090909091</v>
      </c>
      <c r="BS638" s="48">
        <f>$G638/5280*VLOOKUP($AC638,'Cost and Score'!$B$27:$O$40,14,0)</f>
        <v>242.04545454545456</v>
      </c>
      <c r="BT638" s="220">
        <f t="shared" si="313"/>
        <v>1.0085227272727273</v>
      </c>
    </row>
    <row r="639" spans="1:103" s="2" customFormat="1" ht="14.45" hidden="1" customHeight="1" x14ac:dyDescent="0.25">
      <c r="A639" s="38" t="s">
        <v>1333</v>
      </c>
      <c r="B639" s="34" t="s">
        <v>1332</v>
      </c>
      <c r="C639" s="26" t="s">
        <v>1332</v>
      </c>
      <c r="D639" s="26"/>
      <c r="E639" s="26" t="s">
        <v>817</v>
      </c>
      <c r="F639" s="26" t="s">
        <v>110</v>
      </c>
      <c r="G639" s="29">
        <v>2650</v>
      </c>
      <c r="H639" s="29">
        <f t="shared" si="336"/>
        <v>20</v>
      </c>
      <c r="I639" s="106" t="s">
        <v>751</v>
      </c>
      <c r="J639" s="26" t="s">
        <v>172</v>
      </c>
      <c r="K639" s="26">
        <f t="shared" si="337"/>
        <v>0</v>
      </c>
      <c r="L639" s="42">
        <v>3</v>
      </c>
      <c r="M639" s="42">
        <v>4</v>
      </c>
      <c r="N639" s="42">
        <v>10</v>
      </c>
      <c r="O639" s="42">
        <v>9</v>
      </c>
      <c r="P639" s="42">
        <v>9</v>
      </c>
      <c r="Q639" s="42">
        <v>8</v>
      </c>
      <c r="R639" s="42">
        <v>8</v>
      </c>
      <c r="S639" s="42">
        <v>8</v>
      </c>
      <c r="T639" s="42">
        <v>8</v>
      </c>
      <c r="U639" s="42">
        <v>8</v>
      </c>
      <c r="V639" s="42"/>
      <c r="W639" s="42"/>
      <c r="X639" s="42"/>
      <c r="Y639" s="26">
        <v>50</v>
      </c>
      <c r="Z639" s="26">
        <f t="shared" si="328"/>
        <v>0</v>
      </c>
      <c r="AA639" s="26" t="s">
        <v>297</v>
      </c>
      <c r="AB639" s="111">
        <f t="shared" si="329"/>
        <v>1</v>
      </c>
      <c r="AC639" s="85" t="s">
        <v>13</v>
      </c>
      <c r="AD639" s="47">
        <f t="shared" si="339"/>
        <v>10539.772727272728</v>
      </c>
      <c r="AE639" s="140"/>
      <c r="AF639" s="113">
        <f t="shared" si="326"/>
        <v>0</v>
      </c>
      <c r="AG639" s="26">
        <v>2026</v>
      </c>
      <c r="AH639" s="26" t="str">
        <f t="shared" si="316"/>
        <v/>
      </c>
      <c r="AI639" s="26" t="str">
        <f t="shared" si="332"/>
        <v/>
      </c>
      <c r="AJ639" s="26" t="str">
        <f t="shared" si="334"/>
        <v/>
      </c>
      <c r="AK639" s="26" t="str">
        <f t="shared" si="338"/>
        <v/>
      </c>
      <c r="AL639" s="26" t="str">
        <f t="shared" si="338"/>
        <v>Chip Seal and Fog</v>
      </c>
      <c r="AM639" s="26" t="str">
        <f t="shared" si="338"/>
        <v/>
      </c>
      <c r="AN639" s="26" t="str">
        <f t="shared" si="325"/>
        <v>Chip Seal and Fog</v>
      </c>
      <c r="AO639" s="26" t="str">
        <f t="shared" si="335"/>
        <v/>
      </c>
      <c r="AP639" s="26" t="str">
        <f t="shared" si="318"/>
        <v>Overlay - 2"</v>
      </c>
      <c r="AQ639" s="68">
        <f t="shared" si="330"/>
        <v>14</v>
      </c>
      <c r="AR639" s="68">
        <f t="shared" si="331"/>
        <v>6</v>
      </c>
      <c r="AS639" s="68">
        <f t="shared" si="319"/>
        <v>1.75</v>
      </c>
      <c r="AT639" s="68">
        <f t="shared" si="320"/>
        <v>1.5</v>
      </c>
      <c r="AU639" s="68">
        <f t="shared" si="321"/>
        <v>1</v>
      </c>
      <c r="AV639" s="68">
        <f t="shared" si="322"/>
        <v>1</v>
      </c>
      <c r="AW639" s="68">
        <f t="shared" si="323"/>
        <v>1</v>
      </c>
      <c r="AX639" s="68">
        <f t="shared" ca="1" si="324"/>
        <v>2</v>
      </c>
      <c r="AY639" s="68">
        <v>2022</v>
      </c>
      <c r="AZ639" s="68" t="s">
        <v>751</v>
      </c>
      <c r="BA639" s="106" t="str">
        <f t="shared" si="312"/>
        <v/>
      </c>
      <c r="BB639" s="178"/>
      <c r="BC639" s="178">
        <v>7</v>
      </c>
      <c r="BD639" s="178"/>
      <c r="BE639" s="178"/>
      <c r="BF639" s="178"/>
      <c r="BG639" s="178"/>
      <c r="BH639" s="178"/>
      <c r="BI639" s="33" t="s">
        <v>2192</v>
      </c>
      <c r="BK639" s="48">
        <f>$G639/5280*VLOOKUP($AC639,'Cost and Score'!$B$27:$O$40,6,0)</f>
        <v>0.1003787878787879</v>
      </c>
      <c r="BL639" s="48">
        <f>$G639/5280*VLOOKUP($AC639,'Cost and Score'!$B$27:$O$40,7,0)</f>
        <v>11.041666666666668</v>
      </c>
      <c r="BM639" s="48">
        <f>$G639/5280*VLOOKUP($AC639,'Cost and Score'!$B$27:$O$40,8,0)</f>
        <v>0</v>
      </c>
      <c r="BN639" s="48">
        <f>$G639/5280*VLOOKUP($AC639,'Cost and Score'!$B$27:$O$40,9,0)</f>
        <v>2258.5227272727275</v>
      </c>
      <c r="BO639" s="48">
        <f>$G639/5280*VLOOKUP($AC639,'Cost and Score'!$B$27:$O$40,10,0)</f>
        <v>501.89393939393943</v>
      </c>
      <c r="BP639" s="48">
        <f>$G639/5280*VLOOKUP($AC639,'Cost and Score'!$B$27:$O$40,11,0)</f>
        <v>0</v>
      </c>
      <c r="BQ639" s="48">
        <f>$G639/5280*VLOOKUP($AC639,'Cost and Score'!$B$27:$O$40,12,0)</f>
        <v>50.189393939393945</v>
      </c>
      <c r="BR639" s="48">
        <f>$G639/5280*VLOOKUP($AC639,'Cost and Score'!$B$27:$O$40,13,0)</f>
        <v>60.227272727272734</v>
      </c>
      <c r="BS639" s="48">
        <f>$G639/5280*VLOOKUP($AC639,'Cost and Score'!$B$27:$O$40,14,0)</f>
        <v>0</v>
      </c>
      <c r="BT639" s="220">
        <f t="shared" si="313"/>
        <v>0.50189393939393945</v>
      </c>
    </row>
    <row r="640" spans="1:103" s="2" customFormat="1" ht="14.45" hidden="1" customHeight="1" x14ac:dyDescent="0.25">
      <c r="A640" s="38" t="s">
        <v>1335</v>
      </c>
      <c r="B640" s="34" t="s">
        <v>1334</v>
      </c>
      <c r="C640" s="26" t="s">
        <v>1334</v>
      </c>
      <c r="D640" s="82"/>
      <c r="E640" s="82" t="s">
        <v>210</v>
      </c>
      <c r="F640" s="82" t="s">
        <v>817</v>
      </c>
      <c r="G640" s="29">
        <v>2640</v>
      </c>
      <c r="H640" s="29">
        <f t="shared" si="336"/>
        <v>20</v>
      </c>
      <c r="I640" s="26" t="s">
        <v>13</v>
      </c>
      <c r="J640" s="26" t="s">
        <v>172</v>
      </c>
      <c r="K640" s="26">
        <f t="shared" si="337"/>
        <v>0</v>
      </c>
      <c r="L640" s="42">
        <v>4</v>
      </c>
      <c r="M640" s="42">
        <v>7</v>
      </c>
      <c r="N640" s="42">
        <v>6</v>
      </c>
      <c r="O640" s="83">
        <v>6</v>
      </c>
      <c r="P640" s="83">
        <v>5</v>
      </c>
      <c r="Q640" s="83">
        <v>7</v>
      </c>
      <c r="R640" s="83">
        <v>7</v>
      </c>
      <c r="S640" s="83">
        <v>6</v>
      </c>
      <c r="T640" s="83">
        <v>6</v>
      </c>
      <c r="U640" s="83">
        <v>8</v>
      </c>
      <c r="V640" s="42"/>
      <c r="W640" s="42"/>
      <c r="X640" s="42"/>
      <c r="Y640" s="26">
        <v>50</v>
      </c>
      <c r="Z640" s="26">
        <f t="shared" si="328"/>
        <v>0</v>
      </c>
      <c r="AA640" s="82" t="s">
        <v>297</v>
      </c>
      <c r="AB640" s="111">
        <f t="shared" si="329"/>
        <v>5</v>
      </c>
      <c r="AC640" s="85" t="s">
        <v>13</v>
      </c>
      <c r="AD640" s="84">
        <f t="shared" si="339"/>
        <v>10500</v>
      </c>
      <c r="AE640" s="140"/>
      <c r="AF640" s="113">
        <f t="shared" si="326"/>
        <v>0</v>
      </c>
      <c r="AG640" s="85">
        <v>2026</v>
      </c>
      <c r="AH640" s="26" t="str">
        <f t="shared" si="316"/>
        <v/>
      </c>
      <c r="AI640" s="26" t="str">
        <f t="shared" si="332"/>
        <v/>
      </c>
      <c r="AJ640" s="26" t="str">
        <f t="shared" si="334"/>
        <v/>
      </c>
      <c r="AK640" s="26" t="str">
        <f t="shared" si="338"/>
        <v/>
      </c>
      <c r="AL640" s="26" t="str">
        <f t="shared" si="338"/>
        <v>Chip Seal and Fog</v>
      </c>
      <c r="AM640" s="26" t="str">
        <f t="shared" si="338"/>
        <v/>
      </c>
      <c r="AN640" s="26" t="str">
        <f t="shared" si="325"/>
        <v>Chip Seal and Fog</v>
      </c>
      <c r="AO640" s="26" t="str">
        <f t="shared" si="335"/>
        <v/>
      </c>
      <c r="AP640" s="26" t="str">
        <f t="shared" si="318"/>
        <v/>
      </c>
      <c r="AQ640" s="68">
        <f t="shared" si="330"/>
        <v>8</v>
      </c>
      <c r="AR640" s="68">
        <f t="shared" si="331"/>
        <v>6</v>
      </c>
      <c r="AS640" s="68">
        <f t="shared" si="319"/>
        <v>1.5</v>
      </c>
      <c r="AT640" s="68">
        <f t="shared" si="320"/>
        <v>1.05</v>
      </c>
      <c r="AU640" s="68">
        <f t="shared" si="321"/>
        <v>1.1000000000000001</v>
      </c>
      <c r="AV640" s="68">
        <f t="shared" si="322"/>
        <v>1.1000000000000001</v>
      </c>
      <c r="AW640" s="68">
        <f t="shared" si="323"/>
        <v>1.25</v>
      </c>
      <c r="AX640" s="68">
        <f t="shared" ca="1" si="324"/>
        <v>2.2000000000000002</v>
      </c>
      <c r="AY640" s="68">
        <v>2018</v>
      </c>
      <c r="AZ640" s="68" t="s">
        <v>2072</v>
      </c>
      <c r="BA640" s="106" t="str">
        <f t="shared" si="312"/>
        <v>SP/CS</v>
      </c>
      <c r="BB640" s="178"/>
      <c r="BC640" s="178">
        <v>7</v>
      </c>
      <c r="BD640" s="178"/>
      <c r="BE640" s="178"/>
      <c r="BF640" s="178"/>
      <c r="BG640" s="178"/>
      <c r="BH640" s="178"/>
      <c r="BI640" s="33"/>
      <c r="BK640" s="48">
        <f>$G640/5280*VLOOKUP($AC640,'Cost and Score'!$B$27:$O$40,6,0)</f>
        <v>0.1</v>
      </c>
      <c r="BL640" s="48">
        <f>$G640/5280*VLOOKUP($AC640,'Cost and Score'!$B$27:$O$40,7,0)</f>
        <v>11</v>
      </c>
      <c r="BM640" s="48">
        <f>$G640/5280*VLOOKUP($AC640,'Cost and Score'!$B$27:$O$40,8,0)</f>
        <v>0</v>
      </c>
      <c r="BN640" s="48">
        <f>$G640/5280*VLOOKUP($AC640,'Cost and Score'!$B$27:$O$40,9,0)</f>
        <v>2250</v>
      </c>
      <c r="BO640" s="48">
        <f>$G640/5280*VLOOKUP($AC640,'Cost and Score'!$B$27:$O$40,10,0)</f>
        <v>500</v>
      </c>
      <c r="BP640" s="48">
        <f>$G640/5280*VLOOKUP($AC640,'Cost and Score'!$B$27:$O$40,11,0)</f>
        <v>0</v>
      </c>
      <c r="BQ640" s="48">
        <f>$G640/5280*VLOOKUP($AC640,'Cost and Score'!$B$27:$O$40,12,0)</f>
        <v>50</v>
      </c>
      <c r="BR640" s="48">
        <f>$G640/5280*VLOOKUP($AC640,'Cost and Score'!$B$27:$O$40,13,0)</f>
        <v>60</v>
      </c>
      <c r="BS640" s="48">
        <f>$G640/5280*VLOOKUP($AC640,'Cost and Score'!$B$27:$O$40,14,0)</f>
        <v>0</v>
      </c>
      <c r="BT640" s="220">
        <f t="shared" si="313"/>
        <v>0.5</v>
      </c>
    </row>
    <row r="641" spans="1:103" s="2" customFormat="1" ht="14.45" customHeight="1" x14ac:dyDescent="0.25">
      <c r="A641" s="15" t="s">
        <v>722</v>
      </c>
      <c r="B641" s="34" t="s">
        <v>721</v>
      </c>
      <c r="C641" s="26" t="s">
        <v>721</v>
      </c>
      <c r="D641" s="82"/>
      <c r="E641" s="82" t="s">
        <v>67</v>
      </c>
      <c r="F641" s="82" t="s">
        <v>116</v>
      </c>
      <c r="G641" s="29">
        <v>2685</v>
      </c>
      <c r="H641" s="29">
        <f t="shared" si="336"/>
        <v>20</v>
      </c>
      <c r="I641" s="26" t="s">
        <v>13</v>
      </c>
      <c r="J641" s="26" t="s">
        <v>6</v>
      </c>
      <c r="K641" s="26">
        <f t="shared" si="337"/>
        <v>0</v>
      </c>
      <c r="L641" s="42">
        <v>7</v>
      </c>
      <c r="M641" s="42">
        <v>7</v>
      </c>
      <c r="N641" s="42">
        <v>6</v>
      </c>
      <c r="O641" s="83">
        <v>6</v>
      </c>
      <c r="P641" s="83">
        <v>6</v>
      </c>
      <c r="Q641" s="83">
        <v>6</v>
      </c>
      <c r="R641" s="83">
        <v>7</v>
      </c>
      <c r="S641" s="83">
        <v>7</v>
      </c>
      <c r="T641" s="83">
        <v>7</v>
      </c>
      <c r="U641" s="83">
        <v>7</v>
      </c>
      <c r="V641" s="42"/>
      <c r="W641" s="42"/>
      <c r="X641" s="42"/>
      <c r="Y641" s="26">
        <v>689</v>
      </c>
      <c r="Z641" s="26">
        <f t="shared" si="328"/>
        <v>0.5</v>
      </c>
      <c r="AA641" s="82" t="s">
        <v>107</v>
      </c>
      <c r="AB641" s="111">
        <f t="shared" si="329"/>
        <v>4.5</v>
      </c>
      <c r="AC641" s="85" t="s">
        <v>2073</v>
      </c>
      <c r="AD641" s="84">
        <f t="shared" si="339"/>
        <v>16272.727272727272</v>
      </c>
      <c r="AE641" s="140"/>
      <c r="AF641" s="113">
        <f t="shared" si="326"/>
        <v>0</v>
      </c>
      <c r="AG641" s="82">
        <v>2025</v>
      </c>
      <c r="AH641" s="26" t="str">
        <f t="shared" si="316"/>
        <v/>
      </c>
      <c r="AI641" s="26" t="str">
        <f t="shared" si="332"/>
        <v/>
      </c>
      <c r="AJ641" s="26" t="str">
        <f t="shared" si="334"/>
        <v/>
      </c>
      <c r="AK641" s="26" t="str">
        <f t="shared" si="338"/>
        <v>Chip Seal - Double and Fog</v>
      </c>
      <c r="AL641" s="26" t="str">
        <f t="shared" si="338"/>
        <v/>
      </c>
      <c r="AM641" s="26" t="str">
        <f t="shared" si="338"/>
        <v/>
      </c>
      <c r="AN641" s="26" t="str">
        <f t="shared" si="325"/>
        <v>Chip Seal - Double and Fog</v>
      </c>
      <c r="AO641" s="26" t="str">
        <f t="shared" si="335"/>
        <v/>
      </c>
      <c r="AP641" s="26" t="str">
        <f t="shared" si="318"/>
        <v/>
      </c>
      <c r="AQ641" s="68">
        <f t="shared" si="330"/>
        <v>8</v>
      </c>
      <c r="AR641" s="68">
        <f t="shared" si="331"/>
        <v>6</v>
      </c>
      <c r="AS641" s="68">
        <f t="shared" si="319"/>
        <v>1.05</v>
      </c>
      <c r="AT641" s="68">
        <f t="shared" si="320"/>
        <v>1.05</v>
      </c>
      <c r="AU641" s="68">
        <f t="shared" si="321"/>
        <v>1.1000000000000001</v>
      </c>
      <c r="AV641" s="68">
        <f t="shared" si="322"/>
        <v>1.1000000000000001</v>
      </c>
      <c r="AW641" s="68">
        <f t="shared" si="323"/>
        <v>1.1000000000000001</v>
      </c>
      <c r="AX641" s="68">
        <f t="shared" ca="1" si="324"/>
        <v>1.1000000000000001</v>
      </c>
      <c r="AY641" s="68">
        <v>2018</v>
      </c>
      <c r="AZ641" s="68" t="s">
        <v>13</v>
      </c>
      <c r="BA641" s="106" t="str">
        <f t="shared" si="312"/>
        <v>CS</v>
      </c>
      <c r="BB641" s="178"/>
      <c r="BC641" s="178">
        <v>8</v>
      </c>
      <c r="BD641" s="178"/>
      <c r="BE641" s="178"/>
      <c r="BF641" s="178"/>
      <c r="BG641" s="178"/>
      <c r="BH641" s="178"/>
      <c r="BI641" s="33" t="s">
        <v>2473</v>
      </c>
      <c r="BK641" s="48">
        <f>$G641/5280*VLOOKUP($AC641,'Cost and Score'!$B$27:$O$40,6,0)</f>
        <v>0.25426136363636365</v>
      </c>
      <c r="BL641" s="48">
        <f>$G641/5280*VLOOKUP($AC641,'Cost and Score'!$B$27:$O$40,7,0)</f>
        <v>25.426136363636363</v>
      </c>
      <c r="BM641" s="48">
        <f>$G641/5280*VLOOKUP($AC641,'Cost and Score'!$B$27:$O$40,8,0)</f>
        <v>0</v>
      </c>
      <c r="BN641" s="48">
        <f>$G641/5280*VLOOKUP($AC641,'Cost and Score'!$B$27:$O$40,9,0)</f>
        <v>4830.965909090909</v>
      </c>
      <c r="BO641" s="48">
        <f>$G641/5280*VLOOKUP($AC641,'Cost and Score'!$B$27:$O$40,10,0)</f>
        <v>508.52272727272731</v>
      </c>
      <c r="BP641" s="48">
        <f>$G641/5280*VLOOKUP($AC641,'Cost and Score'!$B$27:$O$40,11,0)</f>
        <v>0</v>
      </c>
      <c r="BQ641" s="48">
        <f>$G641/5280*VLOOKUP($AC641,'Cost and Score'!$B$27:$O$40,12,0)</f>
        <v>101.70454545454545</v>
      </c>
      <c r="BR641" s="48">
        <f>$G641/5280*VLOOKUP($AC641,'Cost and Score'!$B$27:$O$40,13,0)</f>
        <v>91.534090909090907</v>
      </c>
      <c r="BS641" s="48">
        <f>$G641/5280*VLOOKUP($AC641,'Cost and Score'!$B$27:$O$40,14,0)</f>
        <v>122.04545454545455</v>
      </c>
      <c r="BT641" s="220">
        <f t="shared" si="313"/>
        <v>0.50852272727272729</v>
      </c>
    </row>
    <row r="642" spans="1:103" s="2" customFormat="1" ht="14.45" hidden="1" customHeight="1" x14ac:dyDescent="0.25">
      <c r="A642" s="38" t="s">
        <v>1339</v>
      </c>
      <c r="B642" s="108" t="s">
        <v>1338</v>
      </c>
      <c r="C642" s="106" t="s">
        <v>1338</v>
      </c>
      <c r="D642" s="106"/>
      <c r="E642" s="106" t="s">
        <v>39</v>
      </c>
      <c r="F642" s="106" t="s">
        <v>44</v>
      </c>
      <c r="G642" s="109">
        <v>1313</v>
      </c>
      <c r="H642" s="109">
        <f t="shared" si="336"/>
        <v>20</v>
      </c>
      <c r="I642" s="106" t="s">
        <v>13</v>
      </c>
      <c r="J642" s="106" t="s">
        <v>17</v>
      </c>
      <c r="K642" s="106">
        <f t="shared" si="337"/>
        <v>0</v>
      </c>
      <c r="L642" s="110">
        <v>7</v>
      </c>
      <c r="M642" s="110">
        <v>7</v>
      </c>
      <c r="N642" s="110">
        <v>7</v>
      </c>
      <c r="O642" s="110">
        <v>7</v>
      </c>
      <c r="P642" s="110">
        <v>8</v>
      </c>
      <c r="Q642" s="110">
        <v>8</v>
      </c>
      <c r="R642" s="110">
        <v>8</v>
      </c>
      <c r="S642" s="110">
        <v>7</v>
      </c>
      <c r="T642" s="110">
        <v>7</v>
      </c>
      <c r="U642" s="110">
        <v>7</v>
      </c>
      <c r="V642" s="110"/>
      <c r="W642" s="110"/>
      <c r="X642" s="110"/>
      <c r="Y642" s="106">
        <v>1172</v>
      </c>
      <c r="Z642" s="106">
        <f t="shared" si="328"/>
        <v>0.5</v>
      </c>
      <c r="AA642" s="106" t="s">
        <v>297</v>
      </c>
      <c r="AB642" s="111">
        <f t="shared" si="329"/>
        <v>2.5</v>
      </c>
      <c r="AC642" s="106" t="s">
        <v>2073</v>
      </c>
      <c r="AD642" s="107">
        <f t="shared" si="339"/>
        <v>7957.575757575758</v>
      </c>
      <c r="AE642" s="198">
        <v>1</v>
      </c>
      <c r="AF642" s="113">
        <f t="shared" si="326"/>
        <v>7957.575757575758</v>
      </c>
      <c r="AG642" s="106">
        <v>2024</v>
      </c>
      <c r="AH642" s="26" t="str">
        <f t="shared" si="316"/>
        <v/>
      </c>
      <c r="AI642" s="26" t="str">
        <f t="shared" si="332"/>
        <v/>
      </c>
      <c r="AJ642" s="26" t="str">
        <f t="shared" si="334"/>
        <v>Chip Seal - Double and Fog</v>
      </c>
      <c r="AK642" s="26" t="str">
        <f t="shared" si="338"/>
        <v/>
      </c>
      <c r="AL642" s="26" t="str">
        <f t="shared" si="338"/>
        <v/>
      </c>
      <c r="AM642" s="26" t="str">
        <f t="shared" si="338"/>
        <v/>
      </c>
      <c r="AN642" s="26" t="str">
        <f t="shared" si="325"/>
        <v>Chip Seal - Double and Fog</v>
      </c>
      <c r="AO642" s="26" t="str">
        <f t="shared" si="335"/>
        <v/>
      </c>
      <c r="AP642" s="26" t="str">
        <f t="shared" si="318"/>
        <v/>
      </c>
      <c r="AQ642" s="68">
        <f t="shared" si="330"/>
        <v>10</v>
      </c>
      <c r="AR642" s="68">
        <f t="shared" si="331"/>
        <v>6</v>
      </c>
      <c r="AS642" s="68">
        <f t="shared" si="319"/>
        <v>1.05</v>
      </c>
      <c r="AT642" s="68">
        <f t="shared" si="320"/>
        <v>1.05</v>
      </c>
      <c r="AU642" s="68">
        <f t="shared" si="321"/>
        <v>1.05</v>
      </c>
      <c r="AV642" s="68">
        <f t="shared" si="322"/>
        <v>1.05</v>
      </c>
      <c r="AW642" s="68">
        <f t="shared" si="323"/>
        <v>1</v>
      </c>
      <c r="AX642" s="68">
        <f t="shared" ca="1" si="324"/>
        <v>0</v>
      </c>
      <c r="AY642" s="106">
        <v>2017</v>
      </c>
      <c r="AZ642" s="106" t="s">
        <v>13</v>
      </c>
      <c r="BA642" s="106" t="str">
        <f t="shared" ref="BA642:BA705" si="340">IF(AY642=2018,AZ642,"")</f>
        <v/>
      </c>
      <c r="BB642" s="177"/>
      <c r="BC642" s="177">
        <v>1</v>
      </c>
      <c r="BD642" s="177"/>
      <c r="BE642" s="177"/>
      <c r="BF642" s="177"/>
      <c r="BG642" s="177"/>
      <c r="BH642" s="177"/>
      <c r="BI642" s="33"/>
      <c r="BK642" s="48">
        <f>$G642/5280*VLOOKUP($AC642,'Cost and Score'!$B$27:$O$40,6,0)</f>
        <v>0.12433712121212122</v>
      </c>
      <c r="BL642" s="48">
        <f>$G642/5280*VLOOKUP($AC642,'Cost and Score'!$B$27:$O$40,7,0)</f>
        <v>12.433712121212121</v>
      </c>
      <c r="BM642" s="48">
        <f>$G642/5280*VLOOKUP($AC642,'Cost and Score'!$B$27:$O$40,8,0)</f>
        <v>0</v>
      </c>
      <c r="BN642" s="48">
        <f>$G642/5280*VLOOKUP($AC642,'Cost and Score'!$B$27:$O$40,9,0)</f>
        <v>2362.405303030303</v>
      </c>
      <c r="BO642" s="48">
        <f>$G642/5280*VLOOKUP($AC642,'Cost and Score'!$B$27:$O$40,10,0)</f>
        <v>248.67424242424244</v>
      </c>
      <c r="BP642" s="48">
        <f>$G642/5280*VLOOKUP($AC642,'Cost and Score'!$B$27:$O$40,11,0)</f>
        <v>0</v>
      </c>
      <c r="BQ642" s="48">
        <f>$G642/5280*VLOOKUP($AC642,'Cost and Score'!$B$27:$O$40,12,0)</f>
        <v>49.734848484848484</v>
      </c>
      <c r="BR642" s="48">
        <f>$G642/5280*VLOOKUP($AC642,'Cost and Score'!$B$27:$O$40,13,0)</f>
        <v>44.76136363636364</v>
      </c>
      <c r="BS642" s="48">
        <f>$G642/5280*VLOOKUP($AC642,'Cost and Score'!$B$27:$O$40,14,0)</f>
        <v>59.681818181818187</v>
      </c>
      <c r="BT642" s="220">
        <f t="shared" ref="BT642:BT705" si="341">G642/5280</f>
        <v>0.24867424242424244</v>
      </c>
      <c r="CF642" s="112"/>
      <c r="CR642" s="112"/>
    </row>
    <row r="643" spans="1:103" s="112" customFormat="1" ht="14.45" hidden="1" customHeight="1" x14ac:dyDescent="0.25">
      <c r="A643" s="38" t="s">
        <v>1341</v>
      </c>
      <c r="B643" s="34" t="s">
        <v>1340</v>
      </c>
      <c r="C643" s="26" t="s">
        <v>1340</v>
      </c>
      <c r="D643" s="82"/>
      <c r="E643" s="82" t="s">
        <v>213</v>
      </c>
      <c r="F643" s="82" t="s">
        <v>39</v>
      </c>
      <c r="G643" s="29">
        <v>5332</v>
      </c>
      <c r="H643" s="29">
        <f t="shared" si="336"/>
        <v>20</v>
      </c>
      <c r="I643" s="26" t="s">
        <v>13</v>
      </c>
      <c r="J643" s="26" t="s">
        <v>17</v>
      </c>
      <c r="K643" s="26">
        <f t="shared" si="337"/>
        <v>0</v>
      </c>
      <c r="L643" s="42">
        <v>6</v>
      </c>
      <c r="M643" s="42">
        <v>9</v>
      </c>
      <c r="N643" s="42">
        <v>9</v>
      </c>
      <c r="O643" s="83">
        <v>9</v>
      </c>
      <c r="P643" s="83">
        <v>8</v>
      </c>
      <c r="Q643" s="83">
        <v>7</v>
      </c>
      <c r="R643" s="83">
        <v>6</v>
      </c>
      <c r="S643" s="83">
        <v>6</v>
      </c>
      <c r="T643" s="83">
        <v>7</v>
      </c>
      <c r="U643" s="83">
        <v>7</v>
      </c>
      <c r="V643" s="42"/>
      <c r="W643" s="42"/>
      <c r="X643" s="42"/>
      <c r="Y643" s="26">
        <v>68</v>
      </c>
      <c r="Z643" s="26">
        <f t="shared" si="328"/>
        <v>0</v>
      </c>
      <c r="AA643" s="82" t="s">
        <v>297</v>
      </c>
      <c r="AB643" s="111">
        <f t="shared" si="329"/>
        <v>2</v>
      </c>
      <c r="AC643" s="82" t="s">
        <v>13</v>
      </c>
      <c r="AD643" s="84">
        <f t="shared" si="339"/>
        <v>21206.81818181818</v>
      </c>
      <c r="AE643" s="140"/>
      <c r="AF643" s="113">
        <f t="shared" si="326"/>
        <v>0</v>
      </c>
      <c r="AG643" s="85">
        <v>2026</v>
      </c>
      <c r="AH643" s="26" t="str">
        <f t="shared" si="316"/>
        <v/>
      </c>
      <c r="AI643" s="26" t="str">
        <f t="shared" si="332"/>
        <v/>
      </c>
      <c r="AJ643" s="26" t="str">
        <f t="shared" si="334"/>
        <v/>
      </c>
      <c r="AK643" s="26" t="str">
        <f t="shared" si="338"/>
        <v/>
      </c>
      <c r="AL643" s="26" t="str">
        <f t="shared" si="338"/>
        <v>Chip Seal and Fog</v>
      </c>
      <c r="AM643" s="26" t="str">
        <f t="shared" si="338"/>
        <v/>
      </c>
      <c r="AN643" s="26" t="str">
        <f t="shared" si="325"/>
        <v>Chip Seal and Fog</v>
      </c>
      <c r="AO643" s="26" t="str">
        <f t="shared" si="335"/>
        <v/>
      </c>
      <c r="AP643" s="26" t="str">
        <f t="shared" si="318"/>
        <v/>
      </c>
      <c r="AQ643" s="68">
        <f t="shared" si="330"/>
        <v>14</v>
      </c>
      <c r="AR643" s="68">
        <f t="shared" si="331"/>
        <v>6</v>
      </c>
      <c r="AS643" s="68">
        <f t="shared" si="319"/>
        <v>1.1000000000000001</v>
      </c>
      <c r="AT643" s="68">
        <f t="shared" si="320"/>
        <v>1</v>
      </c>
      <c r="AU643" s="68">
        <f t="shared" si="321"/>
        <v>1</v>
      </c>
      <c r="AV643" s="68">
        <f t="shared" si="322"/>
        <v>1</v>
      </c>
      <c r="AW643" s="68">
        <f t="shared" si="323"/>
        <v>1</v>
      </c>
      <c r="AX643" s="68">
        <f t="shared" ca="1" si="324"/>
        <v>2</v>
      </c>
      <c r="AY643" s="68">
        <v>2020</v>
      </c>
      <c r="AZ643" s="68" t="s">
        <v>13</v>
      </c>
      <c r="BA643" s="106" t="str">
        <f t="shared" si="340"/>
        <v/>
      </c>
      <c r="BB643" s="178"/>
      <c r="BC643" s="178">
        <v>5</v>
      </c>
      <c r="BD643" s="178"/>
      <c r="BE643" s="178"/>
      <c r="BF643" s="178"/>
      <c r="BG643" s="178"/>
      <c r="BH643" s="178"/>
      <c r="BI643" s="33"/>
      <c r="BJ643" s="2"/>
      <c r="BK643" s="48">
        <f>$G643/5280*VLOOKUP($AC643,'Cost and Score'!$B$27:$O$40,6,0)</f>
        <v>0.20196969696969697</v>
      </c>
      <c r="BL643" s="48">
        <f>$G643/5280*VLOOKUP($AC643,'Cost and Score'!$B$27:$O$40,7,0)</f>
        <v>22.216666666666665</v>
      </c>
      <c r="BM643" s="48">
        <f>$G643/5280*VLOOKUP($AC643,'Cost and Score'!$B$27:$O$40,8,0)</f>
        <v>0</v>
      </c>
      <c r="BN643" s="48">
        <f>$G643/5280*VLOOKUP($AC643,'Cost and Score'!$B$27:$O$40,9,0)</f>
        <v>4544.3181818181811</v>
      </c>
      <c r="BO643" s="48">
        <f>$G643/5280*VLOOKUP($AC643,'Cost and Score'!$B$27:$O$40,10,0)</f>
        <v>1009.8484848484848</v>
      </c>
      <c r="BP643" s="48">
        <f>$G643/5280*VLOOKUP($AC643,'Cost and Score'!$B$27:$O$40,11,0)</f>
        <v>0</v>
      </c>
      <c r="BQ643" s="48">
        <f>$G643/5280*VLOOKUP($AC643,'Cost and Score'!$B$27:$O$40,12,0)</f>
        <v>100.98484848484847</v>
      </c>
      <c r="BR643" s="48">
        <f>$G643/5280*VLOOKUP($AC643,'Cost and Score'!$B$27:$O$40,13,0)</f>
        <v>121.18181818181817</v>
      </c>
      <c r="BS643" s="48">
        <f>$G643/5280*VLOOKUP($AC643,'Cost and Score'!$B$27:$O$40,14,0)</f>
        <v>0</v>
      </c>
      <c r="BT643" s="220">
        <f t="shared" si="341"/>
        <v>1.0098484848484848</v>
      </c>
      <c r="BU643" s="26"/>
      <c r="BV643" s="26"/>
      <c r="BW643" s="26"/>
      <c r="BX643" s="26"/>
      <c r="BY643" s="26"/>
      <c r="BZ643" s="26"/>
      <c r="CA643" s="26"/>
      <c r="CB643" s="26"/>
      <c r="CC643" s="2"/>
      <c r="CD643" s="2"/>
      <c r="CE643" s="2"/>
      <c r="CF643" s="2"/>
      <c r="CN643" s="2"/>
      <c r="CO643" s="2"/>
      <c r="CP643" s="2"/>
      <c r="CQ643" s="2"/>
      <c r="CR643" s="2"/>
      <c r="CV643" s="2"/>
      <c r="CW643" s="2"/>
      <c r="CX643" s="2"/>
      <c r="CY643" s="2"/>
    </row>
    <row r="644" spans="1:103" s="2" customFormat="1" ht="14.45" customHeight="1" x14ac:dyDescent="0.25">
      <c r="A644" s="15" t="s">
        <v>171</v>
      </c>
      <c r="B644" s="34" t="s">
        <v>170</v>
      </c>
      <c r="C644" s="26" t="s">
        <v>170</v>
      </c>
      <c r="D644" s="82"/>
      <c r="E644" s="82" t="s">
        <v>64</v>
      </c>
      <c r="F644" s="82" t="s">
        <v>59</v>
      </c>
      <c r="G644" s="29">
        <v>5325</v>
      </c>
      <c r="H644" s="29">
        <f t="shared" si="336"/>
        <v>20</v>
      </c>
      <c r="I644" s="26" t="s">
        <v>8</v>
      </c>
      <c r="J644" s="26" t="s">
        <v>172</v>
      </c>
      <c r="K644" s="26">
        <f t="shared" si="337"/>
        <v>0</v>
      </c>
      <c r="L644" s="42">
        <v>7</v>
      </c>
      <c r="M644" s="42">
        <v>8</v>
      </c>
      <c r="N644" s="42">
        <v>7</v>
      </c>
      <c r="O644" s="83">
        <v>6</v>
      </c>
      <c r="P644" s="83">
        <v>6</v>
      </c>
      <c r="Q644" s="83">
        <v>9</v>
      </c>
      <c r="R644" s="83">
        <v>9</v>
      </c>
      <c r="S644" s="83">
        <v>8</v>
      </c>
      <c r="T644" s="83">
        <v>7</v>
      </c>
      <c r="U644" s="83">
        <v>6</v>
      </c>
      <c r="V644" s="42"/>
      <c r="W644" s="42">
        <v>2019</v>
      </c>
      <c r="X644" s="42" t="s">
        <v>2612</v>
      </c>
      <c r="Y644" s="26">
        <v>659</v>
      </c>
      <c r="Z644" s="26">
        <f t="shared" si="328"/>
        <v>0.5</v>
      </c>
      <c r="AA644" s="82" t="s">
        <v>100</v>
      </c>
      <c r="AB644" s="111">
        <f t="shared" si="329"/>
        <v>4.5</v>
      </c>
      <c r="AC644" s="82" t="s">
        <v>2073</v>
      </c>
      <c r="AD644" s="84">
        <f t="shared" si="339"/>
        <v>32272.727272727272</v>
      </c>
      <c r="AE644" s="140"/>
      <c r="AF644" s="113">
        <f t="shared" si="326"/>
        <v>0</v>
      </c>
      <c r="AG644" s="82">
        <v>2025</v>
      </c>
      <c r="AH644" s="26" t="str">
        <f t="shared" si="316"/>
        <v/>
      </c>
      <c r="AI644" s="26" t="str">
        <f t="shared" si="332"/>
        <v/>
      </c>
      <c r="AJ644" s="26" t="str">
        <f t="shared" si="334"/>
        <v/>
      </c>
      <c r="AK644" s="26" t="str">
        <f t="shared" si="338"/>
        <v>Chip Seal - Double and Fog</v>
      </c>
      <c r="AL644" s="26" t="str">
        <f t="shared" si="338"/>
        <v/>
      </c>
      <c r="AM644" s="26" t="str">
        <f t="shared" si="338"/>
        <v/>
      </c>
      <c r="AN644" s="26" t="str">
        <f t="shared" si="325"/>
        <v>Chip Seal - Double and Fog</v>
      </c>
      <c r="AO644" s="26" t="str">
        <f t="shared" si="335"/>
        <v/>
      </c>
      <c r="AP644" s="26" t="str">
        <f t="shared" si="318"/>
        <v/>
      </c>
      <c r="AQ644" s="68">
        <f t="shared" si="330"/>
        <v>8</v>
      </c>
      <c r="AR644" s="68">
        <f t="shared" si="331"/>
        <v>6</v>
      </c>
      <c r="AS644" s="68">
        <f t="shared" si="319"/>
        <v>1.05</v>
      </c>
      <c r="AT644" s="68">
        <f t="shared" si="320"/>
        <v>1</v>
      </c>
      <c r="AU644" s="68">
        <f t="shared" si="321"/>
        <v>1.05</v>
      </c>
      <c r="AV644" s="68">
        <f t="shared" si="322"/>
        <v>1.1000000000000001</v>
      </c>
      <c r="AW644" s="68">
        <f t="shared" si="323"/>
        <v>1.1000000000000001</v>
      </c>
      <c r="AX644" s="68">
        <f t="shared" ca="1" si="324"/>
        <v>1.05</v>
      </c>
      <c r="AY644" s="106">
        <v>2018</v>
      </c>
      <c r="AZ644" s="106" t="s">
        <v>2073</v>
      </c>
      <c r="BA644" s="106" t="str">
        <f t="shared" si="340"/>
        <v>DS</v>
      </c>
      <c r="BB644" s="177"/>
      <c r="BC644" s="177">
        <v>9</v>
      </c>
      <c r="BD644" s="177"/>
      <c r="BE644" s="177"/>
      <c r="BF644" s="177"/>
      <c r="BG644" s="177"/>
      <c r="BH644" s="177"/>
      <c r="BI644" s="33"/>
      <c r="BK644" s="48">
        <f>$G644/5280*VLOOKUP($AC644,'Cost and Score'!$B$27:$O$40,6,0)</f>
        <v>0.50426136363636365</v>
      </c>
      <c r="BL644" s="48">
        <f>$G644/5280*VLOOKUP($AC644,'Cost and Score'!$B$27:$O$40,7,0)</f>
        <v>50.426136363636367</v>
      </c>
      <c r="BM644" s="48">
        <f>$G644/5280*VLOOKUP($AC644,'Cost and Score'!$B$27:$O$40,8,0)</f>
        <v>0</v>
      </c>
      <c r="BN644" s="48">
        <f>$G644/5280*VLOOKUP($AC644,'Cost and Score'!$B$27:$O$40,9,0)</f>
        <v>9580.9659090909099</v>
      </c>
      <c r="BO644" s="48">
        <f>$G644/5280*VLOOKUP($AC644,'Cost and Score'!$B$27:$O$40,10,0)</f>
        <v>1008.5227272727273</v>
      </c>
      <c r="BP644" s="48">
        <f>$G644/5280*VLOOKUP($AC644,'Cost and Score'!$B$27:$O$40,11,0)</f>
        <v>0</v>
      </c>
      <c r="BQ644" s="48">
        <f>$G644/5280*VLOOKUP($AC644,'Cost and Score'!$B$27:$O$40,12,0)</f>
        <v>201.70454545454547</v>
      </c>
      <c r="BR644" s="48">
        <f>$G644/5280*VLOOKUP($AC644,'Cost and Score'!$B$27:$O$40,13,0)</f>
        <v>181.53409090909091</v>
      </c>
      <c r="BS644" s="48">
        <f>$G644/5280*VLOOKUP($AC644,'Cost and Score'!$B$27:$O$40,14,0)</f>
        <v>242.04545454545456</v>
      </c>
      <c r="BT644" s="220">
        <f t="shared" si="341"/>
        <v>1.0085227272727273</v>
      </c>
      <c r="CW644" s="112"/>
      <c r="CX644" s="112"/>
      <c r="CY644" s="112"/>
    </row>
    <row r="645" spans="1:103" s="2" customFormat="1" ht="14.45" hidden="1" customHeight="1" x14ac:dyDescent="0.25">
      <c r="A645" s="38" t="s">
        <v>1345</v>
      </c>
      <c r="B645" s="108" t="s">
        <v>1344</v>
      </c>
      <c r="C645" s="106" t="s">
        <v>1344</v>
      </c>
      <c r="D645" s="106"/>
      <c r="E645" s="106" t="s">
        <v>49</v>
      </c>
      <c r="F645" s="106" t="s">
        <v>18</v>
      </c>
      <c r="G645" s="109">
        <v>5405</v>
      </c>
      <c r="H645" s="109">
        <f t="shared" si="336"/>
        <v>20</v>
      </c>
      <c r="I645" s="106" t="s">
        <v>13</v>
      </c>
      <c r="J645" s="106" t="s">
        <v>17</v>
      </c>
      <c r="K645" s="106">
        <f t="shared" si="337"/>
        <v>0</v>
      </c>
      <c r="L645" s="110">
        <v>5</v>
      </c>
      <c r="M645" s="110">
        <v>5</v>
      </c>
      <c r="N645" s="110">
        <v>5</v>
      </c>
      <c r="O645" s="110">
        <v>4</v>
      </c>
      <c r="P645" s="110">
        <v>9</v>
      </c>
      <c r="Q645" s="110">
        <v>9</v>
      </c>
      <c r="R645" s="110">
        <v>8</v>
      </c>
      <c r="S645" s="110">
        <v>7</v>
      </c>
      <c r="T645" s="110">
        <v>7</v>
      </c>
      <c r="U645" s="110">
        <v>7</v>
      </c>
      <c r="V645" s="110"/>
      <c r="W645" s="110"/>
      <c r="X645" s="110"/>
      <c r="Y645" s="106">
        <v>207</v>
      </c>
      <c r="Z645" s="106">
        <f t="shared" si="328"/>
        <v>0</v>
      </c>
      <c r="AA645" s="106" t="s">
        <v>38</v>
      </c>
      <c r="AB645" s="111">
        <f t="shared" si="329"/>
        <v>1</v>
      </c>
      <c r="AC645" s="106" t="s">
        <v>751</v>
      </c>
      <c r="AD645" s="107">
        <f t="shared" si="339"/>
        <v>112604.16666666667</v>
      </c>
      <c r="AE645" s="198">
        <v>1</v>
      </c>
      <c r="AF645" s="113">
        <f t="shared" si="326"/>
        <v>112604.16666666667</v>
      </c>
      <c r="AG645" s="26">
        <v>2024</v>
      </c>
      <c r="AH645" s="26" t="str">
        <f t="shared" si="316"/>
        <v/>
      </c>
      <c r="AI645" s="26" t="str">
        <f t="shared" si="332"/>
        <v/>
      </c>
      <c r="AJ645" s="26" t="str">
        <f t="shared" si="334"/>
        <v>Overlay - 2"</v>
      </c>
      <c r="AK645" s="26" t="str">
        <f t="shared" si="338"/>
        <v/>
      </c>
      <c r="AL645" s="26" t="str">
        <f t="shared" si="338"/>
        <v/>
      </c>
      <c r="AM645" s="26" t="str">
        <f t="shared" si="338"/>
        <v/>
      </c>
      <c r="AN645" s="26" t="str">
        <f t="shared" si="325"/>
        <v>Overlay - 2"</v>
      </c>
      <c r="AO645" s="26" t="str">
        <f t="shared" si="335"/>
        <v/>
      </c>
      <c r="AP645" s="26" t="str">
        <f t="shared" si="318"/>
        <v/>
      </c>
      <c r="AQ645" s="68">
        <f t="shared" si="330"/>
        <v>3</v>
      </c>
      <c r="AR645" s="68">
        <f t="shared" si="331"/>
        <v>12</v>
      </c>
      <c r="AS645" s="68">
        <f t="shared" si="319"/>
        <v>1.25</v>
      </c>
      <c r="AT645" s="68">
        <f t="shared" si="320"/>
        <v>1.25</v>
      </c>
      <c r="AU645" s="68">
        <f t="shared" si="321"/>
        <v>1.25</v>
      </c>
      <c r="AV645" s="68">
        <f t="shared" si="322"/>
        <v>1.5</v>
      </c>
      <c r="AW645" s="68">
        <f t="shared" si="323"/>
        <v>1</v>
      </c>
      <c r="AX645" s="68">
        <f t="shared" ca="1" si="324"/>
        <v>0</v>
      </c>
      <c r="AY645" s="106">
        <v>2017</v>
      </c>
      <c r="AZ645" s="106" t="s">
        <v>2072</v>
      </c>
      <c r="BA645" s="106" t="str">
        <f t="shared" si="340"/>
        <v/>
      </c>
      <c r="BB645" s="177"/>
      <c r="BC645" s="177">
        <v>1</v>
      </c>
      <c r="BD645" s="177"/>
      <c r="BE645" s="177"/>
      <c r="BF645" s="177"/>
      <c r="BG645" s="177"/>
      <c r="BH645" s="177"/>
      <c r="BI645" s="33"/>
      <c r="BK645" s="48">
        <f>$G645/5280*VLOOKUP($AC645,'Cost and Score'!$B$27:$O$40,6,0)</f>
        <v>2.3032670454545454</v>
      </c>
      <c r="BL645" s="48">
        <f>$G645/5280*VLOOKUP($AC645,'Cost and Score'!$B$27:$O$40,7,0)</f>
        <v>214.97159090909091</v>
      </c>
      <c r="BM645" s="48">
        <f>$G645/5280*VLOOKUP($AC645,'Cost and Score'!$B$27:$O$40,8,0)</f>
        <v>358.28598484848487</v>
      </c>
      <c r="BN645" s="48">
        <f>$G645/5280*VLOOKUP($AC645,'Cost and Score'!$B$27:$O$40,9,0)</f>
        <v>0</v>
      </c>
      <c r="BO645" s="48">
        <f>$G645/5280*VLOOKUP($AC645,'Cost and Score'!$B$27:$O$40,10,0)</f>
        <v>0</v>
      </c>
      <c r="BP645" s="48">
        <f>$G645/5280*VLOOKUP($AC645,'Cost and Score'!$B$27:$O$40,11,0)</f>
        <v>204.7348484848485</v>
      </c>
      <c r="BQ645" s="48">
        <f>$G645/5280*VLOOKUP($AC645,'Cost and Score'!$B$27:$O$40,12,0)</f>
        <v>1740.2462121212122</v>
      </c>
      <c r="BR645" s="48">
        <f>$G645/5280*VLOOKUP($AC645,'Cost and Score'!$B$27:$O$40,13,0)</f>
        <v>0</v>
      </c>
      <c r="BS645" s="48">
        <f>$G645/5280*VLOOKUP($AC645,'Cost and Score'!$B$27:$O$40,14,0)</f>
        <v>0</v>
      </c>
      <c r="BT645" s="220">
        <f t="shared" si="341"/>
        <v>1.0236742424242424</v>
      </c>
      <c r="CG645" s="112"/>
      <c r="CH645" s="112"/>
      <c r="CI645" s="112"/>
      <c r="CJ645" s="112"/>
      <c r="CK645" s="112"/>
      <c r="CL645" s="112"/>
      <c r="CM645" s="112"/>
    </row>
    <row r="646" spans="1:103" s="112" customFormat="1" ht="14.45" hidden="1" customHeight="1" x14ac:dyDescent="0.25">
      <c r="A646" s="38" t="s">
        <v>1347</v>
      </c>
      <c r="B646" s="34" t="s">
        <v>1346</v>
      </c>
      <c r="C646" s="26" t="s">
        <v>1346</v>
      </c>
      <c r="D646" s="82"/>
      <c r="E646" s="82" t="s">
        <v>257</v>
      </c>
      <c r="F646" s="82" t="s">
        <v>49</v>
      </c>
      <c r="G646" s="29">
        <v>1360</v>
      </c>
      <c r="H646" s="29">
        <f t="shared" si="336"/>
        <v>20</v>
      </c>
      <c r="I646" s="26" t="s">
        <v>8</v>
      </c>
      <c r="J646" s="26" t="s">
        <v>17</v>
      </c>
      <c r="K646" s="26">
        <f t="shared" si="337"/>
        <v>0</v>
      </c>
      <c r="L646" s="42">
        <v>4</v>
      </c>
      <c r="M646" s="42">
        <v>4</v>
      </c>
      <c r="N646" s="42">
        <v>4</v>
      </c>
      <c r="O646" s="83">
        <v>4</v>
      </c>
      <c r="P646" s="83">
        <v>9</v>
      </c>
      <c r="Q646" s="83">
        <v>9</v>
      </c>
      <c r="R646" s="83">
        <v>8</v>
      </c>
      <c r="S646" s="83">
        <v>8</v>
      </c>
      <c r="T646" s="83">
        <v>8</v>
      </c>
      <c r="U646" s="83">
        <v>8</v>
      </c>
      <c r="V646" s="42"/>
      <c r="W646" s="42"/>
      <c r="X646" s="42"/>
      <c r="Y646" s="26">
        <v>155</v>
      </c>
      <c r="Z646" s="26">
        <f t="shared" si="328"/>
        <v>0</v>
      </c>
      <c r="AA646" s="82" t="s">
        <v>38</v>
      </c>
      <c r="AB646" s="111">
        <f t="shared" si="329"/>
        <v>1</v>
      </c>
      <c r="AC646" s="85" t="s">
        <v>13</v>
      </c>
      <c r="AD646" s="84">
        <f t="shared" si="339"/>
        <v>5409.090909090909</v>
      </c>
      <c r="AE646" s="140"/>
      <c r="AF646" s="113">
        <f t="shared" si="326"/>
        <v>0</v>
      </c>
      <c r="AG646" s="26">
        <v>2026</v>
      </c>
      <c r="AH646" s="26" t="str">
        <f t="shared" si="316"/>
        <v/>
      </c>
      <c r="AI646" s="26" t="str">
        <f t="shared" si="332"/>
        <v/>
      </c>
      <c r="AJ646" s="26" t="str">
        <f t="shared" si="334"/>
        <v/>
      </c>
      <c r="AK646" s="26" t="str">
        <f t="shared" si="338"/>
        <v/>
      </c>
      <c r="AL646" s="26" t="str">
        <f t="shared" si="338"/>
        <v>Chip Seal and Fog</v>
      </c>
      <c r="AM646" s="26" t="str">
        <f t="shared" si="338"/>
        <v/>
      </c>
      <c r="AN646" s="26" t="str">
        <f t="shared" si="325"/>
        <v>Chip Seal and Fog</v>
      </c>
      <c r="AO646" s="26" t="str">
        <f t="shared" si="335"/>
        <v/>
      </c>
      <c r="AP646" s="26" t="str">
        <f t="shared" si="318"/>
        <v/>
      </c>
      <c r="AQ646" s="68">
        <f t="shared" si="330"/>
        <v>3</v>
      </c>
      <c r="AR646" s="68">
        <f t="shared" si="331"/>
        <v>6</v>
      </c>
      <c r="AS646" s="68">
        <f t="shared" si="319"/>
        <v>1.5</v>
      </c>
      <c r="AT646" s="68">
        <f t="shared" si="320"/>
        <v>1.5</v>
      </c>
      <c r="AU646" s="68">
        <f t="shared" si="321"/>
        <v>1.5</v>
      </c>
      <c r="AV646" s="68">
        <f t="shared" si="322"/>
        <v>1.5</v>
      </c>
      <c r="AW646" s="68">
        <f t="shared" si="323"/>
        <v>1</v>
      </c>
      <c r="AX646" s="68">
        <f t="shared" ca="1" si="324"/>
        <v>3</v>
      </c>
      <c r="AY646" s="106"/>
      <c r="AZ646" s="106"/>
      <c r="BA646" s="106" t="str">
        <f t="shared" si="340"/>
        <v/>
      </c>
      <c r="BB646" s="177">
        <v>80</v>
      </c>
      <c r="BC646" s="177">
        <v>1</v>
      </c>
      <c r="BD646" s="177"/>
      <c r="BE646" s="177"/>
      <c r="BF646" s="177"/>
      <c r="BG646" s="177"/>
      <c r="BH646" s="177"/>
      <c r="BI646" s="33"/>
      <c r="BJ646" s="2"/>
      <c r="BK646" s="48">
        <f>$G646/5280*VLOOKUP($AC646,'Cost and Score'!$B$27:$O$40,6,0)</f>
        <v>5.1515151515151514E-2</v>
      </c>
      <c r="BL646" s="48">
        <f>$G646/5280*VLOOKUP($AC646,'Cost and Score'!$B$27:$O$40,7,0)</f>
        <v>5.6666666666666661</v>
      </c>
      <c r="BM646" s="48">
        <f>$G646/5280*VLOOKUP($AC646,'Cost and Score'!$B$27:$O$40,8,0)</f>
        <v>0</v>
      </c>
      <c r="BN646" s="48">
        <f>$G646/5280*VLOOKUP($AC646,'Cost and Score'!$B$27:$O$40,9,0)</f>
        <v>1159.090909090909</v>
      </c>
      <c r="BO646" s="48">
        <f>$G646/5280*VLOOKUP($AC646,'Cost and Score'!$B$27:$O$40,10,0)</f>
        <v>257.57575757575756</v>
      </c>
      <c r="BP646" s="48">
        <f>$G646/5280*VLOOKUP($AC646,'Cost and Score'!$B$27:$O$40,11,0)</f>
        <v>0</v>
      </c>
      <c r="BQ646" s="48">
        <f>$G646/5280*VLOOKUP($AC646,'Cost and Score'!$B$27:$O$40,12,0)</f>
        <v>25.757575757575758</v>
      </c>
      <c r="BR646" s="48">
        <f>$G646/5280*VLOOKUP($AC646,'Cost and Score'!$B$27:$O$40,13,0)</f>
        <v>30.909090909090907</v>
      </c>
      <c r="BS646" s="48">
        <f>$G646/5280*VLOOKUP($AC646,'Cost and Score'!$B$27:$O$40,14,0)</f>
        <v>0</v>
      </c>
      <c r="BT646" s="220">
        <f t="shared" si="341"/>
        <v>0.25757575757575757</v>
      </c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R646" s="2"/>
      <c r="CS646" s="2"/>
      <c r="CT646" s="2"/>
      <c r="CU646" s="2"/>
      <c r="CV646" s="2"/>
      <c r="CW646" s="2"/>
      <c r="CX646" s="2"/>
      <c r="CY646" s="2"/>
    </row>
    <row r="647" spans="1:103" s="2" customFormat="1" ht="14.45" hidden="1" customHeight="1" x14ac:dyDescent="0.25">
      <c r="A647" s="38" t="s">
        <v>1349</v>
      </c>
      <c r="B647" s="34" t="s">
        <v>1348</v>
      </c>
      <c r="C647" s="26" t="s">
        <v>1348</v>
      </c>
      <c r="D647" s="82"/>
      <c r="E647" s="82" t="s">
        <v>52</v>
      </c>
      <c r="F647" s="82" t="s">
        <v>257</v>
      </c>
      <c r="G647" s="29">
        <v>4179</v>
      </c>
      <c r="H647" s="29">
        <f t="shared" si="336"/>
        <v>20</v>
      </c>
      <c r="I647" s="26" t="s">
        <v>8</v>
      </c>
      <c r="J647" s="26" t="s">
        <v>17</v>
      </c>
      <c r="K647" s="26">
        <f t="shared" si="337"/>
        <v>0</v>
      </c>
      <c r="L647" s="42">
        <v>7</v>
      </c>
      <c r="M647" s="42">
        <v>7</v>
      </c>
      <c r="N647" s="42">
        <v>7</v>
      </c>
      <c r="O647" s="83">
        <v>6</v>
      </c>
      <c r="P647" s="83">
        <v>6</v>
      </c>
      <c r="Q647" s="83">
        <v>6</v>
      </c>
      <c r="R647" s="83">
        <v>6</v>
      </c>
      <c r="S647" s="83">
        <v>7</v>
      </c>
      <c r="T647" s="83">
        <v>8</v>
      </c>
      <c r="U647" s="83">
        <v>8</v>
      </c>
      <c r="V647" s="42"/>
      <c r="W647" s="42"/>
      <c r="X647" s="42"/>
      <c r="Y647" s="26">
        <v>44</v>
      </c>
      <c r="Z647" s="26">
        <f t="shared" si="328"/>
        <v>0</v>
      </c>
      <c r="AA647" s="82" t="s">
        <v>38</v>
      </c>
      <c r="AB647" s="111">
        <f t="shared" si="329"/>
        <v>4</v>
      </c>
      <c r="AC647" s="82" t="s">
        <v>13</v>
      </c>
      <c r="AD647" s="84">
        <f t="shared" si="339"/>
        <v>16621.022727272728</v>
      </c>
      <c r="AE647" s="140"/>
      <c r="AF647" s="113">
        <f t="shared" si="326"/>
        <v>0</v>
      </c>
      <c r="AG647" s="26">
        <v>2026</v>
      </c>
      <c r="AH647" s="26" t="str">
        <f t="shared" si="316"/>
        <v/>
      </c>
      <c r="AI647" s="26" t="str">
        <f t="shared" si="332"/>
        <v/>
      </c>
      <c r="AJ647" s="26" t="str">
        <f t="shared" si="334"/>
        <v/>
      </c>
      <c r="AK647" s="26" t="str">
        <f t="shared" si="338"/>
        <v/>
      </c>
      <c r="AL647" s="26" t="str">
        <f t="shared" si="338"/>
        <v>Chip Seal and Fog</v>
      </c>
      <c r="AM647" s="26" t="str">
        <f t="shared" si="338"/>
        <v/>
      </c>
      <c r="AN647" s="26" t="str">
        <f t="shared" si="325"/>
        <v>Chip Seal and Fog</v>
      </c>
      <c r="AO647" s="26" t="str">
        <f t="shared" si="335"/>
        <v/>
      </c>
      <c r="AP647" s="26" t="str">
        <f t="shared" si="318"/>
        <v/>
      </c>
      <c r="AQ647" s="68">
        <f t="shared" si="330"/>
        <v>8</v>
      </c>
      <c r="AR647" s="68">
        <f t="shared" si="331"/>
        <v>6</v>
      </c>
      <c r="AS647" s="68">
        <f t="shared" si="319"/>
        <v>1.05</v>
      </c>
      <c r="AT647" s="68">
        <f t="shared" si="320"/>
        <v>1.05</v>
      </c>
      <c r="AU647" s="68">
        <f t="shared" si="321"/>
        <v>1.05</v>
      </c>
      <c r="AV647" s="68">
        <f t="shared" si="322"/>
        <v>1.1000000000000001</v>
      </c>
      <c r="AW647" s="68">
        <f t="shared" si="323"/>
        <v>1.1000000000000001</v>
      </c>
      <c r="AX647" s="68">
        <f t="shared" ca="1" si="324"/>
        <v>2.1</v>
      </c>
      <c r="AY647" s="68"/>
      <c r="AZ647" s="68"/>
      <c r="BA647" s="106" t="str">
        <f t="shared" si="340"/>
        <v/>
      </c>
      <c r="BB647" s="178">
        <v>79</v>
      </c>
      <c r="BC647" s="178">
        <v>1</v>
      </c>
      <c r="BD647" s="178"/>
      <c r="BE647" s="178"/>
      <c r="BF647" s="178"/>
      <c r="BG647" s="178"/>
      <c r="BH647" s="178"/>
      <c r="BI647" s="33"/>
      <c r="BK647" s="48">
        <f>$G647/5280*VLOOKUP($AC647,'Cost and Score'!$B$27:$O$40,6,0)</f>
        <v>0.15829545454545457</v>
      </c>
      <c r="BL647" s="48">
        <f>$G647/5280*VLOOKUP($AC647,'Cost and Score'!$B$27:$O$40,7,0)</f>
        <v>17.412500000000001</v>
      </c>
      <c r="BM647" s="48">
        <f>$G647/5280*VLOOKUP($AC647,'Cost and Score'!$B$27:$O$40,8,0)</f>
        <v>0</v>
      </c>
      <c r="BN647" s="48">
        <f>$G647/5280*VLOOKUP($AC647,'Cost and Score'!$B$27:$O$40,9,0)</f>
        <v>3561.6477272727275</v>
      </c>
      <c r="BO647" s="48">
        <f>$G647/5280*VLOOKUP($AC647,'Cost and Score'!$B$27:$O$40,10,0)</f>
        <v>791.47727272727275</v>
      </c>
      <c r="BP647" s="48">
        <f>$G647/5280*VLOOKUP($AC647,'Cost and Score'!$B$27:$O$40,11,0)</f>
        <v>0</v>
      </c>
      <c r="BQ647" s="48">
        <f>$G647/5280*VLOOKUP($AC647,'Cost and Score'!$B$27:$O$40,12,0)</f>
        <v>79.14772727272728</v>
      </c>
      <c r="BR647" s="48">
        <f>$G647/5280*VLOOKUP($AC647,'Cost and Score'!$B$27:$O$40,13,0)</f>
        <v>94.977272727272734</v>
      </c>
      <c r="BS647" s="48">
        <f>$G647/5280*VLOOKUP($AC647,'Cost and Score'!$B$27:$O$40,14,0)</f>
        <v>0</v>
      </c>
      <c r="BT647" s="220">
        <f t="shared" si="341"/>
        <v>0.79147727272727275</v>
      </c>
      <c r="CN647" s="112"/>
      <c r="CO647" s="112"/>
      <c r="CP647" s="112"/>
      <c r="CQ647" s="112"/>
      <c r="CV647" s="112"/>
      <c r="CW647" s="112"/>
      <c r="CX647" s="112"/>
      <c r="CY647" s="112"/>
    </row>
    <row r="648" spans="1:103" s="2" customFormat="1" ht="14.45" hidden="1" customHeight="1" x14ac:dyDescent="0.25">
      <c r="A648" s="38" t="s">
        <v>1351</v>
      </c>
      <c r="B648" s="34" t="s">
        <v>1350</v>
      </c>
      <c r="C648" s="26" t="s">
        <v>1350</v>
      </c>
      <c r="D648" s="82"/>
      <c r="E648" s="82" t="s">
        <v>121</v>
      </c>
      <c r="F648" s="82" t="s">
        <v>124</v>
      </c>
      <c r="G648" s="29">
        <v>4000</v>
      </c>
      <c r="H648" s="29">
        <f t="shared" si="336"/>
        <v>20</v>
      </c>
      <c r="I648" s="26" t="s">
        <v>13</v>
      </c>
      <c r="J648" s="26" t="s">
        <v>11</v>
      </c>
      <c r="K648" s="26">
        <f t="shared" si="337"/>
        <v>0</v>
      </c>
      <c r="L648" s="42">
        <v>6</v>
      </c>
      <c r="M648" s="42">
        <v>6</v>
      </c>
      <c r="N648" s="42">
        <v>6</v>
      </c>
      <c r="O648" s="83">
        <v>6</v>
      </c>
      <c r="P648" s="83">
        <v>6</v>
      </c>
      <c r="Q648" s="83">
        <v>8</v>
      </c>
      <c r="R648" s="83">
        <v>7</v>
      </c>
      <c r="S648" s="83">
        <v>7</v>
      </c>
      <c r="T648" s="83">
        <v>7</v>
      </c>
      <c r="U648" s="83">
        <v>7</v>
      </c>
      <c r="V648" s="42"/>
      <c r="W648" s="42"/>
      <c r="X648" s="42"/>
      <c r="Y648" s="26">
        <v>204</v>
      </c>
      <c r="Z648" s="26">
        <f t="shared" si="328"/>
        <v>0</v>
      </c>
      <c r="AA648" s="82" t="s">
        <v>38</v>
      </c>
      <c r="AB648" s="111">
        <f t="shared" si="329"/>
        <v>4</v>
      </c>
      <c r="AC648" s="82" t="s">
        <v>2073</v>
      </c>
      <c r="AD648" s="84">
        <f t="shared" si="339"/>
        <v>24242.424242424244</v>
      </c>
      <c r="AE648" s="140">
        <v>1</v>
      </c>
      <c r="AF648" s="113">
        <f t="shared" si="326"/>
        <v>24242.424242424244</v>
      </c>
      <c r="AG648" s="82">
        <v>2023</v>
      </c>
      <c r="AH648" s="26" t="str">
        <f t="shared" si="316"/>
        <v/>
      </c>
      <c r="AI648" s="26" t="str">
        <f t="shared" si="332"/>
        <v>Chip Seal - Double and Fog</v>
      </c>
      <c r="AJ648" s="26" t="str">
        <f t="shared" si="334"/>
        <v/>
      </c>
      <c r="AK648" s="26" t="str">
        <f t="shared" ref="AK648:AM667" si="342">IF($AG648=AK$1,VLOOKUP($AC648,RSL,3,FALSE),"")</f>
        <v/>
      </c>
      <c r="AL648" s="26" t="str">
        <f t="shared" si="342"/>
        <v/>
      </c>
      <c r="AM648" s="26" t="str">
        <f t="shared" si="342"/>
        <v/>
      </c>
      <c r="AN648" s="26" t="str">
        <f t="shared" si="325"/>
        <v>Chip Seal - Double and Fog</v>
      </c>
      <c r="AO648" s="26" t="str">
        <f t="shared" si="335"/>
        <v/>
      </c>
      <c r="AP648" s="26" t="str">
        <f t="shared" si="318"/>
        <v/>
      </c>
      <c r="AQ648" s="68">
        <f t="shared" si="330"/>
        <v>8</v>
      </c>
      <c r="AR648" s="68">
        <f t="shared" si="331"/>
        <v>6</v>
      </c>
      <c r="AS648" s="68">
        <f t="shared" si="319"/>
        <v>1.1000000000000001</v>
      </c>
      <c r="AT648" s="68">
        <f t="shared" si="320"/>
        <v>1.1000000000000001</v>
      </c>
      <c r="AU648" s="68">
        <f t="shared" si="321"/>
        <v>1.1000000000000001</v>
      </c>
      <c r="AV648" s="68">
        <f t="shared" si="322"/>
        <v>1.1000000000000001</v>
      </c>
      <c r="AW648" s="68">
        <f t="shared" si="323"/>
        <v>1.1000000000000001</v>
      </c>
      <c r="AX648" s="68">
        <f t="shared" ca="1" si="324"/>
        <v>-1.1000000000000001</v>
      </c>
      <c r="AY648" s="68">
        <v>2023</v>
      </c>
      <c r="AZ648" s="68" t="s">
        <v>2073</v>
      </c>
      <c r="BA648" s="106" t="str">
        <f t="shared" si="340"/>
        <v/>
      </c>
      <c r="BB648" s="178"/>
      <c r="BC648" s="178">
        <v>4</v>
      </c>
      <c r="BD648" s="178"/>
      <c r="BE648" s="178"/>
      <c r="BF648" s="178"/>
      <c r="BG648" s="178"/>
      <c r="BH648" s="178"/>
      <c r="BI648" s="33"/>
      <c r="BK648" s="48">
        <f>$G648/5280*VLOOKUP($AC648,'Cost and Score'!$B$27:$O$40,6,0)</f>
        <v>0.37878787878787878</v>
      </c>
      <c r="BL648" s="48">
        <f>$G648/5280*VLOOKUP($AC648,'Cost and Score'!$B$27:$O$40,7,0)</f>
        <v>37.878787878787875</v>
      </c>
      <c r="BM648" s="48">
        <f>$G648/5280*VLOOKUP($AC648,'Cost and Score'!$B$27:$O$40,8,0)</f>
        <v>0</v>
      </c>
      <c r="BN648" s="48">
        <f>$G648/5280*VLOOKUP($AC648,'Cost and Score'!$B$27:$O$40,9,0)</f>
        <v>7196.969696969697</v>
      </c>
      <c r="BO648" s="48">
        <f>$G648/5280*VLOOKUP($AC648,'Cost and Score'!$B$27:$O$40,10,0)</f>
        <v>757.57575757575762</v>
      </c>
      <c r="BP648" s="48">
        <f>$G648/5280*VLOOKUP($AC648,'Cost and Score'!$B$27:$O$40,11,0)</f>
        <v>0</v>
      </c>
      <c r="BQ648" s="48">
        <f>$G648/5280*VLOOKUP($AC648,'Cost and Score'!$B$27:$O$40,12,0)</f>
        <v>151.5151515151515</v>
      </c>
      <c r="BR648" s="48">
        <f>$G648/5280*VLOOKUP($AC648,'Cost and Score'!$B$27:$O$40,13,0)</f>
        <v>136.36363636363637</v>
      </c>
      <c r="BS648" s="48">
        <f>$G648/5280*VLOOKUP($AC648,'Cost and Score'!$B$27:$O$40,14,0)</f>
        <v>181.81818181818181</v>
      </c>
      <c r="BT648" s="220">
        <f t="shared" si="341"/>
        <v>0.75757575757575757</v>
      </c>
      <c r="CW648" s="112"/>
      <c r="CX648" s="112"/>
      <c r="CY648" s="112"/>
    </row>
    <row r="649" spans="1:103" s="2" customFormat="1" ht="14.45" hidden="1" customHeight="1" x14ac:dyDescent="0.25">
      <c r="A649" s="38" t="s">
        <v>1353</v>
      </c>
      <c r="B649" s="34" t="s">
        <v>1352</v>
      </c>
      <c r="C649" s="26" t="s">
        <v>1352</v>
      </c>
      <c r="D649" s="82"/>
      <c r="E649" s="82" t="s">
        <v>124</v>
      </c>
      <c r="F649" s="82" t="s">
        <v>129</v>
      </c>
      <c r="G649" s="29">
        <v>5231</v>
      </c>
      <c r="H649" s="29">
        <f t="shared" si="336"/>
        <v>20</v>
      </c>
      <c r="I649" s="26" t="s">
        <v>13</v>
      </c>
      <c r="J649" s="26" t="s">
        <v>11</v>
      </c>
      <c r="K649" s="26">
        <f t="shared" si="337"/>
        <v>0</v>
      </c>
      <c r="L649" s="42">
        <v>7</v>
      </c>
      <c r="M649" s="42">
        <v>6</v>
      </c>
      <c r="N649" s="42">
        <v>6</v>
      </c>
      <c r="O649" s="83">
        <v>6</v>
      </c>
      <c r="P649" s="83">
        <v>6</v>
      </c>
      <c r="Q649" s="83">
        <v>8</v>
      </c>
      <c r="R649" s="83">
        <v>8</v>
      </c>
      <c r="S649" s="83">
        <v>7</v>
      </c>
      <c r="T649" s="83">
        <v>7</v>
      </c>
      <c r="U649" s="83">
        <v>7</v>
      </c>
      <c r="V649" s="42"/>
      <c r="W649" s="42"/>
      <c r="X649" s="42"/>
      <c r="Y649" s="26">
        <v>190</v>
      </c>
      <c r="Z649" s="26">
        <f t="shared" si="328"/>
        <v>0</v>
      </c>
      <c r="AA649" s="82" t="s">
        <v>38</v>
      </c>
      <c r="AB649" s="111">
        <f t="shared" si="329"/>
        <v>4</v>
      </c>
      <c r="AC649" s="82" t="s">
        <v>13</v>
      </c>
      <c r="AD649" s="84">
        <f t="shared" si="339"/>
        <v>20805.113636363636</v>
      </c>
      <c r="AE649" s="140">
        <v>1</v>
      </c>
      <c r="AF649" s="113">
        <f t="shared" si="326"/>
        <v>20805.113636363636</v>
      </c>
      <c r="AG649" s="82">
        <v>2023</v>
      </c>
      <c r="AH649" s="26" t="str">
        <f t="shared" si="316"/>
        <v/>
      </c>
      <c r="AI649" s="26" t="str">
        <f t="shared" si="332"/>
        <v>Chip Seal and Fog</v>
      </c>
      <c r="AJ649" s="26" t="str">
        <f t="shared" si="334"/>
        <v/>
      </c>
      <c r="AK649" s="26" t="str">
        <f t="shared" si="342"/>
        <v/>
      </c>
      <c r="AL649" s="26" t="str">
        <f t="shared" si="342"/>
        <v/>
      </c>
      <c r="AM649" s="26" t="str">
        <f t="shared" si="342"/>
        <v/>
      </c>
      <c r="AN649" s="26" t="str">
        <f t="shared" si="325"/>
        <v>Chip Seal and Fog</v>
      </c>
      <c r="AO649" s="26" t="str">
        <f t="shared" si="335"/>
        <v/>
      </c>
      <c r="AP649" s="26" t="str">
        <f t="shared" si="318"/>
        <v/>
      </c>
      <c r="AQ649" s="68">
        <f t="shared" si="330"/>
        <v>8</v>
      </c>
      <c r="AR649" s="68">
        <f t="shared" si="331"/>
        <v>6</v>
      </c>
      <c r="AS649" s="68">
        <f t="shared" si="319"/>
        <v>1.05</v>
      </c>
      <c r="AT649" s="68">
        <f t="shared" si="320"/>
        <v>1.1000000000000001</v>
      </c>
      <c r="AU649" s="68">
        <f t="shared" si="321"/>
        <v>1.1000000000000001</v>
      </c>
      <c r="AV649" s="68">
        <f t="shared" si="322"/>
        <v>1.1000000000000001</v>
      </c>
      <c r="AW649" s="68">
        <f t="shared" si="323"/>
        <v>1.1000000000000001</v>
      </c>
      <c r="AX649" s="68">
        <f t="shared" ca="1" si="324"/>
        <v>-1.1000000000000001</v>
      </c>
      <c r="AY649" s="68">
        <v>2023</v>
      </c>
      <c r="AZ649" s="68" t="s">
        <v>13</v>
      </c>
      <c r="BA649" s="106" t="str">
        <f t="shared" si="340"/>
        <v/>
      </c>
      <c r="BB649" s="178"/>
      <c r="BC649" s="178">
        <v>2</v>
      </c>
      <c r="BD649" s="178"/>
      <c r="BE649" s="178"/>
      <c r="BF649" s="178"/>
      <c r="BG649" s="178"/>
      <c r="BH649" s="178"/>
      <c r="BI649" s="33"/>
      <c r="BK649" s="48">
        <f>$G649/5280*VLOOKUP($AC649,'Cost and Score'!$B$27:$O$40,6,0)</f>
        <v>0.1981439393939394</v>
      </c>
      <c r="BL649" s="48">
        <f>$G649/5280*VLOOKUP($AC649,'Cost and Score'!$B$27:$O$40,7,0)</f>
        <v>21.795833333333334</v>
      </c>
      <c r="BM649" s="48">
        <f>$G649/5280*VLOOKUP($AC649,'Cost and Score'!$B$27:$O$40,8,0)</f>
        <v>0</v>
      </c>
      <c r="BN649" s="48">
        <f>$G649/5280*VLOOKUP($AC649,'Cost and Score'!$B$27:$O$40,9,0)</f>
        <v>4458.238636363636</v>
      </c>
      <c r="BO649" s="48">
        <f>$G649/5280*VLOOKUP($AC649,'Cost and Score'!$B$27:$O$40,10,0)</f>
        <v>990.719696969697</v>
      </c>
      <c r="BP649" s="48">
        <f>$G649/5280*VLOOKUP($AC649,'Cost and Score'!$B$27:$O$40,11,0)</f>
        <v>0</v>
      </c>
      <c r="BQ649" s="48">
        <f>$G649/5280*VLOOKUP($AC649,'Cost and Score'!$B$27:$O$40,12,0)</f>
        <v>99.071969696969703</v>
      </c>
      <c r="BR649" s="48">
        <f>$G649/5280*VLOOKUP($AC649,'Cost and Score'!$B$27:$O$40,13,0)</f>
        <v>118.88636363636364</v>
      </c>
      <c r="BS649" s="48">
        <f>$G649/5280*VLOOKUP($AC649,'Cost and Score'!$B$27:$O$40,14,0)</f>
        <v>0</v>
      </c>
      <c r="BT649" s="220">
        <f t="shared" si="341"/>
        <v>0.99071969696969697</v>
      </c>
    </row>
    <row r="650" spans="1:103" s="2" customFormat="1" ht="14.45" hidden="1" customHeight="1" x14ac:dyDescent="0.25">
      <c r="A650" s="40" t="s">
        <v>1355</v>
      </c>
      <c r="B650" s="41" t="s">
        <v>1354</v>
      </c>
      <c r="C650" s="26" t="s">
        <v>1354</v>
      </c>
      <c r="D650" s="26"/>
      <c r="E650" s="26" t="s">
        <v>59</v>
      </c>
      <c r="F650" s="26" t="s">
        <v>1185</v>
      </c>
      <c r="G650" s="29">
        <v>2798</v>
      </c>
      <c r="H650" s="29">
        <f t="shared" si="336"/>
        <v>20</v>
      </c>
      <c r="I650" s="106" t="s">
        <v>13</v>
      </c>
      <c r="J650" s="26" t="s">
        <v>62</v>
      </c>
      <c r="K650" s="26">
        <f t="shared" si="337"/>
        <v>0</v>
      </c>
      <c r="L650" s="42">
        <v>5</v>
      </c>
      <c r="M650" s="42">
        <v>5</v>
      </c>
      <c r="N650" s="42">
        <v>10</v>
      </c>
      <c r="O650" s="42">
        <v>9</v>
      </c>
      <c r="P650" s="42">
        <v>8</v>
      </c>
      <c r="Q650" s="42">
        <v>7</v>
      </c>
      <c r="R650" s="42">
        <v>7</v>
      </c>
      <c r="S650" s="42">
        <v>7</v>
      </c>
      <c r="T650" s="42">
        <v>7</v>
      </c>
      <c r="U650" s="42">
        <v>7</v>
      </c>
      <c r="V650" s="42"/>
      <c r="W650" s="42"/>
      <c r="X650" s="42"/>
      <c r="Y650" s="26">
        <v>146</v>
      </c>
      <c r="Z650" s="26">
        <f t="shared" si="328"/>
        <v>0</v>
      </c>
      <c r="AA650" s="26" t="s">
        <v>38</v>
      </c>
      <c r="AB650" s="111">
        <f t="shared" si="329"/>
        <v>2</v>
      </c>
      <c r="AC650" s="26" t="s">
        <v>13</v>
      </c>
      <c r="AD650" s="47">
        <f t="shared" si="339"/>
        <v>11128.40909090909</v>
      </c>
      <c r="AE650" s="140">
        <v>1</v>
      </c>
      <c r="AF650" s="113">
        <f t="shared" si="326"/>
        <v>11128.40909090909</v>
      </c>
      <c r="AG650" s="26">
        <v>2023</v>
      </c>
      <c r="AH650" s="26" t="str">
        <f t="shared" si="316"/>
        <v/>
      </c>
      <c r="AI650" s="26" t="str">
        <f t="shared" si="332"/>
        <v>Chip Seal and Fog</v>
      </c>
      <c r="AJ650" s="26" t="str">
        <f t="shared" si="334"/>
        <v/>
      </c>
      <c r="AK650" s="26" t="str">
        <f t="shared" si="342"/>
        <v/>
      </c>
      <c r="AL650" s="26" t="str">
        <f t="shared" si="342"/>
        <v/>
      </c>
      <c r="AM650" s="26" t="str">
        <f t="shared" si="342"/>
        <v/>
      </c>
      <c r="AN650" s="26" t="str">
        <f t="shared" si="325"/>
        <v>Chip Seal and Fog</v>
      </c>
      <c r="AO650" s="26" t="str">
        <f t="shared" si="335"/>
        <v/>
      </c>
      <c r="AP650" s="26" t="str">
        <f t="shared" si="318"/>
        <v/>
      </c>
      <c r="AQ650" s="68">
        <f t="shared" si="330"/>
        <v>14</v>
      </c>
      <c r="AR650" s="68">
        <f t="shared" si="331"/>
        <v>6</v>
      </c>
      <c r="AS650" s="68">
        <f t="shared" si="319"/>
        <v>1.25</v>
      </c>
      <c r="AT650" s="68">
        <f t="shared" si="320"/>
        <v>1.25</v>
      </c>
      <c r="AU650" s="68">
        <f t="shared" si="321"/>
        <v>1</v>
      </c>
      <c r="AV650" s="68">
        <f t="shared" si="322"/>
        <v>1</v>
      </c>
      <c r="AW650" s="68">
        <f t="shared" si="323"/>
        <v>1</v>
      </c>
      <c r="AX650" s="68">
        <f t="shared" ca="1" si="324"/>
        <v>-1</v>
      </c>
      <c r="AY650" s="68">
        <v>2023</v>
      </c>
      <c r="AZ650" s="68" t="s">
        <v>13</v>
      </c>
      <c r="BA650" s="106" t="str">
        <f t="shared" si="340"/>
        <v/>
      </c>
      <c r="BB650" s="178"/>
      <c r="BC650" s="178">
        <v>1</v>
      </c>
      <c r="BD650" s="178"/>
      <c r="BE650" s="178"/>
      <c r="BF650" s="178"/>
      <c r="BG650" s="178"/>
      <c r="BH650" s="178"/>
      <c r="BI650" s="33"/>
      <c r="BK650" s="48">
        <f>$G650/5280*VLOOKUP($AC650,'Cost and Score'!$B$27:$O$40,6,0)</f>
        <v>0.10598484848484849</v>
      </c>
      <c r="BL650" s="48">
        <f>$G650/5280*VLOOKUP($AC650,'Cost and Score'!$B$27:$O$40,7,0)</f>
        <v>11.658333333333333</v>
      </c>
      <c r="BM650" s="48">
        <f>$G650/5280*VLOOKUP($AC650,'Cost and Score'!$B$27:$O$40,8,0)</f>
        <v>0</v>
      </c>
      <c r="BN650" s="48">
        <f>$G650/5280*VLOOKUP($AC650,'Cost and Score'!$B$27:$O$40,9,0)</f>
        <v>2384.659090909091</v>
      </c>
      <c r="BO650" s="48">
        <f>$G650/5280*VLOOKUP($AC650,'Cost and Score'!$B$27:$O$40,10,0)</f>
        <v>529.92424242424238</v>
      </c>
      <c r="BP650" s="48">
        <f>$G650/5280*VLOOKUP($AC650,'Cost and Score'!$B$27:$O$40,11,0)</f>
        <v>0</v>
      </c>
      <c r="BQ650" s="48">
        <f>$G650/5280*VLOOKUP($AC650,'Cost and Score'!$B$27:$O$40,12,0)</f>
        <v>52.992424242424242</v>
      </c>
      <c r="BR650" s="48">
        <f>$G650/5280*VLOOKUP($AC650,'Cost and Score'!$B$27:$O$40,13,0)</f>
        <v>63.590909090909086</v>
      </c>
      <c r="BS650" s="48">
        <f>$G650/5280*VLOOKUP($AC650,'Cost and Score'!$B$27:$O$40,14,0)</f>
        <v>0</v>
      </c>
      <c r="BT650" s="220">
        <f t="shared" si="341"/>
        <v>0.52992424242424241</v>
      </c>
    </row>
    <row r="651" spans="1:103" s="2" customFormat="1" ht="14.45" hidden="1" customHeight="1" x14ac:dyDescent="0.25">
      <c r="A651" s="38" t="s">
        <v>1357</v>
      </c>
      <c r="B651" s="34" t="s">
        <v>1356</v>
      </c>
      <c r="C651" s="26" t="s">
        <v>1356</v>
      </c>
      <c r="D651" s="26"/>
      <c r="E651" s="26" t="s">
        <v>129</v>
      </c>
      <c r="F651" s="26" t="s">
        <v>608</v>
      </c>
      <c r="G651" s="29">
        <v>1300</v>
      </c>
      <c r="H651" s="29">
        <f t="shared" ref="H651:H682" si="343">IF(I651="NC",26,20)</f>
        <v>20</v>
      </c>
      <c r="I651" s="26" t="s">
        <v>8</v>
      </c>
      <c r="J651" s="26" t="s">
        <v>11</v>
      </c>
      <c r="K651" s="26">
        <f t="shared" si="337"/>
        <v>0</v>
      </c>
      <c r="L651" s="42">
        <v>8</v>
      </c>
      <c r="M651" s="42">
        <v>7</v>
      </c>
      <c r="N651" s="42">
        <v>7</v>
      </c>
      <c r="O651" s="42">
        <v>7</v>
      </c>
      <c r="P651" s="42">
        <v>7</v>
      </c>
      <c r="Q651" s="42">
        <v>7</v>
      </c>
      <c r="R651" s="42">
        <v>7</v>
      </c>
      <c r="S651" s="42">
        <v>7</v>
      </c>
      <c r="T651" s="42">
        <v>7</v>
      </c>
      <c r="U651" s="42">
        <v>7</v>
      </c>
      <c r="V651" s="42"/>
      <c r="W651" s="42"/>
      <c r="X651" s="42"/>
      <c r="Y651" s="26">
        <v>157</v>
      </c>
      <c r="Z651" s="26">
        <f t="shared" si="328"/>
        <v>0</v>
      </c>
      <c r="AA651" s="26" t="s">
        <v>38</v>
      </c>
      <c r="AB651" s="111">
        <f t="shared" si="329"/>
        <v>3</v>
      </c>
      <c r="AC651" s="106" t="s">
        <v>13</v>
      </c>
      <c r="AD651" s="47">
        <f t="shared" si="339"/>
        <v>5170.454545454545</v>
      </c>
      <c r="AE651" s="140">
        <v>1</v>
      </c>
      <c r="AF651" s="113">
        <f t="shared" si="326"/>
        <v>5170.454545454545</v>
      </c>
      <c r="AG651" s="26">
        <v>2023</v>
      </c>
      <c r="AH651" s="26" t="str">
        <f t="shared" si="316"/>
        <v/>
      </c>
      <c r="AI651" s="26" t="str">
        <f t="shared" si="332"/>
        <v>Chip Seal and Fog</v>
      </c>
      <c r="AJ651" s="26" t="str">
        <f t="shared" si="334"/>
        <v/>
      </c>
      <c r="AK651" s="26" t="str">
        <f t="shared" si="342"/>
        <v/>
      </c>
      <c r="AL651" s="26" t="str">
        <f t="shared" si="342"/>
        <v/>
      </c>
      <c r="AM651" s="26" t="str">
        <f t="shared" si="342"/>
        <v/>
      </c>
      <c r="AN651" s="26" t="str">
        <f t="shared" si="325"/>
        <v>Chip Seal and Fog</v>
      </c>
      <c r="AO651" s="26" t="str">
        <f t="shared" si="335"/>
        <v/>
      </c>
      <c r="AP651" s="26" t="str">
        <f t="shared" si="318"/>
        <v/>
      </c>
      <c r="AQ651" s="68">
        <f t="shared" si="330"/>
        <v>10</v>
      </c>
      <c r="AR651" s="68">
        <f t="shared" si="331"/>
        <v>6</v>
      </c>
      <c r="AS651" s="68">
        <f t="shared" si="319"/>
        <v>1</v>
      </c>
      <c r="AT651" s="68">
        <f t="shared" si="320"/>
        <v>1.05</v>
      </c>
      <c r="AU651" s="68">
        <f t="shared" si="321"/>
        <v>1.05</v>
      </c>
      <c r="AV651" s="68">
        <f t="shared" si="322"/>
        <v>1.05</v>
      </c>
      <c r="AW651" s="68">
        <f t="shared" si="323"/>
        <v>1.05</v>
      </c>
      <c r="AX651" s="68">
        <f t="shared" ca="1" si="324"/>
        <v>-1.05</v>
      </c>
      <c r="AY651" s="68">
        <v>2023</v>
      </c>
      <c r="AZ651" s="68" t="s">
        <v>13</v>
      </c>
      <c r="BA651" s="106" t="str">
        <f t="shared" si="340"/>
        <v/>
      </c>
      <c r="BB651" s="178"/>
      <c r="BC651" s="178">
        <v>2</v>
      </c>
      <c r="BD651" s="178"/>
      <c r="BE651" s="178"/>
      <c r="BF651" s="178"/>
      <c r="BG651" s="178"/>
      <c r="BH651" s="178"/>
      <c r="BI651" s="33"/>
      <c r="BK651" s="48">
        <f>$G651/5280*VLOOKUP($AC651,'Cost and Score'!$B$27:$O$40,6,0)</f>
        <v>4.9242424242424247E-2</v>
      </c>
      <c r="BL651" s="48">
        <f>$G651/5280*VLOOKUP($AC651,'Cost and Score'!$B$27:$O$40,7,0)</f>
        <v>5.416666666666667</v>
      </c>
      <c r="BM651" s="48">
        <f>$G651/5280*VLOOKUP($AC651,'Cost and Score'!$B$27:$O$40,8,0)</f>
        <v>0</v>
      </c>
      <c r="BN651" s="48">
        <f>$G651/5280*VLOOKUP($AC651,'Cost and Score'!$B$27:$O$40,9,0)</f>
        <v>1107.9545454545455</v>
      </c>
      <c r="BO651" s="48">
        <f>$G651/5280*VLOOKUP($AC651,'Cost and Score'!$B$27:$O$40,10,0)</f>
        <v>246.21212121212122</v>
      </c>
      <c r="BP651" s="48">
        <f>$G651/5280*VLOOKUP($AC651,'Cost and Score'!$B$27:$O$40,11,0)</f>
        <v>0</v>
      </c>
      <c r="BQ651" s="48">
        <f>$G651/5280*VLOOKUP($AC651,'Cost and Score'!$B$27:$O$40,12,0)</f>
        <v>24.621212121212121</v>
      </c>
      <c r="BR651" s="48">
        <f>$G651/5280*VLOOKUP($AC651,'Cost and Score'!$B$27:$O$40,13,0)</f>
        <v>29.545454545454547</v>
      </c>
      <c r="BS651" s="48">
        <f>$G651/5280*VLOOKUP($AC651,'Cost and Score'!$B$27:$O$40,14,0)</f>
        <v>0</v>
      </c>
      <c r="BT651" s="220">
        <f t="shared" si="341"/>
        <v>0.24621212121212122</v>
      </c>
      <c r="CN651" s="112"/>
      <c r="CO651" s="112"/>
      <c r="CP651" s="112"/>
      <c r="CQ651" s="112"/>
      <c r="CR651" s="112"/>
    </row>
    <row r="652" spans="1:103" s="2" customFormat="1" ht="14.45" hidden="1" customHeight="1" x14ac:dyDescent="0.25">
      <c r="A652" s="40" t="s">
        <v>1359</v>
      </c>
      <c r="B652" s="41" t="s">
        <v>1358</v>
      </c>
      <c r="C652" s="26" t="s">
        <v>1358</v>
      </c>
      <c r="D652" s="26"/>
      <c r="E652" s="26" t="s">
        <v>64</v>
      </c>
      <c r="F652" s="26" t="s">
        <v>59</v>
      </c>
      <c r="G652" s="29">
        <v>5280</v>
      </c>
      <c r="H652" s="29">
        <f t="shared" si="343"/>
        <v>20</v>
      </c>
      <c r="I652" s="106" t="s">
        <v>13</v>
      </c>
      <c r="J652" s="26" t="s">
        <v>62</v>
      </c>
      <c r="K652" s="26">
        <f t="shared" si="337"/>
        <v>0</v>
      </c>
      <c r="L652" s="42">
        <v>5</v>
      </c>
      <c r="M652" s="42">
        <v>5</v>
      </c>
      <c r="N652" s="42">
        <v>10</v>
      </c>
      <c r="O652" s="42">
        <v>9</v>
      </c>
      <c r="P652" s="42">
        <v>8</v>
      </c>
      <c r="Q652" s="42">
        <v>7</v>
      </c>
      <c r="R652" s="42">
        <v>7</v>
      </c>
      <c r="S652" s="42">
        <v>7</v>
      </c>
      <c r="T652" s="42">
        <v>7</v>
      </c>
      <c r="U652" s="42">
        <v>7</v>
      </c>
      <c r="V652" s="42"/>
      <c r="W652" s="42"/>
      <c r="X652" s="42"/>
      <c r="Y652" s="26">
        <v>133</v>
      </c>
      <c r="Z652" s="26">
        <f t="shared" si="328"/>
        <v>0</v>
      </c>
      <c r="AA652" s="26" t="s">
        <v>38</v>
      </c>
      <c r="AB652" s="111">
        <f t="shared" si="329"/>
        <v>2</v>
      </c>
      <c r="AC652" s="26" t="s">
        <v>13</v>
      </c>
      <c r="AD652" s="47">
        <f t="shared" si="339"/>
        <v>21000</v>
      </c>
      <c r="AE652" s="140"/>
      <c r="AF652" s="113">
        <f t="shared" si="326"/>
        <v>0</v>
      </c>
      <c r="AG652" s="26">
        <v>2022</v>
      </c>
      <c r="AH652" s="26" t="str">
        <f t="shared" si="316"/>
        <v>Chip Seal and Fog</v>
      </c>
      <c r="AI652" s="26" t="str">
        <f t="shared" si="332"/>
        <v/>
      </c>
      <c r="AJ652" s="26" t="str">
        <f t="shared" si="334"/>
        <v/>
      </c>
      <c r="AK652" s="26" t="str">
        <f t="shared" si="342"/>
        <v/>
      </c>
      <c r="AL652" s="26" t="str">
        <f t="shared" si="342"/>
        <v/>
      </c>
      <c r="AM652" s="26" t="str">
        <f t="shared" si="342"/>
        <v/>
      </c>
      <c r="AN652" s="26" t="str">
        <f t="shared" si="325"/>
        <v>Chip Seal and Fog</v>
      </c>
      <c r="AO652" s="26" t="str">
        <f t="shared" si="335"/>
        <v/>
      </c>
      <c r="AP652" s="26" t="str">
        <f t="shared" si="318"/>
        <v>Chip Seal and Fog</v>
      </c>
      <c r="AQ652" s="68">
        <f t="shared" si="330"/>
        <v>14</v>
      </c>
      <c r="AR652" s="68">
        <f t="shared" si="331"/>
        <v>6</v>
      </c>
      <c r="AS652" s="68">
        <f t="shared" si="319"/>
        <v>1.25</v>
      </c>
      <c r="AT652" s="68">
        <f t="shared" si="320"/>
        <v>1.25</v>
      </c>
      <c r="AU652" s="68">
        <f t="shared" si="321"/>
        <v>1</v>
      </c>
      <c r="AV652" s="68">
        <f t="shared" si="322"/>
        <v>1</v>
      </c>
      <c r="AW652" s="68">
        <f t="shared" si="323"/>
        <v>1</v>
      </c>
      <c r="AX652" s="68">
        <f t="shared" ca="1" si="324"/>
        <v>-2</v>
      </c>
      <c r="AY652" s="68">
        <v>2022</v>
      </c>
      <c r="AZ652" s="68" t="s">
        <v>13</v>
      </c>
      <c r="BA652" s="106" t="str">
        <f t="shared" si="340"/>
        <v/>
      </c>
      <c r="BB652" s="178"/>
      <c r="BC652" s="178">
        <v>1</v>
      </c>
      <c r="BD652" s="178"/>
      <c r="BE652" s="178"/>
      <c r="BF652" s="178"/>
      <c r="BG652" s="178"/>
      <c r="BH652" s="178"/>
      <c r="BI652" s="33"/>
      <c r="BK652" s="48">
        <f>$G652/5280*VLOOKUP($AC652,'Cost and Score'!$B$27:$O$40,6,0)</f>
        <v>0.2</v>
      </c>
      <c r="BL652" s="48">
        <f>$G652/5280*VLOOKUP($AC652,'Cost and Score'!$B$27:$O$40,7,0)</f>
        <v>22</v>
      </c>
      <c r="BM652" s="48">
        <f>$G652/5280*VLOOKUP($AC652,'Cost and Score'!$B$27:$O$40,8,0)</f>
        <v>0</v>
      </c>
      <c r="BN652" s="48">
        <f>$G652/5280*VLOOKUP($AC652,'Cost and Score'!$B$27:$O$40,9,0)</f>
        <v>4500</v>
      </c>
      <c r="BO652" s="48">
        <f>$G652/5280*VLOOKUP($AC652,'Cost and Score'!$B$27:$O$40,10,0)</f>
        <v>1000</v>
      </c>
      <c r="BP652" s="48">
        <f>$G652/5280*VLOOKUP($AC652,'Cost and Score'!$B$27:$O$40,11,0)</f>
        <v>0</v>
      </c>
      <c r="BQ652" s="48">
        <f>$G652/5280*VLOOKUP($AC652,'Cost and Score'!$B$27:$O$40,12,0)</f>
        <v>100</v>
      </c>
      <c r="BR652" s="48">
        <f>$G652/5280*VLOOKUP($AC652,'Cost and Score'!$B$27:$O$40,13,0)</f>
        <v>120</v>
      </c>
      <c r="BS652" s="48">
        <f>$G652/5280*VLOOKUP($AC652,'Cost and Score'!$B$27:$O$40,14,0)</f>
        <v>0</v>
      </c>
      <c r="BT652" s="220">
        <f t="shared" si="341"/>
        <v>1</v>
      </c>
      <c r="CF652" s="112"/>
      <c r="CS652" s="112"/>
      <c r="CT652" s="112"/>
      <c r="CU652" s="112"/>
    </row>
    <row r="653" spans="1:103" s="2" customFormat="1" ht="14.45" customHeight="1" x14ac:dyDescent="0.25">
      <c r="A653" s="38" t="s">
        <v>1391</v>
      </c>
      <c r="B653" s="34" t="s">
        <v>1390</v>
      </c>
      <c r="C653" s="26" t="s">
        <v>1390</v>
      </c>
      <c r="D653" s="82"/>
      <c r="E653" s="82" t="s">
        <v>1185</v>
      </c>
      <c r="F653" s="82" t="s">
        <v>60</v>
      </c>
      <c r="G653" s="29">
        <v>5322</v>
      </c>
      <c r="H653" s="29">
        <f t="shared" si="343"/>
        <v>20</v>
      </c>
      <c r="I653" s="26" t="s">
        <v>8</v>
      </c>
      <c r="J653" s="26" t="s">
        <v>62</v>
      </c>
      <c r="K653" s="26">
        <f t="shared" si="337"/>
        <v>0</v>
      </c>
      <c r="L653" s="42">
        <v>6</v>
      </c>
      <c r="M653" s="42">
        <v>6</v>
      </c>
      <c r="N653" s="42">
        <v>6</v>
      </c>
      <c r="O653" s="83">
        <v>7</v>
      </c>
      <c r="P653" s="83">
        <v>7</v>
      </c>
      <c r="Q653" s="83">
        <v>7</v>
      </c>
      <c r="R653" s="83">
        <v>7</v>
      </c>
      <c r="S653" s="83">
        <v>7</v>
      </c>
      <c r="T653" s="83">
        <v>7</v>
      </c>
      <c r="U653" s="83">
        <v>7</v>
      </c>
      <c r="V653" s="42"/>
      <c r="W653" s="42"/>
      <c r="X653" s="42"/>
      <c r="Y653" s="26">
        <v>150</v>
      </c>
      <c r="Z653" s="26">
        <f t="shared" si="328"/>
        <v>0</v>
      </c>
      <c r="AA653" s="82" t="s">
        <v>38</v>
      </c>
      <c r="AB653" s="111">
        <f t="shared" si="329"/>
        <v>3</v>
      </c>
      <c r="AC653" s="82" t="s">
        <v>2073</v>
      </c>
      <c r="AD653" s="84">
        <f t="shared" si="339"/>
        <v>32254.545454545456</v>
      </c>
      <c r="AE653" s="140"/>
      <c r="AF653" s="113">
        <f t="shared" si="326"/>
        <v>0</v>
      </c>
      <c r="AG653" s="82">
        <v>2025</v>
      </c>
      <c r="AH653" s="26" t="str">
        <f t="shared" ref="AH653:AH716" si="344">IF($AG653=AH$1,VLOOKUP($AC653,RSL,3,FALSE),"")</f>
        <v/>
      </c>
      <c r="AI653" s="26" t="str">
        <f t="shared" si="332"/>
        <v/>
      </c>
      <c r="AJ653" s="26" t="str">
        <f t="shared" si="334"/>
        <v/>
      </c>
      <c r="AK653" s="26" t="str">
        <f t="shared" si="342"/>
        <v>Chip Seal - Double and Fog</v>
      </c>
      <c r="AL653" s="26" t="str">
        <f t="shared" si="342"/>
        <v/>
      </c>
      <c r="AM653" s="26" t="str">
        <f t="shared" si="342"/>
        <v/>
      </c>
      <c r="AN653" s="26" t="str">
        <f t="shared" si="325"/>
        <v>Chip Seal - Double and Fog</v>
      </c>
      <c r="AO653" s="26" t="str">
        <f t="shared" si="335"/>
        <v/>
      </c>
      <c r="AP653" s="26" t="str">
        <f t="shared" si="318"/>
        <v/>
      </c>
      <c r="AQ653" s="68">
        <f t="shared" si="330"/>
        <v>10</v>
      </c>
      <c r="AR653" s="68">
        <f t="shared" si="331"/>
        <v>6</v>
      </c>
      <c r="AS653" s="68">
        <f t="shared" si="319"/>
        <v>1.1000000000000001</v>
      </c>
      <c r="AT653" s="68">
        <f t="shared" si="320"/>
        <v>1.1000000000000001</v>
      </c>
      <c r="AU653" s="68">
        <f t="shared" si="321"/>
        <v>1.1000000000000001</v>
      </c>
      <c r="AV653" s="68">
        <f t="shared" si="322"/>
        <v>1.05</v>
      </c>
      <c r="AW653" s="68">
        <f t="shared" si="323"/>
        <v>1.05</v>
      </c>
      <c r="AX653" s="68">
        <f t="shared" ca="1" si="324"/>
        <v>1.1000000000000001</v>
      </c>
      <c r="AY653" s="68">
        <v>2018</v>
      </c>
      <c r="AZ653" s="68" t="s">
        <v>2073</v>
      </c>
      <c r="BA653" s="106" t="str">
        <f t="shared" si="340"/>
        <v>DS</v>
      </c>
      <c r="BB653" s="178"/>
      <c r="BC653" s="178">
        <v>1</v>
      </c>
      <c r="BD653" s="178"/>
      <c r="BE653" s="178"/>
      <c r="BF653" s="178"/>
      <c r="BG653" s="178"/>
      <c r="BH653" s="178"/>
      <c r="BI653" s="33"/>
      <c r="BK653" s="48">
        <f>$G653/5280*VLOOKUP($AC653,'Cost and Score'!$B$27:$O$40,6,0)</f>
        <v>0.50397727272727277</v>
      </c>
      <c r="BL653" s="48">
        <f>$G653/5280*VLOOKUP($AC653,'Cost and Score'!$B$27:$O$40,7,0)</f>
        <v>50.39772727272728</v>
      </c>
      <c r="BM653" s="48">
        <f>$G653/5280*VLOOKUP($AC653,'Cost and Score'!$B$27:$O$40,8,0)</f>
        <v>0</v>
      </c>
      <c r="BN653" s="48">
        <f>$G653/5280*VLOOKUP($AC653,'Cost and Score'!$B$27:$O$40,9,0)</f>
        <v>9575.568181818182</v>
      </c>
      <c r="BO653" s="48">
        <f>$G653/5280*VLOOKUP($AC653,'Cost and Score'!$B$27:$O$40,10,0)</f>
        <v>1007.9545454545455</v>
      </c>
      <c r="BP653" s="48">
        <f>$G653/5280*VLOOKUP($AC653,'Cost and Score'!$B$27:$O$40,11,0)</f>
        <v>0</v>
      </c>
      <c r="BQ653" s="48">
        <f>$G653/5280*VLOOKUP($AC653,'Cost and Score'!$B$27:$O$40,12,0)</f>
        <v>201.59090909090912</v>
      </c>
      <c r="BR653" s="48">
        <f>$G653/5280*VLOOKUP($AC653,'Cost and Score'!$B$27:$O$40,13,0)</f>
        <v>181.43181818181819</v>
      </c>
      <c r="BS653" s="48">
        <f>$G653/5280*VLOOKUP($AC653,'Cost and Score'!$B$27:$O$40,14,0)</f>
        <v>241.90909090909093</v>
      </c>
      <c r="BT653" s="220">
        <f t="shared" si="341"/>
        <v>1.0079545454545455</v>
      </c>
    </row>
    <row r="654" spans="1:103" s="112" customFormat="1" ht="14.45" hidden="1" customHeight="1" x14ac:dyDescent="0.25">
      <c r="A654" s="38" t="s">
        <v>1363</v>
      </c>
      <c r="B654" s="34" t="s">
        <v>1362</v>
      </c>
      <c r="C654" s="26" t="s">
        <v>1362</v>
      </c>
      <c r="D654" s="82"/>
      <c r="E654" s="82" t="s">
        <v>67</v>
      </c>
      <c r="F654" s="82" t="s">
        <v>406</v>
      </c>
      <c r="G654" s="29">
        <v>6310</v>
      </c>
      <c r="H654" s="29">
        <f t="shared" si="343"/>
        <v>20</v>
      </c>
      <c r="I654" s="26" t="s">
        <v>13</v>
      </c>
      <c r="J654" s="26" t="s">
        <v>11</v>
      </c>
      <c r="K654" s="26">
        <f t="shared" si="337"/>
        <v>0</v>
      </c>
      <c r="L654" s="42">
        <v>9</v>
      </c>
      <c r="M654" s="42">
        <v>8</v>
      </c>
      <c r="N654" s="42">
        <v>8</v>
      </c>
      <c r="O654" s="83">
        <v>8</v>
      </c>
      <c r="P654" s="83">
        <v>7</v>
      </c>
      <c r="Q654" s="83">
        <v>6</v>
      </c>
      <c r="R654" s="83">
        <v>6</v>
      </c>
      <c r="S654" s="83">
        <v>6</v>
      </c>
      <c r="T654" s="83">
        <v>6</v>
      </c>
      <c r="U654" s="83">
        <v>7</v>
      </c>
      <c r="V654" s="42"/>
      <c r="W654" s="42"/>
      <c r="X654" s="42"/>
      <c r="Y654" s="26">
        <v>136</v>
      </c>
      <c r="Z654" s="26">
        <f t="shared" si="328"/>
        <v>0</v>
      </c>
      <c r="AA654" s="82" t="s">
        <v>38</v>
      </c>
      <c r="AB654" s="111">
        <f t="shared" si="329"/>
        <v>3</v>
      </c>
      <c r="AC654" s="82" t="s">
        <v>2073</v>
      </c>
      <c r="AD654" s="84">
        <f t="shared" si="339"/>
        <v>38242.42424242424</v>
      </c>
      <c r="AE654" s="140"/>
      <c r="AF654" s="113">
        <f t="shared" si="326"/>
        <v>0</v>
      </c>
      <c r="AG654" s="26">
        <v>2022</v>
      </c>
      <c r="AH654" s="26" t="str">
        <f t="shared" si="344"/>
        <v>Chip Seal - Double and Fog</v>
      </c>
      <c r="AI654" s="26" t="str">
        <f t="shared" si="332"/>
        <v/>
      </c>
      <c r="AJ654" s="26" t="str">
        <f t="shared" si="334"/>
        <v/>
      </c>
      <c r="AK654" s="26" t="str">
        <f t="shared" si="342"/>
        <v/>
      </c>
      <c r="AL654" s="26" t="str">
        <f t="shared" si="342"/>
        <v/>
      </c>
      <c r="AM654" s="26" t="str">
        <f t="shared" si="342"/>
        <v/>
      </c>
      <c r="AN654" s="26" t="str">
        <f t="shared" si="325"/>
        <v>Chip Seal - Double and Fog</v>
      </c>
      <c r="AO654" s="26" t="str">
        <f t="shared" si="335"/>
        <v/>
      </c>
      <c r="AP654" s="26" t="str">
        <f t="shared" si="318"/>
        <v/>
      </c>
      <c r="AQ654" s="68">
        <f t="shared" si="330"/>
        <v>12</v>
      </c>
      <c r="AR654" s="68">
        <f t="shared" si="331"/>
        <v>6</v>
      </c>
      <c r="AS654" s="68">
        <f t="shared" si="319"/>
        <v>1</v>
      </c>
      <c r="AT654" s="68">
        <f t="shared" si="320"/>
        <v>1</v>
      </c>
      <c r="AU654" s="68">
        <f t="shared" si="321"/>
        <v>1</v>
      </c>
      <c r="AV654" s="68">
        <f t="shared" si="322"/>
        <v>1</v>
      </c>
      <c r="AW654" s="68">
        <f t="shared" si="323"/>
        <v>1.05</v>
      </c>
      <c r="AX654" s="68">
        <f t="shared" ca="1" si="324"/>
        <v>-2</v>
      </c>
      <c r="AY654" s="68"/>
      <c r="AZ654" s="68"/>
      <c r="BA654" s="106" t="str">
        <f t="shared" si="340"/>
        <v/>
      </c>
      <c r="BB654" s="178">
        <v>74</v>
      </c>
      <c r="BC654" s="178">
        <v>4</v>
      </c>
      <c r="BD654" s="178"/>
      <c r="BE654" s="178"/>
      <c r="BF654" s="178"/>
      <c r="BG654" s="178"/>
      <c r="BH654" s="178"/>
      <c r="BI654" s="33"/>
      <c r="BJ654" s="2"/>
      <c r="BK654" s="48">
        <f>$G654/5280*VLOOKUP($AC654,'Cost and Score'!$B$27:$O$40,6,0)</f>
        <v>0.59753787878787878</v>
      </c>
      <c r="BL654" s="48">
        <f>$G654/5280*VLOOKUP($AC654,'Cost and Score'!$B$27:$O$40,7,0)</f>
        <v>59.753787878787875</v>
      </c>
      <c r="BM654" s="48">
        <f>$G654/5280*VLOOKUP($AC654,'Cost and Score'!$B$27:$O$40,8,0)</f>
        <v>0</v>
      </c>
      <c r="BN654" s="48">
        <f>$G654/5280*VLOOKUP($AC654,'Cost and Score'!$B$27:$O$40,9,0)</f>
        <v>11353.219696969696</v>
      </c>
      <c r="BO654" s="48">
        <f>$G654/5280*VLOOKUP($AC654,'Cost and Score'!$B$27:$O$40,10,0)</f>
        <v>1195.0757575757575</v>
      </c>
      <c r="BP654" s="48">
        <f>$G654/5280*VLOOKUP($AC654,'Cost and Score'!$B$27:$O$40,11,0)</f>
        <v>0</v>
      </c>
      <c r="BQ654" s="48">
        <f>$G654/5280*VLOOKUP($AC654,'Cost and Score'!$B$27:$O$40,12,0)</f>
        <v>239.0151515151515</v>
      </c>
      <c r="BR654" s="48">
        <f>$G654/5280*VLOOKUP($AC654,'Cost and Score'!$B$27:$O$40,13,0)</f>
        <v>215.11363636363637</v>
      </c>
      <c r="BS654" s="48">
        <f>$G654/5280*VLOOKUP($AC654,'Cost and Score'!$B$27:$O$40,14,0)</f>
        <v>286.81818181818181</v>
      </c>
      <c r="BT654" s="220">
        <f t="shared" si="341"/>
        <v>1.1950757575757576</v>
      </c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N654" s="2"/>
      <c r="CO654" s="2"/>
      <c r="CP654" s="2"/>
      <c r="CQ654" s="2"/>
      <c r="CR654" s="2"/>
      <c r="CV654" s="2"/>
      <c r="CW654" s="2"/>
      <c r="CX654" s="2"/>
      <c r="CY654" s="2"/>
    </row>
    <row r="655" spans="1:103" s="2" customFormat="1" ht="14.45" customHeight="1" x14ac:dyDescent="0.25">
      <c r="A655" s="38" t="s">
        <v>1166</v>
      </c>
      <c r="B655" s="34" t="s">
        <v>1165</v>
      </c>
      <c r="C655" s="26" t="s">
        <v>1165</v>
      </c>
      <c r="D655" s="82"/>
      <c r="E655" s="82" t="s">
        <v>25</v>
      </c>
      <c r="F655" s="82" t="s">
        <v>28</v>
      </c>
      <c r="G655" s="29">
        <v>5264</v>
      </c>
      <c r="H655" s="29">
        <f t="shared" si="343"/>
        <v>20</v>
      </c>
      <c r="I655" s="26" t="s">
        <v>62</v>
      </c>
      <c r="J655" s="26" t="s">
        <v>26</v>
      </c>
      <c r="K655" s="26">
        <f t="shared" ref="K655:K686" si="345">VLOOKUP(J655,TOWNSHIPS,2,FALSE)</f>
        <v>0</v>
      </c>
      <c r="L655" s="42">
        <v>6</v>
      </c>
      <c r="M655" s="42">
        <v>5</v>
      </c>
      <c r="N655" s="42">
        <v>5</v>
      </c>
      <c r="O655" s="83">
        <v>3</v>
      </c>
      <c r="P655" s="83">
        <v>3</v>
      </c>
      <c r="Q655" s="83">
        <v>7</v>
      </c>
      <c r="R655" s="83">
        <v>7</v>
      </c>
      <c r="S655" s="83">
        <v>7</v>
      </c>
      <c r="T655" s="83">
        <v>7</v>
      </c>
      <c r="U655" s="83">
        <v>7</v>
      </c>
      <c r="V655" s="42"/>
      <c r="W655" s="42"/>
      <c r="X655" s="42"/>
      <c r="Y655" s="26">
        <v>50</v>
      </c>
      <c r="Z655" s="26">
        <f t="shared" si="328"/>
        <v>0</v>
      </c>
      <c r="AA655" s="82" t="s">
        <v>140</v>
      </c>
      <c r="AB655" s="111">
        <f t="shared" si="329"/>
        <v>7</v>
      </c>
      <c r="AC655" s="85" t="s">
        <v>2073</v>
      </c>
      <c r="AD655" s="84">
        <f t="shared" si="339"/>
        <v>31903.030303030304</v>
      </c>
      <c r="AE655" s="140"/>
      <c r="AF655" s="113">
        <f t="shared" si="326"/>
        <v>0</v>
      </c>
      <c r="AG655" s="82">
        <v>2025</v>
      </c>
      <c r="AH655" s="26" t="str">
        <f t="shared" si="344"/>
        <v/>
      </c>
      <c r="AI655" s="26" t="str">
        <f t="shared" si="332"/>
        <v/>
      </c>
      <c r="AJ655" s="26" t="str">
        <f t="shared" si="334"/>
        <v/>
      </c>
      <c r="AK655" s="26" t="str">
        <f t="shared" si="342"/>
        <v>Chip Seal - Double and Fog</v>
      </c>
      <c r="AL655" s="26" t="str">
        <f t="shared" si="342"/>
        <v/>
      </c>
      <c r="AM655" s="26" t="str">
        <f t="shared" si="342"/>
        <v/>
      </c>
      <c r="AN655" s="26" t="str">
        <f t="shared" si="325"/>
        <v>Chip Seal - Double and Fog</v>
      </c>
      <c r="AO655" s="26" t="str">
        <f t="shared" si="335"/>
        <v/>
      </c>
      <c r="AP655" s="26" t="str">
        <f t="shared" si="318"/>
        <v/>
      </c>
      <c r="AQ655" s="68">
        <f t="shared" si="330"/>
        <v>1</v>
      </c>
      <c r="AR655" s="68">
        <f t="shared" si="331"/>
        <v>6</v>
      </c>
      <c r="AS655" s="68">
        <f t="shared" si="319"/>
        <v>1.1000000000000001</v>
      </c>
      <c r="AT655" s="68">
        <f t="shared" si="320"/>
        <v>1.25</v>
      </c>
      <c r="AU655" s="68">
        <f t="shared" si="321"/>
        <v>1.25</v>
      </c>
      <c r="AV655" s="68">
        <f t="shared" si="322"/>
        <v>1.75</v>
      </c>
      <c r="AW655" s="68">
        <f t="shared" si="323"/>
        <v>1.75</v>
      </c>
      <c r="AX655" s="68">
        <f t="shared" ca="1" si="324"/>
        <v>1.25</v>
      </c>
      <c r="AY655" s="68">
        <v>2018</v>
      </c>
      <c r="AZ655" s="68" t="s">
        <v>13</v>
      </c>
      <c r="BA655" s="106" t="str">
        <f t="shared" si="340"/>
        <v>CS</v>
      </c>
      <c r="BB655" s="178"/>
      <c r="BC655" s="178">
        <v>5</v>
      </c>
      <c r="BD655" s="178"/>
      <c r="BE655" s="178"/>
      <c r="BF655" s="178"/>
      <c r="BG655" s="178"/>
      <c r="BH655" s="178"/>
      <c r="BI655" s="33" t="s">
        <v>2192</v>
      </c>
      <c r="BK655" s="48">
        <f>$G655/5280*VLOOKUP($AC655,'Cost and Score'!$B$27:$O$40,6,0)</f>
        <v>0.49848484848484848</v>
      </c>
      <c r="BL655" s="48">
        <f>$G655/5280*VLOOKUP($AC655,'Cost and Score'!$B$27:$O$40,7,0)</f>
        <v>49.848484848484844</v>
      </c>
      <c r="BM655" s="48">
        <f>$G655/5280*VLOOKUP($AC655,'Cost and Score'!$B$27:$O$40,8,0)</f>
        <v>0</v>
      </c>
      <c r="BN655" s="48">
        <f>$G655/5280*VLOOKUP($AC655,'Cost and Score'!$B$27:$O$40,9,0)</f>
        <v>9471.2121212121219</v>
      </c>
      <c r="BO655" s="48">
        <f>$G655/5280*VLOOKUP($AC655,'Cost and Score'!$B$27:$O$40,10,0)</f>
        <v>996.969696969697</v>
      </c>
      <c r="BP655" s="48">
        <f>$G655/5280*VLOOKUP($AC655,'Cost and Score'!$B$27:$O$40,11,0)</f>
        <v>0</v>
      </c>
      <c r="BQ655" s="48">
        <f>$G655/5280*VLOOKUP($AC655,'Cost and Score'!$B$27:$O$40,12,0)</f>
        <v>199.39393939393938</v>
      </c>
      <c r="BR655" s="48">
        <f>$G655/5280*VLOOKUP($AC655,'Cost and Score'!$B$27:$O$40,13,0)</f>
        <v>179.45454545454544</v>
      </c>
      <c r="BS655" s="48">
        <f>$G655/5280*VLOOKUP($AC655,'Cost and Score'!$B$27:$O$40,14,0)</f>
        <v>239.27272727272728</v>
      </c>
      <c r="BT655" s="220">
        <f t="shared" si="341"/>
        <v>0.99696969696969695</v>
      </c>
    </row>
    <row r="656" spans="1:103" s="2" customFormat="1" ht="14.45" customHeight="1" x14ac:dyDescent="0.25">
      <c r="A656" s="31" t="s">
        <v>2102</v>
      </c>
      <c r="B656" s="120" t="s">
        <v>1618</v>
      </c>
      <c r="C656" s="106" t="s">
        <v>1618</v>
      </c>
      <c r="D656" s="116" t="s">
        <v>2308</v>
      </c>
      <c r="E656" s="106" t="s">
        <v>1619</v>
      </c>
      <c r="F656" s="106" t="s">
        <v>1502</v>
      </c>
      <c r="G656" s="150">
        <v>1601</v>
      </c>
      <c r="H656" s="109">
        <f t="shared" si="343"/>
        <v>26</v>
      </c>
      <c r="I656" s="106" t="s">
        <v>2098</v>
      </c>
      <c r="J656" s="106" t="s">
        <v>160</v>
      </c>
      <c r="K656" s="106">
        <f t="shared" si="345"/>
        <v>0</v>
      </c>
      <c r="L656" s="110">
        <v>7</v>
      </c>
      <c r="M656" s="110">
        <v>8</v>
      </c>
      <c r="N656" s="110">
        <v>8</v>
      </c>
      <c r="O656" s="110">
        <v>7</v>
      </c>
      <c r="P656" s="110">
        <v>7</v>
      </c>
      <c r="Q656" s="110">
        <v>7</v>
      </c>
      <c r="R656" s="110">
        <v>8</v>
      </c>
      <c r="S656" s="110">
        <v>7</v>
      </c>
      <c r="T656" s="110">
        <v>7</v>
      </c>
      <c r="U656" s="110">
        <v>7</v>
      </c>
      <c r="V656" s="110"/>
      <c r="W656" s="110"/>
      <c r="X656" s="110"/>
      <c r="Y656" s="106">
        <v>2144</v>
      </c>
      <c r="Z656" s="106">
        <f t="shared" si="328"/>
        <v>1</v>
      </c>
      <c r="AA656" s="106" t="s">
        <v>1618</v>
      </c>
      <c r="AB656" s="111">
        <f t="shared" si="329"/>
        <v>4</v>
      </c>
      <c r="AC656" s="106" t="s">
        <v>2086</v>
      </c>
      <c r="AD656" s="107">
        <f t="shared" si="339"/>
        <v>758.04924242424238</v>
      </c>
      <c r="AE656" s="140"/>
      <c r="AF656" s="113">
        <f t="shared" si="326"/>
        <v>0</v>
      </c>
      <c r="AG656" s="106">
        <v>2025</v>
      </c>
      <c r="AH656" s="26" t="str">
        <f t="shared" si="344"/>
        <v/>
      </c>
      <c r="AI656" s="26" t="str">
        <f t="shared" si="332"/>
        <v/>
      </c>
      <c r="AJ656" s="26" t="str">
        <f t="shared" si="334"/>
        <v/>
      </c>
      <c r="AK656" s="26" t="str">
        <f t="shared" si="342"/>
        <v>Fog Seal</v>
      </c>
      <c r="AL656" s="26" t="str">
        <f t="shared" si="342"/>
        <v/>
      </c>
      <c r="AM656" s="26" t="str">
        <f t="shared" si="342"/>
        <v/>
      </c>
      <c r="AN656" s="26" t="str">
        <f t="shared" si="325"/>
        <v>Fog Seal</v>
      </c>
      <c r="AO656" s="26" t="str">
        <f t="shared" si="335"/>
        <v/>
      </c>
      <c r="AP656" s="26" t="str">
        <f t="shared" ref="AP656:AP675" si="346">IF(AY656=AP$1,VLOOKUP(AZ656,RSL,3,FALSE),"")</f>
        <v/>
      </c>
      <c r="AQ656" s="68">
        <f t="shared" si="330"/>
        <v>10</v>
      </c>
      <c r="AR656" s="68">
        <f t="shared" si="331"/>
        <v>2</v>
      </c>
      <c r="AS656" s="68">
        <f t="shared" ref="AS656:AS719" si="347">IF(L656 &lt;&gt; "",VLOOKUP(L656,RSLloss,3,FALSE),0)</f>
        <v>1.05</v>
      </c>
      <c r="AT656" s="68">
        <f t="shared" ref="AT656:AT719" si="348">IF(M656 &lt;&gt; "",VLOOKUP(M656,RSLloss,3,FALSE),0)</f>
        <v>1</v>
      </c>
      <c r="AU656" s="68">
        <f t="shared" ref="AU656:AU719" si="349">IF(N656 &lt;&gt; "",VLOOKUP(N656,RSLloss,3,FALSE),0)</f>
        <v>1</v>
      </c>
      <c r="AV656" s="68">
        <f t="shared" ref="AV656:AV719" si="350">IF(O656 &lt;&gt; "",VLOOKUP(O656,RSLloss,3,FALSE),0)</f>
        <v>1.05</v>
      </c>
      <c r="AW656" s="68">
        <f t="shared" ref="AW656:AW719" si="351">IF(P656 &lt;&gt; "",VLOOKUP(P656,RSLloss,3,FALSE),0)</f>
        <v>1.05</v>
      </c>
      <c r="AX656" s="68">
        <f t="shared" ref="AX656:AX719" ca="1" si="352">AU656*(AG656-YEAR(TODAY()))</f>
        <v>1</v>
      </c>
      <c r="AY656" s="106">
        <v>2019</v>
      </c>
      <c r="AZ656" s="106" t="s">
        <v>2425</v>
      </c>
      <c r="BA656" s="106" t="str">
        <f t="shared" si="340"/>
        <v/>
      </c>
      <c r="BB656" s="177"/>
      <c r="BC656" s="177"/>
      <c r="BD656" s="177"/>
      <c r="BE656" s="177"/>
      <c r="BF656" s="177"/>
      <c r="BG656" s="177"/>
      <c r="BH656" s="177"/>
      <c r="BI656" s="33"/>
      <c r="BK656" s="48">
        <f>$G656/5280*VLOOKUP($AC656,'Cost and Score'!$B$27:$O$40,6,0)</f>
        <v>3.0321969696969698E-2</v>
      </c>
      <c r="BL656" s="48">
        <f>$G656/5280*VLOOKUP($AC656,'Cost and Score'!$B$27:$O$40,7,0)</f>
        <v>6.0643939393939396E-2</v>
      </c>
      <c r="BM656" s="48">
        <f>$G656/5280*VLOOKUP($AC656,'Cost and Score'!$B$27:$O$40,8,0)</f>
        <v>0</v>
      </c>
      <c r="BN656" s="48">
        <f>$G656/5280*VLOOKUP($AC656,'Cost and Score'!$B$27:$O$40,9,0)</f>
        <v>0</v>
      </c>
      <c r="BO656" s="48">
        <f>$G656/5280*VLOOKUP($AC656,'Cost and Score'!$B$27:$O$40,10,0)</f>
        <v>303.219696969697</v>
      </c>
      <c r="BP656" s="48">
        <f>$G656/5280*VLOOKUP($AC656,'Cost and Score'!$B$27:$O$40,11,0)</f>
        <v>0</v>
      </c>
      <c r="BQ656" s="48">
        <f>$G656/5280*VLOOKUP($AC656,'Cost and Score'!$B$27:$O$40,12,0)</f>
        <v>0</v>
      </c>
      <c r="BR656" s="48">
        <f>$G656/5280*VLOOKUP($AC656,'Cost and Score'!$B$27:$O$40,13,0)</f>
        <v>0</v>
      </c>
      <c r="BS656" s="48">
        <f>$G656/5280*VLOOKUP($AC656,'Cost and Score'!$B$27:$O$40,14,0)</f>
        <v>0</v>
      </c>
      <c r="BT656" s="220">
        <f t="shared" si="341"/>
        <v>0.30321969696969697</v>
      </c>
      <c r="CG656" s="112"/>
      <c r="CH656" s="112"/>
      <c r="CI656" s="112"/>
      <c r="CJ656" s="112"/>
      <c r="CK656" s="112"/>
      <c r="CL656" s="112"/>
      <c r="CM656" s="112"/>
      <c r="CV656" s="112"/>
    </row>
    <row r="657" spans="1:103" s="2" customFormat="1" ht="14.45" customHeight="1" x14ac:dyDescent="0.25">
      <c r="A657" s="31" t="s">
        <v>2102</v>
      </c>
      <c r="B657" s="120" t="s">
        <v>1691</v>
      </c>
      <c r="C657" s="106" t="s">
        <v>1691</v>
      </c>
      <c r="D657" s="116" t="s">
        <v>2308</v>
      </c>
      <c r="E657" s="106" t="s">
        <v>1619</v>
      </c>
      <c r="F657" s="106" t="s">
        <v>1502</v>
      </c>
      <c r="G657" s="150">
        <v>1850</v>
      </c>
      <c r="H657" s="109">
        <f t="shared" si="343"/>
        <v>26</v>
      </c>
      <c r="I657" s="106" t="s">
        <v>2098</v>
      </c>
      <c r="J657" s="106" t="s">
        <v>160</v>
      </c>
      <c r="K657" s="106">
        <f t="shared" si="345"/>
        <v>0</v>
      </c>
      <c r="L657" s="110">
        <v>7</v>
      </c>
      <c r="M657" s="110">
        <v>7</v>
      </c>
      <c r="N657" s="110">
        <v>7</v>
      </c>
      <c r="O657" s="110"/>
      <c r="P657" s="110">
        <v>7</v>
      </c>
      <c r="Q657" s="110">
        <v>6</v>
      </c>
      <c r="R657" s="110">
        <v>8</v>
      </c>
      <c r="S657" s="110">
        <v>7</v>
      </c>
      <c r="T657" s="110">
        <v>7</v>
      </c>
      <c r="U657" s="110">
        <v>7</v>
      </c>
      <c r="V657" s="110"/>
      <c r="W657" s="110"/>
      <c r="X657" s="110"/>
      <c r="Y657" s="106">
        <v>2144</v>
      </c>
      <c r="Z657" s="106">
        <f t="shared" si="328"/>
        <v>1</v>
      </c>
      <c r="AA657" s="106" t="s">
        <v>1691</v>
      </c>
      <c r="AB657" s="111">
        <f t="shared" si="329"/>
        <v>4</v>
      </c>
      <c r="AC657" s="106" t="s">
        <v>2086</v>
      </c>
      <c r="AD657" s="107">
        <f t="shared" si="339"/>
        <v>875.94696969696975</v>
      </c>
      <c r="AE657" s="198"/>
      <c r="AF657" s="113">
        <f t="shared" si="326"/>
        <v>0</v>
      </c>
      <c r="AG657" s="106">
        <v>2025</v>
      </c>
      <c r="AH657" s="26" t="str">
        <f t="shared" si="344"/>
        <v/>
      </c>
      <c r="AI657" s="26" t="str">
        <f t="shared" si="332"/>
        <v/>
      </c>
      <c r="AJ657" s="26" t="str">
        <f t="shared" si="334"/>
        <v/>
      </c>
      <c r="AK657" s="26" t="str">
        <f t="shared" si="342"/>
        <v>Fog Seal</v>
      </c>
      <c r="AL657" s="26" t="str">
        <f t="shared" si="342"/>
        <v/>
      </c>
      <c r="AM657" s="26" t="str">
        <f t="shared" si="342"/>
        <v/>
      </c>
      <c r="AN657" s="26" t="str">
        <f t="shared" si="325"/>
        <v>Fog Seal</v>
      </c>
      <c r="AO657" s="26" t="str">
        <f t="shared" si="335"/>
        <v/>
      </c>
      <c r="AP657" s="26" t="str">
        <f t="shared" si="346"/>
        <v/>
      </c>
      <c r="AQ657" s="68" t="e">
        <f t="shared" si="330"/>
        <v>#N/A</v>
      </c>
      <c r="AR657" s="68">
        <f t="shared" si="331"/>
        <v>2</v>
      </c>
      <c r="AS657" s="68">
        <f t="shared" si="347"/>
        <v>1.05</v>
      </c>
      <c r="AT657" s="68">
        <f t="shared" si="348"/>
        <v>1.05</v>
      </c>
      <c r="AU657" s="68">
        <f t="shared" si="349"/>
        <v>1.05</v>
      </c>
      <c r="AV657" s="68">
        <f t="shared" si="350"/>
        <v>0</v>
      </c>
      <c r="AW657" s="68">
        <f t="shared" si="351"/>
        <v>1.05</v>
      </c>
      <c r="AX657" s="68">
        <f t="shared" ca="1" si="352"/>
        <v>1.05</v>
      </c>
      <c r="AY657" s="106">
        <v>2019</v>
      </c>
      <c r="AZ657" s="106" t="s">
        <v>2425</v>
      </c>
      <c r="BA657" s="106" t="str">
        <f t="shared" si="340"/>
        <v/>
      </c>
      <c r="BB657" s="177"/>
      <c r="BC657" s="177"/>
      <c r="BD657" s="177"/>
      <c r="BE657" s="177"/>
      <c r="BF657" s="177"/>
      <c r="BG657" s="177"/>
      <c r="BH657" s="177"/>
      <c r="BI657" s="33"/>
      <c r="BK657" s="48">
        <f>$G657/5280*VLOOKUP($AC657,'Cost and Score'!$B$27:$O$40,6,0)</f>
        <v>3.5037878787878791E-2</v>
      </c>
      <c r="BL657" s="48">
        <f>$G657/5280*VLOOKUP($AC657,'Cost and Score'!$B$27:$O$40,7,0)</f>
        <v>7.0075757575757583E-2</v>
      </c>
      <c r="BM657" s="48">
        <f>$G657/5280*VLOOKUP($AC657,'Cost and Score'!$B$27:$O$40,8,0)</f>
        <v>0</v>
      </c>
      <c r="BN657" s="48">
        <f>$G657/5280*VLOOKUP($AC657,'Cost and Score'!$B$27:$O$40,9,0)</f>
        <v>0</v>
      </c>
      <c r="BO657" s="48">
        <f>$G657/5280*VLOOKUP($AC657,'Cost and Score'!$B$27:$O$40,10,0)</f>
        <v>350.37878787878788</v>
      </c>
      <c r="BP657" s="48">
        <f>$G657/5280*VLOOKUP($AC657,'Cost and Score'!$B$27:$O$40,11,0)</f>
        <v>0</v>
      </c>
      <c r="BQ657" s="48">
        <f>$G657/5280*VLOOKUP($AC657,'Cost and Score'!$B$27:$O$40,12,0)</f>
        <v>0</v>
      </c>
      <c r="BR657" s="48">
        <f>$G657/5280*VLOOKUP($AC657,'Cost and Score'!$B$27:$O$40,13,0)</f>
        <v>0</v>
      </c>
      <c r="BS657" s="48">
        <f>$G657/5280*VLOOKUP($AC657,'Cost and Score'!$B$27:$O$40,14,0)</f>
        <v>0</v>
      </c>
      <c r="BT657" s="220">
        <f t="shared" si="341"/>
        <v>0.3503787878787879</v>
      </c>
      <c r="CF657" s="112"/>
      <c r="CG657" s="112"/>
      <c r="CH657" s="112"/>
      <c r="CI657" s="112"/>
      <c r="CJ657" s="112"/>
      <c r="CK657" s="112"/>
      <c r="CL657" s="112"/>
      <c r="CM657" s="112"/>
      <c r="CS657" s="112"/>
      <c r="CT657" s="112"/>
      <c r="CU657" s="112"/>
    </row>
    <row r="658" spans="1:103" s="2" customFormat="1" ht="14.45" hidden="1" customHeight="1" x14ac:dyDescent="0.25">
      <c r="A658" s="38" t="s">
        <v>1371</v>
      </c>
      <c r="B658" s="34" t="s">
        <v>1370</v>
      </c>
      <c r="C658" s="26" t="s">
        <v>1370</v>
      </c>
      <c r="D658" s="82"/>
      <c r="E658" s="82" t="s">
        <v>79</v>
      </c>
      <c r="F658" s="82" t="s">
        <v>179</v>
      </c>
      <c r="G658" s="29">
        <v>4152</v>
      </c>
      <c r="H658" s="29">
        <f t="shared" si="343"/>
        <v>20</v>
      </c>
      <c r="I658" s="26" t="s">
        <v>8</v>
      </c>
      <c r="J658" s="26" t="s">
        <v>17</v>
      </c>
      <c r="K658" s="26">
        <f t="shared" si="345"/>
        <v>0</v>
      </c>
      <c r="L658" s="42">
        <v>7</v>
      </c>
      <c r="M658" s="42">
        <v>7</v>
      </c>
      <c r="N658" s="42">
        <v>7</v>
      </c>
      <c r="O658" s="83">
        <v>7</v>
      </c>
      <c r="P658" s="83">
        <v>7</v>
      </c>
      <c r="Q658" s="83">
        <v>7</v>
      </c>
      <c r="R658" s="83">
        <v>7</v>
      </c>
      <c r="S658" s="83">
        <v>6</v>
      </c>
      <c r="T658" s="83">
        <v>7</v>
      </c>
      <c r="U658" s="83">
        <v>7</v>
      </c>
      <c r="V658" s="42"/>
      <c r="W658" s="42"/>
      <c r="X658" s="42"/>
      <c r="Y658" s="26">
        <v>86</v>
      </c>
      <c r="Z658" s="26">
        <f t="shared" si="328"/>
        <v>0</v>
      </c>
      <c r="AA658" s="82" t="s">
        <v>38</v>
      </c>
      <c r="AB658" s="111">
        <f t="shared" si="329"/>
        <v>3</v>
      </c>
      <c r="AC658" s="82" t="s">
        <v>2072</v>
      </c>
      <c r="AD658" s="84">
        <f t="shared" si="339"/>
        <v>36172.727272727272</v>
      </c>
      <c r="AE658" s="140"/>
      <c r="AF658" s="113">
        <f t="shared" si="326"/>
        <v>0</v>
      </c>
      <c r="AG658" s="26">
        <v>2027</v>
      </c>
      <c r="AH658" s="26" t="str">
        <f t="shared" si="344"/>
        <v/>
      </c>
      <c r="AI658" s="26" t="str">
        <f t="shared" si="332"/>
        <v/>
      </c>
      <c r="AJ658" s="26" t="str">
        <f t="shared" si="334"/>
        <v/>
      </c>
      <c r="AK658" s="26" t="str">
        <f t="shared" si="342"/>
        <v/>
      </c>
      <c r="AL658" s="26" t="str">
        <f t="shared" si="342"/>
        <v/>
      </c>
      <c r="AM658" s="26" t="str">
        <f t="shared" si="342"/>
        <v>Chip Seal - Triple</v>
      </c>
      <c r="AN658" s="26" t="str">
        <f t="shared" si="325"/>
        <v>Chip Seal - Triple</v>
      </c>
      <c r="AO658" s="26" t="str">
        <f t="shared" si="335"/>
        <v>Chip Seal and Fog</v>
      </c>
      <c r="AP658" s="26" t="str">
        <f t="shared" si="346"/>
        <v/>
      </c>
      <c r="AQ658" s="68">
        <f t="shared" si="330"/>
        <v>10</v>
      </c>
      <c r="AR658" s="68">
        <f t="shared" si="331"/>
        <v>8</v>
      </c>
      <c r="AS658" s="68">
        <f t="shared" si="347"/>
        <v>1.05</v>
      </c>
      <c r="AT658" s="68">
        <f t="shared" si="348"/>
        <v>1.05</v>
      </c>
      <c r="AU658" s="68">
        <f t="shared" si="349"/>
        <v>1.05</v>
      </c>
      <c r="AV658" s="68">
        <f t="shared" si="350"/>
        <v>1.05</v>
      </c>
      <c r="AW658" s="68">
        <f t="shared" si="351"/>
        <v>1.05</v>
      </c>
      <c r="AX658" s="68">
        <f t="shared" ca="1" si="352"/>
        <v>3.1500000000000004</v>
      </c>
      <c r="AY658" s="68">
        <v>2021</v>
      </c>
      <c r="AZ658" s="68" t="s">
        <v>13</v>
      </c>
      <c r="BA658" s="106" t="str">
        <f t="shared" si="340"/>
        <v/>
      </c>
      <c r="BB658" s="178">
        <v>76</v>
      </c>
      <c r="BC658" s="178">
        <v>1</v>
      </c>
      <c r="BD658" s="178"/>
      <c r="BE658" s="178"/>
      <c r="BF658" s="178"/>
      <c r="BG658" s="178"/>
      <c r="BH658" s="178"/>
      <c r="BI658" s="33"/>
      <c r="BK658" s="48">
        <f>$G658/5280*VLOOKUP($AC658,'Cost and Score'!$B$27:$O$40,6,0)</f>
        <v>0.4718181818181818</v>
      </c>
      <c r="BL658" s="48">
        <f>$G658/5280*VLOOKUP($AC658,'Cost and Score'!$B$27:$O$40,7,0)</f>
        <v>98.295454545454547</v>
      </c>
      <c r="BM658" s="48">
        <f>$G658/5280*VLOOKUP($AC658,'Cost and Score'!$B$27:$O$40,8,0)</f>
        <v>157.27272727272728</v>
      </c>
      <c r="BN658" s="48">
        <f>$G658/5280*VLOOKUP($AC658,'Cost and Score'!$B$27:$O$40,9,0)</f>
        <v>1572.7272727272727</v>
      </c>
      <c r="BO658" s="48">
        <f>$G658/5280*VLOOKUP($AC658,'Cost and Score'!$B$27:$O$40,10,0)</f>
        <v>393.18181818181819</v>
      </c>
      <c r="BP658" s="48">
        <f>$G658/5280*VLOOKUP($AC658,'Cost and Score'!$B$27:$O$40,11,0)</f>
        <v>78.63636363636364</v>
      </c>
      <c r="BQ658" s="48">
        <f>$G658/5280*VLOOKUP($AC658,'Cost and Score'!$B$27:$O$40,12,0)</f>
        <v>629.09090909090912</v>
      </c>
      <c r="BR658" s="48">
        <f>$G658/5280*VLOOKUP($AC658,'Cost and Score'!$B$27:$O$40,13,0)</f>
        <v>62.909090909090907</v>
      </c>
      <c r="BS658" s="48">
        <f>$G658/5280*VLOOKUP($AC658,'Cost and Score'!$B$27:$O$40,14,0)</f>
        <v>0</v>
      </c>
      <c r="BT658" s="220">
        <f t="shared" si="341"/>
        <v>0.78636363636363638</v>
      </c>
    </row>
    <row r="659" spans="1:103" s="2" customFormat="1" ht="14.45" hidden="1" customHeight="1" x14ac:dyDescent="0.25">
      <c r="A659" s="38" t="s">
        <v>1374</v>
      </c>
      <c r="B659" s="34" t="s">
        <v>1372</v>
      </c>
      <c r="C659" s="26" t="s">
        <v>1372</v>
      </c>
      <c r="D659" s="82"/>
      <c r="E659" s="82" t="s">
        <v>82</v>
      </c>
      <c r="F659" s="82" t="s">
        <v>1373</v>
      </c>
      <c r="G659" s="29">
        <v>4020</v>
      </c>
      <c r="H659" s="29">
        <f t="shared" si="343"/>
        <v>20</v>
      </c>
      <c r="I659" s="26" t="s">
        <v>13</v>
      </c>
      <c r="J659" s="26" t="s">
        <v>62</v>
      </c>
      <c r="K659" s="26">
        <f t="shared" si="345"/>
        <v>0</v>
      </c>
      <c r="L659" s="42">
        <v>7</v>
      </c>
      <c r="M659" s="42">
        <v>7</v>
      </c>
      <c r="N659" s="42">
        <v>6</v>
      </c>
      <c r="O659" s="83">
        <v>6</v>
      </c>
      <c r="P659" s="83">
        <v>5</v>
      </c>
      <c r="Q659" s="83">
        <v>5</v>
      </c>
      <c r="R659" s="83">
        <v>5</v>
      </c>
      <c r="S659" s="83">
        <v>7</v>
      </c>
      <c r="T659" s="83">
        <v>7</v>
      </c>
      <c r="U659" s="83">
        <v>7</v>
      </c>
      <c r="V659" s="42"/>
      <c r="W659" s="42"/>
      <c r="X659" s="42"/>
      <c r="Y659" s="26">
        <v>124</v>
      </c>
      <c r="Z659" s="26">
        <f t="shared" si="328"/>
        <v>0</v>
      </c>
      <c r="AA659" s="82" t="s">
        <v>38</v>
      </c>
      <c r="AB659" s="111">
        <f t="shared" si="329"/>
        <v>5</v>
      </c>
      <c r="AC659" s="82" t="s">
        <v>2073</v>
      </c>
      <c r="AD659" s="84">
        <f t="shared" si="339"/>
        <v>24363.636363636364</v>
      </c>
      <c r="AE659" s="140"/>
      <c r="AF659" s="113">
        <f t="shared" si="326"/>
        <v>0</v>
      </c>
      <c r="AG659" s="85">
        <v>2026</v>
      </c>
      <c r="AH659" s="26" t="str">
        <f t="shared" si="344"/>
        <v/>
      </c>
      <c r="AI659" s="26" t="str">
        <f t="shared" si="332"/>
        <v/>
      </c>
      <c r="AJ659" s="26" t="str">
        <f t="shared" si="334"/>
        <v/>
      </c>
      <c r="AK659" s="26" t="str">
        <f t="shared" si="342"/>
        <v/>
      </c>
      <c r="AL659" s="26" t="str">
        <f t="shared" si="342"/>
        <v>Chip Seal - Double and Fog</v>
      </c>
      <c r="AM659" s="26" t="str">
        <f t="shared" si="342"/>
        <v/>
      </c>
      <c r="AN659" s="26" t="str">
        <f t="shared" si="325"/>
        <v>Chip Seal - Double and Fog</v>
      </c>
      <c r="AO659" s="26" t="str">
        <f t="shared" si="335"/>
        <v/>
      </c>
      <c r="AP659" s="26" t="str">
        <f t="shared" si="346"/>
        <v/>
      </c>
      <c r="AQ659" s="68">
        <f t="shared" si="330"/>
        <v>8</v>
      </c>
      <c r="AR659" s="68">
        <f t="shared" si="331"/>
        <v>6</v>
      </c>
      <c r="AS659" s="68">
        <f t="shared" si="347"/>
        <v>1.05</v>
      </c>
      <c r="AT659" s="68">
        <f t="shared" si="348"/>
        <v>1.05</v>
      </c>
      <c r="AU659" s="68">
        <f t="shared" si="349"/>
        <v>1.1000000000000001</v>
      </c>
      <c r="AV659" s="68">
        <f t="shared" si="350"/>
        <v>1.1000000000000001</v>
      </c>
      <c r="AW659" s="68">
        <f t="shared" si="351"/>
        <v>1.25</v>
      </c>
      <c r="AX659" s="68">
        <f t="shared" ca="1" si="352"/>
        <v>2.2000000000000002</v>
      </c>
      <c r="AY659" s="68">
        <v>2020</v>
      </c>
      <c r="AZ659" s="68" t="s">
        <v>2073</v>
      </c>
      <c r="BA659" s="106" t="str">
        <f t="shared" si="340"/>
        <v/>
      </c>
      <c r="BB659" s="178"/>
      <c r="BC659" s="178">
        <v>4</v>
      </c>
      <c r="BD659" s="178"/>
      <c r="BE659" s="178"/>
      <c r="BF659" s="178"/>
      <c r="BG659" s="178"/>
      <c r="BH659" s="178"/>
      <c r="BI659" s="33"/>
      <c r="BK659" s="48">
        <f>$G659/5280*VLOOKUP($AC659,'Cost and Score'!$B$27:$O$40,6,0)</f>
        <v>0.38068181818181818</v>
      </c>
      <c r="BL659" s="48">
        <f>$G659/5280*VLOOKUP($AC659,'Cost and Score'!$B$27:$O$40,7,0)</f>
        <v>38.06818181818182</v>
      </c>
      <c r="BM659" s="48">
        <f>$G659/5280*VLOOKUP($AC659,'Cost and Score'!$B$27:$O$40,8,0)</f>
        <v>0</v>
      </c>
      <c r="BN659" s="48">
        <f>$G659/5280*VLOOKUP($AC659,'Cost and Score'!$B$27:$O$40,9,0)</f>
        <v>7232.954545454545</v>
      </c>
      <c r="BO659" s="48">
        <f>$G659/5280*VLOOKUP($AC659,'Cost and Score'!$B$27:$O$40,10,0)</f>
        <v>761.36363636363637</v>
      </c>
      <c r="BP659" s="48">
        <f>$G659/5280*VLOOKUP($AC659,'Cost and Score'!$B$27:$O$40,11,0)</f>
        <v>0</v>
      </c>
      <c r="BQ659" s="48">
        <f>$G659/5280*VLOOKUP($AC659,'Cost and Score'!$B$27:$O$40,12,0)</f>
        <v>152.27272727272728</v>
      </c>
      <c r="BR659" s="48">
        <f>$G659/5280*VLOOKUP($AC659,'Cost and Score'!$B$27:$O$40,13,0)</f>
        <v>137.04545454545453</v>
      </c>
      <c r="BS659" s="48">
        <f>$G659/5280*VLOOKUP($AC659,'Cost and Score'!$B$27:$O$40,14,0)</f>
        <v>182.72727272727272</v>
      </c>
      <c r="BT659" s="220">
        <f t="shared" si="341"/>
        <v>0.76136363636363635</v>
      </c>
      <c r="CF659" s="112"/>
      <c r="CW659" s="112"/>
      <c r="CX659" s="112"/>
      <c r="CY659" s="112"/>
    </row>
    <row r="660" spans="1:103" s="2" customFormat="1" ht="14.45" hidden="1" customHeight="1" x14ac:dyDescent="0.25">
      <c r="A660" s="40" t="s">
        <v>1376</v>
      </c>
      <c r="B660" s="41" t="s">
        <v>1375</v>
      </c>
      <c r="C660" s="26" t="s">
        <v>1375</v>
      </c>
      <c r="D660" s="26"/>
      <c r="E660" s="26" t="s">
        <v>60</v>
      </c>
      <c r="F660" s="26" t="s">
        <v>86</v>
      </c>
      <c r="G660" s="29">
        <v>3643</v>
      </c>
      <c r="H660" s="29">
        <f t="shared" si="343"/>
        <v>20</v>
      </c>
      <c r="I660" s="106" t="s">
        <v>13</v>
      </c>
      <c r="J660" s="26" t="s">
        <v>62</v>
      </c>
      <c r="K660" s="26">
        <f t="shared" si="345"/>
        <v>0</v>
      </c>
      <c r="L660" s="42">
        <v>5</v>
      </c>
      <c r="M660" s="42">
        <v>5</v>
      </c>
      <c r="N660" s="42">
        <v>5</v>
      </c>
      <c r="O660" s="42">
        <v>9</v>
      </c>
      <c r="P660" s="42">
        <v>8</v>
      </c>
      <c r="Q660" s="42">
        <v>7</v>
      </c>
      <c r="R660" s="42">
        <v>7</v>
      </c>
      <c r="S660" s="42">
        <v>7</v>
      </c>
      <c r="T660" s="42">
        <v>7</v>
      </c>
      <c r="U660" s="42">
        <v>7</v>
      </c>
      <c r="V660" s="42"/>
      <c r="W660" s="42"/>
      <c r="X660" s="42"/>
      <c r="Y660" s="26">
        <v>197</v>
      </c>
      <c r="Z660" s="26">
        <f t="shared" si="328"/>
        <v>0</v>
      </c>
      <c r="AA660" s="26" t="s">
        <v>38</v>
      </c>
      <c r="AB660" s="111">
        <f t="shared" si="329"/>
        <v>2</v>
      </c>
      <c r="AC660" s="26" t="s">
        <v>13</v>
      </c>
      <c r="AD660" s="47">
        <f t="shared" si="339"/>
        <v>14489.204545454546</v>
      </c>
      <c r="AE660" s="140"/>
      <c r="AF660" s="113">
        <f t="shared" si="326"/>
        <v>0</v>
      </c>
      <c r="AG660" s="26">
        <v>2022</v>
      </c>
      <c r="AH660" s="26" t="str">
        <f t="shared" si="344"/>
        <v>Chip Seal and Fog</v>
      </c>
      <c r="AI660" s="26" t="str">
        <f t="shared" si="332"/>
        <v/>
      </c>
      <c r="AJ660" s="26" t="str">
        <f t="shared" si="334"/>
        <v/>
      </c>
      <c r="AK660" s="26" t="str">
        <f t="shared" si="342"/>
        <v/>
      </c>
      <c r="AL660" s="26" t="str">
        <f t="shared" si="342"/>
        <v/>
      </c>
      <c r="AM660" s="26" t="str">
        <f t="shared" si="342"/>
        <v/>
      </c>
      <c r="AN660" s="26" t="str">
        <f t="shared" si="325"/>
        <v>Chip Seal and Fog</v>
      </c>
      <c r="AO660" s="26" t="str">
        <f t="shared" si="335"/>
        <v/>
      </c>
      <c r="AP660" s="26" t="str">
        <f t="shared" si="346"/>
        <v>Chip Seal and Fog</v>
      </c>
      <c r="AQ660" s="68">
        <f t="shared" si="330"/>
        <v>14</v>
      </c>
      <c r="AR660" s="68">
        <f t="shared" si="331"/>
        <v>6</v>
      </c>
      <c r="AS660" s="68">
        <f t="shared" si="347"/>
        <v>1.25</v>
      </c>
      <c r="AT660" s="68">
        <f t="shared" si="348"/>
        <v>1.25</v>
      </c>
      <c r="AU660" s="68">
        <f t="shared" si="349"/>
        <v>1.25</v>
      </c>
      <c r="AV660" s="68">
        <f t="shared" si="350"/>
        <v>1</v>
      </c>
      <c r="AW660" s="68">
        <f t="shared" si="351"/>
        <v>1</v>
      </c>
      <c r="AX660" s="68">
        <f t="shared" ca="1" si="352"/>
        <v>-2.5</v>
      </c>
      <c r="AY660" s="68">
        <v>2022</v>
      </c>
      <c r="AZ660" s="68" t="s">
        <v>13</v>
      </c>
      <c r="BA660" s="106" t="str">
        <f t="shared" si="340"/>
        <v/>
      </c>
      <c r="BB660" s="178"/>
      <c r="BC660" s="178">
        <v>1</v>
      </c>
      <c r="BD660" s="178"/>
      <c r="BE660" s="178"/>
      <c r="BF660" s="178"/>
      <c r="BG660" s="178"/>
      <c r="BH660" s="178"/>
      <c r="BI660" s="33"/>
      <c r="BK660" s="48">
        <f>$G660/5280*VLOOKUP($AC660,'Cost and Score'!$B$27:$O$40,6,0)</f>
        <v>0.13799242424242425</v>
      </c>
      <c r="BL660" s="48">
        <f>$G660/5280*VLOOKUP($AC660,'Cost and Score'!$B$27:$O$40,7,0)</f>
        <v>15.179166666666667</v>
      </c>
      <c r="BM660" s="48">
        <f>$G660/5280*VLOOKUP($AC660,'Cost and Score'!$B$27:$O$40,8,0)</f>
        <v>0</v>
      </c>
      <c r="BN660" s="48">
        <f>$G660/5280*VLOOKUP($AC660,'Cost and Score'!$B$27:$O$40,9,0)</f>
        <v>3104.8295454545455</v>
      </c>
      <c r="BO660" s="48">
        <f>$G660/5280*VLOOKUP($AC660,'Cost and Score'!$B$27:$O$40,10,0)</f>
        <v>689.96212121212125</v>
      </c>
      <c r="BP660" s="48">
        <f>$G660/5280*VLOOKUP($AC660,'Cost and Score'!$B$27:$O$40,11,0)</f>
        <v>0</v>
      </c>
      <c r="BQ660" s="48">
        <f>$G660/5280*VLOOKUP($AC660,'Cost and Score'!$B$27:$O$40,12,0)</f>
        <v>68.996212121212125</v>
      </c>
      <c r="BR660" s="48">
        <f>$G660/5280*VLOOKUP($AC660,'Cost and Score'!$B$27:$O$40,13,0)</f>
        <v>82.795454545454547</v>
      </c>
      <c r="BS660" s="48">
        <f>$G660/5280*VLOOKUP($AC660,'Cost and Score'!$B$27:$O$40,14,0)</f>
        <v>0</v>
      </c>
      <c r="BT660" s="220">
        <f t="shared" si="341"/>
        <v>0.68996212121212119</v>
      </c>
    </row>
    <row r="661" spans="1:103" s="2" customFormat="1" ht="14.45" hidden="1" customHeight="1" x14ac:dyDescent="0.25">
      <c r="A661" s="36" t="s">
        <v>1379</v>
      </c>
      <c r="B661" s="34" t="s">
        <v>1377</v>
      </c>
      <c r="C661" s="26" t="s">
        <v>1377</v>
      </c>
      <c r="D661" s="82"/>
      <c r="E661" s="82" t="s">
        <v>1378</v>
      </c>
      <c r="F661" s="82" t="s">
        <v>121</v>
      </c>
      <c r="G661" s="29">
        <v>880</v>
      </c>
      <c r="H661" s="29">
        <f t="shared" si="343"/>
        <v>20</v>
      </c>
      <c r="I661" s="26" t="s">
        <v>8</v>
      </c>
      <c r="J661" s="26" t="s">
        <v>11</v>
      </c>
      <c r="K661" s="26">
        <f t="shared" si="345"/>
        <v>0</v>
      </c>
      <c r="L661" s="42">
        <v>8</v>
      </c>
      <c r="M661" s="42">
        <v>8</v>
      </c>
      <c r="N661" s="42">
        <v>8</v>
      </c>
      <c r="O661" s="83">
        <v>8</v>
      </c>
      <c r="P661" s="83">
        <v>8</v>
      </c>
      <c r="Q661" s="83">
        <v>8</v>
      </c>
      <c r="R661" s="83">
        <v>8</v>
      </c>
      <c r="S661" s="83">
        <v>8</v>
      </c>
      <c r="T661" s="83">
        <v>8</v>
      </c>
      <c r="U661" s="83">
        <v>8</v>
      </c>
      <c r="V661" s="42"/>
      <c r="W661" s="42"/>
      <c r="X661" s="42"/>
      <c r="Y661" s="26">
        <v>210</v>
      </c>
      <c r="Z661" s="26">
        <f t="shared" si="328"/>
        <v>0</v>
      </c>
      <c r="AA661" s="82" t="s">
        <v>38</v>
      </c>
      <c r="AB661" s="111">
        <f t="shared" si="329"/>
        <v>2</v>
      </c>
      <c r="AC661" s="85" t="s">
        <v>2371</v>
      </c>
      <c r="AD661" s="84">
        <f t="shared" si="339"/>
        <v>13333.333333333334</v>
      </c>
      <c r="AE661" s="140"/>
      <c r="AF661" s="113">
        <f t="shared" si="326"/>
        <v>0</v>
      </c>
      <c r="AG661" s="85">
        <v>2028</v>
      </c>
      <c r="AH661" s="26" t="str">
        <f t="shared" si="344"/>
        <v/>
      </c>
      <c r="AI661" s="26" t="str">
        <f t="shared" si="332"/>
        <v/>
      </c>
      <c r="AJ661" s="26" t="str">
        <f t="shared" si="334"/>
        <v/>
      </c>
      <c r="AK661" s="26" t="str">
        <f t="shared" si="342"/>
        <v/>
      </c>
      <c r="AL661" s="26" t="str">
        <f t="shared" si="342"/>
        <v/>
      </c>
      <c r="AM661" s="26" t="str">
        <f t="shared" si="342"/>
        <v/>
      </c>
      <c r="AN661" s="26" t="str">
        <f t="shared" ref="AN661:AN724" si="353">VLOOKUP($AC661,RSL,3,FALSE)</f>
        <v>Microsurface double</v>
      </c>
      <c r="AO661" s="26" t="str">
        <f t="shared" si="335"/>
        <v/>
      </c>
      <c r="AP661" s="26" t="str">
        <f t="shared" si="346"/>
        <v/>
      </c>
      <c r="AQ661" s="68">
        <f t="shared" si="330"/>
        <v>12</v>
      </c>
      <c r="AR661" s="68">
        <f t="shared" si="331"/>
        <v>10</v>
      </c>
      <c r="AS661" s="68">
        <f t="shared" si="347"/>
        <v>1</v>
      </c>
      <c r="AT661" s="68">
        <f t="shared" si="348"/>
        <v>1</v>
      </c>
      <c r="AU661" s="68">
        <f t="shared" si="349"/>
        <v>1</v>
      </c>
      <c r="AV661" s="68">
        <f t="shared" si="350"/>
        <v>1</v>
      </c>
      <c r="AW661" s="68">
        <f t="shared" si="351"/>
        <v>1</v>
      </c>
      <c r="AX661" s="68">
        <f t="shared" ca="1" si="352"/>
        <v>4</v>
      </c>
      <c r="AY661" s="68">
        <v>2020</v>
      </c>
      <c r="AZ661" s="68" t="s">
        <v>2075</v>
      </c>
      <c r="BA661" s="106" t="str">
        <f t="shared" si="340"/>
        <v/>
      </c>
      <c r="BB661" s="178"/>
      <c r="BC661" s="178">
        <v>4</v>
      </c>
      <c r="BD661" s="178"/>
      <c r="BE661" s="178"/>
      <c r="BF661" s="178"/>
      <c r="BG661" s="178"/>
      <c r="BH661" s="178"/>
      <c r="BI661" s="33"/>
      <c r="BK661" s="48">
        <f>$G661/5280*VLOOKUP($AC661,'Cost and Score'!$B$27:$O$40,6,0)</f>
        <v>8.3333333333333329E-2</v>
      </c>
      <c r="BL661" s="48">
        <f>$G661/5280*VLOOKUP($AC661,'Cost and Score'!$B$27:$O$40,7,0)</f>
        <v>0</v>
      </c>
      <c r="BM661" s="48">
        <f>$G661/5280*VLOOKUP($AC661,'Cost and Score'!$B$27:$O$40,8,0)</f>
        <v>0</v>
      </c>
      <c r="BN661" s="48">
        <f>$G661/5280*VLOOKUP($AC661,'Cost and Score'!$B$27:$O$40,9,0)</f>
        <v>0</v>
      </c>
      <c r="BO661" s="48">
        <f>$G661/5280*VLOOKUP($AC661,'Cost and Score'!$B$27:$O$40,10,0)</f>
        <v>0</v>
      </c>
      <c r="BP661" s="48">
        <f>$G661/5280*VLOOKUP($AC661,'Cost and Score'!$B$27:$O$40,11,0)</f>
        <v>0</v>
      </c>
      <c r="BQ661" s="48">
        <f>$G661/5280*VLOOKUP($AC661,'Cost and Score'!$B$27:$O$40,12,0)</f>
        <v>0</v>
      </c>
      <c r="BR661" s="48">
        <f>$G661/5280*VLOOKUP($AC661,'Cost and Score'!$B$27:$O$40,13,0)</f>
        <v>0</v>
      </c>
      <c r="BS661" s="48">
        <f>$G661/5280*VLOOKUP($AC661,'Cost and Score'!$B$27:$O$40,14,0)</f>
        <v>0</v>
      </c>
      <c r="BT661" s="220">
        <f t="shared" si="341"/>
        <v>0.16666666666666666</v>
      </c>
      <c r="BV661" s="26"/>
      <c r="BW661" s="26"/>
      <c r="BX661" s="26"/>
      <c r="BY661" s="26"/>
      <c r="BZ661" s="26"/>
      <c r="CA661" s="26"/>
      <c r="CB661" s="26"/>
      <c r="CW661" s="112"/>
      <c r="CX661" s="112"/>
      <c r="CY661" s="112"/>
    </row>
    <row r="662" spans="1:103" s="2" customFormat="1" ht="14.45" hidden="1" customHeight="1" x14ac:dyDescent="0.25">
      <c r="A662" s="38" t="s">
        <v>1381</v>
      </c>
      <c r="B662" s="34" t="s">
        <v>1380</v>
      </c>
      <c r="C662" s="26" t="s">
        <v>1380</v>
      </c>
      <c r="D662" s="82"/>
      <c r="E662" s="82" t="s">
        <v>83</v>
      </c>
      <c r="F662" s="82" t="s">
        <v>67</v>
      </c>
      <c r="G662" s="29">
        <v>2644</v>
      </c>
      <c r="H662" s="29">
        <f t="shared" si="343"/>
        <v>20</v>
      </c>
      <c r="I662" s="26" t="s">
        <v>2073</v>
      </c>
      <c r="J662" s="26" t="s">
        <v>11</v>
      </c>
      <c r="K662" s="26">
        <f t="shared" si="345"/>
        <v>0</v>
      </c>
      <c r="L662" s="42">
        <v>9</v>
      </c>
      <c r="M662" s="42">
        <v>7</v>
      </c>
      <c r="N662" s="42">
        <v>7</v>
      </c>
      <c r="O662" s="83">
        <v>7</v>
      </c>
      <c r="P662" s="83">
        <v>7</v>
      </c>
      <c r="Q662" s="83">
        <v>7</v>
      </c>
      <c r="R662" s="83">
        <v>6</v>
      </c>
      <c r="S662" s="83">
        <v>6</v>
      </c>
      <c r="T662" s="83">
        <v>6</v>
      </c>
      <c r="U662" s="83">
        <v>7</v>
      </c>
      <c r="V662" s="42"/>
      <c r="W662" s="42"/>
      <c r="X662" s="42"/>
      <c r="Y662" s="26">
        <v>168</v>
      </c>
      <c r="Z662" s="26">
        <f t="shared" si="328"/>
        <v>0</v>
      </c>
      <c r="AA662" s="82" t="s">
        <v>38</v>
      </c>
      <c r="AB662" s="111">
        <f t="shared" si="329"/>
        <v>3</v>
      </c>
      <c r="AC662" s="85" t="s">
        <v>2073</v>
      </c>
      <c r="AD662" s="84">
        <f t="shared" si="339"/>
        <v>16024.242424242424</v>
      </c>
      <c r="AE662" s="140"/>
      <c r="AF662" s="113">
        <f t="shared" si="326"/>
        <v>0</v>
      </c>
      <c r="AG662" s="26">
        <v>2022</v>
      </c>
      <c r="AH662" s="26" t="str">
        <f t="shared" si="344"/>
        <v>Chip Seal - Double and Fog</v>
      </c>
      <c r="AI662" s="26" t="str">
        <f t="shared" si="332"/>
        <v/>
      </c>
      <c r="AJ662" s="26" t="str">
        <f t="shared" si="334"/>
        <v/>
      </c>
      <c r="AK662" s="26" t="str">
        <f t="shared" si="342"/>
        <v/>
      </c>
      <c r="AL662" s="26" t="str">
        <f t="shared" si="342"/>
        <v/>
      </c>
      <c r="AM662" s="26" t="str">
        <f t="shared" si="342"/>
        <v/>
      </c>
      <c r="AN662" s="26" t="str">
        <f t="shared" si="353"/>
        <v>Chip Seal - Double and Fog</v>
      </c>
      <c r="AO662" s="26" t="str">
        <f t="shared" si="335"/>
        <v/>
      </c>
      <c r="AP662" s="26" t="str">
        <f t="shared" si="346"/>
        <v>Chip Seal - Double and Fog</v>
      </c>
      <c r="AQ662" s="68">
        <f t="shared" si="330"/>
        <v>10</v>
      </c>
      <c r="AR662" s="68">
        <f t="shared" si="331"/>
        <v>6</v>
      </c>
      <c r="AS662" s="68">
        <f t="shared" si="347"/>
        <v>1</v>
      </c>
      <c r="AT662" s="68">
        <f t="shared" si="348"/>
        <v>1.05</v>
      </c>
      <c r="AU662" s="68">
        <f t="shared" si="349"/>
        <v>1.05</v>
      </c>
      <c r="AV662" s="68">
        <f t="shared" si="350"/>
        <v>1.05</v>
      </c>
      <c r="AW662" s="68">
        <f t="shared" si="351"/>
        <v>1.05</v>
      </c>
      <c r="AX662" s="68">
        <f t="shared" ca="1" si="352"/>
        <v>-2.1</v>
      </c>
      <c r="AY662" s="68">
        <v>2022</v>
      </c>
      <c r="AZ662" s="68" t="s">
        <v>2073</v>
      </c>
      <c r="BA662" s="106" t="str">
        <f t="shared" si="340"/>
        <v/>
      </c>
      <c r="BB662" s="178">
        <v>73</v>
      </c>
      <c r="BC662" s="178">
        <v>4</v>
      </c>
      <c r="BD662" s="178"/>
      <c r="BE662" s="178"/>
      <c r="BF662" s="178"/>
      <c r="BG662" s="178"/>
      <c r="BH662" s="178"/>
      <c r="BI662" s="33"/>
      <c r="BK662" s="48">
        <f>$G662/5280*VLOOKUP($AC662,'Cost and Score'!$B$27:$O$40,6,0)</f>
        <v>0.25037878787878787</v>
      </c>
      <c r="BL662" s="48">
        <f>$G662/5280*VLOOKUP($AC662,'Cost and Score'!$B$27:$O$40,7,0)</f>
        <v>25.037878787878785</v>
      </c>
      <c r="BM662" s="48">
        <f>$G662/5280*VLOOKUP($AC662,'Cost and Score'!$B$27:$O$40,8,0)</f>
        <v>0</v>
      </c>
      <c r="BN662" s="48">
        <f>$G662/5280*VLOOKUP($AC662,'Cost and Score'!$B$27:$O$40,9,0)</f>
        <v>4757.1969696969691</v>
      </c>
      <c r="BO662" s="48">
        <f>$G662/5280*VLOOKUP($AC662,'Cost and Score'!$B$27:$O$40,10,0)</f>
        <v>500.75757575757575</v>
      </c>
      <c r="BP662" s="48">
        <f>$G662/5280*VLOOKUP($AC662,'Cost and Score'!$B$27:$O$40,11,0)</f>
        <v>0</v>
      </c>
      <c r="BQ662" s="48">
        <f>$G662/5280*VLOOKUP($AC662,'Cost and Score'!$B$27:$O$40,12,0)</f>
        <v>100.15151515151514</v>
      </c>
      <c r="BR662" s="48">
        <f>$G662/5280*VLOOKUP($AC662,'Cost and Score'!$B$27:$O$40,13,0)</f>
        <v>90.136363636363626</v>
      </c>
      <c r="BS662" s="48">
        <f>$G662/5280*VLOOKUP($AC662,'Cost and Score'!$B$27:$O$40,14,0)</f>
        <v>120.18181818181817</v>
      </c>
      <c r="BT662" s="220">
        <f t="shared" si="341"/>
        <v>0.50075757575757573</v>
      </c>
    </row>
    <row r="663" spans="1:103" s="2" customFormat="1" ht="14.45" hidden="1" customHeight="1" x14ac:dyDescent="0.25">
      <c r="A663" s="38" t="s">
        <v>1383</v>
      </c>
      <c r="B663" s="34" t="s">
        <v>1382</v>
      </c>
      <c r="C663" s="26" t="s">
        <v>1382</v>
      </c>
      <c r="D663" s="82"/>
      <c r="E663" s="82" t="s">
        <v>179</v>
      </c>
      <c r="F663" s="82" t="s">
        <v>91</v>
      </c>
      <c r="G663" s="29">
        <v>5003</v>
      </c>
      <c r="H663" s="29">
        <f t="shared" si="343"/>
        <v>20</v>
      </c>
      <c r="I663" s="26" t="s">
        <v>8</v>
      </c>
      <c r="J663" s="26" t="s">
        <v>17</v>
      </c>
      <c r="K663" s="26">
        <f t="shared" si="345"/>
        <v>0</v>
      </c>
      <c r="L663" s="42">
        <v>7</v>
      </c>
      <c r="M663" s="42">
        <v>7</v>
      </c>
      <c r="N663" s="42">
        <v>7</v>
      </c>
      <c r="O663" s="83">
        <v>7</v>
      </c>
      <c r="P663" s="83">
        <v>6</v>
      </c>
      <c r="Q663" s="83">
        <v>6</v>
      </c>
      <c r="R663" s="83">
        <v>5</v>
      </c>
      <c r="S663" s="83">
        <v>5</v>
      </c>
      <c r="T663" s="83">
        <v>7</v>
      </c>
      <c r="U663" s="83">
        <v>7</v>
      </c>
      <c r="V663" s="42"/>
      <c r="W663" s="42"/>
      <c r="X663" s="42"/>
      <c r="Y663" s="26">
        <v>142</v>
      </c>
      <c r="Z663" s="26">
        <f t="shared" si="328"/>
        <v>0</v>
      </c>
      <c r="AA663" s="82" t="s">
        <v>38</v>
      </c>
      <c r="AB663" s="111">
        <f t="shared" si="329"/>
        <v>4</v>
      </c>
      <c r="AC663" s="85" t="s">
        <v>751</v>
      </c>
      <c r="AD663" s="84">
        <f t="shared" si="339"/>
        <v>104229.16666666667</v>
      </c>
      <c r="AE663" s="140"/>
      <c r="AF663" s="113">
        <f t="shared" si="326"/>
        <v>0</v>
      </c>
      <c r="AG663" s="26">
        <v>2027</v>
      </c>
      <c r="AH663" s="26" t="str">
        <f t="shared" si="344"/>
        <v/>
      </c>
      <c r="AI663" s="26" t="str">
        <f t="shared" si="332"/>
        <v/>
      </c>
      <c r="AJ663" s="26" t="str">
        <f t="shared" si="334"/>
        <v/>
      </c>
      <c r="AK663" s="26" t="str">
        <f t="shared" si="342"/>
        <v/>
      </c>
      <c r="AL663" s="26" t="str">
        <f t="shared" si="342"/>
        <v/>
      </c>
      <c r="AM663" s="26" t="str">
        <f t="shared" si="342"/>
        <v>Overlay - 2"</v>
      </c>
      <c r="AN663" s="26" t="str">
        <f t="shared" si="353"/>
        <v>Overlay - 2"</v>
      </c>
      <c r="AO663" s="26" t="str">
        <f t="shared" si="335"/>
        <v>Chip Seal - Double and Fog</v>
      </c>
      <c r="AP663" s="26" t="str">
        <f t="shared" si="346"/>
        <v/>
      </c>
      <c r="AQ663" s="68">
        <f t="shared" si="330"/>
        <v>10</v>
      </c>
      <c r="AR663" s="68">
        <f t="shared" si="331"/>
        <v>12</v>
      </c>
      <c r="AS663" s="68">
        <f t="shared" si="347"/>
        <v>1.05</v>
      </c>
      <c r="AT663" s="68">
        <f t="shared" si="348"/>
        <v>1.05</v>
      </c>
      <c r="AU663" s="68">
        <f t="shared" si="349"/>
        <v>1.05</v>
      </c>
      <c r="AV663" s="68">
        <f t="shared" si="350"/>
        <v>1.05</v>
      </c>
      <c r="AW663" s="68">
        <f t="shared" si="351"/>
        <v>1.1000000000000001</v>
      </c>
      <c r="AX663" s="68">
        <f t="shared" ca="1" si="352"/>
        <v>3.1500000000000004</v>
      </c>
      <c r="AY663" s="68">
        <v>2021</v>
      </c>
      <c r="AZ663" s="68" t="s">
        <v>2073</v>
      </c>
      <c r="BA663" s="106" t="str">
        <f t="shared" si="340"/>
        <v/>
      </c>
      <c r="BB663" s="178">
        <v>77</v>
      </c>
      <c r="BC663" s="178">
        <v>1</v>
      </c>
      <c r="BD663" s="178"/>
      <c r="BE663" s="178"/>
      <c r="BF663" s="178"/>
      <c r="BG663" s="178"/>
      <c r="BH663" s="178"/>
      <c r="BI663" s="33"/>
      <c r="BK663" s="48">
        <f>$G663/5280*VLOOKUP($AC663,'Cost and Score'!$B$27:$O$40,6,0)</f>
        <v>2.1319602272727272</v>
      </c>
      <c r="BL663" s="48">
        <f>$G663/5280*VLOOKUP($AC663,'Cost and Score'!$B$27:$O$40,7,0)</f>
        <v>198.98295454545453</v>
      </c>
      <c r="BM663" s="48">
        <f>$G663/5280*VLOOKUP($AC663,'Cost and Score'!$B$27:$O$40,8,0)</f>
        <v>331.63825757575756</v>
      </c>
      <c r="BN663" s="48">
        <f>$G663/5280*VLOOKUP($AC663,'Cost and Score'!$B$27:$O$40,9,0)</f>
        <v>0</v>
      </c>
      <c r="BO663" s="48">
        <f>$G663/5280*VLOOKUP($AC663,'Cost and Score'!$B$27:$O$40,10,0)</f>
        <v>0</v>
      </c>
      <c r="BP663" s="48">
        <f>$G663/5280*VLOOKUP($AC663,'Cost and Score'!$B$27:$O$40,11,0)</f>
        <v>189.50757575757575</v>
      </c>
      <c r="BQ663" s="48">
        <f>$G663/5280*VLOOKUP($AC663,'Cost and Score'!$B$27:$O$40,12,0)</f>
        <v>1610.814393939394</v>
      </c>
      <c r="BR663" s="48">
        <f>$G663/5280*VLOOKUP($AC663,'Cost and Score'!$B$27:$O$40,13,0)</f>
        <v>0</v>
      </c>
      <c r="BS663" s="48">
        <f>$G663/5280*VLOOKUP($AC663,'Cost and Score'!$B$27:$O$40,14,0)</f>
        <v>0</v>
      </c>
      <c r="BT663" s="220">
        <f t="shared" si="341"/>
        <v>0.94753787878787876</v>
      </c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</row>
    <row r="664" spans="1:103" s="2" customFormat="1" ht="14.45" hidden="1" customHeight="1" x14ac:dyDescent="0.25">
      <c r="A664" s="38" t="s">
        <v>1385</v>
      </c>
      <c r="B664" s="34" t="s">
        <v>1384</v>
      </c>
      <c r="C664" s="26" t="s">
        <v>1384</v>
      </c>
      <c r="D664" s="82"/>
      <c r="E664" s="82" t="s">
        <v>1373</v>
      </c>
      <c r="F664" s="82" t="s">
        <v>83</v>
      </c>
      <c r="G664" s="29">
        <v>1312</v>
      </c>
      <c r="H664" s="29">
        <f t="shared" si="343"/>
        <v>20</v>
      </c>
      <c r="I664" s="26" t="s">
        <v>13</v>
      </c>
      <c r="J664" s="26" t="s">
        <v>62</v>
      </c>
      <c r="K664" s="26">
        <f t="shared" si="345"/>
        <v>0</v>
      </c>
      <c r="L664" s="42">
        <v>9</v>
      </c>
      <c r="M664" s="42">
        <v>8</v>
      </c>
      <c r="N664" s="42">
        <v>6</v>
      </c>
      <c r="O664" s="83">
        <v>7</v>
      </c>
      <c r="P664" s="83">
        <v>7</v>
      </c>
      <c r="Q664" s="83">
        <v>7</v>
      </c>
      <c r="R664" s="83">
        <v>7</v>
      </c>
      <c r="S664" s="83">
        <v>7</v>
      </c>
      <c r="T664" s="83">
        <v>7</v>
      </c>
      <c r="U664" s="83">
        <v>7</v>
      </c>
      <c r="V664" s="42"/>
      <c r="W664" s="42"/>
      <c r="X664" s="42"/>
      <c r="Y664" s="26">
        <v>124</v>
      </c>
      <c r="Z664" s="26">
        <f t="shared" si="328"/>
        <v>0</v>
      </c>
      <c r="AA664" s="82" t="s">
        <v>38</v>
      </c>
      <c r="AB664" s="111">
        <f t="shared" si="329"/>
        <v>3</v>
      </c>
      <c r="AC664" s="85" t="s">
        <v>13</v>
      </c>
      <c r="AD664" s="84">
        <f t="shared" si="339"/>
        <v>5218.181818181818</v>
      </c>
      <c r="AE664" s="140"/>
      <c r="AF664" s="113">
        <f t="shared" ref="AF664:AF727" si="354">AD664*AE664</f>
        <v>0</v>
      </c>
      <c r="AG664" s="26">
        <v>2022</v>
      </c>
      <c r="AH664" s="26" t="str">
        <f t="shared" si="344"/>
        <v>Chip Seal and Fog</v>
      </c>
      <c r="AI664" s="26" t="str">
        <f t="shared" si="332"/>
        <v/>
      </c>
      <c r="AJ664" s="26" t="str">
        <f t="shared" si="334"/>
        <v/>
      </c>
      <c r="AK664" s="26" t="str">
        <f t="shared" si="342"/>
        <v/>
      </c>
      <c r="AL664" s="26" t="str">
        <f t="shared" si="342"/>
        <v/>
      </c>
      <c r="AM664" s="26" t="str">
        <f t="shared" si="342"/>
        <v/>
      </c>
      <c r="AN664" s="26" t="str">
        <f t="shared" si="353"/>
        <v>Chip Seal and Fog</v>
      </c>
      <c r="AO664" s="26" t="str">
        <f t="shared" si="335"/>
        <v/>
      </c>
      <c r="AP664" s="26" t="str">
        <f t="shared" si="346"/>
        <v>Chip Seal and Fog</v>
      </c>
      <c r="AQ664" s="68">
        <f t="shared" si="330"/>
        <v>10</v>
      </c>
      <c r="AR664" s="68">
        <f t="shared" si="331"/>
        <v>6</v>
      </c>
      <c r="AS664" s="68">
        <f t="shared" si="347"/>
        <v>1</v>
      </c>
      <c r="AT664" s="68">
        <f t="shared" si="348"/>
        <v>1</v>
      </c>
      <c r="AU664" s="68">
        <f t="shared" si="349"/>
        <v>1.1000000000000001</v>
      </c>
      <c r="AV664" s="68">
        <f t="shared" si="350"/>
        <v>1.05</v>
      </c>
      <c r="AW664" s="68">
        <f t="shared" si="351"/>
        <v>1.05</v>
      </c>
      <c r="AX664" s="68">
        <f t="shared" ca="1" si="352"/>
        <v>-2.2000000000000002</v>
      </c>
      <c r="AY664" s="68">
        <v>2022</v>
      </c>
      <c r="AZ664" s="68" t="s">
        <v>13</v>
      </c>
      <c r="BA664" s="106" t="str">
        <f t="shared" si="340"/>
        <v/>
      </c>
      <c r="BB664" s="178">
        <v>81</v>
      </c>
      <c r="BC664" s="178">
        <v>4</v>
      </c>
      <c r="BD664" s="178"/>
      <c r="BE664" s="178"/>
      <c r="BF664" s="178"/>
      <c r="BG664" s="178"/>
      <c r="BH664" s="178"/>
      <c r="BI664" s="33"/>
      <c r="BK664" s="48">
        <f>$G664/5280*VLOOKUP($AC664,'Cost and Score'!$B$27:$O$40,6,0)</f>
        <v>4.9696969696969698E-2</v>
      </c>
      <c r="BL664" s="48">
        <f>$G664/5280*VLOOKUP($AC664,'Cost and Score'!$B$27:$O$40,7,0)</f>
        <v>5.4666666666666668</v>
      </c>
      <c r="BM664" s="48">
        <f>$G664/5280*VLOOKUP($AC664,'Cost and Score'!$B$27:$O$40,8,0)</f>
        <v>0</v>
      </c>
      <c r="BN664" s="48">
        <f>$G664/5280*VLOOKUP($AC664,'Cost and Score'!$B$27:$O$40,9,0)</f>
        <v>1118.1818181818182</v>
      </c>
      <c r="BO664" s="48">
        <f>$G664/5280*VLOOKUP($AC664,'Cost and Score'!$B$27:$O$40,10,0)</f>
        <v>248.48484848484847</v>
      </c>
      <c r="BP664" s="48">
        <f>$G664/5280*VLOOKUP($AC664,'Cost and Score'!$B$27:$O$40,11,0)</f>
        <v>0</v>
      </c>
      <c r="BQ664" s="48">
        <f>$G664/5280*VLOOKUP($AC664,'Cost and Score'!$B$27:$O$40,12,0)</f>
        <v>24.848484848484848</v>
      </c>
      <c r="BR664" s="48">
        <f>$G664/5280*VLOOKUP($AC664,'Cost and Score'!$B$27:$O$40,13,0)</f>
        <v>29.818181818181817</v>
      </c>
      <c r="BS664" s="48">
        <f>$G664/5280*VLOOKUP($AC664,'Cost and Score'!$B$27:$O$40,14,0)</f>
        <v>0</v>
      </c>
      <c r="BT664" s="220">
        <f t="shared" si="341"/>
        <v>0.24848484848484848</v>
      </c>
    </row>
    <row r="665" spans="1:103" s="2" customFormat="1" ht="14.45" hidden="1" customHeight="1" x14ac:dyDescent="0.25">
      <c r="A665" s="38" t="s">
        <v>1387</v>
      </c>
      <c r="B665" s="34" t="s">
        <v>1386</v>
      </c>
      <c r="C665" s="26" t="s">
        <v>1386</v>
      </c>
      <c r="D665" s="82"/>
      <c r="E665" s="82" t="s">
        <v>91</v>
      </c>
      <c r="F665" s="82" t="s">
        <v>44</v>
      </c>
      <c r="G665" s="29">
        <v>2930</v>
      </c>
      <c r="H665" s="29">
        <f t="shared" si="343"/>
        <v>20</v>
      </c>
      <c r="I665" s="26" t="s">
        <v>13</v>
      </c>
      <c r="J665" s="26" t="s">
        <v>17</v>
      </c>
      <c r="K665" s="26">
        <f t="shared" si="345"/>
        <v>0</v>
      </c>
      <c r="L665" s="42">
        <v>8</v>
      </c>
      <c r="M665" s="42">
        <v>7</v>
      </c>
      <c r="N665" s="42">
        <v>7</v>
      </c>
      <c r="O665" s="83">
        <v>7</v>
      </c>
      <c r="P665" s="83">
        <v>7</v>
      </c>
      <c r="Q665" s="83">
        <v>7</v>
      </c>
      <c r="R665" s="83">
        <v>7</v>
      </c>
      <c r="S665" s="83">
        <v>6</v>
      </c>
      <c r="T665" s="83">
        <v>7</v>
      </c>
      <c r="U665" s="83">
        <v>7</v>
      </c>
      <c r="V665" s="42"/>
      <c r="W665" s="42"/>
      <c r="X665" s="42"/>
      <c r="Y665" s="26">
        <v>139</v>
      </c>
      <c r="Z665" s="26">
        <f t="shared" si="328"/>
        <v>0</v>
      </c>
      <c r="AA665" s="82" t="s">
        <v>38</v>
      </c>
      <c r="AB665" s="111">
        <f t="shared" si="329"/>
        <v>3</v>
      </c>
      <c r="AC665" s="82" t="s">
        <v>2072</v>
      </c>
      <c r="AD665" s="84">
        <f t="shared" si="339"/>
        <v>25526.515151515152</v>
      </c>
      <c r="AE665" s="140"/>
      <c r="AF665" s="113">
        <f t="shared" si="354"/>
        <v>0</v>
      </c>
      <c r="AG665" s="26">
        <v>2027</v>
      </c>
      <c r="AH665" s="26" t="str">
        <f t="shared" si="344"/>
        <v/>
      </c>
      <c r="AI665" s="26" t="str">
        <f t="shared" si="332"/>
        <v/>
      </c>
      <c r="AJ665" s="26" t="str">
        <f t="shared" si="334"/>
        <v/>
      </c>
      <c r="AK665" s="26" t="str">
        <f t="shared" si="342"/>
        <v/>
      </c>
      <c r="AL665" s="26" t="str">
        <f t="shared" si="342"/>
        <v/>
      </c>
      <c r="AM665" s="26" t="str">
        <f t="shared" si="342"/>
        <v>Chip Seal - Triple</v>
      </c>
      <c r="AN665" s="26" t="str">
        <f t="shared" si="353"/>
        <v>Chip Seal - Triple</v>
      </c>
      <c r="AO665" s="26" t="str">
        <f t="shared" si="335"/>
        <v>Chip Seal and Fog</v>
      </c>
      <c r="AP665" s="26" t="str">
        <f t="shared" si="346"/>
        <v/>
      </c>
      <c r="AQ665" s="68">
        <f t="shared" si="330"/>
        <v>10</v>
      </c>
      <c r="AR665" s="68">
        <f t="shared" si="331"/>
        <v>8</v>
      </c>
      <c r="AS665" s="68">
        <f t="shared" si="347"/>
        <v>1</v>
      </c>
      <c r="AT665" s="68">
        <f t="shared" si="348"/>
        <v>1.05</v>
      </c>
      <c r="AU665" s="68">
        <f t="shared" si="349"/>
        <v>1.05</v>
      </c>
      <c r="AV665" s="68">
        <f t="shared" si="350"/>
        <v>1.05</v>
      </c>
      <c r="AW665" s="68">
        <f t="shared" si="351"/>
        <v>1.05</v>
      </c>
      <c r="AX665" s="68">
        <f t="shared" ca="1" si="352"/>
        <v>3.1500000000000004</v>
      </c>
      <c r="AY665" s="68">
        <v>2021</v>
      </c>
      <c r="AZ665" s="68" t="s">
        <v>13</v>
      </c>
      <c r="BA665" s="106" t="str">
        <f t="shared" si="340"/>
        <v/>
      </c>
      <c r="BB665" s="178">
        <v>78</v>
      </c>
      <c r="BC665" s="178">
        <v>1</v>
      </c>
      <c r="BD665" s="178"/>
      <c r="BE665" s="178"/>
      <c r="BF665" s="178"/>
      <c r="BG665" s="178"/>
      <c r="BH665" s="178"/>
      <c r="BI665" s="33"/>
      <c r="BK665" s="48">
        <f>$G665/5280*VLOOKUP($AC665,'Cost and Score'!$B$27:$O$40,6,0)</f>
        <v>0.33295454545454545</v>
      </c>
      <c r="BL665" s="48">
        <f>$G665/5280*VLOOKUP($AC665,'Cost and Score'!$B$27:$O$40,7,0)</f>
        <v>69.365530303030297</v>
      </c>
      <c r="BM665" s="48">
        <f>$G665/5280*VLOOKUP($AC665,'Cost and Score'!$B$27:$O$40,8,0)</f>
        <v>110.98484848484848</v>
      </c>
      <c r="BN665" s="48">
        <f>$G665/5280*VLOOKUP($AC665,'Cost and Score'!$B$27:$O$40,9,0)</f>
        <v>1109.8484848484848</v>
      </c>
      <c r="BO665" s="48">
        <f>$G665/5280*VLOOKUP($AC665,'Cost and Score'!$B$27:$O$40,10,0)</f>
        <v>277.46212121212119</v>
      </c>
      <c r="BP665" s="48">
        <f>$G665/5280*VLOOKUP($AC665,'Cost and Score'!$B$27:$O$40,11,0)</f>
        <v>55.492424242424242</v>
      </c>
      <c r="BQ665" s="48">
        <f>$G665/5280*VLOOKUP($AC665,'Cost and Score'!$B$27:$O$40,12,0)</f>
        <v>443.93939393939394</v>
      </c>
      <c r="BR665" s="48">
        <f>$G665/5280*VLOOKUP($AC665,'Cost and Score'!$B$27:$O$40,13,0)</f>
        <v>44.393939393939391</v>
      </c>
      <c r="BS665" s="48">
        <f>$G665/5280*VLOOKUP($AC665,'Cost and Score'!$B$27:$O$40,14,0)</f>
        <v>0</v>
      </c>
      <c r="BT665" s="220">
        <f t="shared" si="341"/>
        <v>0.55492424242424243</v>
      </c>
    </row>
    <row r="666" spans="1:103" s="2" customFormat="1" ht="14.45" hidden="1" customHeight="1" x14ac:dyDescent="0.25">
      <c r="A666" s="38" t="s">
        <v>1389</v>
      </c>
      <c r="B666" s="34" t="s">
        <v>1388</v>
      </c>
      <c r="C666" s="26" t="s">
        <v>1388</v>
      </c>
      <c r="D666" s="82"/>
      <c r="E666" s="82" t="s">
        <v>86</v>
      </c>
      <c r="F666" s="82" t="s">
        <v>82</v>
      </c>
      <c r="G666" s="29">
        <v>3647</v>
      </c>
      <c r="H666" s="29">
        <f t="shared" si="343"/>
        <v>20</v>
      </c>
      <c r="I666" s="26" t="s">
        <v>13</v>
      </c>
      <c r="J666" s="26" t="s">
        <v>62</v>
      </c>
      <c r="K666" s="26">
        <f t="shared" si="345"/>
        <v>0</v>
      </c>
      <c r="L666" s="42">
        <v>6</v>
      </c>
      <c r="M666" s="42">
        <v>6</v>
      </c>
      <c r="N666" s="42">
        <v>6</v>
      </c>
      <c r="O666" s="83">
        <v>6</v>
      </c>
      <c r="P666" s="83">
        <v>6</v>
      </c>
      <c r="Q666" s="83">
        <v>6</v>
      </c>
      <c r="R666" s="83">
        <v>6</v>
      </c>
      <c r="S666" s="83">
        <v>6</v>
      </c>
      <c r="T666" s="83">
        <v>7</v>
      </c>
      <c r="U666" s="83">
        <v>7</v>
      </c>
      <c r="V666" s="42"/>
      <c r="W666" s="42"/>
      <c r="X666" s="42"/>
      <c r="Y666" s="26">
        <v>50</v>
      </c>
      <c r="Z666" s="26">
        <f t="shared" ref="Z666:Z729" si="355">VLOOKUP(Y666,AADT,2)</f>
        <v>0</v>
      </c>
      <c r="AA666" s="82" t="s">
        <v>38</v>
      </c>
      <c r="AB666" s="111">
        <f t="shared" ref="AB666:AB729" si="356">(10-P666)+Z666+K666</f>
        <v>4</v>
      </c>
      <c r="AC666" s="82" t="s">
        <v>2072</v>
      </c>
      <c r="AD666" s="84">
        <f t="shared" si="339"/>
        <v>31773.10606060606</v>
      </c>
      <c r="AE666" s="140"/>
      <c r="AF666" s="113">
        <f t="shared" si="354"/>
        <v>0</v>
      </c>
      <c r="AG666" s="26">
        <v>2027</v>
      </c>
      <c r="AH666" s="26" t="str">
        <f t="shared" si="344"/>
        <v/>
      </c>
      <c r="AI666" s="26" t="str">
        <f t="shared" si="332"/>
        <v/>
      </c>
      <c r="AJ666" s="26" t="str">
        <f t="shared" si="334"/>
        <v/>
      </c>
      <c r="AK666" s="26" t="str">
        <f t="shared" si="342"/>
        <v/>
      </c>
      <c r="AL666" s="26" t="str">
        <f t="shared" si="342"/>
        <v/>
      </c>
      <c r="AM666" s="26" t="str">
        <f t="shared" si="342"/>
        <v>Chip Seal - Triple</v>
      </c>
      <c r="AN666" s="26" t="str">
        <f t="shared" si="353"/>
        <v>Chip Seal - Triple</v>
      </c>
      <c r="AO666" s="26" t="str">
        <f t="shared" si="335"/>
        <v>Chip Seal - Triple</v>
      </c>
      <c r="AP666" s="26" t="str">
        <f t="shared" si="346"/>
        <v/>
      </c>
      <c r="AQ666" s="68">
        <f t="shared" ref="AQ666:AQ729" si="357">VLOOKUP(O666,RSLrem,2,FALSE)</f>
        <v>8</v>
      </c>
      <c r="AR666" s="68">
        <f t="shared" ref="AR666:AR729" si="358">VLOOKUP(AC666,RSL,5,FALSE)</f>
        <v>8</v>
      </c>
      <c r="AS666" s="68">
        <f t="shared" si="347"/>
        <v>1.1000000000000001</v>
      </c>
      <c r="AT666" s="68">
        <f t="shared" si="348"/>
        <v>1.1000000000000001</v>
      </c>
      <c r="AU666" s="68">
        <f t="shared" si="349"/>
        <v>1.1000000000000001</v>
      </c>
      <c r="AV666" s="68">
        <f t="shared" si="350"/>
        <v>1.1000000000000001</v>
      </c>
      <c r="AW666" s="68">
        <f t="shared" si="351"/>
        <v>1.1000000000000001</v>
      </c>
      <c r="AX666" s="68">
        <f t="shared" ca="1" si="352"/>
        <v>3.3000000000000003</v>
      </c>
      <c r="AY666" s="68">
        <v>2021</v>
      </c>
      <c r="AZ666" s="68" t="s">
        <v>2072</v>
      </c>
      <c r="BA666" s="106" t="str">
        <f t="shared" si="340"/>
        <v/>
      </c>
      <c r="BB666" s="178"/>
      <c r="BC666" s="178">
        <v>4</v>
      </c>
      <c r="BD666" s="178"/>
      <c r="BE666" s="178"/>
      <c r="BF666" s="178"/>
      <c r="BG666" s="178"/>
      <c r="BH666" s="178"/>
      <c r="BI666" s="33"/>
      <c r="BK666" s="48">
        <f>$G666/5280*VLOOKUP($AC666,'Cost and Score'!$B$27:$O$40,6,0)</f>
        <v>0.41443181818181812</v>
      </c>
      <c r="BL666" s="48">
        <f>$G666/5280*VLOOKUP($AC666,'Cost and Score'!$B$27:$O$40,7,0)</f>
        <v>86.33996212121211</v>
      </c>
      <c r="BM666" s="48">
        <f>$G666/5280*VLOOKUP($AC666,'Cost and Score'!$B$27:$O$40,8,0)</f>
        <v>138.14393939393938</v>
      </c>
      <c r="BN666" s="48">
        <f>$G666/5280*VLOOKUP($AC666,'Cost and Score'!$B$27:$O$40,9,0)</f>
        <v>1381.4393939393938</v>
      </c>
      <c r="BO666" s="48">
        <f>$G666/5280*VLOOKUP($AC666,'Cost and Score'!$B$27:$O$40,10,0)</f>
        <v>345.35984848484844</v>
      </c>
      <c r="BP666" s="48">
        <f>$G666/5280*VLOOKUP($AC666,'Cost and Score'!$B$27:$O$40,11,0)</f>
        <v>69.071969696969688</v>
      </c>
      <c r="BQ666" s="48">
        <f>$G666/5280*VLOOKUP($AC666,'Cost and Score'!$B$27:$O$40,12,0)</f>
        <v>552.57575757575751</v>
      </c>
      <c r="BR666" s="48">
        <f>$G666/5280*VLOOKUP($AC666,'Cost and Score'!$B$27:$O$40,13,0)</f>
        <v>55.257575757575751</v>
      </c>
      <c r="BS666" s="48">
        <f>$G666/5280*VLOOKUP($AC666,'Cost and Score'!$B$27:$O$40,14,0)</f>
        <v>0</v>
      </c>
      <c r="BT666" s="220">
        <f t="shared" si="341"/>
        <v>0.69071969696969693</v>
      </c>
      <c r="CW666" s="112"/>
      <c r="CX666" s="112"/>
      <c r="CY666" s="112"/>
    </row>
    <row r="667" spans="1:103" s="2" customFormat="1" ht="14.45" customHeight="1" x14ac:dyDescent="0.25">
      <c r="A667" s="31" t="s">
        <v>2102</v>
      </c>
      <c r="B667" s="45" t="s">
        <v>1871</v>
      </c>
      <c r="C667" s="26" t="s">
        <v>1871</v>
      </c>
      <c r="D667" s="119" t="s">
        <v>2308</v>
      </c>
      <c r="E667" s="82" t="s">
        <v>1619</v>
      </c>
      <c r="F667" s="82" t="s">
        <v>1502</v>
      </c>
      <c r="G667" s="151">
        <v>520</v>
      </c>
      <c r="H667" s="29">
        <f t="shared" si="343"/>
        <v>26</v>
      </c>
      <c r="I667" s="26" t="s">
        <v>2098</v>
      </c>
      <c r="J667" s="26" t="s">
        <v>160</v>
      </c>
      <c r="K667" s="26">
        <f t="shared" si="345"/>
        <v>0</v>
      </c>
      <c r="L667" s="42">
        <v>8</v>
      </c>
      <c r="M667" s="42">
        <v>10</v>
      </c>
      <c r="N667" s="42">
        <v>9</v>
      </c>
      <c r="O667" s="83">
        <v>8</v>
      </c>
      <c r="P667" s="83">
        <v>8</v>
      </c>
      <c r="Q667" s="83">
        <v>8</v>
      </c>
      <c r="R667" s="83">
        <v>8</v>
      </c>
      <c r="S667" s="83">
        <v>7</v>
      </c>
      <c r="T667" s="83">
        <v>7</v>
      </c>
      <c r="U667" s="83">
        <v>7</v>
      </c>
      <c r="V667" s="42"/>
      <c r="W667" s="42"/>
      <c r="X667" s="42"/>
      <c r="Y667" s="26">
        <v>2144</v>
      </c>
      <c r="Z667" s="26">
        <f t="shared" si="355"/>
        <v>1</v>
      </c>
      <c r="AA667" s="82" t="s">
        <v>1871</v>
      </c>
      <c r="AB667" s="111">
        <f t="shared" si="356"/>
        <v>3</v>
      </c>
      <c r="AC667" s="106" t="s">
        <v>2086</v>
      </c>
      <c r="AD667" s="84">
        <f t="shared" si="339"/>
        <v>246.21212121212122</v>
      </c>
      <c r="AE667" s="140"/>
      <c r="AF667" s="113">
        <f t="shared" si="354"/>
        <v>0</v>
      </c>
      <c r="AG667" s="106">
        <v>2025</v>
      </c>
      <c r="AH667" s="26" t="str">
        <f t="shared" si="344"/>
        <v/>
      </c>
      <c r="AI667" s="26" t="str">
        <f t="shared" si="332"/>
        <v/>
      </c>
      <c r="AJ667" s="26" t="str">
        <f t="shared" si="334"/>
        <v/>
      </c>
      <c r="AK667" s="26" t="str">
        <f t="shared" si="342"/>
        <v>Fog Seal</v>
      </c>
      <c r="AL667" s="26" t="str">
        <f t="shared" si="342"/>
        <v/>
      </c>
      <c r="AM667" s="26" t="str">
        <f t="shared" si="342"/>
        <v/>
      </c>
      <c r="AN667" s="26" t="str">
        <f t="shared" si="353"/>
        <v>Fog Seal</v>
      </c>
      <c r="AO667" s="26" t="str">
        <f t="shared" si="335"/>
        <v/>
      </c>
      <c r="AP667" s="26" t="str">
        <f t="shared" si="346"/>
        <v/>
      </c>
      <c r="AQ667" s="68">
        <f t="shared" si="357"/>
        <v>12</v>
      </c>
      <c r="AR667" s="68">
        <f t="shared" si="358"/>
        <v>2</v>
      </c>
      <c r="AS667" s="68">
        <f t="shared" si="347"/>
        <v>1</v>
      </c>
      <c r="AT667" s="68">
        <f t="shared" si="348"/>
        <v>1</v>
      </c>
      <c r="AU667" s="68">
        <f t="shared" si="349"/>
        <v>1</v>
      </c>
      <c r="AV667" s="68">
        <f t="shared" si="350"/>
        <v>1</v>
      </c>
      <c r="AW667" s="68">
        <f t="shared" si="351"/>
        <v>1</v>
      </c>
      <c r="AX667" s="68">
        <f t="shared" ca="1" si="352"/>
        <v>1</v>
      </c>
      <c r="AY667" s="68">
        <v>2019</v>
      </c>
      <c r="AZ667" s="68" t="s">
        <v>2425</v>
      </c>
      <c r="BA667" s="106" t="str">
        <f t="shared" si="340"/>
        <v/>
      </c>
      <c r="BB667" s="178"/>
      <c r="BC667" s="178"/>
      <c r="BD667" s="178"/>
      <c r="BE667" s="178"/>
      <c r="BF667" s="178"/>
      <c r="BG667" s="178"/>
      <c r="BH667" s="178"/>
      <c r="BI667" s="33"/>
      <c r="BK667" s="48">
        <f>$G667/5280*VLOOKUP($AC667,'Cost and Score'!$B$27:$O$40,6,0)</f>
        <v>9.8484848484848495E-3</v>
      </c>
      <c r="BL667" s="48">
        <f>$G667/5280*VLOOKUP($AC667,'Cost and Score'!$B$27:$O$40,7,0)</f>
        <v>1.9696969696969699E-2</v>
      </c>
      <c r="BM667" s="48">
        <f>$G667/5280*VLOOKUP($AC667,'Cost and Score'!$B$27:$O$40,8,0)</f>
        <v>0</v>
      </c>
      <c r="BN667" s="48">
        <f>$G667/5280*VLOOKUP($AC667,'Cost and Score'!$B$27:$O$40,9,0)</f>
        <v>0</v>
      </c>
      <c r="BO667" s="48">
        <f>$G667/5280*VLOOKUP($AC667,'Cost and Score'!$B$27:$O$40,10,0)</f>
        <v>98.484848484848484</v>
      </c>
      <c r="BP667" s="48">
        <f>$G667/5280*VLOOKUP($AC667,'Cost and Score'!$B$27:$O$40,11,0)</f>
        <v>0</v>
      </c>
      <c r="BQ667" s="48">
        <f>$G667/5280*VLOOKUP($AC667,'Cost and Score'!$B$27:$O$40,12,0)</f>
        <v>0</v>
      </c>
      <c r="BR667" s="48">
        <f>$G667/5280*VLOOKUP($AC667,'Cost and Score'!$B$27:$O$40,13,0)</f>
        <v>0</v>
      </c>
      <c r="BS667" s="48">
        <f>$G667/5280*VLOOKUP($AC667,'Cost and Score'!$B$27:$O$40,14,0)</f>
        <v>0</v>
      </c>
      <c r="BT667" s="220">
        <f t="shared" si="341"/>
        <v>9.8484848484848481E-2</v>
      </c>
      <c r="CF667" s="112"/>
      <c r="CN667" s="112"/>
      <c r="CO667" s="112"/>
      <c r="CP667" s="112"/>
      <c r="CQ667" s="112"/>
      <c r="CR667" s="112"/>
      <c r="CV667" s="112"/>
    </row>
    <row r="668" spans="1:103" s="2" customFormat="1" ht="14.45" hidden="1" customHeight="1" x14ac:dyDescent="0.25">
      <c r="A668" s="38" t="s">
        <v>1393</v>
      </c>
      <c r="B668" s="34" t="s">
        <v>1392</v>
      </c>
      <c r="C668" s="26" t="s">
        <v>1392</v>
      </c>
      <c r="D668" s="82"/>
      <c r="E668" s="82" t="s">
        <v>307</v>
      </c>
      <c r="F668" s="82" t="s">
        <v>255</v>
      </c>
      <c r="G668" s="29">
        <v>1756</v>
      </c>
      <c r="H668" s="29">
        <f t="shared" si="343"/>
        <v>20</v>
      </c>
      <c r="I668" s="26" t="s">
        <v>8</v>
      </c>
      <c r="J668" s="26" t="s">
        <v>26</v>
      </c>
      <c r="K668" s="26">
        <f t="shared" si="345"/>
        <v>0</v>
      </c>
      <c r="L668" s="42">
        <v>6</v>
      </c>
      <c r="M668" s="42">
        <v>6</v>
      </c>
      <c r="N668" s="42">
        <v>6</v>
      </c>
      <c r="O668" s="83">
        <v>6</v>
      </c>
      <c r="P668" s="83">
        <v>6</v>
      </c>
      <c r="Q668" s="83">
        <v>5</v>
      </c>
      <c r="R668" s="83">
        <v>5</v>
      </c>
      <c r="S668" s="83">
        <v>5</v>
      </c>
      <c r="T668" s="83">
        <v>8</v>
      </c>
      <c r="U668" s="83">
        <v>7</v>
      </c>
      <c r="V668" s="42"/>
      <c r="W668" s="42"/>
      <c r="X668" s="42"/>
      <c r="Y668" s="26">
        <v>50</v>
      </c>
      <c r="Z668" s="26">
        <f t="shared" si="355"/>
        <v>0</v>
      </c>
      <c r="AA668" s="82" t="s">
        <v>1394</v>
      </c>
      <c r="AB668" s="111">
        <f t="shared" si="356"/>
        <v>4</v>
      </c>
      <c r="AC668" s="85" t="s">
        <v>13</v>
      </c>
      <c r="AD668" s="84">
        <f t="shared" si="339"/>
        <v>6984.090909090909</v>
      </c>
      <c r="AE668" s="140"/>
      <c r="AF668" s="113">
        <f t="shared" si="354"/>
        <v>0</v>
      </c>
      <c r="AG668" s="26">
        <v>2027</v>
      </c>
      <c r="AH668" s="26" t="str">
        <f t="shared" si="344"/>
        <v/>
      </c>
      <c r="AI668" s="26" t="str">
        <f t="shared" si="332"/>
        <v/>
      </c>
      <c r="AJ668" s="26" t="str">
        <f t="shared" si="334"/>
        <v/>
      </c>
      <c r="AK668" s="26" t="str">
        <f t="shared" ref="AK668:AM687" si="359">IF($AG668=AK$1,VLOOKUP($AC668,RSL,3,FALSE),"")</f>
        <v/>
      </c>
      <c r="AL668" s="26" t="str">
        <f t="shared" si="359"/>
        <v/>
      </c>
      <c r="AM668" s="26" t="str">
        <f t="shared" si="359"/>
        <v>Chip Seal and Fog</v>
      </c>
      <c r="AN668" s="26" t="str">
        <f t="shared" si="353"/>
        <v>Chip Seal and Fog</v>
      </c>
      <c r="AO668" s="26" t="str">
        <f t="shared" si="335"/>
        <v>Overlay - 2"</v>
      </c>
      <c r="AP668" s="26" t="str">
        <f t="shared" si="346"/>
        <v/>
      </c>
      <c r="AQ668" s="68">
        <f t="shared" si="357"/>
        <v>8</v>
      </c>
      <c r="AR668" s="68">
        <f t="shared" si="358"/>
        <v>6</v>
      </c>
      <c r="AS668" s="68">
        <f t="shared" si="347"/>
        <v>1.1000000000000001</v>
      </c>
      <c r="AT668" s="68">
        <f t="shared" si="348"/>
        <v>1.1000000000000001</v>
      </c>
      <c r="AU668" s="68">
        <f t="shared" si="349"/>
        <v>1.1000000000000001</v>
      </c>
      <c r="AV668" s="68">
        <f t="shared" si="350"/>
        <v>1.1000000000000001</v>
      </c>
      <c r="AW668" s="68">
        <f t="shared" si="351"/>
        <v>1.1000000000000001</v>
      </c>
      <c r="AX668" s="68">
        <f t="shared" ca="1" si="352"/>
        <v>3.3000000000000003</v>
      </c>
      <c r="AY668" s="68">
        <v>2021</v>
      </c>
      <c r="AZ668" s="68" t="s">
        <v>751</v>
      </c>
      <c r="BA668" s="106" t="str">
        <f t="shared" si="340"/>
        <v/>
      </c>
      <c r="BB668" s="178">
        <v>82</v>
      </c>
      <c r="BC668" s="178">
        <v>7</v>
      </c>
      <c r="BD668" s="178"/>
      <c r="BE668" s="178"/>
      <c r="BF668" s="178"/>
      <c r="BG668" s="178"/>
      <c r="BH668" s="178"/>
      <c r="BI668" s="33"/>
      <c r="BK668" s="48">
        <f>$G668/5280*VLOOKUP($AC668,'Cost and Score'!$B$27:$O$40,6,0)</f>
        <v>6.6515151515151513E-2</v>
      </c>
      <c r="BL668" s="48">
        <f>$G668/5280*VLOOKUP($AC668,'Cost and Score'!$B$27:$O$40,7,0)</f>
        <v>7.3166666666666664</v>
      </c>
      <c r="BM668" s="48">
        <f>$G668/5280*VLOOKUP($AC668,'Cost and Score'!$B$27:$O$40,8,0)</f>
        <v>0</v>
      </c>
      <c r="BN668" s="48">
        <f>$G668/5280*VLOOKUP($AC668,'Cost and Score'!$B$27:$O$40,9,0)</f>
        <v>1496.590909090909</v>
      </c>
      <c r="BO668" s="48">
        <f>$G668/5280*VLOOKUP($AC668,'Cost and Score'!$B$27:$O$40,10,0)</f>
        <v>332.57575757575756</v>
      </c>
      <c r="BP668" s="48">
        <f>$G668/5280*VLOOKUP($AC668,'Cost and Score'!$B$27:$O$40,11,0)</f>
        <v>0</v>
      </c>
      <c r="BQ668" s="48">
        <f>$G668/5280*VLOOKUP($AC668,'Cost and Score'!$B$27:$O$40,12,0)</f>
        <v>33.257575757575758</v>
      </c>
      <c r="BR668" s="48">
        <f>$G668/5280*VLOOKUP($AC668,'Cost and Score'!$B$27:$O$40,13,0)</f>
        <v>39.909090909090907</v>
      </c>
      <c r="BS668" s="48">
        <f>$G668/5280*VLOOKUP($AC668,'Cost and Score'!$B$27:$O$40,14,0)</f>
        <v>0</v>
      </c>
      <c r="BT668" s="220">
        <f t="shared" si="341"/>
        <v>0.33257575757575758</v>
      </c>
      <c r="CR668" s="112"/>
    </row>
    <row r="669" spans="1:103" s="2" customFormat="1" ht="14.45" hidden="1" customHeight="1" x14ac:dyDescent="0.25">
      <c r="A669" s="36" t="s">
        <v>1396</v>
      </c>
      <c r="B669" s="34" t="s">
        <v>1395</v>
      </c>
      <c r="C669" s="26" t="s">
        <v>1395</v>
      </c>
      <c r="D669" s="26"/>
      <c r="E669" s="26" t="s">
        <v>121</v>
      </c>
      <c r="F669" s="26" t="s">
        <v>124</v>
      </c>
      <c r="G669" s="29">
        <v>5245</v>
      </c>
      <c r="H669" s="29">
        <f t="shared" si="343"/>
        <v>20</v>
      </c>
      <c r="I669" s="26" t="s">
        <v>13</v>
      </c>
      <c r="J669" s="26" t="s">
        <v>11</v>
      </c>
      <c r="K669" s="26">
        <f t="shared" si="345"/>
        <v>0</v>
      </c>
      <c r="L669" s="42">
        <v>3</v>
      </c>
      <c r="M669" s="42">
        <v>5</v>
      </c>
      <c r="N669" s="42">
        <v>5</v>
      </c>
      <c r="O669" s="42">
        <v>5</v>
      </c>
      <c r="P669" s="42">
        <v>5</v>
      </c>
      <c r="Q669" s="42">
        <v>5</v>
      </c>
      <c r="R669" s="42">
        <v>5</v>
      </c>
      <c r="S669" s="42">
        <v>5</v>
      </c>
      <c r="T669" s="42">
        <v>6</v>
      </c>
      <c r="U669" s="42">
        <v>7</v>
      </c>
      <c r="V669" s="42"/>
      <c r="W669" s="42"/>
      <c r="X669" s="42"/>
      <c r="Y669" s="26">
        <v>58</v>
      </c>
      <c r="Z669" s="26">
        <f t="shared" si="355"/>
        <v>0</v>
      </c>
      <c r="AA669" s="26" t="s">
        <v>405</v>
      </c>
      <c r="AB669" s="111">
        <f t="shared" si="356"/>
        <v>5</v>
      </c>
      <c r="AC669" s="26" t="s">
        <v>13</v>
      </c>
      <c r="AD669" s="47">
        <f t="shared" si="339"/>
        <v>20860.795454545456</v>
      </c>
      <c r="AE669" s="140"/>
      <c r="AF669" s="113">
        <f t="shared" si="354"/>
        <v>0</v>
      </c>
      <c r="AG669" s="26">
        <v>2022</v>
      </c>
      <c r="AH669" s="26" t="str">
        <f t="shared" si="344"/>
        <v>Chip Seal and Fog</v>
      </c>
      <c r="AI669" s="26" t="str">
        <f t="shared" si="332"/>
        <v/>
      </c>
      <c r="AJ669" s="26" t="str">
        <f t="shared" si="334"/>
        <v/>
      </c>
      <c r="AK669" s="26" t="str">
        <f t="shared" si="359"/>
        <v/>
      </c>
      <c r="AL669" s="26" t="str">
        <f t="shared" si="359"/>
        <v/>
      </c>
      <c r="AM669" s="26" t="str">
        <f t="shared" si="359"/>
        <v/>
      </c>
      <c r="AN669" s="26" t="str">
        <f t="shared" si="353"/>
        <v>Chip Seal and Fog</v>
      </c>
      <c r="AO669" s="26" t="str">
        <f t="shared" si="335"/>
        <v/>
      </c>
      <c r="AP669" s="26" t="str">
        <f t="shared" si="346"/>
        <v>Chip Seal and Fog</v>
      </c>
      <c r="AQ669" s="68">
        <f t="shared" si="357"/>
        <v>6</v>
      </c>
      <c r="AR669" s="68">
        <f t="shared" si="358"/>
        <v>6</v>
      </c>
      <c r="AS669" s="68">
        <f t="shared" si="347"/>
        <v>1.75</v>
      </c>
      <c r="AT669" s="68">
        <f t="shared" si="348"/>
        <v>1.25</v>
      </c>
      <c r="AU669" s="68">
        <f t="shared" si="349"/>
        <v>1.25</v>
      </c>
      <c r="AV669" s="68">
        <f t="shared" si="350"/>
        <v>1.25</v>
      </c>
      <c r="AW669" s="68">
        <f t="shared" si="351"/>
        <v>1.25</v>
      </c>
      <c r="AX669" s="68">
        <f t="shared" ca="1" si="352"/>
        <v>-2.5</v>
      </c>
      <c r="AY669" s="68">
        <v>2022</v>
      </c>
      <c r="AZ669" s="68" t="s">
        <v>13</v>
      </c>
      <c r="BA669" s="106" t="str">
        <f t="shared" si="340"/>
        <v/>
      </c>
      <c r="BB669" s="178"/>
      <c r="BC669" s="178">
        <v>4</v>
      </c>
      <c r="BD669" s="178"/>
      <c r="BE669" s="178"/>
      <c r="BF669" s="178"/>
      <c r="BG669" s="178"/>
      <c r="BH669" s="178"/>
      <c r="BI669" s="33"/>
      <c r="BK669" s="48">
        <f>$G669/5280*VLOOKUP($AC669,'Cost and Score'!$B$27:$O$40,6,0)</f>
        <v>0.19867424242424245</v>
      </c>
      <c r="BL669" s="48">
        <f>$G669/5280*VLOOKUP($AC669,'Cost and Score'!$B$27:$O$40,7,0)</f>
        <v>21.854166666666668</v>
      </c>
      <c r="BM669" s="48">
        <f>$G669/5280*VLOOKUP($AC669,'Cost and Score'!$B$27:$O$40,8,0)</f>
        <v>0</v>
      </c>
      <c r="BN669" s="48">
        <f>$G669/5280*VLOOKUP($AC669,'Cost and Score'!$B$27:$O$40,9,0)</f>
        <v>4470.170454545455</v>
      </c>
      <c r="BO669" s="48">
        <f>$G669/5280*VLOOKUP($AC669,'Cost and Score'!$B$27:$O$40,10,0)</f>
        <v>993.37121212121212</v>
      </c>
      <c r="BP669" s="48">
        <f>$G669/5280*VLOOKUP($AC669,'Cost and Score'!$B$27:$O$40,11,0)</f>
        <v>0</v>
      </c>
      <c r="BQ669" s="48">
        <f>$G669/5280*VLOOKUP($AC669,'Cost and Score'!$B$27:$O$40,12,0)</f>
        <v>99.337121212121218</v>
      </c>
      <c r="BR669" s="48">
        <f>$G669/5280*VLOOKUP($AC669,'Cost and Score'!$B$27:$O$40,13,0)</f>
        <v>119.20454545454545</v>
      </c>
      <c r="BS669" s="48">
        <f>$G669/5280*VLOOKUP($AC669,'Cost and Score'!$B$27:$O$40,14,0)</f>
        <v>0</v>
      </c>
      <c r="BT669" s="220">
        <f t="shared" si="341"/>
        <v>0.99337121212121215</v>
      </c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</row>
    <row r="670" spans="1:103" s="2" customFormat="1" ht="14.45" hidden="1" customHeight="1" x14ac:dyDescent="0.25">
      <c r="A670" s="38" t="s">
        <v>1398</v>
      </c>
      <c r="B670" s="34" t="s">
        <v>1397</v>
      </c>
      <c r="C670" s="26" t="s">
        <v>1397</v>
      </c>
      <c r="D670" s="82"/>
      <c r="E670" s="82" t="s">
        <v>55</v>
      </c>
      <c r="F670" s="82" t="s">
        <v>406</v>
      </c>
      <c r="G670" s="29">
        <v>3568</v>
      </c>
      <c r="H670" s="29">
        <f t="shared" si="343"/>
        <v>20</v>
      </c>
      <c r="I670" s="26" t="s">
        <v>13</v>
      </c>
      <c r="J670" s="26" t="s">
        <v>11</v>
      </c>
      <c r="K670" s="26">
        <f t="shared" si="345"/>
        <v>0</v>
      </c>
      <c r="L670" s="42">
        <v>7</v>
      </c>
      <c r="M670" s="42">
        <v>7</v>
      </c>
      <c r="N670" s="42">
        <v>6</v>
      </c>
      <c r="O670" s="83">
        <v>6</v>
      </c>
      <c r="P670" s="83">
        <v>6</v>
      </c>
      <c r="Q670" s="83">
        <v>5</v>
      </c>
      <c r="R670" s="83">
        <v>5</v>
      </c>
      <c r="S670" s="83">
        <v>5</v>
      </c>
      <c r="T670" s="83">
        <v>5</v>
      </c>
      <c r="U670" s="83">
        <v>8</v>
      </c>
      <c r="V670" s="42"/>
      <c r="W670" s="42"/>
      <c r="X670" s="42"/>
      <c r="Y670" s="26">
        <v>87</v>
      </c>
      <c r="Z670" s="26">
        <f t="shared" si="355"/>
        <v>0</v>
      </c>
      <c r="AA670" s="82" t="s">
        <v>281</v>
      </c>
      <c r="AB670" s="111">
        <f t="shared" si="356"/>
        <v>4</v>
      </c>
      <c r="AC670" s="82" t="s">
        <v>13</v>
      </c>
      <c r="AD670" s="84">
        <f t="shared" si="339"/>
        <v>14190.90909090909</v>
      </c>
      <c r="AE670" s="140"/>
      <c r="AF670" s="113">
        <f t="shared" si="354"/>
        <v>0</v>
      </c>
      <c r="AG670" s="26">
        <v>2022</v>
      </c>
      <c r="AH670" s="26" t="str">
        <f t="shared" si="344"/>
        <v>Chip Seal and Fog</v>
      </c>
      <c r="AI670" s="26" t="str">
        <f t="shared" ref="AI670:AI733" si="360">IF($AG670=AI$1,VLOOKUP($AC670,RSL,3,FALSE),"")</f>
        <v/>
      </c>
      <c r="AJ670" s="26" t="str">
        <f t="shared" si="334"/>
        <v/>
      </c>
      <c r="AK670" s="26" t="str">
        <f t="shared" si="359"/>
        <v/>
      </c>
      <c r="AL670" s="26" t="str">
        <f t="shared" si="359"/>
        <v/>
      </c>
      <c r="AM670" s="26" t="str">
        <f t="shared" si="359"/>
        <v/>
      </c>
      <c r="AN670" s="26" t="str">
        <f t="shared" si="353"/>
        <v>Chip Seal and Fog</v>
      </c>
      <c r="AO670" s="26" t="str">
        <f t="shared" si="335"/>
        <v/>
      </c>
      <c r="AP670" s="26" t="str">
        <f t="shared" si="346"/>
        <v>Chip Seal and Fog</v>
      </c>
      <c r="AQ670" s="68">
        <f t="shared" si="357"/>
        <v>8</v>
      </c>
      <c r="AR670" s="68">
        <f t="shared" si="358"/>
        <v>6</v>
      </c>
      <c r="AS670" s="68">
        <f t="shared" si="347"/>
        <v>1.05</v>
      </c>
      <c r="AT670" s="68">
        <f t="shared" si="348"/>
        <v>1.05</v>
      </c>
      <c r="AU670" s="68">
        <f t="shared" si="349"/>
        <v>1.1000000000000001</v>
      </c>
      <c r="AV670" s="68">
        <f t="shared" si="350"/>
        <v>1.1000000000000001</v>
      </c>
      <c r="AW670" s="68">
        <f t="shared" si="351"/>
        <v>1.1000000000000001</v>
      </c>
      <c r="AX670" s="68">
        <f t="shared" ca="1" si="352"/>
        <v>-2.2000000000000002</v>
      </c>
      <c r="AY670" s="68">
        <v>2022</v>
      </c>
      <c r="AZ670" s="68" t="s">
        <v>13</v>
      </c>
      <c r="BA670" s="106" t="str">
        <f t="shared" si="340"/>
        <v/>
      </c>
      <c r="BB670" s="178">
        <v>83</v>
      </c>
      <c r="BC670" s="178">
        <v>4</v>
      </c>
      <c r="BD670" s="178"/>
      <c r="BE670" s="178"/>
      <c r="BF670" s="178"/>
      <c r="BG670" s="178"/>
      <c r="BH670" s="178"/>
      <c r="BI670" s="33"/>
      <c r="BK670" s="48">
        <f>$G670/5280*VLOOKUP($AC670,'Cost and Score'!$B$27:$O$40,6,0)</f>
        <v>0.13515151515151516</v>
      </c>
      <c r="BL670" s="48">
        <f>$G670/5280*VLOOKUP($AC670,'Cost and Score'!$B$27:$O$40,7,0)</f>
        <v>14.866666666666667</v>
      </c>
      <c r="BM670" s="48">
        <f>$G670/5280*VLOOKUP($AC670,'Cost and Score'!$B$27:$O$40,8,0)</f>
        <v>0</v>
      </c>
      <c r="BN670" s="48">
        <f>$G670/5280*VLOOKUP($AC670,'Cost and Score'!$B$27:$O$40,9,0)</f>
        <v>3040.909090909091</v>
      </c>
      <c r="BO670" s="48">
        <f>$G670/5280*VLOOKUP($AC670,'Cost and Score'!$B$27:$O$40,10,0)</f>
        <v>675.75757575757575</v>
      </c>
      <c r="BP670" s="48">
        <f>$G670/5280*VLOOKUP($AC670,'Cost and Score'!$B$27:$O$40,11,0)</f>
        <v>0</v>
      </c>
      <c r="BQ670" s="48">
        <f>$G670/5280*VLOOKUP($AC670,'Cost and Score'!$B$27:$O$40,12,0)</f>
        <v>67.575757575757578</v>
      </c>
      <c r="BR670" s="48">
        <f>$G670/5280*VLOOKUP($AC670,'Cost and Score'!$B$27:$O$40,13,0)</f>
        <v>81.090909090909093</v>
      </c>
      <c r="BS670" s="48">
        <f>$G670/5280*VLOOKUP($AC670,'Cost and Score'!$B$27:$O$40,14,0)</f>
        <v>0</v>
      </c>
      <c r="BT670" s="220">
        <f t="shared" si="341"/>
        <v>0.67575757575757578</v>
      </c>
    </row>
    <row r="671" spans="1:103" s="2" customFormat="1" ht="14.45" hidden="1" customHeight="1" x14ac:dyDescent="0.25">
      <c r="A671" s="38" t="s">
        <v>1400</v>
      </c>
      <c r="B671" s="34" t="s">
        <v>1399</v>
      </c>
      <c r="C671" s="26" t="s">
        <v>1399</v>
      </c>
      <c r="D671" s="82"/>
      <c r="E671" s="82" t="s">
        <v>67</v>
      </c>
      <c r="F671" s="82" t="s">
        <v>55</v>
      </c>
      <c r="G671" s="29">
        <v>4002</v>
      </c>
      <c r="H671" s="29">
        <f t="shared" si="343"/>
        <v>20</v>
      </c>
      <c r="I671" s="26" t="s">
        <v>13</v>
      </c>
      <c r="J671" s="26" t="s">
        <v>11</v>
      </c>
      <c r="K671" s="26">
        <f t="shared" si="345"/>
        <v>0</v>
      </c>
      <c r="L671" s="42">
        <v>7</v>
      </c>
      <c r="M671" s="42">
        <v>7</v>
      </c>
      <c r="N671" s="42">
        <v>6</v>
      </c>
      <c r="O671" s="83">
        <v>6</v>
      </c>
      <c r="P671" s="83">
        <v>6</v>
      </c>
      <c r="Q671" s="83">
        <v>6</v>
      </c>
      <c r="R671" s="83">
        <v>6</v>
      </c>
      <c r="S671" s="83">
        <v>6</v>
      </c>
      <c r="T671" s="83">
        <v>6</v>
      </c>
      <c r="U671" s="83">
        <v>8</v>
      </c>
      <c r="V671" s="42"/>
      <c r="W671" s="42"/>
      <c r="X671" s="42"/>
      <c r="Y671" s="26">
        <v>113</v>
      </c>
      <c r="Z671" s="26">
        <f t="shared" si="355"/>
        <v>0</v>
      </c>
      <c r="AA671" s="82" t="s">
        <v>281</v>
      </c>
      <c r="AB671" s="111">
        <f t="shared" si="356"/>
        <v>4</v>
      </c>
      <c r="AC671" s="82" t="s">
        <v>13</v>
      </c>
      <c r="AD671" s="84">
        <f t="shared" si="339"/>
        <v>15917.045454545454</v>
      </c>
      <c r="AE671" s="140"/>
      <c r="AF671" s="113">
        <f t="shared" si="354"/>
        <v>0</v>
      </c>
      <c r="AG671" s="26">
        <v>2022</v>
      </c>
      <c r="AH671" s="26" t="str">
        <f t="shared" si="344"/>
        <v>Chip Seal and Fog</v>
      </c>
      <c r="AI671" s="26" t="str">
        <f t="shared" si="360"/>
        <v/>
      </c>
      <c r="AJ671" s="26" t="str">
        <f t="shared" si="334"/>
        <v/>
      </c>
      <c r="AK671" s="26" t="str">
        <f t="shared" si="359"/>
        <v/>
      </c>
      <c r="AL671" s="26" t="str">
        <f t="shared" si="359"/>
        <v/>
      </c>
      <c r="AM671" s="26" t="str">
        <f t="shared" si="359"/>
        <v/>
      </c>
      <c r="AN671" s="26" t="str">
        <f t="shared" si="353"/>
        <v>Chip Seal and Fog</v>
      </c>
      <c r="AO671" s="26" t="str">
        <f t="shared" si="335"/>
        <v/>
      </c>
      <c r="AP671" s="26" t="str">
        <f t="shared" si="346"/>
        <v>Chip Seal and Fog</v>
      </c>
      <c r="AQ671" s="68">
        <f t="shared" si="357"/>
        <v>8</v>
      </c>
      <c r="AR671" s="68">
        <f t="shared" si="358"/>
        <v>6</v>
      </c>
      <c r="AS671" s="68">
        <f t="shared" si="347"/>
        <v>1.05</v>
      </c>
      <c r="AT671" s="68">
        <f t="shared" si="348"/>
        <v>1.05</v>
      </c>
      <c r="AU671" s="68">
        <f t="shared" si="349"/>
        <v>1.1000000000000001</v>
      </c>
      <c r="AV671" s="68">
        <f t="shared" si="350"/>
        <v>1.1000000000000001</v>
      </c>
      <c r="AW671" s="68">
        <f t="shared" si="351"/>
        <v>1.1000000000000001</v>
      </c>
      <c r="AX671" s="68">
        <f t="shared" ca="1" si="352"/>
        <v>-2.2000000000000002</v>
      </c>
      <c r="AY671" s="68">
        <v>2022</v>
      </c>
      <c r="AZ671" s="68" t="s">
        <v>13</v>
      </c>
      <c r="BA671" s="106" t="str">
        <f t="shared" si="340"/>
        <v/>
      </c>
      <c r="BB671" s="178">
        <v>84</v>
      </c>
      <c r="BC671" s="178">
        <v>4</v>
      </c>
      <c r="BD671" s="178"/>
      <c r="BE671" s="178"/>
      <c r="BF671" s="178"/>
      <c r="BG671" s="178"/>
      <c r="BH671" s="178"/>
      <c r="BI671" s="33"/>
      <c r="BK671" s="48">
        <f>$G671/5280*VLOOKUP($AC671,'Cost and Score'!$B$27:$O$40,6,0)</f>
        <v>0.15159090909090911</v>
      </c>
      <c r="BL671" s="48">
        <f>$G671/5280*VLOOKUP($AC671,'Cost and Score'!$B$27:$O$40,7,0)</f>
        <v>16.675000000000001</v>
      </c>
      <c r="BM671" s="48">
        <f>$G671/5280*VLOOKUP($AC671,'Cost and Score'!$B$27:$O$40,8,0)</f>
        <v>0</v>
      </c>
      <c r="BN671" s="48">
        <f>$G671/5280*VLOOKUP($AC671,'Cost and Score'!$B$27:$O$40,9,0)</f>
        <v>3410.7954545454545</v>
      </c>
      <c r="BO671" s="48">
        <f>$G671/5280*VLOOKUP($AC671,'Cost and Score'!$B$27:$O$40,10,0)</f>
        <v>757.95454545454538</v>
      </c>
      <c r="BP671" s="48">
        <f>$G671/5280*VLOOKUP($AC671,'Cost and Score'!$B$27:$O$40,11,0)</f>
        <v>0</v>
      </c>
      <c r="BQ671" s="48">
        <f>$G671/5280*VLOOKUP($AC671,'Cost and Score'!$B$27:$O$40,12,0)</f>
        <v>75.795454545454547</v>
      </c>
      <c r="BR671" s="48">
        <f>$G671/5280*VLOOKUP($AC671,'Cost and Score'!$B$27:$O$40,13,0)</f>
        <v>90.954545454545453</v>
      </c>
      <c r="BS671" s="48">
        <f>$G671/5280*VLOOKUP($AC671,'Cost and Score'!$B$27:$O$40,14,0)</f>
        <v>0</v>
      </c>
      <c r="BT671" s="220">
        <f t="shared" si="341"/>
        <v>0.75795454545454544</v>
      </c>
    </row>
    <row r="672" spans="1:103" s="2" customFormat="1" ht="14.45" hidden="1" customHeight="1" x14ac:dyDescent="0.25">
      <c r="A672" s="38" t="s">
        <v>1402</v>
      </c>
      <c r="B672" s="34" t="s">
        <v>1401</v>
      </c>
      <c r="C672" s="26" t="s">
        <v>1401</v>
      </c>
      <c r="D672" s="26"/>
      <c r="E672" s="26" t="s">
        <v>79</v>
      </c>
      <c r="F672" s="26" t="s">
        <v>94</v>
      </c>
      <c r="G672" s="29">
        <v>4830</v>
      </c>
      <c r="H672" s="29">
        <f t="shared" si="343"/>
        <v>20</v>
      </c>
      <c r="I672" s="26" t="s">
        <v>13</v>
      </c>
      <c r="J672" s="26" t="s">
        <v>17</v>
      </c>
      <c r="K672" s="26">
        <f t="shared" si="345"/>
        <v>0</v>
      </c>
      <c r="L672" s="42">
        <v>6</v>
      </c>
      <c r="M672" s="42">
        <v>4</v>
      </c>
      <c r="N672" s="42">
        <v>8</v>
      </c>
      <c r="O672" s="42">
        <v>8</v>
      </c>
      <c r="P672" s="42">
        <v>8</v>
      </c>
      <c r="Q672" s="42">
        <v>8</v>
      </c>
      <c r="R672" s="42">
        <v>7</v>
      </c>
      <c r="S672" s="42">
        <v>6</v>
      </c>
      <c r="T672" s="42">
        <v>6</v>
      </c>
      <c r="U672" s="42">
        <v>8</v>
      </c>
      <c r="V672" s="42"/>
      <c r="W672" s="42"/>
      <c r="X672" s="42"/>
      <c r="Y672" s="26">
        <v>17</v>
      </c>
      <c r="Z672" s="26">
        <f t="shared" si="355"/>
        <v>0</v>
      </c>
      <c r="AA672" s="26" t="s">
        <v>281</v>
      </c>
      <c r="AB672" s="111">
        <f t="shared" si="356"/>
        <v>2</v>
      </c>
      <c r="AC672" s="26" t="s">
        <v>13</v>
      </c>
      <c r="AD672" s="47">
        <f t="shared" si="339"/>
        <v>19210.227272727272</v>
      </c>
      <c r="AE672" s="140"/>
      <c r="AF672" s="113">
        <f t="shared" si="354"/>
        <v>0</v>
      </c>
      <c r="AG672" s="26">
        <v>2022</v>
      </c>
      <c r="AH672" s="26" t="str">
        <f t="shared" si="344"/>
        <v>Chip Seal and Fog</v>
      </c>
      <c r="AI672" s="26" t="str">
        <f t="shared" si="360"/>
        <v/>
      </c>
      <c r="AJ672" s="26" t="str">
        <f t="shared" si="334"/>
        <v/>
      </c>
      <c r="AK672" s="26" t="str">
        <f t="shared" si="359"/>
        <v/>
      </c>
      <c r="AL672" s="26" t="str">
        <f t="shared" si="359"/>
        <v/>
      </c>
      <c r="AM672" s="26" t="str">
        <f t="shared" si="359"/>
        <v/>
      </c>
      <c r="AN672" s="26" t="str">
        <f t="shared" si="353"/>
        <v>Chip Seal and Fog</v>
      </c>
      <c r="AO672" s="26" t="str">
        <f t="shared" si="335"/>
        <v/>
      </c>
      <c r="AP672" s="26" t="str">
        <f t="shared" si="346"/>
        <v>Chip Seal and Fog</v>
      </c>
      <c r="AQ672" s="68">
        <f t="shared" si="357"/>
        <v>12</v>
      </c>
      <c r="AR672" s="68">
        <f t="shared" si="358"/>
        <v>6</v>
      </c>
      <c r="AS672" s="68">
        <f t="shared" si="347"/>
        <v>1.1000000000000001</v>
      </c>
      <c r="AT672" s="68">
        <f t="shared" si="348"/>
        <v>1.5</v>
      </c>
      <c r="AU672" s="68">
        <f t="shared" si="349"/>
        <v>1</v>
      </c>
      <c r="AV672" s="68">
        <f t="shared" si="350"/>
        <v>1</v>
      </c>
      <c r="AW672" s="68">
        <f t="shared" si="351"/>
        <v>1</v>
      </c>
      <c r="AX672" s="68">
        <f t="shared" ca="1" si="352"/>
        <v>-2</v>
      </c>
      <c r="AY672" s="68">
        <v>2022</v>
      </c>
      <c r="AZ672" s="68" t="s">
        <v>13</v>
      </c>
      <c r="BA672" s="106" t="str">
        <f t="shared" si="340"/>
        <v/>
      </c>
      <c r="BB672" s="178"/>
      <c r="BC672" s="178">
        <v>1</v>
      </c>
      <c r="BD672" s="178"/>
      <c r="BE672" s="178"/>
      <c r="BF672" s="178"/>
      <c r="BG672" s="178"/>
      <c r="BH672" s="178"/>
      <c r="BI672" s="33" t="s">
        <v>2192</v>
      </c>
      <c r="BK672" s="48">
        <f>$G672/5280*VLOOKUP($AC672,'Cost and Score'!$B$27:$O$40,6,0)</f>
        <v>0.18295454545454548</v>
      </c>
      <c r="BL672" s="48">
        <f>$G672/5280*VLOOKUP($AC672,'Cost and Score'!$B$27:$O$40,7,0)</f>
        <v>20.125</v>
      </c>
      <c r="BM672" s="48">
        <f>$G672/5280*VLOOKUP($AC672,'Cost and Score'!$B$27:$O$40,8,0)</f>
        <v>0</v>
      </c>
      <c r="BN672" s="48">
        <f>$G672/5280*VLOOKUP($AC672,'Cost and Score'!$B$27:$O$40,9,0)</f>
        <v>4116.477272727273</v>
      </c>
      <c r="BO672" s="48">
        <f>$G672/5280*VLOOKUP($AC672,'Cost and Score'!$B$27:$O$40,10,0)</f>
        <v>914.77272727272725</v>
      </c>
      <c r="BP672" s="48">
        <f>$G672/5280*VLOOKUP($AC672,'Cost and Score'!$B$27:$O$40,11,0)</f>
        <v>0</v>
      </c>
      <c r="BQ672" s="48">
        <f>$G672/5280*VLOOKUP($AC672,'Cost and Score'!$B$27:$O$40,12,0)</f>
        <v>91.477272727272734</v>
      </c>
      <c r="BR672" s="48">
        <f>$G672/5280*VLOOKUP($AC672,'Cost and Score'!$B$27:$O$40,13,0)</f>
        <v>109.77272727272728</v>
      </c>
      <c r="BS672" s="48">
        <f>$G672/5280*VLOOKUP($AC672,'Cost and Score'!$B$27:$O$40,14,0)</f>
        <v>0</v>
      </c>
      <c r="BT672" s="220">
        <f t="shared" si="341"/>
        <v>0.91477272727272729</v>
      </c>
    </row>
    <row r="673" spans="1:103" s="2" customFormat="1" ht="14.45" hidden="1" customHeight="1" x14ac:dyDescent="0.25">
      <c r="A673" s="38"/>
      <c r="B673" s="224" t="s">
        <v>2406</v>
      </c>
      <c r="C673" s="26" t="s">
        <v>2406</v>
      </c>
      <c r="D673" s="36" t="s">
        <v>2226</v>
      </c>
      <c r="E673" s="26" t="s">
        <v>138</v>
      </c>
      <c r="F673" s="26" t="s">
        <v>119</v>
      </c>
      <c r="G673" s="29">
        <v>103</v>
      </c>
      <c r="H673" s="29">
        <v>40</v>
      </c>
      <c r="I673" s="26" t="s">
        <v>8</v>
      </c>
      <c r="J673" s="26" t="s">
        <v>17</v>
      </c>
      <c r="K673" s="26">
        <f t="shared" si="345"/>
        <v>0</v>
      </c>
      <c r="L673" s="42">
        <v>6</v>
      </c>
      <c r="M673" s="42">
        <v>5</v>
      </c>
      <c r="N673" s="42">
        <v>9</v>
      </c>
      <c r="O673" s="42">
        <v>9</v>
      </c>
      <c r="P673" s="42">
        <v>8</v>
      </c>
      <c r="Q673" s="42">
        <v>7</v>
      </c>
      <c r="R673" s="42">
        <v>6</v>
      </c>
      <c r="S673" s="42">
        <v>7</v>
      </c>
      <c r="T673" s="42">
        <v>7</v>
      </c>
      <c r="U673" s="42">
        <v>7</v>
      </c>
      <c r="V673" s="42"/>
      <c r="W673" s="42"/>
      <c r="X673" s="42"/>
      <c r="Y673" s="26">
        <v>50</v>
      </c>
      <c r="Z673" s="26"/>
      <c r="AA673" s="26" t="s">
        <v>2406</v>
      </c>
      <c r="AB673" s="111">
        <f t="shared" si="356"/>
        <v>2</v>
      </c>
      <c r="AC673" s="85" t="s">
        <v>2425</v>
      </c>
      <c r="AD673" s="47">
        <f t="shared" si="339"/>
        <v>487.68939393939394</v>
      </c>
      <c r="AE673" s="140"/>
      <c r="AF673" s="113">
        <f t="shared" si="354"/>
        <v>0</v>
      </c>
      <c r="AG673" s="85">
        <v>2026</v>
      </c>
      <c r="AH673" s="26" t="str">
        <f t="shared" si="344"/>
        <v/>
      </c>
      <c r="AI673" s="26" t="str">
        <f t="shared" si="360"/>
        <v/>
      </c>
      <c r="AJ673" s="26" t="str">
        <f t="shared" si="334"/>
        <v/>
      </c>
      <c r="AK673" s="26" t="str">
        <f t="shared" si="359"/>
        <v/>
      </c>
      <c r="AL673" s="26" t="str">
        <f t="shared" si="359"/>
        <v>Liquid Road</v>
      </c>
      <c r="AM673" s="26" t="str">
        <f t="shared" si="359"/>
        <v/>
      </c>
      <c r="AN673" s="26" t="str">
        <f t="shared" si="353"/>
        <v>Liquid Road</v>
      </c>
      <c r="AO673" s="26" t="str">
        <f t="shared" si="335"/>
        <v/>
      </c>
      <c r="AP673" s="26" t="str">
        <f t="shared" si="346"/>
        <v/>
      </c>
      <c r="AQ673" s="68">
        <f t="shared" si="357"/>
        <v>14</v>
      </c>
      <c r="AR673" s="68">
        <f t="shared" si="358"/>
        <v>10</v>
      </c>
      <c r="AS673" s="68">
        <f t="shared" si="347"/>
        <v>1.1000000000000001</v>
      </c>
      <c r="AT673" s="68">
        <f t="shared" si="348"/>
        <v>1.25</v>
      </c>
      <c r="AU673" s="68">
        <f t="shared" si="349"/>
        <v>1</v>
      </c>
      <c r="AV673" s="68">
        <f t="shared" si="350"/>
        <v>1</v>
      </c>
      <c r="AW673" s="68">
        <f t="shared" si="351"/>
        <v>1</v>
      </c>
      <c r="AX673" s="68">
        <f t="shared" ca="1" si="352"/>
        <v>2</v>
      </c>
      <c r="AY673" s="68"/>
      <c r="AZ673" s="68"/>
      <c r="BA673" s="106" t="str">
        <f t="shared" si="340"/>
        <v/>
      </c>
      <c r="BB673" s="178"/>
      <c r="BC673" s="178"/>
      <c r="BD673" s="178">
        <v>1</v>
      </c>
      <c r="BE673" s="178"/>
      <c r="BF673" s="178"/>
      <c r="BG673" s="178"/>
      <c r="BH673" s="178"/>
      <c r="BI673" s="33"/>
      <c r="BK673" s="48">
        <f>$G673/5280*VLOOKUP($AC673,'Cost and Score'!$B$27:$O$40,6,0)</f>
        <v>1.9507575757575758E-2</v>
      </c>
      <c r="BL673" s="48">
        <f>$G673/5280*VLOOKUP($AC673,'Cost and Score'!$B$27:$O$40,7,0)</f>
        <v>0.31212121212121213</v>
      </c>
      <c r="BM673" s="48">
        <f>$G673/5280*VLOOKUP($AC673,'Cost and Score'!$B$27:$O$40,8,0)</f>
        <v>0</v>
      </c>
      <c r="BN673" s="48">
        <f>$G673/5280*VLOOKUP($AC673,'Cost and Score'!$B$27:$O$40,9,0)</f>
        <v>0</v>
      </c>
      <c r="BO673" s="48">
        <f>$G673/5280*VLOOKUP($AC673,'Cost and Score'!$B$27:$O$40,10,0)</f>
        <v>0</v>
      </c>
      <c r="BP673" s="48">
        <f>$G673/5280*VLOOKUP($AC673,'Cost and Score'!$B$27:$O$40,11,0)</f>
        <v>0</v>
      </c>
      <c r="BQ673" s="48">
        <f>$G673/5280*VLOOKUP($AC673,'Cost and Score'!$B$27:$O$40,12,0)</f>
        <v>0</v>
      </c>
      <c r="BR673" s="48">
        <f>$G673/5280*VLOOKUP($AC673,'Cost and Score'!$B$27:$O$40,13,0)</f>
        <v>0</v>
      </c>
      <c r="BS673" s="48">
        <f>$G673/5280*VLOOKUP($AC673,'Cost and Score'!$B$27:$O$40,14,0)</f>
        <v>0</v>
      </c>
      <c r="BT673" s="220">
        <f t="shared" si="341"/>
        <v>1.9507575757575758E-2</v>
      </c>
    </row>
    <row r="674" spans="1:103" s="2" customFormat="1" ht="14.45" hidden="1" customHeight="1" x14ac:dyDescent="0.25">
      <c r="A674" s="31"/>
      <c r="B674" s="225" t="s">
        <v>2338</v>
      </c>
      <c r="C674" s="26" t="s">
        <v>2338</v>
      </c>
      <c r="D674" s="36" t="s">
        <v>2330</v>
      </c>
      <c r="E674" s="26" t="s">
        <v>1580</v>
      </c>
      <c r="F674" s="26" t="s">
        <v>1581</v>
      </c>
      <c r="G674" s="29">
        <v>271</v>
      </c>
      <c r="H674" s="29"/>
      <c r="I674" s="26" t="s">
        <v>2098</v>
      </c>
      <c r="J674" s="26" t="s">
        <v>101</v>
      </c>
      <c r="K674" s="26">
        <v>0</v>
      </c>
      <c r="L674" s="42"/>
      <c r="M674" s="42">
        <v>6</v>
      </c>
      <c r="N674" s="42">
        <v>6</v>
      </c>
      <c r="O674" s="42">
        <v>6</v>
      </c>
      <c r="P674" s="42">
        <v>6</v>
      </c>
      <c r="Q674" s="42">
        <v>6</v>
      </c>
      <c r="R674" s="42">
        <v>6</v>
      </c>
      <c r="S674" s="42">
        <v>6</v>
      </c>
      <c r="T674" s="42">
        <v>6</v>
      </c>
      <c r="U674" s="42">
        <v>6</v>
      </c>
      <c r="V674" s="42"/>
      <c r="W674" s="42"/>
      <c r="X674" s="42"/>
      <c r="Y674" s="26">
        <v>50</v>
      </c>
      <c r="Z674" s="26">
        <f t="shared" ref="Z674:Z705" si="361">VLOOKUP(Y674,AADT,2)</f>
        <v>0</v>
      </c>
      <c r="AA674" s="26"/>
      <c r="AB674" s="111">
        <f t="shared" si="356"/>
        <v>4</v>
      </c>
      <c r="AC674" s="85" t="s">
        <v>2425</v>
      </c>
      <c r="AD674" s="47">
        <f t="shared" si="339"/>
        <v>1283.1439393939395</v>
      </c>
      <c r="AE674" s="140"/>
      <c r="AF674" s="113">
        <f t="shared" si="354"/>
        <v>0</v>
      </c>
      <c r="AG674" s="85">
        <v>2026</v>
      </c>
      <c r="AH674" s="26" t="str">
        <f t="shared" si="344"/>
        <v/>
      </c>
      <c r="AI674" s="26" t="str">
        <f t="shared" si="360"/>
        <v/>
      </c>
      <c r="AJ674" s="26" t="str">
        <f t="shared" si="334"/>
        <v/>
      </c>
      <c r="AK674" s="26" t="str">
        <f t="shared" si="359"/>
        <v/>
      </c>
      <c r="AL674" s="26" t="str">
        <f t="shared" si="359"/>
        <v>Liquid Road</v>
      </c>
      <c r="AM674" s="26" t="str">
        <f t="shared" si="359"/>
        <v/>
      </c>
      <c r="AN674" s="26" t="str">
        <f t="shared" si="353"/>
        <v>Liquid Road</v>
      </c>
      <c r="AO674" s="26" t="str">
        <f t="shared" si="335"/>
        <v/>
      </c>
      <c r="AP674" s="26" t="str">
        <f t="shared" si="346"/>
        <v/>
      </c>
      <c r="AQ674" s="68">
        <f t="shared" si="357"/>
        <v>8</v>
      </c>
      <c r="AR674" s="68">
        <f t="shared" si="358"/>
        <v>10</v>
      </c>
      <c r="AS674" s="68">
        <f t="shared" si="347"/>
        <v>0</v>
      </c>
      <c r="AT674" s="68">
        <f t="shared" si="348"/>
        <v>1.1000000000000001</v>
      </c>
      <c r="AU674" s="68">
        <f t="shared" si="349"/>
        <v>1.1000000000000001</v>
      </c>
      <c r="AV674" s="68">
        <f t="shared" si="350"/>
        <v>1.1000000000000001</v>
      </c>
      <c r="AW674" s="68">
        <f t="shared" si="351"/>
        <v>1.1000000000000001</v>
      </c>
      <c r="AX674" s="68">
        <f t="shared" ca="1" si="352"/>
        <v>2.2000000000000002</v>
      </c>
      <c r="AY674" s="68">
        <v>2016</v>
      </c>
      <c r="AZ674" s="68" t="s">
        <v>2086</v>
      </c>
      <c r="BA674" s="106" t="str">
        <f t="shared" si="340"/>
        <v/>
      </c>
      <c r="BB674" s="178"/>
      <c r="BC674" s="178"/>
      <c r="BD674" s="178"/>
      <c r="BE674" s="178">
        <v>2</v>
      </c>
      <c r="BF674" s="178"/>
      <c r="BG674" s="178"/>
      <c r="BH674" s="178"/>
      <c r="BI674" s="43"/>
      <c r="BJ674" s="26"/>
      <c r="BK674" s="48">
        <f>$G674/5280*VLOOKUP($AC674,'Cost and Score'!$B$27:$O$40,6,0)</f>
        <v>5.1325757575757573E-2</v>
      </c>
      <c r="BL674" s="48">
        <f>$G674/5280*VLOOKUP($AC674,'Cost and Score'!$B$27:$O$40,7,0)</f>
        <v>0.82121212121212117</v>
      </c>
      <c r="BM674" s="48">
        <f>$G674/5280*VLOOKUP($AC674,'Cost and Score'!$B$27:$O$40,8,0)</f>
        <v>0</v>
      </c>
      <c r="BN674" s="48">
        <f>$G674/5280*VLOOKUP($AC674,'Cost and Score'!$B$27:$O$40,9,0)</f>
        <v>0</v>
      </c>
      <c r="BO674" s="48">
        <f>$G674/5280*VLOOKUP($AC674,'Cost and Score'!$B$27:$O$40,10,0)</f>
        <v>0</v>
      </c>
      <c r="BP674" s="48">
        <f>$G674/5280*VLOOKUP($AC674,'Cost and Score'!$B$27:$O$40,11,0)</f>
        <v>0</v>
      </c>
      <c r="BQ674" s="48">
        <f>$G674/5280*VLOOKUP($AC674,'Cost and Score'!$B$27:$O$40,12,0)</f>
        <v>0</v>
      </c>
      <c r="BR674" s="48">
        <f>$G674/5280*VLOOKUP($AC674,'Cost and Score'!$B$27:$O$40,13,0)</f>
        <v>0</v>
      </c>
      <c r="BS674" s="48">
        <f>$G674/5280*VLOOKUP($AC674,'Cost and Score'!$B$27:$O$40,14,0)</f>
        <v>0</v>
      </c>
      <c r="BT674" s="220">
        <f t="shared" si="341"/>
        <v>5.1325757575757573E-2</v>
      </c>
    </row>
    <row r="675" spans="1:103" s="2" customFormat="1" ht="14.45" hidden="1" customHeight="1" x14ac:dyDescent="0.25">
      <c r="A675" s="38" t="s">
        <v>2102</v>
      </c>
      <c r="B675" s="34" t="s">
        <v>1403</v>
      </c>
      <c r="C675" s="26" t="s">
        <v>1403</v>
      </c>
      <c r="D675" s="82"/>
      <c r="E675" s="82" t="s">
        <v>135</v>
      </c>
      <c r="F675" s="82" t="s">
        <v>10</v>
      </c>
      <c r="G675" s="29">
        <v>2006</v>
      </c>
      <c r="H675" s="29">
        <f>IF(I675="NC",26,20)</f>
        <v>20</v>
      </c>
      <c r="I675" s="26" t="s">
        <v>8</v>
      </c>
      <c r="J675" s="26" t="s">
        <v>125</v>
      </c>
      <c r="K675" s="26">
        <f>VLOOKUP(J675,TOWNSHIPS,2,FALSE)</f>
        <v>0</v>
      </c>
      <c r="L675" s="42">
        <v>9</v>
      </c>
      <c r="M675" s="42">
        <v>8</v>
      </c>
      <c r="N675" s="42">
        <v>8</v>
      </c>
      <c r="O675" s="83">
        <v>8</v>
      </c>
      <c r="P675" s="83">
        <v>8</v>
      </c>
      <c r="Q675" s="83">
        <v>8</v>
      </c>
      <c r="R675" s="83">
        <v>7</v>
      </c>
      <c r="S675" s="83">
        <v>7</v>
      </c>
      <c r="T675" s="83">
        <v>7</v>
      </c>
      <c r="U675" s="83">
        <v>7</v>
      </c>
      <c r="V675" s="42"/>
      <c r="W675" s="42"/>
      <c r="X675" s="42"/>
      <c r="Y675" s="26">
        <v>50</v>
      </c>
      <c r="Z675" s="26">
        <f t="shared" si="361"/>
        <v>0</v>
      </c>
      <c r="AA675" s="82" t="s">
        <v>1403</v>
      </c>
      <c r="AB675" s="111">
        <f t="shared" si="356"/>
        <v>2</v>
      </c>
      <c r="AC675" s="85" t="s">
        <v>13</v>
      </c>
      <c r="AD675" s="84">
        <f t="shared" si="339"/>
        <v>7978.409090909091</v>
      </c>
      <c r="AE675" s="140"/>
      <c r="AF675" s="113">
        <f t="shared" si="354"/>
        <v>0</v>
      </c>
      <c r="AG675" s="85">
        <v>2026</v>
      </c>
      <c r="AH675" s="26" t="str">
        <f t="shared" si="344"/>
        <v/>
      </c>
      <c r="AI675" s="26" t="str">
        <f t="shared" si="360"/>
        <v/>
      </c>
      <c r="AJ675" s="26" t="str">
        <f t="shared" si="334"/>
        <v/>
      </c>
      <c r="AK675" s="26" t="str">
        <f t="shared" si="359"/>
        <v/>
      </c>
      <c r="AL675" s="26" t="str">
        <f t="shared" si="359"/>
        <v>Chip Seal and Fog</v>
      </c>
      <c r="AM675" s="26" t="str">
        <f t="shared" si="359"/>
        <v/>
      </c>
      <c r="AN675" s="26" t="str">
        <f t="shared" si="353"/>
        <v>Chip Seal and Fog</v>
      </c>
      <c r="AO675" s="26" t="str">
        <f t="shared" si="335"/>
        <v/>
      </c>
      <c r="AP675" s="26" t="str">
        <f t="shared" si="346"/>
        <v/>
      </c>
      <c r="AQ675" s="68">
        <f t="shared" si="357"/>
        <v>12</v>
      </c>
      <c r="AR675" s="68">
        <f t="shared" si="358"/>
        <v>6</v>
      </c>
      <c r="AS675" s="68">
        <f t="shared" si="347"/>
        <v>1</v>
      </c>
      <c r="AT675" s="68">
        <f t="shared" si="348"/>
        <v>1</v>
      </c>
      <c r="AU675" s="68">
        <f t="shared" si="349"/>
        <v>1</v>
      </c>
      <c r="AV675" s="68">
        <f t="shared" si="350"/>
        <v>1</v>
      </c>
      <c r="AW675" s="68">
        <f t="shared" si="351"/>
        <v>1</v>
      </c>
      <c r="AX675" s="68">
        <f t="shared" ca="1" si="352"/>
        <v>2</v>
      </c>
      <c r="AY675" s="68">
        <v>2020</v>
      </c>
      <c r="AZ675" s="68" t="s">
        <v>2075</v>
      </c>
      <c r="BA675" s="106" t="str">
        <f t="shared" si="340"/>
        <v/>
      </c>
      <c r="BB675" s="178"/>
      <c r="BC675" s="178"/>
      <c r="BD675" s="178"/>
      <c r="BE675" s="178"/>
      <c r="BF675" s="178"/>
      <c r="BG675" s="178"/>
      <c r="BH675" s="178"/>
      <c r="BI675" s="33"/>
      <c r="BK675" s="48">
        <f>$G675/5280*VLOOKUP($AC675,'Cost and Score'!$B$27:$O$40,6,0)</f>
        <v>7.5984848484848488E-2</v>
      </c>
      <c r="BL675" s="48">
        <f>$G675/5280*VLOOKUP($AC675,'Cost and Score'!$B$27:$O$40,7,0)</f>
        <v>8.3583333333333343</v>
      </c>
      <c r="BM675" s="48">
        <f>$G675/5280*VLOOKUP($AC675,'Cost and Score'!$B$27:$O$40,8,0)</f>
        <v>0</v>
      </c>
      <c r="BN675" s="48">
        <f>$G675/5280*VLOOKUP($AC675,'Cost and Score'!$B$27:$O$40,9,0)</f>
        <v>1709.659090909091</v>
      </c>
      <c r="BO675" s="48">
        <f>$G675/5280*VLOOKUP($AC675,'Cost and Score'!$B$27:$O$40,10,0)</f>
        <v>379.92424242424244</v>
      </c>
      <c r="BP675" s="48">
        <f>$G675/5280*VLOOKUP($AC675,'Cost and Score'!$B$27:$O$40,11,0)</f>
        <v>0</v>
      </c>
      <c r="BQ675" s="48">
        <f>$G675/5280*VLOOKUP($AC675,'Cost and Score'!$B$27:$O$40,12,0)</f>
        <v>37.992424242424242</v>
      </c>
      <c r="BR675" s="48">
        <f>$G675/5280*VLOOKUP($AC675,'Cost and Score'!$B$27:$O$40,13,0)</f>
        <v>45.590909090909093</v>
      </c>
      <c r="BS675" s="48">
        <f>$G675/5280*VLOOKUP($AC675,'Cost and Score'!$B$27:$O$40,14,0)</f>
        <v>0</v>
      </c>
      <c r="BT675" s="220">
        <f t="shared" si="341"/>
        <v>0.37992424242424244</v>
      </c>
    </row>
    <row r="676" spans="1:103" s="2" customFormat="1" ht="14.45" hidden="1" customHeight="1" x14ac:dyDescent="0.25">
      <c r="A676" s="31" t="s">
        <v>2102</v>
      </c>
      <c r="B676" s="226" t="s">
        <v>1404</v>
      </c>
      <c r="C676" s="106" t="s">
        <v>1404</v>
      </c>
      <c r="D676" s="116" t="s">
        <v>2299</v>
      </c>
      <c r="E676" s="106" t="s">
        <v>4</v>
      </c>
      <c r="F676" s="106" t="s">
        <v>1405</v>
      </c>
      <c r="G676" s="109">
        <v>1109</v>
      </c>
      <c r="H676" s="109">
        <f>IF(I676="NC",26,20)</f>
        <v>26</v>
      </c>
      <c r="I676" s="106" t="s">
        <v>2098</v>
      </c>
      <c r="J676" s="106" t="s">
        <v>101</v>
      </c>
      <c r="K676" s="106">
        <v>0</v>
      </c>
      <c r="L676" s="110">
        <v>7</v>
      </c>
      <c r="M676" s="110">
        <v>8</v>
      </c>
      <c r="N676" s="110">
        <v>8</v>
      </c>
      <c r="O676" s="110">
        <v>8</v>
      </c>
      <c r="P676" s="110">
        <v>9</v>
      </c>
      <c r="Q676" s="110">
        <v>8</v>
      </c>
      <c r="R676" s="110">
        <v>8</v>
      </c>
      <c r="S676" s="110">
        <v>7</v>
      </c>
      <c r="T676" s="110">
        <v>7</v>
      </c>
      <c r="U676" s="110">
        <v>7</v>
      </c>
      <c r="V676" s="110"/>
      <c r="W676" s="110"/>
      <c r="X676" s="110"/>
      <c r="Y676" s="106">
        <v>50</v>
      </c>
      <c r="Z676" s="106">
        <f t="shared" si="361"/>
        <v>0</v>
      </c>
      <c r="AA676" s="106" t="s">
        <v>1404</v>
      </c>
      <c r="AB676" s="111">
        <f t="shared" si="356"/>
        <v>1</v>
      </c>
      <c r="AC676" s="85" t="s">
        <v>2371</v>
      </c>
      <c r="AD676" s="107">
        <f t="shared" si="339"/>
        <v>16803.030303030304</v>
      </c>
      <c r="AE676" s="140">
        <v>1</v>
      </c>
      <c r="AF676" s="113">
        <f t="shared" si="354"/>
        <v>16803.030303030304</v>
      </c>
      <c r="AG676" s="106">
        <v>2024</v>
      </c>
      <c r="AH676" s="26" t="str">
        <f t="shared" si="344"/>
        <v/>
      </c>
      <c r="AI676" s="26" t="str">
        <f t="shared" si="360"/>
        <v/>
      </c>
      <c r="AJ676" s="26" t="str">
        <f t="shared" si="334"/>
        <v>Microsurface double</v>
      </c>
      <c r="AK676" s="26" t="str">
        <f t="shared" si="359"/>
        <v/>
      </c>
      <c r="AL676" s="26" t="str">
        <f t="shared" si="359"/>
        <v/>
      </c>
      <c r="AM676" s="26" t="str">
        <f t="shared" si="359"/>
        <v/>
      </c>
      <c r="AN676" s="26" t="str">
        <f t="shared" si="353"/>
        <v>Microsurface double</v>
      </c>
      <c r="AO676" s="26" t="str">
        <f t="shared" si="335"/>
        <v/>
      </c>
      <c r="AP676" s="26" t="s">
        <v>2575</v>
      </c>
      <c r="AQ676" s="68">
        <f t="shared" si="357"/>
        <v>12</v>
      </c>
      <c r="AR676" s="68">
        <f t="shared" si="358"/>
        <v>10</v>
      </c>
      <c r="AS676" s="68">
        <f t="shared" si="347"/>
        <v>1.05</v>
      </c>
      <c r="AT676" s="68">
        <f t="shared" si="348"/>
        <v>1</v>
      </c>
      <c r="AU676" s="68">
        <f t="shared" si="349"/>
        <v>1</v>
      </c>
      <c r="AV676" s="68">
        <f t="shared" si="350"/>
        <v>1</v>
      </c>
      <c r="AW676" s="68">
        <f t="shared" si="351"/>
        <v>1</v>
      </c>
      <c r="AX676" s="68">
        <f t="shared" ca="1" si="352"/>
        <v>0</v>
      </c>
      <c r="AY676" s="106">
        <v>2017</v>
      </c>
      <c r="AZ676" s="68" t="s">
        <v>2425</v>
      </c>
      <c r="BA676" s="106" t="str">
        <f t="shared" si="340"/>
        <v/>
      </c>
      <c r="BB676" s="178"/>
      <c r="BC676" s="178"/>
      <c r="BD676" s="178"/>
      <c r="BE676" s="178"/>
      <c r="BF676" s="178"/>
      <c r="BG676" s="178"/>
      <c r="BH676" s="178">
        <v>5</v>
      </c>
      <c r="BI676" s="33" t="s">
        <v>2623</v>
      </c>
      <c r="BK676" s="48">
        <f>$G676/5280*VLOOKUP($AC676,'Cost and Score'!$B$27:$O$40,6,0)</f>
        <v>0.1050189393939394</v>
      </c>
      <c r="BL676" s="48">
        <f>$G676/5280*VLOOKUP($AC676,'Cost and Score'!$B$27:$O$40,7,0)</f>
        <v>0</v>
      </c>
      <c r="BM676" s="48">
        <f>$G676/5280*VLOOKUP($AC676,'Cost and Score'!$B$27:$O$40,8,0)</f>
        <v>0</v>
      </c>
      <c r="BN676" s="48">
        <f>$G676/5280*VLOOKUP($AC676,'Cost and Score'!$B$27:$O$40,9,0)</f>
        <v>0</v>
      </c>
      <c r="BO676" s="48">
        <f>$G676/5280*VLOOKUP($AC676,'Cost and Score'!$B$27:$O$40,10,0)</f>
        <v>0</v>
      </c>
      <c r="BP676" s="48">
        <f>$G676/5280*VLOOKUP($AC676,'Cost and Score'!$B$27:$O$40,11,0)</f>
        <v>0</v>
      </c>
      <c r="BQ676" s="48">
        <f>$G676/5280*VLOOKUP($AC676,'Cost and Score'!$B$27:$O$40,12,0)</f>
        <v>0</v>
      </c>
      <c r="BR676" s="48">
        <f>$G676/5280*VLOOKUP($AC676,'Cost and Score'!$B$27:$O$40,13,0)</f>
        <v>0</v>
      </c>
      <c r="BS676" s="48">
        <f>$G676/5280*VLOOKUP($AC676,'Cost and Score'!$B$27:$O$40,14,0)</f>
        <v>0</v>
      </c>
      <c r="BT676" s="220">
        <f t="shared" si="341"/>
        <v>0.2100378787878788</v>
      </c>
      <c r="CF676" s="112"/>
      <c r="CR676" s="112"/>
    </row>
    <row r="677" spans="1:103" s="112" customFormat="1" ht="14.45" customHeight="1" x14ac:dyDescent="0.25">
      <c r="A677" s="31" t="s">
        <v>2102</v>
      </c>
      <c r="B677" s="106" t="s">
        <v>2342</v>
      </c>
      <c r="C677" s="106" t="s">
        <v>2342</v>
      </c>
      <c r="D677" s="116" t="s">
        <v>2308</v>
      </c>
      <c r="E677" s="106" t="s">
        <v>1619</v>
      </c>
      <c r="F677" s="106" t="s">
        <v>1502</v>
      </c>
      <c r="G677" s="150">
        <v>517.4</v>
      </c>
      <c r="H677" s="109"/>
      <c r="I677" s="106" t="s">
        <v>2098</v>
      </c>
      <c r="J677" s="106" t="s">
        <v>160</v>
      </c>
      <c r="K677" s="106">
        <f t="shared" ref="K677:K691" si="362">VLOOKUP(J677,TOWNSHIPS,2,FALSE)</f>
        <v>0</v>
      </c>
      <c r="L677" s="110"/>
      <c r="M677" s="110">
        <v>7</v>
      </c>
      <c r="N677" s="110">
        <v>7</v>
      </c>
      <c r="O677" s="110">
        <v>7</v>
      </c>
      <c r="P677" s="110">
        <v>8</v>
      </c>
      <c r="Q677" s="110">
        <v>8</v>
      </c>
      <c r="R677" s="110">
        <v>8</v>
      </c>
      <c r="S677" s="110">
        <v>7</v>
      </c>
      <c r="T677" s="110">
        <v>7</v>
      </c>
      <c r="U677" s="110">
        <v>7</v>
      </c>
      <c r="V677" s="110"/>
      <c r="W677" s="110"/>
      <c r="X677" s="110"/>
      <c r="Y677" s="106">
        <v>2144</v>
      </c>
      <c r="Z677" s="106">
        <f t="shared" si="361"/>
        <v>1</v>
      </c>
      <c r="AA677" s="106"/>
      <c r="AB677" s="111">
        <f t="shared" si="356"/>
        <v>3</v>
      </c>
      <c r="AC677" s="106" t="s">
        <v>2086</v>
      </c>
      <c r="AD677" s="107">
        <f t="shared" si="339"/>
        <v>244.98106060606059</v>
      </c>
      <c r="AE677" s="198"/>
      <c r="AF677" s="113">
        <f t="shared" si="354"/>
        <v>0</v>
      </c>
      <c r="AG677" s="106">
        <v>2025</v>
      </c>
      <c r="AH677" s="26" t="str">
        <f t="shared" si="344"/>
        <v/>
      </c>
      <c r="AI677" s="26" t="str">
        <f t="shared" si="360"/>
        <v/>
      </c>
      <c r="AJ677" s="26" t="str">
        <f t="shared" si="334"/>
        <v/>
      </c>
      <c r="AK677" s="26" t="str">
        <f t="shared" si="359"/>
        <v>Fog Seal</v>
      </c>
      <c r="AL677" s="26" t="str">
        <f t="shared" si="359"/>
        <v/>
      </c>
      <c r="AM677" s="26" t="str">
        <f t="shared" si="359"/>
        <v/>
      </c>
      <c r="AN677" s="26" t="str">
        <f t="shared" si="353"/>
        <v>Fog Seal</v>
      </c>
      <c r="AO677" s="26" t="str">
        <f t="shared" si="335"/>
        <v/>
      </c>
      <c r="AP677" s="26" t="str">
        <f t="shared" ref="AP677:AP740" si="363">IF(AY677=AP$1,VLOOKUP(AZ677,RSL,3,FALSE),"")</f>
        <v/>
      </c>
      <c r="AQ677" s="68">
        <f t="shared" si="357"/>
        <v>10</v>
      </c>
      <c r="AR677" s="68">
        <f t="shared" si="358"/>
        <v>2</v>
      </c>
      <c r="AS677" s="68">
        <f t="shared" si="347"/>
        <v>0</v>
      </c>
      <c r="AT677" s="68">
        <f t="shared" si="348"/>
        <v>1.05</v>
      </c>
      <c r="AU677" s="68">
        <f t="shared" si="349"/>
        <v>1.05</v>
      </c>
      <c r="AV677" s="68">
        <f t="shared" si="350"/>
        <v>1.05</v>
      </c>
      <c r="AW677" s="68">
        <f t="shared" si="351"/>
        <v>1</v>
      </c>
      <c r="AX677" s="68">
        <f t="shared" ca="1" si="352"/>
        <v>1.05</v>
      </c>
      <c r="AY677" s="106">
        <v>2019</v>
      </c>
      <c r="AZ677" s="106" t="s">
        <v>2425</v>
      </c>
      <c r="BA677" s="106" t="str">
        <f t="shared" si="340"/>
        <v/>
      </c>
      <c r="BB677" s="177"/>
      <c r="BC677" s="177"/>
      <c r="BD677" s="177"/>
      <c r="BE677" s="177"/>
      <c r="BF677" s="177"/>
      <c r="BG677" s="177"/>
      <c r="BH677" s="177"/>
      <c r="BI677" s="43"/>
      <c r="BJ677" s="26"/>
      <c r="BK677" s="48">
        <f>$G677/5280*VLOOKUP($AC677,'Cost and Score'!$B$27:$O$40,6,0)</f>
        <v>9.7992424242424256E-3</v>
      </c>
      <c r="BL677" s="48">
        <f>$G677/5280*VLOOKUP($AC677,'Cost and Score'!$B$27:$O$40,7,0)</f>
        <v>1.9598484848484851E-2</v>
      </c>
      <c r="BM677" s="48">
        <f>$G677/5280*VLOOKUP($AC677,'Cost and Score'!$B$27:$O$40,8,0)</f>
        <v>0</v>
      </c>
      <c r="BN677" s="48">
        <f>$G677/5280*VLOOKUP($AC677,'Cost and Score'!$B$27:$O$40,9,0)</f>
        <v>0</v>
      </c>
      <c r="BO677" s="48">
        <f>$G677/5280*VLOOKUP($AC677,'Cost and Score'!$B$27:$O$40,10,0)</f>
        <v>97.992424242424235</v>
      </c>
      <c r="BP677" s="48">
        <f>$G677/5280*VLOOKUP($AC677,'Cost and Score'!$B$27:$O$40,11,0)</f>
        <v>0</v>
      </c>
      <c r="BQ677" s="48">
        <f>$G677/5280*VLOOKUP($AC677,'Cost and Score'!$B$27:$O$40,12,0)</f>
        <v>0</v>
      </c>
      <c r="BR677" s="48">
        <f>$G677/5280*VLOOKUP($AC677,'Cost and Score'!$B$27:$O$40,13,0)</f>
        <v>0</v>
      </c>
      <c r="BS677" s="48">
        <f>$G677/5280*VLOOKUP($AC677,'Cost and Score'!$B$27:$O$40,14,0)</f>
        <v>0</v>
      </c>
      <c r="BT677" s="220">
        <f t="shared" si="341"/>
        <v>9.7992424242424242E-2</v>
      </c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R677" s="2"/>
      <c r="CW677" s="2"/>
      <c r="CX677" s="2"/>
      <c r="CY677" s="2"/>
    </row>
    <row r="678" spans="1:103" s="2" customFormat="1" ht="14.45" hidden="1" customHeight="1" x14ac:dyDescent="0.25">
      <c r="A678" s="38" t="s">
        <v>1410</v>
      </c>
      <c r="B678" s="34" t="s">
        <v>1409</v>
      </c>
      <c r="C678" s="26" t="s">
        <v>1409</v>
      </c>
      <c r="D678" s="26"/>
      <c r="E678" s="26" t="s">
        <v>20</v>
      </c>
      <c r="F678" s="26" t="s">
        <v>38</v>
      </c>
      <c r="G678" s="29">
        <v>5720</v>
      </c>
      <c r="H678" s="29">
        <f t="shared" ref="H678:H700" si="364">IF(I678="NC",26,20)</f>
        <v>20</v>
      </c>
      <c r="I678" s="26" t="s">
        <v>2073</v>
      </c>
      <c r="J678" s="26" t="s">
        <v>62</v>
      </c>
      <c r="K678" s="26">
        <f t="shared" si="362"/>
        <v>0</v>
      </c>
      <c r="L678" s="42">
        <v>7</v>
      </c>
      <c r="M678" s="42">
        <v>7</v>
      </c>
      <c r="N678" s="42">
        <v>6</v>
      </c>
      <c r="O678" s="42">
        <v>6</v>
      </c>
      <c r="P678" s="42">
        <v>6</v>
      </c>
      <c r="Q678" s="42">
        <v>6</v>
      </c>
      <c r="R678" s="42">
        <v>6</v>
      </c>
      <c r="S678" s="42">
        <v>6</v>
      </c>
      <c r="T678" s="42">
        <v>6</v>
      </c>
      <c r="U678" s="42">
        <v>7</v>
      </c>
      <c r="V678" s="42"/>
      <c r="W678" s="42"/>
      <c r="X678" s="42"/>
      <c r="Y678" s="26">
        <v>50</v>
      </c>
      <c r="Z678" s="26">
        <f t="shared" si="361"/>
        <v>0</v>
      </c>
      <c r="AA678" s="26" t="s">
        <v>1409</v>
      </c>
      <c r="AB678" s="111">
        <f t="shared" si="356"/>
        <v>4</v>
      </c>
      <c r="AC678" s="26" t="s">
        <v>2073</v>
      </c>
      <c r="AD678" s="47">
        <f t="shared" si="339"/>
        <v>34666.666666666664</v>
      </c>
      <c r="AE678" s="140"/>
      <c r="AF678" s="113">
        <f t="shared" si="354"/>
        <v>0</v>
      </c>
      <c r="AG678" s="26">
        <v>2022</v>
      </c>
      <c r="AH678" s="26" t="str">
        <f t="shared" si="344"/>
        <v>Chip Seal - Double and Fog</v>
      </c>
      <c r="AI678" s="26" t="str">
        <f t="shared" si="360"/>
        <v/>
      </c>
      <c r="AJ678" s="26" t="str">
        <f t="shared" si="334"/>
        <v/>
      </c>
      <c r="AK678" s="26" t="str">
        <f t="shared" si="359"/>
        <v/>
      </c>
      <c r="AL678" s="26" t="str">
        <f t="shared" si="359"/>
        <v/>
      </c>
      <c r="AM678" s="26" t="str">
        <f t="shared" si="359"/>
        <v/>
      </c>
      <c r="AN678" s="26" t="str">
        <f t="shared" si="353"/>
        <v>Chip Seal - Double and Fog</v>
      </c>
      <c r="AO678" s="26" t="str">
        <f t="shared" si="335"/>
        <v/>
      </c>
      <c r="AP678" s="26" t="str">
        <f t="shared" si="363"/>
        <v>Chip Seal - Double and Fog</v>
      </c>
      <c r="AQ678" s="68">
        <f t="shared" si="357"/>
        <v>8</v>
      </c>
      <c r="AR678" s="68">
        <f t="shared" si="358"/>
        <v>6</v>
      </c>
      <c r="AS678" s="68">
        <f t="shared" si="347"/>
        <v>1.05</v>
      </c>
      <c r="AT678" s="68">
        <f t="shared" si="348"/>
        <v>1.05</v>
      </c>
      <c r="AU678" s="68">
        <f t="shared" si="349"/>
        <v>1.1000000000000001</v>
      </c>
      <c r="AV678" s="68">
        <f t="shared" si="350"/>
        <v>1.1000000000000001</v>
      </c>
      <c r="AW678" s="68">
        <f t="shared" si="351"/>
        <v>1.1000000000000001</v>
      </c>
      <c r="AX678" s="68">
        <f t="shared" ca="1" si="352"/>
        <v>-2.2000000000000002</v>
      </c>
      <c r="AY678" s="68">
        <v>2022</v>
      </c>
      <c r="AZ678" s="68" t="s">
        <v>2073</v>
      </c>
      <c r="BA678" s="106" t="str">
        <f t="shared" si="340"/>
        <v/>
      </c>
      <c r="BB678" s="178">
        <v>90</v>
      </c>
      <c r="BC678" s="178">
        <v>4</v>
      </c>
      <c r="BD678" s="178"/>
      <c r="BE678" s="178"/>
      <c r="BF678" s="178"/>
      <c r="BG678" s="178"/>
      <c r="BH678" s="178"/>
      <c r="BI678" s="33"/>
      <c r="BK678" s="48">
        <f>$G678/5280*VLOOKUP($AC678,'Cost and Score'!$B$27:$O$40,6,0)</f>
        <v>0.54166666666666663</v>
      </c>
      <c r="BL678" s="48">
        <f>$G678/5280*VLOOKUP($AC678,'Cost and Score'!$B$27:$O$40,7,0)</f>
        <v>54.166666666666664</v>
      </c>
      <c r="BM678" s="48">
        <f>$G678/5280*VLOOKUP($AC678,'Cost and Score'!$B$27:$O$40,8,0)</f>
        <v>0</v>
      </c>
      <c r="BN678" s="48">
        <f>$G678/5280*VLOOKUP($AC678,'Cost and Score'!$B$27:$O$40,9,0)</f>
        <v>10291.666666666666</v>
      </c>
      <c r="BO678" s="48">
        <f>$G678/5280*VLOOKUP($AC678,'Cost and Score'!$B$27:$O$40,10,0)</f>
        <v>1083.3333333333333</v>
      </c>
      <c r="BP678" s="48">
        <f>$G678/5280*VLOOKUP($AC678,'Cost and Score'!$B$27:$O$40,11,0)</f>
        <v>0</v>
      </c>
      <c r="BQ678" s="48">
        <f>$G678/5280*VLOOKUP($AC678,'Cost and Score'!$B$27:$O$40,12,0)</f>
        <v>216.66666666666666</v>
      </c>
      <c r="BR678" s="48">
        <f>$G678/5280*VLOOKUP($AC678,'Cost and Score'!$B$27:$O$40,13,0)</f>
        <v>195</v>
      </c>
      <c r="BS678" s="48">
        <f>$G678/5280*VLOOKUP($AC678,'Cost and Score'!$B$27:$O$40,14,0)</f>
        <v>260</v>
      </c>
      <c r="BT678" s="220">
        <f t="shared" si="341"/>
        <v>1.0833333333333333</v>
      </c>
      <c r="CN678" s="112"/>
      <c r="CO678" s="112"/>
      <c r="CP678" s="112"/>
      <c r="CQ678" s="112"/>
      <c r="CV678" s="112"/>
    </row>
    <row r="679" spans="1:103" s="2" customFormat="1" ht="14.45" hidden="1" customHeight="1" x14ac:dyDescent="0.25">
      <c r="A679" s="38" t="s">
        <v>1412</v>
      </c>
      <c r="B679" s="34" t="s">
        <v>1411</v>
      </c>
      <c r="C679" s="26" t="s">
        <v>1411</v>
      </c>
      <c r="D679" s="26"/>
      <c r="E679" s="26" t="s">
        <v>21</v>
      </c>
      <c r="F679" s="26" t="s">
        <v>20</v>
      </c>
      <c r="G679" s="29">
        <v>5340</v>
      </c>
      <c r="H679" s="29">
        <f t="shared" si="364"/>
        <v>20</v>
      </c>
      <c r="I679" s="26" t="s">
        <v>2073</v>
      </c>
      <c r="J679" s="26" t="s">
        <v>62</v>
      </c>
      <c r="K679" s="26">
        <f t="shared" si="362"/>
        <v>0</v>
      </c>
      <c r="L679" s="42">
        <v>7</v>
      </c>
      <c r="M679" s="42">
        <v>7</v>
      </c>
      <c r="N679" s="42">
        <v>6</v>
      </c>
      <c r="O679" s="42">
        <v>6</v>
      </c>
      <c r="P679" s="42">
        <v>6</v>
      </c>
      <c r="Q679" s="42">
        <v>6</v>
      </c>
      <c r="R679" s="42">
        <v>6</v>
      </c>
      <c r="S679" s="42">
        <v>5</v>
      </c>
      <c r="T679" s="42">
        <v>5</v>
      </c>
      <c r="U679" s="42">
        <v>7</v>
      </c>
      <c r="V679" s="42"/>
      <c r="W679" s="42"/>
      <c r="X679" s="42"/>
      <c r="Y679" s="26">
        <v>50</v>
      </c>
      <c r="Z679" s="26">
        <f t="shared" si="361"/>
        <v>0</v>
      </c>
      <c r="AA679" s="26" t="s">
        <v>1411</v>
      </c>
      <c r="AB679" s="111">
        <f t="shared" si="356"/>
        <v>4</v>
      </c>
      <c r="AC679" s="26" t="s">
        <v>2073</v>
      </c>
      <c r="AD679" s="47">
        <f t="shared" si="339"/>
        <v>32363.636363636364</v>
      </c>
      <c r="AE679" s="140"/>
      <c r="AF679" s="113">
        <f t="shared" si="354"/>
        <v>0</v>
      </c>
      <c r="AG679" s="26">
        <v>2022</v>
      </c>
      <c r="AH679" s="26" t="str">
        <f t="shared" si="344"/>
        <v>Chip Seal - Double and Fog</v>
      </c>
      <c r="AI679" s="26" t="str">
        <f t="shared" si="360"/>
        <v/>
      </c>
      <c r="AJ679" s="26" t="str">
        <f t="shared" ref="AJ679:AJ742" si="365">IF($AG679=AJ$1,VLOOKUP($AC679,RSL,3,FALSE),"")</f>
        <v/>
      </c>
      <c r="AK679" s="26" t="str">
        <f t="shared" si="359"/>
        <v/>
      </c>
      <c r="AL679" s="26" t="str">
        <f t="shared" si="359"/>
        <v/>
      </c>
      <c r="AM679" s="26" t="str">
        <f t="shared" si="359"/>
        <v/>
      </c>
      <c r="AN679" s="26" t="str">
        <f t="shared" si="353"/>
        <v>Chip Seal - Double and Fog</v>
      </c>
      <c r="AO679" s="26" t="str">
        <f t="shared" ref="AO679:AO742" si="366">IF(AY679=AO$1,VLOOKUP(AZ679,RSL,3,FALSE),"")</f>
        <v/>
      </c>
      <c r="AP679" s="26" t="str">
        <f t="shared" si="363"/>
        <v>Chip Seal - Double and Fog</v>
      </c>
      <c r="AQ679" s="68">
        <f t="shared" si="357"/>
        <v>8</v>
      </c>
      <c r="AR679" s="68">
        <f t="shared" si="358"/>
        <v>6</v>
      </c>
      <c r="AS679" s="68">
        <f t="shared" si="347"/>
        <v>1.05</v>
      </c>
      <c r="AT679" s="68">
        <f t="shared" si="348"/>
        <v>1.05</v>
      </c>
      <c r="AU679" s="68">
        <f t="shared" si="349"/>
        <v>1.1000000000000001</v>
      </c>
      <c r="AV679" s="68">
        <f t="shared" si="350"/>
        <v>1.1000000000000001</v>
      </c>
      <c r="AW679" s="68">
        <f t="shared" si="351"/>
        <v>1.1000000000000001</v>
      </c>
      <c r="AX679" s="68">
        <f t="shared" ca="1" si="352"/>
        <v>-2.2000000000000002</v>
      </c>
      <c r="AY679" s="68">
        <v>2022</v>
      </c>
      <c r="AZ679" s="68" t="s">
        <v>2073</v>
      </c>
      <c r="BA679" s="106" t="str">
        <f t="shared" si="340"/>
        <v/>
      </c>
      <c r="BB679" s="178">
        <v>91</v>
      </c>
      <c r="BC679" s="178">
        <v>4</v>
      </c>
      <c r="BD679" s="178"/>
      <c r="BE679" s="178"/>
      <c r="BF679" s="178"/>
      <c r="BG679" s="178"/>
      <c r="BH679" s="178"/>
      <c r="BI679" s="33"/>
      <c r="BK679" s="48">
        <f>$G679/5280*VLOOKUP($AC679,'Cost and Score'!$B$27:$O$40,6,0)</f>
        <v>0.50568181818181823</v>
      </c>
      <c r="BL679" s="48">
        <f>$G679/5280*VLOOKUP($AC679,'Cost and Score'!$B$27:$O$40,7,0)</f>
        <v>50.56818181818182</v>
      </c>
      <c r="BM679" s="48">
        <f>$G679/5280*VLOOKUP($AC679,'Cost and Score'!$B$27:$O$40,8,0)</f>
        <v>0</v>
      </c>
      <c r="BN679" s="48">
        <f>$G679/5280*VLOOKUP($AC679,'Cost and Score'!$B$27:$O$40,9,0)</f>
        <v>9607.954545454546</v>
      </c>
      <c r="BO679" s="48">
        <f>$G679/5280*VLOOKUP($AC679,'Cost and Score'!$B$27:$O$40,10,0)</f>
        <v>1011.3636363636365</v>
      </c>
      <c r="BP679" s="48">
        <f>$G679/5280*VLOOKUP($AC679,'Cost and Score'!$B$27:$O$40,11,0)</f>
        <v>0</v>
      </c>
      <c r="BQ679" s="48">
        <f>$G679/5280*VLOOKUP($AC679,'Cost and Score'!$B$27:$O$40,12,0)</f>
        <v>202.27272727272728</v>
      </c>
      <c r="BR679" s="48">
        <f>$G679/5280*VLOOKUP($AC679,'Cost and Score'!$B$27:$O$40,13,0)</f>
        <v>182.04545454545456</v>
      </c>
      <c r="BS679" s="48">
        <f>$G679/5280*VLOOKUP($AC679,'Cost and Score'!$B$27:$O$40,14,0)</f>
        <v>242.72727272727275</v>
      </c>
      <c r="BT679" s="220">
        <f t="shared" si="341"/>
        <v>1.0113636363636365</v>
      </c>
    </row>
    <row r="680" spans="1:103" s="2" customFormat="1" ht="14.45" hidden="1" customHeight="1" x14ac:dyDescent="0.25">
      <c r="A680" s="36" t="s">
        <v>2102</v>
      </c>
      <c r="B680" s="34" t="s">
        <v>1413</v>
      </c>
      <c r="C680" s="26" t="s">
        <v>1413</v>
      </c>
      <c r="D680" s="26"/>
      <c r="E680" s="26" t="s">
        <v>38</v>
      </c>
      <c r="F680" s="26" t="s">
        <v>10</v>
      </c>
      <c r="G680" s="29">
        <v>1180</v>
      </c>
      <c r="H680" s="29">
        <f t="shared" si="364"/>
        <v>20</v>
      </c>
      <c r="I680" s="26" t="s">
        <v>62</v>
      </c>
      <c r="J680" s="26" t="s">
        <v>62</v>
      </c>
      <c r="K680" s="26">
        <f t="shared" si="362"/>
        <v>0</v>
      </c>
      <c r="L680" s="42">
        <v>7</v>
      </c>
      <c r="M680" s="42">
        <v>7</v>
      </c>
      <c r="N680" s="42">
        <v>7</v>
      </c>
      <c r="O680" s="42">
        <v>7</v>
      </c>
      <c r="P680" s="42">
        <v>7</v>
      </c>
      <c r="Q680" s="42">
        <v>7</v>
      </c>
      <c r="R680" s="42">
        <v>7</v>
      </c>
      <c r="S680" s="42">
        <v>6</v>
      </c>
      <c r="T680" s="42">
        <v>6</v>
      </c>
      <c r="U680" s="42">
        <v>6</v>
      </c>
      <c r="V680" s="42"/>
      <c r="W680" s="42"/>
      <c r="X680" s="42"/>
      <c r="Y680" s="26">
        <v>50</v>
      </c>
      <c r="Z680" s="26">
        <f t="shared" si="361"/>
        <v>0</v>
      </c>
      <c r="AA680" s="26" t="s">
        <v>1413</v>
      </c>
      <c r="AB680" s="111">
        <f t="shared" si="356"/>
        <v>3</v>
      </c>
      <c r="AC680" s="26" t="s">
        <v>13</v>
      </c>
      <c r="AD680" s="47">
        <f t="shared" si="339"/>
        <v>4693.181818181818</v>
      </c>
      <c r="AE680" s="140"/>
      <c r="AF680" s="113">
        <f t="shared" si="354"/>
        <v>0</v>
      </c>
      <c r="AG680" s="26">
        <v>2023</v>
      </c>
      <c r="AH680" s="26" t="str">
        <f t="shared" si="344"/>
        <v/>
      </c>
      <c r="AI680" s="26" t="str">
        <f t="shared" si="360"/>
        <v>Chip Seal and Fog</v>
      </c>
      <c r="AJ680" s="26" t="str">
        <f t="shared" si="365"/>
        <v/>
      </c>
      <c r="AK680" s="26" t="str">
        <f t="shared" si="359"/>
        <v/>
      </c>
      <c r="AL680" s="26" t="str">
        <f t="shared" si="359"/>
        <v/>
      </c>
      <c r="AM680" s="26" t="str">
        <f t="shared" si="359"/>
        <v/>
      </c>
      <c r="AN680" s="26" t="str">
        <f t="shared" si="353"/>
        <v>Chip Seal and Fog</v>
      </c>
      <c r="AO680" s="26" t="str">
        <f t="shared" si="366"/>
        <v/>
      </c>
      <c r="AP680" s="26" t="str">
        <f t="shared" si="363"/>
        <v/>
      </c>
      <c r="AQ680" s="68">
        <f t="shared" si="357"/>
        <v>10</v>
      </c>
      <c r="AR680" s="68">
        <f t="shared" si="358"/>
        <v>6</v>
      </c>
      <c r="AS680" s="68">
        <f t="shared" si="347"/>
        <v>1.05</v>
      </c>
      <c r="AT680" s="68">
        <f t="shared" si="348"/>
        <v>1.05</v>
      </c>
      <c r="AU680" s="68">
        <f t="shared" si="349"/>
        <v>1.05</v>
      </c>
      <c r="AV680" s="68">
        <f t="shared" si="350"/>
        <v>1.05</v>
      </c>
      <c r="AW680" s="68">
        <f t="shared" si="351"/>
        <v>1.05</v>
      </c>
      <c r="AX680" s="68">
        <f t="shared" ca="1" si="352"/>
        <v>-1.05</v>
      </c>
      <c r="AY680" s="68"/>
      <c r="AZ680" s="68"/>
      <c r="BA680" s="106" t="str">
        <f t="shared" si="340"/>
        <v/>
      </c>
      <c r="BB680" s="178"/>
      <c r="BC680" s="178">
        <v>4</v>
      </c>
      <c r="BD680" s="178"/>
      <c r="BE680" s="178"/>
      <c r="BF680" s="178"/>
      <c r="BG680" s="178"/>
      <c r="BH680" s="178"/>
      <c r="BI680" s="33"/>
      <c r="BK680" s="48">
        <f>$G680/5280*VLOOKUP($AC680,'Cost and Score'!$B$27:$O$40,6,0)</f>
        <v>4.46969696969697E-2</v>
      </c>
      <c r="BL680" s="48">
        <f>$G680/5280*VLOOKUP($AC680,'Cost and Score'!$B$27:$O$40,7,0)</f>
        <v>4.916666666666667</v>
      </c>
      <c r="BM680" s="48">
        <f>$G680/5280*VLOOKUP($AC680,'Cost and Score'!$B$27:$O$40,8,0)</f>
        <v>0</v>
      </c>
      <c r="BN680" s="48">
        <f>$G680/5280*VLOOKUP($AC680,'Cost and Score'!$B$27:$O$40,9,0)</f>
        <v>1005.6818181818181</v>
      </c>
      <c r="BO680" s="48">
        <f>$G680/5280*VLOOKUP($AC680,'Cost and Score'!$B$27:$O$40,10,0)</f>
        <v>223.48484848484847</v>
      </c>
      <c r="BP680" s="48">
        <f>$G680/5280*VLOOKUP($AC680,'Cost and Score'!$B$27:$O$40,11,0)</f>
        <v>0</v>
      </c>
      <c r="BQ680" s="48">
        <f>$G680/5280*VLOOKUP($AC680,'Cost and Score'!$B$27:$O$40,12,0)</f>
        <v>22.348484848484848</v>
      </c>
      <c r="BR680" s="48">
        <f>$G680/5280*VLOOKUP($AC680,'Cost and Score'!$B$27:$O$40,13,0)</f>
        <v>26.818181818181817</v>
      </c>
      <c r="BS680" s="48">
        <f>$G680/5280*VLOOKUP($AC680,'Cost and Score'!$B$27:$O$40,14,0)</f>
        <v>0</v>
      </c>
      <c r="BT680" s="220">
        <f t="shared" si="341"/>
        <v>0.22348484848484848</v>
      </c>
    </row>
    <row r="681" spans="1:103" s="2" customFormat="1" ht="14.45" hidden="1" customHeight="1" x14ac:dyDescent="0.25">
      <c r="A681" s="31" t="s">
        <v>2102</v>
      </c>
      <c r="B681" s="224" t="s">
        <v>1414</v>
      </c>
      <c r="C681" s="85" t="s">
        <v>1414</v>
      </c>
      <c r="D681" s="86" t="s">
        <v>2289</v>
      </c>
      <c r="E681" s="85" t="s">
        <v>1415</v>
      </c>
      <c r="F681" s="85" t="s">
        <v>1416</v>
      </c>
      <c r="G681" s="29">
        <v>950</v>
      </c>
      <c r="H681" s="29">
        <f t="shared" si="364"/>
        <v>26</v>
      </c>
      <c r="I681" s="85" t="s">
        <v>2098</v>
      </c>
      <c r="J681" s="85" t="s">
        <v>160</v>
      </c>
      <c r="K681" s="85">
        <f t="shared" si="362"/>
        <v>0</v>
      </c>
      <c r="L681" s="74">
        <v>7</v>
      </c>
      <c r="M681" s="74">
        <v>7</v>
      </c>
      <c r="N681" s="74">
        <v>7</v>
      </c>
      <c r="O681" s="74">
        <v>7</v>
      </c>
      <c r="P681" s="74">
        <v>7</v>
      </c>
      <c r="Q681" s="74">
        <v>7</v>
      </c>
      <c r="R681" s="74">
        <v>7</v>
      </c>
      <c r="S681" s="74">
        <v>7</v>
      </c>
      <c r="T681" s="74">
        <v>7</v>
      </c>
      <c r="U681" s="74">
        <v>7</v>
      </c>
      <c r="V681" s="74"/>
      <c r="W681" s="74"/>
      <c r="X681" s="74"/>
      <c r="Y681" s="85">
        <v>123</v>
      </c>
      <c r="Z681" s="85">
        <f t="shared" si="361"/>
        <v>0</v>
      </c>
      <c r="AA681" s="85" t="s">
        <v>1414</v>
      </c>
      <c r="AB681" s="111">
        <f t="shared" si="356"/>
        <v>3</v>
      </c>
      <c r="AC681" s="85" t="s">
        <v>2371</v>
      </c>
      <c r="AD681" s="47">
        <f t="shared" si="339"/>
        <v>14393.939393939394</v>
      </c>
      <c r="AE681" s="140"/>
      <c r="AF681" s="113">
        <f t="shared" si="354"/>
        <v>0</v>
      </c>
      <c r="AG681" s="85">
        <v>2027</v>
      </c>
      <c r="AH681" s="26" t="str">
        <f t="shared" si="344"/>
        <v/>
      </c>
      <c r="AI681" s="26" t="str">
        <f t="shared" si="360"/>
        <v/>
      </c>
      <c r="AJ681" s="26" t="str">
        <f t="shared" si="365"/>
        <v/>
      </c>
      <c r="AK681" s="26" t="str">
        <f t="shared" si="359"/>
        <v/>
      </c>
      <c r="AL681" s="26" t="str">
        <f t="shared" si="359"/>
        <v/>
      </c>
      <c r="AM681" s="26" t="str">
        <f t="shared" si="359"/>
        <v>Microsurface double</v>
      </c>
      <c r="AN681" s="26" t="str">
        <f t="shared" si="353"/>
        <v>Microsurface double</v>
      </c>
      <c r="AO681" s="26" t="str">
        <f t="shared" si="366"/>
        <v/>
      </c>
      <c r="AP681" s="26" t="str">
        <f t="shared" si="363"/>
        <v/>
      </c>
      <c r="AQ681" s="68">
        <f t="shared" si="357"/>
        <v>10</v>
      </c>
      <c r="AR681" s="68">
        <f t="shared" si="358"/>
        <v>10</v>
      </c>
      <c r="AS681" s="68">
        <f t="shared" si="347"/>
        <v>1.05</v>
      </c>
      <c r="AT681" s="68">
        <f t="shared" si="348"/>
        <v>1.05</v>
      </c>
      <c r="AU681" s="68">
        <f t="shared" si="349"/>
        <v>1.05</v>
      </c>
      <c r="AV681" s="68">
        <f t="shared" si="350"/>
        <v>1.05</v>
      </c>
      <c r="AW681" s="68">
        <f t="shared" si="351"/>
        <v>1.05</v>
      </c>
      <c r="AX681" s="68">
        <f t="shared" ca="1" si="352"/>
        <v>3.1500000000000004</v>
      </c>
      <c r="AY681" s="68"/>
      <c r="AZ681" s="68"/>
      <c r="BA681" s="106" t="str">
        <f t="shared" si="340"/>
        <v/>
      </c>
      <c r="BB681" s="178"/>
      <c r="BC681" s="178"/>
      <c r="BD681" s="178"/>
      <c r="BE681" s="178"/>
      <c r="BF681" s="178"/>
      <c r="BG681" s="178"/>
      <c r="BH681" s="178"/>
      <c r="BI681" s="33"/>
      <c r="BK681" s="48">
        <f>$G681/5280*VLOOKUP($AC681,'Cost and Score'!$B$27:$O$40,6,0)</f>
        <v>8.9962121212121215E-2</v>
      </c>
      <c r="BL681" s="48">
        <f>$G681/5280*VLOOKUP($AC681,'Cost and Score'!$B$27:$O$40,7,0)</f>
        <v>0</v>
      </c>
      <c r="BM681" s="48">
        <f>$G681/5280*VLOOKUP($AC681,'Cost and Score'!$B$27:$O$40,8,0)</f>
        <v>0</v>
      </c>
      <c r="BN681" s="48">
        <f>$G681/5280*VLOOKUP($AC681,'Cost and Score'!$B$27:$O$40,9,0)</f>
        <v>0</v>
      </c>
      <c r="BO681" s="48">
        <f>$G681/5280*VLOOKUP($AC681,'Cost and Score'!$B$27:$O$40,10,0)</f>
        <v>0</v>
      </c>
      <c r="BP681" s="48">
        <f>$G681/5280*VLOOKUP($AC681,'Cost and Score'!$B$27:$O$40,11,0)</f>
        <v>0</v>
      </c>
      <c r="BQ681" s="48">
        <f>$G681/5280*VLOOKUP($AC681,'Cost and Score'!$B$27:$O$40,12,0)</f>
        <v>0</v>
      </c>
      <c r="BR681" s="48">
        <f>$G681/5280*VLOOKUP($AC681,'Cost and Score'!$B$27:$O$40,13,0)</f>
        <v>0</v>
      </c>
      <c r="BS681" s="48">
        <f>$G681/5280*VLOOKUP($AC681,'Cost and Score'!$B$27:$O$40,14,0)</f>
        <v>0</v>
      </c>
      <c r="BT681" s="220">
        <f t="shared" si="341"/>
        <v>0.17992424242424243</v>
      </c>
      <c r="CW681" s="112"/>
      <c r="CX681" s="112"/>
      <c r="CY681" s="112"/>
    </row>
    <row r="682" spans="1:103" s="2" customFormat="1" ht="14.45" hidden="1" customHeight="1" x14ac:dyDescent="0.25">
      <c r="A682" s="38" t="s">
        <v>2102</v>
      </c>
      <c r="B682" s="34" t="s">
        <v>1417</v>
      </c>
      <c r="C682" s="26" t="s">
        <v>1417</v>
      </c>
      <c r="D682" s="26"/>
      <c r="E682" s="26" t="s">
        <v>1418</v>
      </c>
      <c r="F682" s="26" t="s">
        <v>288</v>
      </c>
      <c r="G682" s="29">
        <v>337</v>
      </c>
      <c r="H682" s="29">
        <f t="shared" si="364"/>
        <v>20</v>
      </c>
      <c r="I682" s="26" t="s">
        <v>62</v>
      </c>
      <c r="J682" s="26" t="s">
        <v>26</v>
      </c>
      <c r="K682" s="26">
        <f t="shared" si="362"/>
        <v>0</v>
      </c>
      <c r="L682" s="42">
        <v>6</v>
      </c>
      <c r="M682" s="42">
        <v>6</v>
      </c>
      <c r="N682" s="42">
        <v>6</v>
      </c>
      <c r="O682" s="42">
        <v>6</v>
      </c>
      <c r="P682" s="42">
        <v>6</v>
      </c>
      <c r="Q682" s="42">
        <v>7</v>
      </c>
      <c r="R682" s="42">
        <v>7</v>
      </c>
      <c r="S682" s="42">
        <v>7</v>
      </c>
      <c r="T682" s="42">
        <v>7</v>
      </c>
      <c r="U682" s="42">
        <v>6</v>
      </c>
      <c r="V682" s="42"/>
      <c r="W682" s="42"/>
      <c r="X682" s="42"/>
      <c r="Y682" s="26">
        <v>50</v>
      </c>
      <c r="Z682" s="26">
        <f t="shared" si="361"/>
        <v>0</v>
      </c>
      <c r="AA682" s="26" t="s">
        <v>1417</v>
      </c>
      <c r="AB682" s="111">
        <f t="shared" si="356"/>
        <v>4</v>
      </c>
      <c r="AC682" s="26" t="s">
        <v>2076</v>
      </c>
      <c r="AD682" s="47">
        <f t="shared" si="339"/>
        <v>893.56060606060601</v>
      </c>
      <c r="AE682" s="140"/>
      <c r="AF682" s="113">
        <f t="shared" si="354"/>
        <v>0</v>
      </c>
      <c r="AG682" s="85">
        <v>2026</v>
      </c>
      <c r="AH682" s="26" t="str">
        <f t="shared" si="344"/>
        <v/>
      </c>
      <c r="AI682" s="26" t="str">
        <f t="shared" si="360"/>
        <v/>
      </c>
      <c r="AJ682" s="26" t="str">
        <f t="shared" si="365"/>
        <v/>
      </c>
      <c r="AK682" s="26" t="str">
        <f t="shared" si="359"/>
        <v/>
      </c>
      <c r="AL682" s="26" t="str">
        <f t="shared" si="359"/>
        <v>Dust Control</v>
      </c>
      <c r="AM682" s="26" t="str">
        <f t="shared" si="359"/>
        <v/>
      </c>
      <c r="AN682" s="26" t="str">
        <f t="shared" si="353"/>
        <v>Dust Control</v>
      </c>
      <c r="AO682" s="26" t="str">
        <f t="shared" si="366"/>
        <v/>
      </c>
      <c r="AP682" s="26" t="str">
        <f t="shared" si="363"/>
        <v/>
      </c>
      <c r="AQ682" s="68">
        <f t="shared" si="357"/>
        <v>8</v>
      </c>
      <c r="AR682" s="68">
        <f t="shared" si="358"/>
        <v>1</v>
      </c>
      <c r="AS682" s="68">
        <f t="shared" si="347"/>
        <v>1.1000000000000001</v>
      </c>
      <c r="AT682" s="68">
        <f t="shared" si="348"/>
        <v>1.1000000000000001</v>
      </c>
      <c r="AU682" s="68">
        <f t="shared" si="349"/>
        <v>1.1000000000000001</v>
      </c>
      <c r="AV682" s="68">
        <f t="shared" si="350"/>
        <v>1.1000000000000001</v>
      </c>
      <c r="AW682" s="68">
        <f t="shared" si="351"/>
        <v>1.1000000000000001</v>
      </c>
      <c r="AX682" s="68">
        <f t="shared" ca="1" si="352"/>
        <v>2.2000000000000002</v>
      </c>
      <c r="AY682" s="68">
        <v>2015</v>
      </c>
      <c r="AZ682" s="68" t="s">
        <v>2086</v>
      </c>
      <c r="BA682" s="106" t="str">
        <f t="shared" si="340"/>
        <v/>
      </c>
      <c r="BB682" s="178"/>
      <c r="BC682" s="178"/>
      <c r="BD682" s="178"/>
      <c r="BE682" s="178"/>
      <c r="BF682" s="178"/>
      <c r="BG682" s="178"/>
      <c r="BH682" s="178"/>
      <c r="BI682" s="33"/>
      <c r="BK682" s="48">
        <f>$G682/5280*VLOOKUP($AC682,'Cost and Score'!$B$27:$O$40,6,0)</f>
        <v>6.3825757575757577E-2</v>
      </c>
      <c r="BL682" s="48">
        <f>$G682/5280*VLOOKUP($AC682,'Cost and Score'!$B$27:$O$40,7,0)</f>
        <v>5.7443181818181817</v>
      </c>
      <c r="BM682" s="48">
        <f>$G682/5280*VLOOKUP($AC682,'Cost and Score'!$B$27:$O$40,8,0)</f>
        <v>0</v>
      </c>
      <c r="BN682" s="48">
        <f>$G682/5280*VLOOKUP($AC682,'Cost and Score'!$B$27:$O$40,9,0)</f>
        <v>0</v>
      </c>
      <c r="BO682" s="48">
        <f>$G682/5280*VLOOKUP($AC682,'Cost and Score'!$B$27:$O$40,10,0)</f>
        <v>0</v>
      </c>
      <c r="BP682" s="48">
        <f>$G682/5280*VLOOKUP($AC682,'Cost and Score'!$B$27:$O$40,11,0)</f>
        <v>31.912878787878789</v>
      </c>
      <c r="BQ682" s="48">
        <f>$G682/5280*VLOOKUP($AC682,'Cost and Score'!$B$27:$O$40,12,0)</f>
        <v>0</v>
      </c>
      <c r="BR682" s="48">
        <f>$G682/5280*VLOOKUP($AC682,'Cost and Score'!$B$27:$O$40,13,0)</f>
        <v>0</v>
      </c>
      <c r="BS682" s="48">
        <f>$G682/5280*VLOOKUP($AC682,'Cost and Score'!$B$27:$O$40,14,0)</f>
        <v>0</v>
      </c>
      <c r="BT682" s="220">
        <f t="shared" si="341"/>
        <v>6.3825757575757577E-2</v>
      </c>
    </row>
    <row r="683" spans="1:103" s="2" customFormat="1" ht="14.45" hidden="1" customHeight="1" x14ac:dyDescent="0.25">
      <c r="A683" s="38" t="s">
        <v>2102</v>
      </c>
      <c r="B683" s="34" t="s">
        <v>1419</v>
      </c>
      <c r="C683" s="26" t="s">
        <v>1419</v>
      </c>
      <c r="D683" s="26"/>
      <c r="E683" s="26" t="s">
        <v>1420</v>
      </c>
      <c r="F683" s="26" t="s">
        <v>1421</v>
      </c>
      <c r="G683" s="29">
        <v>254</v>
      </c>
      <c r="H683" s="29">
        <f t="shared" si="364"/>
        <v>20</v>
      </c>
      <c r="I683" s="26" t="s">
        <v>62</v>
      </c>
      <c r="J683" s="26" t="s">
        <v>26</v>
      </c>
      <c r="K683" s="26">
        <f t="shared" si="362"/>
        <v>0</v>
      </c>
      <c r="L683" s="42">
        <v>6</v>
      </c>
      <c r="M683" s="42">
        <v>6</v>
      </c>
      <c r="N683" s="42">
        <v>6</v>
      </c>
      <c r="O683" s="42">
        <v>6</v>
      </c>
      <c r="P683" s="42">
        <v>6</v>
      </c>
      <c r="Q683" s="42">
        <v>7</v>
      </c>
      <c r="R683" s="42">
        <v>7</v>
      </c>
      <c r="S683" s="42">
        <v>6</v>
      </c>
      <c r="T683" s="42">
        <v>6</v>
      </c>
      <c r="U683" s="42">
        <v>7</v>
      </c>
      <c r="V683" s="42"/>
      <c r="W683" s="42"/>
      <c r="X683" s="42"/>
      <c r="Y683" s="26">
        <v>50</v>
      </c>
      <c r="Z683" s="26">
        <f t="shared" si="361"/>
        <v>0</v>
      </c>
      <c r="AA683" s="26" t="s">
        <v>1419</v>
      </c>
      <c r="AB683" s="111">
        <f t="shared" si="356"/>
        <v>4</v>
      </c>
      <c r="AC683" s="26" t="s">
        <v>2076</v>
      </c>
      <c r="AD683" s="47">
        <f t="shared" si="339"/>
        <v>673.4848484848485</v>
      </c>
      <c r="AE683" s="140"/>
      <c r="AF683" s="113">
        <f t="shared" si="354"/>
        <v>0</v>
      </c>
      <c r="AG683" s="85">
        <v>2026</v>
      </c>
      <c r="AH683" s="26" t="str">
        <f t="shared" si="344"/>
        <v/>
      </c>
      <c r="AI683" s="26" t="str">
        <f t="shared" si="360"/>
        <v/>
      </c>
      <c r="AJ683" s="26" t="str">
        <f t="shared" si="365"/>
        <v/>
      </c>
      <c r="AK683" s="26" t="str">
        <f t="shared" si="359"/>
        <v/>
      </c>
      <c r="AL683" s="26" t="str">
        <f t="shared" si="359"/>
        <v>Dust Control</v>
      </c>
      <c r="AM683" s="26" t="str">
        <f t="shared" si="359"/>
        <v/>
      </c>
      <c r="AN683" s="26" t="str">
        <f t="shared" si="353"/>
        <v>Dust Control</v>
      </c>
      <c r="AO683" s="26" t="str">
        <f t="shared" si="366"/>
        <v/>
      </c>
      <c r="AP683" s="26" t="str">
        <f t="shared" si="363"/>
        <v/>
      </c>
      <c r="AQ683" s="68">
        <f t="shared" si="357"/>
        <v>8</v>
      </c>
      <c r="AR683" s="68">
        <f t="shared" si="358"/>
        <v>1</v>
      </c>
      <c r="AS683" s="68">
        <f t="shared" si="347"/>
        <v>1.1000000000000001</v>
      </c>
      <c r="AT683" s="68">
        <f t="shared" si="348"/>
        <v>1.1000000000000001</v>
      </c>
      <c r="AU683" s="68">
        <f t="shared" si="349"/>
        <v>1.1000000000000001</v>
      </c>
      <c r="AV683" s="68">
        <f t="shared" si="350"/>
        <v>1.1000000000000001</v>
      </c>
      <c r="AW683" s="68">
        <f t="shared" si="351"/>
        <v>1.1000000000000001</v>
      </c>
      <c r="AX683" s="68">
        <f t="shared" ca="1" si="352"/>
        <v>2.2000000000000002</v>
      </c>
      <c r="AY683" s="68"/>
      <c r="AZ683" s="68"/>
      <c r="BA683" s="106" t="str">
        <f t="shared" si="340"/>
        <v/>
      </c>
      <c r="BB683" s="178"/>
      <c r="BC683" s="178"/>
      <c r="BD683" s="178"/>
      <c r="BE683" s="178"/>
      <c r="BF683" s="178"/>
      <c r="BG683" s="178"/>
      <c r="BH683" s="178"/>
      <c r="BI683" s="33"/>
      <c r="BK683" s="48">
        <f>$G683/5280*VLOOKUP($AC683,'Cost and Score'!$B$27:$O$40,6,0)</f>
        <v>4.8106060606060604E-2</v>
      </c>
      <c r="BL683" s="48">
        <f>$G683/5280*VLOOKUP($AC683,'Cost and Score'!$B$27:$O$40,7,0)</f>
        <v>4.3295454545454541</v>
      </c>
      <c r="BM683" s="48">
        <f>$G683/5280*VLOOKUP($AC683,'Cost and Score'!$B$27:$O$40,8,0)</f>
        <v>0</v>
      </c>
      <c r="BN683" s="48">
        <f>$G683/5280*VLOOKUP($AC683,'Cost and Score'!$B$27:$O$40,9,0)</f>
        <v>0</v>
      </c>
      <c r="BO683" s="48">
        <f>$G683/5280*VLOOKUP($AC683,'Cost and Score'!$B$27:$O$40,10,0)</f>
        <v>0</v>
      </c>
      <c r="BP683" s="48">
        <f>$G683/5280*VLOOKUP($AC683,'Cost and Score'!$B$27:$O$40,11,0)</f>
        <v>24.053030303030301</v>
      </c>
      <c r="BQ683" s="48">
        <f>$G683/5280*VLOOKUP($AC683,'Cost and Score'!$B$27:$O$40,12,0)</f>
        <v>0</v>
      </c>
      <c r="BR683" s="48">
        <f>$G683/5280*VLOOKUP($AC683,'Cost and Score'!$B$27:$O$40,13,0)</f>
        <v>0</v>
      </c>
      <c r="BS683" s="48">
        <f>$G683/5280*VLOOKUP($AC683,'Cost and Score'!$B$27:$O$40,14,0)</f>
        <v>0</v>
      </c>
      <c r="BT683" s="220">
        <f t="shared" si="341"/>
        <v>4.8106060606060604E-2</v>
      </c>
    </row>
    <row r="684" spans="1:103" s="2" customFormat="1" ht="14.45" hidden="1" customHeight="1" x14ac:dyDescent="0.25">
      <c r="A684" s="38" t="s">
        <v>2102</v>
      </c>
      <c r="B684" s="34" t="s">
        <v>1422</v>
      </c>
      <c r="C684" s="26" t="s">
        <v>1422</v>
      </c>
      <c r="D684" s="26"/>
      <c r="E684" s="26" t="s">
        <v>1421</v>
      </c>
      <c r="F684" s="26" t="s">
        <v>1423</v>
      </c>
      <c r="G684" s="29">
        <v>268</v>
      </c>
      <c r="H684" s="29">
        <f t="shared" si="364"/>
        <v>20</v>
      </c>
      <c r="I684" s="26" t="s">
        <v>62</v>
      </c>
      <c r="J684" s="26" t="s">
        <v>26</v>
      </c>
      <c r="K684" s="26">
        <f t="shared" si="362"/>
        <v>0</v>
      </c>
      <c r="L684" s="42">
        <v>6</v>
      </c>
      <c r="M684" s="42">
        <v>6</v>
      </c>
      <c r="N684" s="42">
        <v>6</v>
      </c>
      <c r="O684" s="42">
        <v>6</v>
      </c>
      <c r="P684" s="42">
        <v>6</v>
      </c>
      <c r="Q684" s="42">
        <v>7</v>
      </c>
      <c r="R684" s="42">
        <v>7</v>
      </c>
      <c r="S684" s="42">
        <v>7</v>
      </c>
      <c r="T684" s="42">
        <v>7</v>
      </c>
      <c r="U684" s="42">
        <v>7</v>
      </c>
      <c r="V684" s="42"/>
      <c r="W684" s="42"/>
      <c r="X684" s="42"/>
      <c r="Y684" s="26">
        <v>50</v>
      </c>
      <c r="Z684" s="26">
        <f t="shared" si="361"/>
        <v>0</v>
      </c>
      <c r="AA684" s="26" t="s">
        <v>1422</v>
      </c>
      <c r="AB684" s="111">
        <f t="shared" si="356"/>
        <v>4</v>
      </c>
      <c r="AC684" s="26" t="s">
        <v>2076</v>
      </c>
      <c r="AD684" s="47">
        <f t="shared" si="339"/>
        <v>710.60606060606062</v>
      </c>
      <c r="AE684" s="140"/>
      <c r="AF684" s="113">
        <f t="shared" si="354"/>
        <v>0</v>
      </c>
      <c r="AG684" s="85">
        <v>2026</v>
      </c>
      <c r="AH684" s="26" t="str">
        <f t="shared" si="344"/>
        <v/>
      </c>
      <c r="AI684" s="26" t="str">
        <f t="shared" si="360"/>
        <v/>
      </c>
      <c r="AJ684" s="26" t="str">
        <f t="shared" si="365"/>
        <v/>
      </c>
      <c r="AK684" s="26" t="str">
        <f t="shared" si="359"/>
        <v/>
      </c>
      <c r="AL684" s="26" t="str">
        <f t="shared" si="359"/>
        <v>Dust Control</v>
      </c>
      <c r="AM684" s="26" t="str">
        <f t="shared" si="359"/>
        <v/>
      </c>
      <c r="AN684" s="26" t="str">
        <f t="shared" si="353"/>
        <v>Dust Control</v>
      </c>
      <c r="AO684" s="26" t="str">
        <f t="shared" si="366"/>
        <v/>
      </c>
      <c r="AP684" s="26" t="str">
        <f t="shared" si="363"/>
        <v/>
      </c>
      <c r="AQ684" s="68">
        <f t="shared" si="357"/>
        <v>8</v>
      </c>
      <c r="AR684" s="68">
        <f t="shared" si="358"/>
        <v>1</v>
      </c>
      <c r="AS684" s="68">
        <f t="shared" si="347"/>
        <v>1.1000000000000001</v>
      </c>
      <c r="AT684" s="68">
        <f t="shared" si="348"/>
        <v>1.1000000000000001</v>
      </c>
      <c r="AU684" s="68">
        <f t="shared" si="349"/>
        <v>1.1000000000000001</v>
      </c>
      <c r="AV684" s="68">
        <f t="shared" si="350"/>
        <v>1.1000000000000001</v>
      </c>
      <c r="AW684" s="68">
        <f t="shared" si="351"/>
        <v>1.1000000000000001</v>
      </c>
      <c r="AX684" s="68">
        <f t="shared" ca="1" si="352"/>
        <v>2.2000000000000002</v>
      </c>
      <c r="AY684" s="68"/>
      <c r="AZ684" s="68"/>
      <c r="BA684" s="106" t="str">
        <f t="shared" si="340"/>
        <v/>
      </c>
      <c r="BB684" s="178"/>
      <c r="BC684" s="178"/>
      <c r="BD684" s="178"/>
      <c r="BE684" s="178"/>
      <c r="BF684" s="178"/>
      <c r="BG684" s="178"/>
      <c r="BH684" s="178"/>
      <c r="BI684" s="33"/>
      <c r="BK684" s="48">
        <f>$G684/5280*VLOOKUP($AC684,'Cost and Score'!$B$27:$O$40,6,0)</f>
        <v>5.0757575757575758E-2</v>
      </c>
      <c r="BL684" s="48">
        <f>$G684/5280*VLOOKUP($AC684,'Cost and Score'!$B$27:$O$40,7,0)</f>
        <v>4.5681818181818183</v>
      </c>
      <c r="BM684" s="48">
        <f>$G684/5280*VLOOKUP($AC684,'Cost and Score'!$B$27:$O$40,8,0)</f>
        <v>0</v>
      </c>
      <c r="BN684" s="48">
        <f>$G684/5280*VLOOKUP($AC684,'Cost and Score'!$B$27:$O$40,9,0)</f>
        <v>0</v>
      </c>
      <c r="BO684" s="48">
        <f>$G684/5280*VLOOKUP($AC684,'Cost and Score'!$B$27:$O$40,10,0)</f>
        <v>0</v>
      </c>
      <c r="BP684" s="48">
        <f>$G684/5280*VLOOKUP($AC684,'Cost and Score'!$B$27:$O$40,11,0)</f>
        <v>25.378787878787879</v>
      </c>
      <c r="BQ684" s="48">
        <f>$G684/5280*VLOOKUP($AC684,'Cost and Score'!$B$27:$O$40,12,0)</f>
        <v>0</v>
      </c>
      <c r="BR684" s="48">
        <f>$G684/5280*VLOOKUP($AC684,'Cost and Score'!$B$27:$O$40,13,0)</f>
        <v>0</v>
      </c>
      <c r="BS684" s="48">
        <f>$G684/5280*VLOOKUP($AC684,'Cost and Score'!$B$27:$O$40,14,0)</f>
        <v>0</v>
      </c>
      <c r="BT684" s="220">
        <f t="shared" si="341"/>
        <v>5.0757575757575758E-2</v>
      </c>
    </row>
    <row r="685" spans="1:103" s="2" customFormat="1" ht="14.45" hidden="1" customHeight="1" x14ac:dyDescent="0.25">
      <c r="A685" s="38" t="s">
        <v>2102</v>
      </c>
      <c r="B685" s="34" t="s">
        <v>1424</v>
      </c>
      <c r="C685" s="26" t="s">
        <v>1424</v>
      </c>
      <c r="D685" s="26"/>
      <c r="E685" s="26" t="s">
        <v>1421</v>
      </c>
      <c r="F685" s="26" t="s">
        <v>1418</v>
      </c>
      <c r="G685" s="29">
        <v>360</v>
      </c>
      <c r="H685" s="29">
        <f t="shared" si="364"/>
        <v>20</v>
      </c>
      <c r="I685" s="26" t="s">
        <v>62</v>
      </c>
      <c r="J685" s="26" t="s">
        <v>26</v>
      </c>
      <c r="K685" s="26">
        <f t="shared" si="362"/>
        <v>0</v>
      </c>
      <c r="L685" s="42">
        <v>6</v>
      </c>
      <c r="M685" s="42">
        <v>6</v>
      </c>
      <c r="N685" s="42">
        <v>6</v>
      </c>
      <c r="O685" s="42">
        <v>9</v>
      </c>
      <c r="P685" s="42">
        <v>8</v>
      </c>
      <c r="Q685" s="42">
        <v>7</v>
      </c>
      <c r="R685" s="42">
        <v>7</v>
      </c>
      <c r="S685" s="42">
        <v>7</v>
      </c>
      <c r="T685" s="42">
        <v>7</v>
      </c>
      <c r="U685" s="42">
        <v>7</v>
      </c>
      <c r="V685" s="42"/>
      <c r="W685" s="42"/>
      <c r="X685" s="42"/>
      <c r="Y685" s="26">
        <v>50</v>
      </c>
      <c r="Z685" s="26">
        <f t="shared" si="361"/>
        <v>0</v>
      </c>
      <c r="AA685" s="26" t="s">
        <v>1424</v>
      </c>
      <c r="AB685" s="111">
        <f t="shared" si="356"/>
        <v>2</v>
      </c>
      <c r="AC685" s="26" t="s">
        <v>751</v>
      </c>
      <c r="AD685" s="47">
        <f t="shared" si="339"/>
        <v>7500</v>
      </c>
      <c r="AE685" s="140"/>
      <c r="AF685" s="113">
        <f t="shared" si="354"/>
        <v>0</v>
      </c>
      <c r="AG685" s="26">
        <v>2023</v>
      </c>
      <c r="AH685" s="26" t="str">
        <f t="shared" si="344"/>
        <v/>
      </c>
      <c r="AI685" s="26" t="str">
        <f t="shared" si="360"/>
        <v>Overlay - 2"</v>
      </c>
      <c r="AJ685" s="26" t="str">
        <f t="shared" si="365"/>
        <v/>
      </c>
      <c r="AK685" s="26" t="str">
        <f t="shared" si="359"/>
        <v/>
      </c>
      <c r="AL685" s="26" t="str">
        <f t="shared" si="359"/>
        <v/>
      </c>
      <c r="AM685" s="26" t="str">
        <f t="shared" si="359"/>
        <v/>
      </c>
      <c r="AN685" s="26" t="str">
        <f t="shared" si="353"/>
        <v>Overlay - 2"</v>
      </c>
      <c r="AO685" s="26" t="str">
        <f t="shared" si="366"/>
        <v/>
      </c>
      <c r="AP685" s="26" t="str">
        <f t="shared" si="363"/>
        <v/>
      </c>
      <c r="AQ685" s="68">
        <f t="shared" si="357"/>
        <v>14</v>
      </c>
      <c r="AR685" s="68">
        <f t="shared" si="358"/>
        <v>12</v>
      </c>
      <c r="AS685" s="68">
        <f t="shared" si="347"/>
        <v>1.1000000000000001</v>
      </c>
      <c r="AT685" s="68">
        <f t="shared" si="348"/>
        <v>1.1000000000000001</v>
      </c>
      <c r="AU685" s="68">
        <f t="shared" si="349"/>
        <v>1.1000000000000001</v>
      </c>
      <c r="AV685" s="68">
        <f t="shared" si="350"/>
        <v>1</v>
      </c>
      <c r="AW685" s="68">
        <f t="shared" si="351"/>
        <v>1</v>
      </c>
      <c r="AX685" s="68">
        <f t="shared" ca="1" si="352"/>
        <v>-1.1000000000000001</v>
      </c>
      <c r="AY685" s="68"/>
      <c r="AZ685" s="68"/>
      <c r="BA685" s="106" t="str">
        <f t="shared" si="340"/>
        <v/>
      </c>
      <c r="BB685" s="178"/>
      <c r="BC685" s="178"/>
      <c r="BD685" s="178"/>
      <c r="BE685" s="178"/>
      <c r="BF685" s="178"/>
      <c r="BG685" s="178"/>
      <c r="BH685" s="178"/>
      <c r="BI685" s="33"/>
      <c r="BK685" s="48">
        <f>$G685/5280*VLOOKUP($AC685,'Cost and Score'!$B$27:$O$40,6,0)</f>
        <v>0.15340909090909088</v>
      </c>
      <c r="BL685" s="48">
        <f>$G685/5280*VLOOKUP($AC685,'Cost and Score'!$B$27:$O$40,7,0)</f>
        <v>14.318181818181817</v>
      </c>
      <c r="BM685" s="48">
        <f>$G685/5280*VLOOKUP($AC685,'Cost and Score'!$B$27:$O$40,8,0)</f>
        <v>23.863636363636363</v>
      </c>
      <c r="BN685" s="48">
        <f>$G685/5280*VLOOKUP($AC685,'Cost and Score'!$B$27:$O$40,9,0)</f>
        <v>0</v>
      </c>
      <c r="BO685" s="48">
        <f>$G685/5280*VLOOKUP($AC685,'Cost and Score'!$B$27:$O$40,10,0)</f>
        <v>0</v>
      </c>
      <c r="BP685" s="48">
        <f>$G685/5280*VLOOKUP($AC685,'Cost and Score'!$B$27:$O$40,11,0)</f>
        <v>13.636363636363635</v>
      </c>
      <c r="BQ685" s="48">
        <f>$G685/5280*VLOOKUP($AC685,'Cost and Score'!$B$27:$O$40,12,0)</f>
        <v>115.90909090909091</v>
      </c>
      <c r="BR685" s="48">
        <f>$G685/5280*VLOOKUP($AC685,'Cost and Score'!$B$27:$O$40,13,0)</f>
        <v>0</v>
      </c>
      <c r="BS685" s="48">
        <f>$G685/5280*VLOOKUP($AC685,'Cost and Score'!$B$27:$O$40,14,0)</f>
        <v>0</v>
      </c>
      <c r="BT685" s="220">
        <f t="shared" si="341"/>
        <v>6.8181818181818177E-2</v>
      </c>
    </row>
    <row r="686" spans="1:103" s="2" customFormat="1" ht="14.45" hidden="1" customHeight="1" x14ac:dyDescent="0.25">
      <c r="A686" s="38" t="s">
        <v>2102</v>
      </c>
      <c r="B686" s="34" t="s">
        <v>1425</v>
      </c>
      <c r="C686" s="26" t="s">
        <v>1425</v>
      </c>
      <c r="D686" s="26"/>
      <c r="E686" s="26" t="s">
        <v>1421</v>
      </c>
      <c r="F686" s="26" t="s">
        <v>1418</v>
      </c>
      <c r="G686" s="29">
        <v>360</v>
      </c>
      <c r="H686" s="29">
        <f t="shared" si="364"/>
        <v>20</v>
      </c>
      <c r="I686" s="26" t="s">
        <v>62</v>
      </c>
      <c r="J686" s="26" t="s">
        <v>26</v>
      </c>
      <c r="K686" s="26">
        <f t="shared" si="362"/>
        <v>0</v>
      </c>
      <c r="L686" s="42">
        <v>6</v>
      </c>
      <c r="M686" s="42">
        <v>6</v>
      </c>
      <c r="N686" s="42">
        <v>6</v>
      </c>
      <c r="O686" s="42">
        <v>9</v>
      </c>
      <c r="P686" s="42">
        <v>8</v>
      </c>
      <c r="Q686" s="42">
        <v>7</v>
      </c>
      <c r="R686" s="42">
        <v>7</v>
      </c>
      <c r="S686" s="42">
        <v>7</v>
      </c>
      <c r="T686" s="42">
        <v>7</v>
      </c>
      <c r="U686" s="42">
        <v>7</v>
      </c>
      <c r="V686" s="42"/>
      <c r="W686" s="42"/>
      <c r="X686" s="42"/>
      <c r="Y686" s="26">
        <v>50</v>
      </c>
      <c r="Z686" s="26">
        <f t="shared" si="361"/>
        <v>0</v>
      </c>
      <c r="AA686" s="26" t="s">
        <v>1425</v>
      </c>
      <c r="AB686" s="111">
        <f t="shared" si="356"/>
        <v>2</v>
      </c>
      <c r="AC686" s="26" t="s">
        <v>751</v>
      </c>
      <c r="AD686" s="47">
        <f t="shared" si="339"/>
        <v>7500</v>
      </c>
      <c r="AE686" s="140"/>
      <c r="AF686" s="113">
        <f t="shared" si="354"/>
        <v>0</v>
      </c>
      <c r="AG686" s="26">
        <v>2023</v>
      </c>
      <c r="AH686" s="26" t="str">
        <f t="shared" si="344"/>
        <v/>
      </c>
      <c r="AI686" s="26" t="str">
        <f t="shared" si="360"/>
        <v>Overlay - 2"</v>
      </c>
      <c r="AJ686" s="26" t="str">
        <f t="shared" si="365"/>
        <v/>
      </c>
      <c r="AK686" s="26" t="str">
        <f t="shared" si="359"/>
        <v/>
      </c>
      <c r="AL686" s="26" t="str">
        <f t="shared" si="359"/>
        <v/>
      </c>
      <c r="AM686" s="26" t="str">
        <f t="shared" si="359"/>
        <v/>
      </c>
      <c r="AN686" s="26" t="str">
        <f t="shared" si="353"/>
        <v>Overlay - 2"</v>
      </c>
      <c r="AO686" s="26" t="str">
        <f t="shared" si="366"/>
        <v/>
      </c>
      <c r="AP686" s="26" t="str">
        <f t="shared" si="363"/>
        <v/>
      </c>
      <c r="AQ686" s="68">
        <f t="shared" si="357"/>
        <v>14</v>
      </c>
      <c r="AR686" s="68">
        <f t="shared" si="358"/>
        <v>12</v>
      </c>
      <c r="AS686" s="68">
        <f t="shared" si="347"/>
        <v>1.1000000000000001</v>
      </c>
      <c r="AT686" s="68">
        <f t="shared" si="348"/>
        <v>1.1000000000000001</v>
      </c>
      <c r="AU686" s="68">
        <f t="shared" si="349"/>
        <v>1.1000000000000001</v>
      </c>
      <c r="AV686" s="68">
        <f t="shared" si="350"/>
        <v>1</v>
      </c>
      <c r="AW686" s="68">
        <f t="shared" si="351"/>
        <v>1</v>
      </c>
      <c r="AX686" s="68">
        <f t="shared" ca="1" si="352"/>
        <v>-1.1000000000000001</v>
      </c>
      <c r="AY686" s="68"/>
      <c r="AZ686" s="68"/>
      <c r="BA686" s="106" t="str">
        <f t="shared" si="340"/>
        <v/>
      </c>
      <c r="BB686" s="178"/>
      <c r="BC686" s="178"/>
      <c r="BD686" s="178"/>
      <c r="BE686" s="178"/>
      <c r="BF686" s="178"/>
      <c r="BG686" s="178"/>
      <c r="BH686" s="178"/>
      <c r="BI686" s="33"/>
      <c r="BK686" s="48">
        <f>$G686/5280*VLOOKUP($AC686,'Cost and Score'!$B$27:$O$40,6,0)</f>
        <v>0.15340909090909088</v>
      </c>
      <c r="BL686" s="48">
        <f>$G686/5280*VLOOKUP($AC686,'Cost and Score'!$B$27:$O$40,7,0)</f>
        <v>14.318181818181817</v>
      </c>
      <c r="BM686" s="48">
        <f>$G686/5280*VLOOKUP($AC686,'Cost and Score'!$B$27:$O$40,8,0)</f>
        <v>23.863636363636363</v>
      </c>
      <c r="BN686" s="48">
        <f>$G686/5280*VLOOKUP($AC686,'Cost and Score'!$B$27:$O$40,9,0)</f>
        <v>0</v>
      </c>
      <c r="BO686" s="48">
        <f>$G686/5280*VLOOKUP($AC686,'Cost and Score'!$B$27:$O$40,10,0)</f>
        <v>0</v>
      </c>
      <c r="BP686" s="48">
        <f>$G686/5280*VLOOKUP($AC686,'Cost and Score'!$B$27:$O$40,11,0)</f>
        <v>13.636363636363635</v>
      </c>
      <c r="BQ686" s="48">
        <f>$G686/5280*VLOOKUP($AC686,'Cost and Score'!$B$27:$O$40,12,0)</f>
        <v>115.90909090909091</v>
      </c>
      <c r="BR686" s="48">
        <f>$G686/5280*VLOOKUP($AC686,'Cost and Score'!$B$27:$O$40,13,0)</f>
        <v>0</v>
      </c>
      <c r="BS686" s="48">
        <f>$G686/5280*VLOOKUP($AC686,'Cost and Score'!$B$27:$O$40,14,0)</f>
        <v>0</v>
      </c>
      <c r="BT686" s="220">
        <f t="shared" si="341"/>
        <v>6.8181818181818177E-2</v>
      </c>
    </row>
    <row r="687" spans="1:103" s="2" customFormat="1" ht="14.45" hidden="1" customHeight="1" x14ac:dyDescent="0.25">
      <c r="A687" s="38" t="s">
        <v>2102</v>
      </c>
      <c r="B687" s="34" t="s">
        <v>1426</v>
      </c>
      <c r="C687" s="26" t="s">
        <v>1426</v>
      </c>
      <c r="D687" s="26"/>
      <c r="E687" s="26" t="s">
        <v>1427</v>
      </c>
      <c r="F687" s="26" t="s">
        <v>1418</v>
      </c>
      <c r="G687" s="29">
        <v>397</v>
      </c>
      <c r="H687" s="29">
        <f t="shared" si="364"/>
        <v>20</v>
      </c>
      <c r="I687" s="26" t="s">
        <v>62</v>
      </c>
      <c r="J687" s="26" t="s">
        <v>26</v>
      </c>
      <c r="K687" s="26">
        <f t="shared" si="362"/>
        <v>0</v>
      </c>
      <c r="L687" s="42">
        <v>6</v>
      </c>
      <c r="M687" s="42">
        <v>6</v>
      </c>
      <c r="N687" s="42">
        <v>6</v>
      </c>
      <c r="O687" s="42">
        <v>9</v>
      </c>
      <c r="P687" s="42">
        <v>8</v>
      </c>
      <c r="Q687" s="42">
        <v>7</v>
      </c>
      <c r="R687" s="42">
        <v>7</v>
      </c>
      <c r="S687" s="42">
        <v>7</v>
      </c>
      <c r="T687" s="42">
        <v>7</v>
      </c>
      <c r="U687" s="42">
        <v>7</v>
      </c>
      <c r="V687" s="42"/>
      <c r="W687" s="42"/>
      <c r="X687" s="42"/>
      <c r="Y687" s="26">
        <v>50</v>
      </c>
      <c r="Z687" s="26">
        <f t="shared" si="361"/>
        <v>0</v>
      </c>
      <c r="AA687" s="26" t="s">
        <v>1426</v>
      </c>
      <c r="AB687" s="111">
        <f t="shared" si="356"/>
        <v>2</v>
      </c>
      <c r="AC687" s="26" t="s">
        <v>751</v>
      </c>
      <c r="AD687" s="47">
        <f t="shared" si="339"/>
        <v>8270.8333333333339</v>
      </c>
      <c r="AE687" s="140"/>
      <c r="AF687" s="113">
        <f t="shared" si="354"/>
        <v>0</v>
      </c>
      <c r="AG687" s="26">
        <v>2023</v>
      </c>
      <c r="AH687" s="26" t="str">
        <f t="shared" si="344"/>
        <v/>
      </c>
      <c r="AI687" s="26" t="str">
        <f t="shared" si="360"/>
        <v>Overlay - 2"</v>
      </c>
      <c r="AJ687" s="26" t="str">
        <f t="shared" si="365"/>
        <v/>
      </c>
      <c r="AK687" s="26" t="str">
        <f t="shared" si="359"/>
        <v/>
      </c>
      <c r="AL687" s="26" t="str">
        <f t="shared" si="359"/>
        <v/>
      </c>
      <c r="AM687" s="26" t="str">
        <f t="shared" si="359"/>
        <v/>
      </c>
      <c r="AN687" s="26" t="str">
        <f t="shared" si="353"/>
        <v>Overlay - 2"</v>
      </c>
      <c r="AO687" s="26" t="str">
        <f t="shared" si="366"/>
        <v/>
      </c>
      <c r="AP687" s="26" t="str">
        <f t="shared" si="363"/>
        <v/>
      </c>
      <c r="AQ687" s="68">
        <f t="shared" si="357"/>
        <v>14</v>
      </c>
      <c r="AR687" s="68">
        <f t="shared" si="358"/>
        <v>12</v>
      </c>
      <c r="AS687" s="68">
        <f t="shared" si="347"/>
        <v>1.1000000000000001</v>
      </c>
      <c r="AT687" s="68">
        <f t="shared" si="348"/>
        <v>1.1000000000000001</v>
      </c>
      <c r="AU687" s="68">
        <f t="shared" si="349"/>
        <v>1.1000000000000001</v>
      </c>
      <c r="AV687" s="68">
        <f t="shared" si="350"/>
        <v>1</v>
      </c>
      <c r="AW687" s="68">
        <f t="shared" si="351"/>
        <v>1</v>
      </c>
      <c r="AX687" s="68">
        <f t="shared" ca="1" si="352"/>
        <v>-1.1000000000000001</v>
      </c>
      <c r="AY687" s="68"/>
      <c r="AZ687" s="68"/>
      <c r="BA687" s="106" t="str">
        <f t="shared" si="340"/>
        <v/>
      </c>
      <c r="BB687" s="178"/>
      <c r="BC687" s="178"/>
      <c r="BD687" s="178"/>
      <c r="BE687" s="178"/>
      <c r="BF687" s="178"/>
      <c r="BG687" s="178"/>
      <c r="BH687" s="178"/>
      <c r="BI687" s="33"/>
      <c r="BK687" s="48">
        <f>$G687/5280*VLOOKUP($AC687,'Cost and Score'!$B$27:$O$40,6,0)</f>
        <v>0.16917613636363638</v>
      </c>
      <c r="BL687" s="48">
        <f>$G687/5280*VLOOKUP($AC687,'Cost and Score'!$B$27:$O$40,7,0)</f>
        <v>15.789772727272728</v>
      </c>
      <c r="BM687" s="48">
        <f>$G687/5280*VLOOKUP($AC687,'Cost and Score'!$B$27:$O$40,8,0)</f>
        <v>26.316287878787882</v>
      </c>
      <c r="BN687" s="48">
        <f>$G687/5280*VLOOKUP($AC687,'Cost and Score'!$B$27:$O$40,9,0)</f>
        <v>0</v>
      </c>
      <c r="BO687" s="48">
        <f>$G687/5280*VLOOKUP($AC687,'Cost and Score'!$B$27:$O$40,10,0)</f>
        <v>0</v>
      </c>
      <c r="BP687" s="48">
        <f>$G687/5280*VLOOKUP($AC687,'Cost and Score'!$B$27:$O$40,11,0)</f>
        <v>15.037878787878789</v>
      </c>
      <c r="BQ687" s="48">
        <f>$G687/5280*VLOOKUP($AC687,'Cost and Score'!$B$27:$O$40,12,0)</f>
        <v>127.8219696969697</v>
      </c>
      <c r="BR687" s="48">
        <f>$G687/5280*VLOOKUP($AC687,'Cost and Score'!$B$27:$O$40,13,0)</f>
        <v>0</v>
      </c>
      <c r="BS687" s="48">
        <f>$G687/5280*VLOOKUP($AC687,'Cost and Score'!$B$27:$O$40,14,0)</f>
        <v>0</v>
      </c>
      <c r="BT687" s="220">
        <f t="shared" si="341"/>
        <v>7.5189393939393945E-2</v>
      </c>
    </row>
    <row r="688" spans="1:103" s="2" customFormat="1" ht="14.45" hidden="1" customHeight="1" x14ac:dyDescent="0.25">
      <c r="A688" s="38" t="s">
        <v>2102</v>
      </c>
      <c r="B688" s="34" t="s">
        <v>1428</v>
      </c>
      <c r="C688" s="26" t="s">
        <v>1428</v>
      </c>
      <c r="D688" s="26"/>
      <c r="E688" s="26" t="s">
        <v>1421</v>
      </c>
      <c r="F688" s="26" t="s">
        <v>1418</v>
      </c>
      <c r="G688" s="29">
        <v>360</v>
      </c>
      <c r="H688" s="29">
        <f t="shared" si="364"/>
        <v>20</v>
      </c>
      <c r="I688" s="26" t="s">
        <v>62</v>
      </c>
      <c r="J688" s="26" t="s">
        <v>26</v>
      </c>
      <c r="K688" s="26">
        <f t="shared" si="362"/>
        <v>0</v>
      </c>
      <c r="L688" s="42">
        <v>6</v>
      </c>
      <c r="M688" s="42">
        <v>5</v>
      </c>
      <c r="N688" s="42">
        <v>5</v>
      </c>
      <c r="O688" s="42">
        <v>9</v>
      </c>
      <c r="P688" s="42">
        <v>8</v>
      </c>
      <c r="Q688" s="42">
        <v>7</v>
      </c>
      <c r="R688" s="42">
        <v>7</v>
      </c>
      <c r="S688" s="42">
        <v>7</v>
      </c>
      <c r="T688" s="42">
        <v>7</v>
      </c>
      <c r="U688" s="42">
        <v>7</v>
      </c>
      <c r="V688" s="42"/>
      <c r="W688" s="42"/>
      <c r="X688" s="42"/>
      <c r="Y688" s="26">
        <v>50</v>
      </c>
      <c r="Z688" s="26">
        <f t="shared" si="361"/>
        <v>0</v>
      </c>
      <c r="AA688" s="26" t="s">
        <v>1428</v>
      </c>
      <c r="AB688" s="111">
        <f t="shared" si="356"/>
        <v>2</v>
      </c>
      <c r="AC688" s="26" t="s">
        <v>751</v>
      </c>
      <c r="AD688" s="47">
        <f t="shared" si="339"/>
        <v>7500</v>
      </c>
      <c r="AE688" s="140"/>
      <c r="AF688" s="113">
        <f t="shared" si="354"/>
        <v>0</v>
      </c>
      <c r="AG688" s="26">
        <v>2023</v>
      </c>
      <c r="AH688" s="26" t="str">
        <f t="shared" si="344"/>
        <v/>
      </c>
      <c r="AI688" s="26" t="str">
        <f t="shared" si="360"/>
        <v>Overlay - 2"</v>
      </c>
      <c r="AJ688" s="26" t="str">
        <f t="shared" si="365"/>
        <v/>
      </c>
      <c r="AK688" s="26" t="str">
        <f t="shared" ref="AK688:AM707" si="367">IF($AG688=AK$1,VLOOKUP($AC688,RSL,3,FALSE),"")</f>
        <v/>
      </c>
      <c r="AL688" s="26" t="str">
        <f t="shared" si="367"/>
        <v/>
      </c>
      <c r="AM688" s="26" t="str">
        <f t="shared" si="367"/>
        <v/>
      </c>
      <c r="AN688" s="26" t="str">
        <f t="shared" si="353"/>
        <v>Overlay - 2"</v>
      </c>
      <c r="AO688" s="26" t="str">
        <f t="shared" si="366"/>
        <v/>
      </c>
      <c r="AP688" s="26" t="str">
        <f t="shared" si="363"/>
        <v/>
      </c>
      <c r="AQ688" s="68">
        <f t="shared" si="357"/>
        <v>14</v>
      </c>
      <c r="AR688" s="68">
        <f t="shared" si="358"/>
        <v>12</v>
      </c>
      <c r="AS688" s="68">
        <f t="shared" si="347"/>
        <v>1.1000000000000001</v>
      </c>
      <c r="AT688" s="68">
        <f t="shared" si="348"/>
        <v>1.25</v>
      </c>
      <c r="AU688" s="68">
        <f t="shared" si="349"/>
        <v>1.25</v>
      </c>
      <c r="AV688" s="68">
        <f t="shared" si="350"/>
        <v>1</v>
      </c>
      <c r="AW688" s="68">
        <f t="shared" si="351"/>
        <v>1</v>
      </c>
      <c r="AX688" s="68">
        <f t="shared" ca="1" si="352"/>
        <v>-1.25</v>
      </c>
      <c r="AY688" s="68"/>
      <c r="AZ688" s="68"/>
      <c r="BA688" s="106" t="str">
        <f t="shared" si="340"/>
        <v/>
      </c>
      <c r="BB688" s="178"/>
      <c r="BC688" s="178"/>
      <c r="BD688" s="178"/>
      <c r="BE688" s="178"/>
      <c r="BF688" s="178"/>
      <c r="BG688" s="178"/>
      <c r="BH688" s="178"/>
      <c r="BI688" s="33"/>
      <c r="BK688" s="48">
        <f>$G688/5280*VLOOKUP($AC688,'Cost and Score'!$B$27:$O$40,6,0)</f>
        <v>0.15340909090909088</v>
      </c>
      <c r="BL688" s="48">
        <f>$G688/5280*VLOOKUP($AC688,'Cost and Score'!$B$27:$O$40,7,0)</f>
        <v>14.318181818181817</v>
      </c>
      <c r="BM688" s="48">
        <f>$G688/5280*VLOOKUP($AC688,'Cost and Score'!$B$27:$O$40,8,0)</f>
        <v>23.863636363636363</v>
      </c>
      <c r="BN688" s="48">
        <f>$G688/5280*VLOOKUP($AC688,'Cost and Score'!$B$27:$O$40,9,0)</f>
        <v>0</v>
      </c>
      <c r="BO688" s="48">
        <f>$G688/5280*VLOOKUP($AC688,'Cost and Score'!$B$27:$O$40,10,0)</f>
        <v>0</v>
      </c>
      <c r="BP688" s="48">
        <f>$G688/5280*VLOOKUP($AC688,'Cost and Score'!$B$27:$O$40,11,0)</f>
        <v>13.636363636363635</v>
      </c>
      <c r="BQ688" s="48">
        <f>$G688/5280*VLOOKUP($AC688,'Cost and Score'!$B$27:$O$40,12,0)</f>
        <v>115.90909090909091</v>
      </c>
      <c r="BR688" s="48">
        <f>$G688/5280*VLOOKUP($AC688,'Cost and Score'!$B$27:$O$40,13,0)</f>
        <v>0</v>
      </c>
      <c r="BS688" s="48">
        <f>$G688/5280*VLOOKUP($AC688,'Cost and Score'!$B$27:$O$40,14,0)</f>
        <v>0</v>
      </c>
      <c r="BT688" s="220">
        <f t="shared" si="341"/>
        <v>6.8181818181818177E-2</v>
      </c>
      <c r="CW688" s="112"/>
      <c r="CX688" s="112"/>
      <c r="CY688" s="112"/>
    </row>
    <row r="689" spans="1:103" s="2" customFormat="1" ht="14.45" hidden="1" customHeight="1" x14ac:dyDescent="0.25">
      <c r="A689" s="38" t="s">
        <v>2102</v>
      </c>
      <c r="B689" s="34" t="s">
        <v>1429</v>
      </c>
      <c r="C689" s="26" t="s">
        <v>1429</v>
      </c>
      <c r="D689" s="26"/>
      <c r="E689" s="26" t="s">
        <v>1421</v>
      </c>
      <c r="F689" s="26" t="s">
        <v>1418</v>
      </c>
      <c r="G689" s="29">
        <v>360</v>
      </c>
      <c r="H689" s="29">
        <f t="shared" si="364"/>
        <v>20</v>
      </c>
      <c r="I689" s="26" t="s">
        <v>62</v>
      </c>
      <c r="J689" s="26" t="s">
        <v>26</v>
      </c>
      <c r="K689" s="26">
        <f t="shared" si="362"/>
        <v>0</v>
      </c>
      <c r="L689" s="42">
        <v>6</v>
      </c>
      <c r="M689" s="42">
        <v>4</v>
      </c>
      <c r="N689" s="42">
        <v>4</v>
      </c>
      <c r="O689" s="42">
        <v>9</v>
      </c>
      <c r="P689" s="42">
        <v>8</v>
      </c>
      <c r="Q689" s="42">
        <v>7</v>
      </c>
      <c r="R689" s="42">
        <v>7</v>
      </c>
      <c r="S689" s="42">
        <v>7</v>
      </c>
      <c r="T689" s="42">
        <v>7</v>
      </c>
      <c r="U689" s="42">
        <v>7</v>
      </c>
      <c r="V689" s="42"/>
      <c r="W689" s="42"/>
      <c r="X689" s="42"/>
      <c r="Y689" s="26">
        <v>50</v>
      </c>
      <c r="Z689" s="26">
        <f t="shared" si="361"/>
        <v>0</v>
      </c>
      <c r="AA689" s="26" t="s">
        <v>1429</v>
      </c>
      <c r="AB689" s="111">
        <f t="shared" si="356"/>
        <v>2</v>
      </c>
      <c r="AC689" s="26" t="s">
        <v>751</v>
      </c>
      <c r="AD689" s="47">
        <f t="shared" si="339"/>
        <v>7500</v>
      </c>
      <c r="AE689" s="140"/>
      <c r="AF689" s="113">
        <f t="shared" si="354"/>
        <v>0</v>
      </c>
      <c r="AG689" s="26">
        <v>2023</v>
      </c>
      <c r="AH689" s="26" t="str">
        <f t="shared" si="344"/>
        <v/>
      </c>
      <c r="AI689" s="26" t="str">
        <f t="shared" si="360"/>
        <v>Overlay - 2"</v>
      </c>
      <c r="AJ689" s="26" t="str">
        <f t="shared" si="365"/>
        <v/>
      </c>
      <c r="AK689" s="26" t="str">
        <f t="shared" si="367"/>
        <v/>
      </c>
      <c r="AL689" s="26" t="str">
        <f t="shared" si="367"/>
        <v/>
      </c>
      <c r="AM689" s="26" t="str">
        <f t="shared" si="367"/>
        <v/>
      </c>
      <c r="AN689" s="26" t="str">
        <f t="shared" si="353"/>
        <v>Overlay - 2"</v>
      </c>
      <c r="AO689" s="26" t="str">
        <f t="shared" si="366"/>
        <v/>
      </c>
      <c r="AP689" s="26" t="str">
        <f t="shared" si="363"/>
        <v/>
      </c>
      <c r="AQ689" s="68">
        <f t="shared" si="357"/>
        <v>14</v>
      </c>
      <c r="AR689" s="68">
        <f t="shared" si="358"/>
        <v>12</v>
      </c>
      <c r="AS689" s="68">
        <f t="shared" si="347"/>
        <v>1.1000000000000001</v>
      </c>
      <c r="AT689" s="68">
        <f t="shared" si="348"/>
        <v>1.5</v>
      </c>
      <c r="AU689" s="68">
        <f t="shared" si="349"/>
        <v>1.5</v>
      </c>
      <c r="AV689" s="68">
        <f t="shared" si="350"/>
        <v>1</v>
      </c>
      <c r="AW689" s="68">
        <f t="shared" si="351"/>
        <v>1</v>
      </c>
      <c r="AX689" s="68">
        <f t="shared" ca="1" si="352"/>
        <v>-1.5</v>
      </c>
      <c r="AY689" s="68"/>
      <c r="AZ689" s="68"/>
      <c r="BA689" s="106" t="str">
        <f t="shared" si="340"/>
        <v/>
      </c>
      <c r="BB689" s="178"/>
      <c r="BC689" s="178"/>
      <c r="BD689" s="178"/>
      <c r="BE689" s="178"/>
      <c r="BF689" s="178"/>
      <c r="BG689" s="178"/>
      <c r="BH689" s="178"/>
      <c r="BI689" s="33"/>
      <c r="BK689" s="48">
        <f>$G689/5280*VLOOKUP($AC689,'Cost and Score'!$B$27:$O$40,6,0)</f>
        <v>0.15340909090909088</v>
      </c>
      <c r="BL689" s="48">
        <f>$G689/5280*VLOOKUP($AC689,'Cost and Score'!$B$27:$O$40,7,0)</f>
        <v>14.318181818181817</v>
      </c>
      <c r="BM689" s="48">
        <f>$G689/5280*VLOOKUP($AC689,'Cost and Score'!$B$27:$O$40,8,0)</f>
        <v>23.863636363636363</v>
      </c>
      <c r="BN689" s="48">
        <f>$G689/5280*VLOOKUP($AC689,'Cost and Score'!$B$27:$O$40,9,0)</f>
        <v>0</v>
      </c>
      <c r="BO689" s="48">
        <f>$G689/5280*VLOOKUP($AC689,'Cost and Score'!$B$27:$O$40,10,0)</f>
        <v>0</v>
      </c>
      <c r="BP689" s="48">
        <f>$G689/5280*VLOOKUP($AC689,'Cost and Score'!$B$27:$O$40,11,0)</f>
        <v>13.636363636363635</v>
      </c>
      <c r="BQ689" s="48">
        <f>$G689/5280*VLOOKUP($AC689,'Cost and Score'!$B$27:$O$40,12,0)</f>
        <v>115.90909090909091</v>
      </c>
      <c r="BR689" s="48">
        <f>$G689/5280*VLOOKUP($AC689,'Cost and Score'!$B$27:$O$40,13,0)</f>
        <v>0</v>
      </c>
      <c r="BS689" s="48">
        <f>$G689/5280*VLOOKUP($AC689,'Cost and Score'!$B$27:$O$40,14,0)</f>
        <v>0</v>
      </c>
      <c r="BT689" s="220">
        <f t="shared" si="341"/>
        <v>6.8181818181818177E-2</v>
      </c>
      <c r="CN689" s="112"/>
      <c r="CO689" s="112"/>
      <c r="CP689" s="112"/>
      <c r="CQ689" s="112"/>
    </row>
    <row r="690" spans="1:103" s="2" customFormat="1" ht="14.45" hidden="1" customHeight="1" x14ac:dyDescent="0.25">
      <c r="A690" s="36" t="s">
        <v>2102</v>
      </c>
      <c r="B690" s="34" t="s">
        <v>1430</v>
      </c>
      <c r="C690" s="26" t="s">
        <v>1430</v>
      </c>
      <c r="D690" s="26"/>
      <c r="E690" s="26" t="s">
        <v>1431</v>
      </c>
      <c r="F690" s="26" t="s">
        <v>86</v>
      </c>
      <c r="G690" s="29">
        <v>284</v>
      </c>
      <c r="H690" s="29">
        <f t="shared" si="364"/>
        <v>20</v>
      </c>
      <c r="I690" s="26" t="s">
        <v>62</v>
      </c>
      <c r="J690" s="26" t="s">
        <v>62</v>
      </c>
      <c r="K690" s="26">
        <f t="shared" si="362"/>
        <v>0</v>
      </c>
      <c r="L690" s="42">
        <v>7</v>
      </c>
      <c r="M690" s="42">
        <v>6</v>
      </c>
      <c r="N690" s="42">
        <v>8</v>
      </c>
      <c r="O690" s="42">
        <v>7</v>
      </c>
      <c r="P690" s="42">
        <v>7</v>
      </c>
      <c r="Q690" s="42">
        <v>6</v>
      </c>
      <c r="R690" s="42">
        <v>6</v>
      </c>
      <c r="S690" s="42">
        <v>6</v>
      </c>
      <c r="T690" s="42">
        <v>6</v>
      </c>
      <c r="U690" s="42">
        <v>6</v>
      </c>
      <c r="V690" s="42"/>
      <c r="W690" s="42"/>
      <c r="X690" s="42"/>
      <c r="Y690" s="26">
        <v>50</v>
      </c>
      <c r="Z690" s="26">
        <f t="shared" si="361"/>
        <v>0</v>
      </c>
      <c r="AA690" s="26" t="s">
        <v>1430</v>
      </c>
      <c r="AB690" s="111">
        <f t="shared" si="356"/>
        <v>3</v>
      </c>
      <c r="AC690" s="26" t="s">
        <v>13</v>
      </c>
      <c r="AD690" s="47">
        <f t="shared" si="339"/>
        <v>1129.5454545454545</v>
      </c>
      <c r="AE690" s="140"/>
      <c r="AF690" s="113">
        <f t="shared" si="354"/>
        <v>0</v>
      </c>
      <c r="AG690" s="26">
        <v>2023</v>
      </c>
      <c r="AH690" s="26" t="str">
        <f t="shared" si="344"/>
        <v/>
      </c>
      <c r="AI690" s="26" t="str">
        <f t="shared" si="360"/>
        <v>Chip Seal and Fog</v>
      </c>
      <c r="AJ690" s="26" t="str">
        <f t="shared" si="365"/>
        <v/>
      </c>
      <c r="AK690" s="26" t="str">
        <f t="shared" si="367"/>
        <v/>
      </c>
      <c r="AL690" s="26" t="str">
        <f t="shared" si="367"/>
        <v/>
      </c>
      <c r="AM690" s="26" t="str">
        <f t="shared" si="367"/>
        <v/>
      </c>
      <c r="AN690" s="26" t="str">
        <f t="shared" si="353"/>
        <v>Chip Seal and Fog</v>
      </c>
      <c r="AO690" s="26" t="str">
        <f t="shared" si="366"/>
        <v/>
      </c>
      <c r="AP690" s="26" t="str">
        <f t="shared" si="363"/>
        <v/>
      </c>
      <c r="AQ690" s="68">
        <f t="shared" si="357"/>
        <v>10</v>
      </c>
      <c r="AR690" s="68">
        <f t="shared" si="358"/>
        <v>6</v>
      </c>
      <c r="AS690" s="68">
        <f t="shared" si="347"/>
        <v>1.05</v>
      </c>
      <c r="AT690" s="68">
        <f t="shared" si="348"/>
        <v>1.1000000000000001</v>
      </c>
      <c r="AU690" s="68">
        <f t="shared" si="349"/>
        <v>1</v>
      </c>
      <c r="AV690" s="68">
        <f t="shared" si="350"/>
        <v>1.05</v>
      </c>
      <c r="AW690" s="68">
        <f t="shared" si="351"/>
        <v>1.05</v>
      </c>
      <c r="AX690" s="68">
        <f t="shared" ca="1" si="352"/>
        <v>-1</v>
      </c>
      <c r="AY690" s="68"/>
      <c r="AZ690" s="68"/>
      <c r="BA690" s="106" t="str">
        <f t="shared" si="340"/>
        <v/>
      </c>
      <c r="BB690" s="178"/>
      <c r="BC690" s="178"/>
      <c r="BD690" s="178"/>
      <c r="BE690" s="178"/>
      <c r="BF690" s="178"/>
      <c r="BG690" s="178"/>
      <c r="BH690" s="178"/>
      <c r="BI690" s="33"/>
      <c r="BK690" s="48">
        <f>$G690/5280*VLOOKUP($AC690,'Cost and Score'!$B$27:$O$40,6,0)</f>
        <v>1.0757575757575757E-2</v>
      </c>
      <c r="BL690" s="48">
        <f>$G690/5280*VLOOKUP($AC690,'Cost and Score'!$B$27:$O$40,7,0)</f>
        <v>1.1833333333333333</v>
      </c>
      <c r="BM690" s="48">
        <f>$G690/5280*VLOOKUP($AC690,'Cost and Score'!$B$27:$O$40,8,0)</f>
        <v>0</v>
      </c>
      <c r="BN690" s="48">
        <f>$G690/5280*VLOOKUP($AC690,'Cost and Score'!$B$27:$O$40,9,0)</f>
        <v>242.04545454545453</v>
      </c>
      <c r="BO690" s="48">
        <f>$G690/5280*VLOOKUP($AC690,'Cost and Score'!$B$27:$O$40,10,0)</f>
        <v>53.787878787878789</v>
      </c>
      <c r="BP690" s="48">
        <f>$G690/5280*VLOOKUP($AC690,'Cost and Score'!$B$27:$O$40,11,0)</f>
        <v>0</v>
      </c>
      <c r="BQ690" s="48">
        <f>$G690/5280*VLOOKUP($AC690,'Cost and Score'!$B$27:$O$40,12,0)</f>
        <v>5.3787878787878789</v>
      </c>
      <c r="BR690" s="48">
        <f>$G690/5280*VLOOKUP($AC690,'Cost and Score'!$B$27:$O$40,13,0)</f>
        <v>6.4545454545454541</v>
      </c>
      <c r="BS690" s="48">
        <f>$G690/5280*VLOOKUP($AC690,'Cost and Score'!$B$27:$O$40,14,0)</f>
        <v>0</v>
      </c>
      <c r="BT690" s="220">
        <f t="shared" si="341"/>
        <v>5.3787878787878787E-2</v>
      </c>
      <c r="BV690" s="26"/>
      <c r="BW690" s="26"/>
      <c r="BX690" s="26"/>
      <c r="BY690" s="26"/>
      <c r="BZ690" s="26"/>
      <c r="CA690" s="26"/>
      <c r="CB690" s="26"/>
    </row>
    <row r="691" spans="1:103" s="2" customFormat="1" ht="14.45" hidden="1" customHeight="1" x14ac:dyDescent="0.25">
      <c r="A691" s="36" t="s">
        <v>2102</v>
      </c>
      <c r="B691" s="34" t="s">
        <v>1432</v>
      </c>
      <c r="C691" s="26" t="s">
        <v>1432</v>
      </c>
      <c r="D691" s="26"/>
      <c r="E691" s="26" t="s">
        <v>1433</v>
      </c>
      <c r="F691" s="26" t="s">
        <v>1427</v>
      </c>
      <c r="G691" s="29">
        <v>227</v>
      </c>
      <c r="H691" s="29">
        <f t="shared" si="364"/>
        <v>20</v>
      </c>
      <c r="I691" s="26" t="s">
        <v>62</v>
      </c>
      <c r="J691" s="26" t="s">
        <v>6</v>
      </c>
      <c r="K691" s="26">
        <f t="shared" si="362"/>
        <v>0</v>
      </c>
      <c r="L691" s="42">
        <v>7</v>
      </c>
      <c r="M691" s="42">
        <v>7</v>
      </c>
      <c r="N691" s="42">
        <v>7</v>
      </c>
      <c r="O691" s="42">
        <v>7</v>
      </c>
      <c r="P691" s="42">
        <v>7</v>
      </c>
      <c r="Q691" s="42">
        <v>7</v>
      </c>
      <c r="R691" s="42">
        <v>6</v>
      </c>
      <c r="S691" s="42">
        <v>6</v>
      </c>
      <c r="T691" s="42">
        <v>6</v>
      </c>
      <c r="U691" s="42">
        <v>6</v>
      </c>
      <c r="V691" s="42"/>
      <c r="W691" s="42"/>
      <c r="X691" s="42"/>
      <c r="Y691" s="26">
        <v>50</v>
      </c>
      <c r="Z691" s="26">
        <f t="shared" si="361"/>
        <v>0</v>
      </c>
      <c r="AA691" s="26" t="s">
        <v>1432</v>
      </c>
      <c r="AB691" s="111">
        <f t="shared" si="356"/>
        <v>3</v>
      </c>
      <c r="AC691" s="26" t="s">
        <v>13</v>
      </c>
      <c r="AD691" s="47">
        <f t="shared" si="339"/>
        <v>902.84090909090912</v>
      </c>
      <c r="AE691" s="140"/>
      <c r="AF691" s="113">
        <f t="shared" si="354"/>
        <v>0</v>
      </c>
      <c r="AG691" s="26">
        <v>2023</v>
      </c>
      <c r="AH691" s="26" t="str">
        <f t="shared" si="344"/>
        <v/>
      </c>
      <c r="AI691" s="26" t="str">
        <f t="shared" si="360"/>
        <v>Chip Seal and Fog</v>
      </c>
      <c r="AJ691" s="26" t="str">
        <f t="shared" si="365"/>
        <v/>
      </c>
      <c r="AK691" s="26" t="str">
        <f t="shared" si="367"/>
        <v/>
      </c>
      <c r="AL691" s="26" t="str">
        <f t="shared" si="367"/>
        <v/>
      </c>
      <c r="AM691" s="26" t="str">
        <f t="shared" si="367"/>
        <v/>
      </c>
      <c r="AN691" s="26" t="str">
        <f t="shared" si="353"/>
        <v>Chip Seal and Fog</v>
      </c>
      <c r="AO691" s="26" t="str">
        <f t="shared" si="366"/>
        <v/>
      </c>
      <c r="AP691" s="26" t="str">
        <f t="shared" si="363"/>
        <v/>
      </c>
      <c r="AQ691" s="68">
        <f t="shared" si="357"/>
        <v>10</v>
      </c>
      <c r="AR691" s="68">
        <f t="shared" si="358"/>
        <v>6</v>
      </c>
      <c r="AS691" s="68">
        <f t="shared" si="347"/>
        <v>1.05</v>
      </c>
      <c r="AT691" s="68">
        <f t="shared" si="348"/>
        <v>1.05</v>
      </c>
      <c r="AU691" s="68">
        <f t="shared" si="349"/>
        <v>1.05</v>
      </c>
      <c r="AV691" s="68">
        <f t="shared" si="350"/>
        <v>1.05</v>
      </c>
      <c r="AW691" s="68">
        <f t="shared" si="351"/>
        <v>1.05</v>
      </c>
      <c r="AX691" s="68">
        <f t="shared" ca="1" si="352"/>
        <v>-1.05</v>
      </c>
      <c r="AY691" s="68"/>
      <c r="AZ691" s="68"/>
      <c r="BA691" s="106" t="str">
        <f t="shared" si="340"/>
        <v/>
      </c>
      <c r="BB691" s="178"/>
      <c r="BC691" s="178"/>
      <c r="BD691" s="178"/>
      <c r="BE691" s="178"/>
      <c r="BF691" s="178"/>
      <c r="BG691" s="178"/>
      <c r="BH691" s="178"/>
      <c r="BI691" s="33"/>
      <c r="BK691" s="48">
        <f>$G691/5280*VLOOKUP($AC691,'Cost and Score'!$B$27:$O$40,6,0)</f>
        <v>8.5984848484848483E-3</v>
      </c>
      <c r="BL691" s="48">
        <f>$G691/5280*VLOOKUP($AC691,'Cost and Score'!$B$27:$O$40,7,0)</f>
        <v>0.9458333333333333</v>
      </c>
      <c r="BM691" s="48">
        <f>$G691/5280*VLOOKUP($AC691,'Cost and Score'!$B$27:$O$40,8,0)</f>
        <v>0</v>
      </c>
      <c r="BN691" s="48">
        <f>$G691/5280*VLOOKUP($AC691,'Cost and Score'!$B$27:$O$40,9,0)</f>
        <v>193.46590909090909</v>
      </c>
      <c r="BO691" s="48">
        <f>$G691/5280*VLOOKUP($AC691,'Cost and Score'!$B$27:$O$40,10,0)</f>
        <v>42.992424242424242</v>
      </c>
      <c r="BP691" s="48">
        <f>$G691/5280*VLOOKUP($AC691,'Cost and Score'!$B$27:$O$40,11,0)</f>
        <v>0</v>
      </c>
      <c r="BQ691" s="48">
        <f>$G691/5280*VLOOKUP($AC691,'Cost and Score'!$B$27:$O$40,12,0)</f>
        <v>4.2992424242424239</v>
      </c>
      <c r="BR691" s="48">
        <f>$G691/5280*VLOOKUP($AC691,'Cost and Score'!$B$27:$O$40,13,0)</f>
        <v>5.1590909090909092</v>
      </c>
      <c r="BS691" s="48">
        <f>$G691/5280*VLOOKUP($AC691,'Cost and Score'!$B$27:$O$40,14,0)</f>
        <v>0</v>
      </c>
      <c r="BT691" s="220">
        <f t="shared" si="341"/>
        <v>4.2992424242424242E-2</v>
      </c>
      <c r="CN691" s="112"/>
      <c r="CO691" s="112"/>
      <c r="CP691" s="112"/>
      <c r="CQ691" s="112"/>
    </row>
    <row r="692" spans="1:103" s="2" customFormat="1" ht="14.45" hidden="1" customHeight="1" x14ac:dyDescent="0.25">
      <c r="A692" s="36" t="s">
        <v>2102</v>
      </c>
      <c r="B692" s="34" t="s">
        <v>1434</v>
      </c>
      <c r="C692" s="26" t="s">
        <v>1434</v>
      </c>
      <c r="D692" s="26"/>
      <c r="E692" s="26" t="s">
        <v>86</v>
      </c>
      <c r="F692" s="26" t="s">
        <v>1418</v>
      </c>
      <c r="G692" s="29">
        <v>604</v>
      </c>
      <c r="H692" s="29">
        <f t="shared" si="364"/>
        <v>20</v>
      </c>
      <c r="I692" s="26" t="s">
        <v>62</v>
      </c>
      <c r="J692" s="26" t="s">
        <v>101</v>
      </c>
      <c r="K692" s="26">
        <v>0</v>
      </c>
      <c r="L692" s="42">
        <v>7</v>
      </c>
      <c r="M692" s="42">
        <v>7</v>
      </c>
      <c r="N692" s="42">
        <v>7</v>
      </c>
      <c r="O692" s="42">
        <v>7</v>
      </c>
      <c r="P692" s="42">
        <v>7</v>
      </c>
      <c r="Q692" s="42">
        <v>7</v>
      </c>
      <c r="R692" s="42">
        <v>7</v>
      </c>
      <c r="S692" s="42">
        <v>6</v>
      </c>
      <c r="T692" s="42">
        <v>6</v>
      </c>
      <c r="U692" s="42">
        <v>6</v>
      </c>
      <c r="V692" s="42"/>
      <c r="W692" s="42"/>
      <c r="X692" s="42"/>
      <c r="Y692" s="26">
        <v>50</v>
      </c>
      <c r="Z692" s="26">
        <f t="shared" si="361"/>
        <v>0</v>
      </c>
      <c r="AA692" s="26" t="s">
        <v>1434</v>
      </c>
      <c r="AB692" s="111">
        <f t="shared" si="356"/>
        <v>3</v>
      </c>
      <c r="AC692" s="26" t="s">
        <v>13</v>
      </c>
      <c r="AD692" s="47">
        <f t="shared" si="339"/>
        <v>2402.2727272727275</v>
      </c>
      <c r="AE692" s="140"/>
      <c r="AF692" s="113">
        <f t="shared" si="354"/>
        <v>0</v>
      </c>
      <c r="AG692" s="26">
        <v>2023</v>
      </c>
      <c r="AH692" s="26" t="str">
        <f t="shared" si="344"/>
        <v/>
      </c>
      <c r="AI692" s="26" t="str">
        <f t="shared" si="360"/>
        <v>Chip Seal and Fog</v>
      </c>
      <c r="AJ692" s="26" t="str">
        <f t="shared" si="365"/>
        <v/>
      </c>
      <c r="AK692" s="26" t="str">
        <f t="shared" si="367"/>
        <v/>
      </c>
      <c r="AL692" s="26" t="str">
        <f t="shared" si="367"/>
        <v/>
      </c>
      <c r="AM692" s="26" t="str">
        <f t="shared" si="367"/>
        <v/>
      </c>
      <c r="AN692" s="26" t="str">
        <f t="shared" si="353"/>
        <v>Chip Seal and Fog</v>
      </c>
      <c r="AO692" s="26" t="str">
        <f t="shared" si="366"/>
        <v/>
      </c>
      <c r="AP692" s="26" t="str">
        <f t="shared" si="363"/>
        <v/>
      </c>
      <c r="AQ692" s="68">
        <f t="shared" si="357"/>
        <v>10</v>
      </c>
      <c r="AR692" s="68">
        <f t="shared" si="358"/>
        <v>6</v>
      </c>
      <c r="AS692" s="68">
        <f t="shared" si="347"/>
        <v>1.05</v>
      </c>
      <c r="AT692" s="68">
        <f t="shared" si="348"/>
        <v>1.05</v>
      </c>
      <c r="AU692" s="68">
        <f t="shared" si="349"/>
        <v>1.05</v>
      </c>
      <c r="AV692" s="68">
        <f t="shared" si="350"/>
        <v>1.05</v>
      </c>
      <c r="AW692" s="68">
        <f t="shared" si="351"/>
        <v>1.05</v>
      </c>
      <c r="AX692" s="68">
        <f t="shared" ca="1" si="352"/>
        <v>-1.05</v>
      </c>
      <c r="AY692" s="68"/>
      <c r="AZ692" s="68"/>
      <c r="BA692" s="106" t="str">
        <f t="shared" si="340"/>
        <v/>
      </c>
      <c r="BB692" s="178"/>
      <c r="BC692" s="178"/>
      <c r="BD692" s="178"/>
      <c r="BE692" s="178"/>
      <c r="BF692" s="178"/>
      <c r="BG692" s="178"/>
      <c r="BH692" s="178"/>
      <c r="BI692" s="33"/>
      <c r="BK692" s="48">
        <f>$G692/5280*VLOOKUP($AC692,'Cost and Score'!$B$27:$O$40,6,0)</f>
        <v>2.287878787878788E-2</v>
      </c>
      <c r="BL692" s="48">
        <f>$G692/5280*VLOOKUP($AC692,'Cost and Score'!$B$27:$O$40,7,0)</f>
        <v>2.5166666666666666</v>
      </c>
      <c r="BM692" s="48">
        <f>$G692/5280*VLOOKUP($AC692,'Cost and Score'!$B$27:$O$40,8,0)</f>
        <v>0</v>
      </c>
      <c r="BN692" s="48">
        <f>$G692/5280*VLOOKUP($AC692,'Cost and Score'!$B$27:$O$40,9,0)</f>
        <v>514.77272727272725</v>
      </c>
      <c r="BO692" s="48">
        <f>$G692/5280*VLOOKUP($AC692,'Cost and Score'!$B$27:$O$40,10,0)</f>
        <v>114.39393939393939</v>
      </c>
      <c r="BP692" s="48">
        <f>$G692/5280*VLOOKUP($AC692,'Cost and Score'!$B$27:$O$40,11,0)</f>
        <v>0</v>
      </c>
      <c r="BQ692" s="48">
        <f>$G692/5280*VLOOKUP($AC692,'Cost and Score'!$B$27:$O$40,12,0)</f>
        <v>11.439393939393939</v>
      </c>
      <c r="BR692" s="48">
        <f>$G692/5280*VLOOKUP($AC692,'Cost and Score'!$B$27:$O$40,13,0)</f>
        <v>13.727272727272727</v>
      </c>
      <c r="BS692" s="48">
        <f>$G692/5280*VLOOKUP($AC692,'Cost and Score'!$B$27:$O$40,14,0)</f>
        <v>0</v>
      </c>
      <c r="BT692" s="220">
        <f t="shared" si="341"/>
        <v>0.1143939393939394</v>
      </c>
      <c r="CW692" s="112"/>
      <c r="CX692" s="112"/>
      <c r="CY692" s="112"/>
    </row>
    <row r="693" spans="1:103" s="2" customFormat="1" ht="14.45" hidden="1" customHeight="1" x14ac:dyDescent="0.25">
      <c r="A693" s="38" t="s">
        <v>2102</v>
      </c>
      <c r="B693" s="34" t="s">
        <v>1435</v>
      </c>
      <c r="C693" s="26" t="s">
        <v>1435</v>
      </c>
      <c r="D693" s="26"/>
      <c r="E693" s="26" t="s">
        <v>86</v>
      </c>
      <c r="F693" s="26" t="s">
        <v>1436</v>
      </c>
      <c r="G693" s="29">
        <v>416</v>
      </c>
      <c r="H693" s="29">
        <f t="shared" si="364"/>
        <v>20</v>
      </c>
      <c r="I693" s="26" t="s">
        <v>62</v>
      </c>
      <c r="J693" s="26" t="s">
        <v>101</v>
      </c>
      <c r="K693" s="26">
        <v>0</v>
      </c>
      <c r="L693" s="42">
        <v>7</v>
      </c>
      <c r="M693" s="42">
        <v>6</v>
      </c>
      <c r="N693" s="42">
        <v>6</v>
      </c>
      <c r="O693" s="42">
        <v>8</v>
      </c>
      <c r="P693" s="42">
        <v>8</v>
      </c>
      <c r="Q693" s="42">
        <v>7</v>
      </c>
      <c r="R693" s="42">
        <v>7</v>
      </c>
      <c r="S693" s="42">
        <v>6</v>
      </c>
      <c r="T693" s="42">
        <v>6</v>
      </c>
      <c r="U693" s="42">
        <v>6</v>
      </c>
      <c r="V693" s="42"/>
      <c r="W693" s="42"/>
      <c r="X693" s="42"/>
      <c r="Y693" s="26">
        <v>50</v>
      </c>
      <c r="Z693" s="26">
        <f t="shared" si="361"/>
        <v>0</v>
      </c>
      <c r="AA693" s="26" t="s">
        <v>1435</v>
      </c>
      <c r="AB693" s="111">
        <f t="shared" si="356"/>
        <v>2</v>
      </c>
      <c r="AC693" s="26" t="s">
        <v>751</v>
      </c>
      <c r="AD693" s="47">
        <f t="shared" si="339"/>
        <v>8666.6666666666661</v>
      </c>
      <c r="AE693" s="140"/>
      <c r="AF693" s="113">
        <f t="shared" si="354"/>
        <v>0</v>
      </c>
      <c r="AG693" s="26">
        <v>2023</v>
      </c>
      <c r="AH693" s="26" t="str">
        <f t="shared" si="344"/>
        <v/>
      </c>
      <c r="AI693" s="26" t="str">
        <f t="shared" si="360"/>
        <v>Overlay - 2"</v>
      </c>
      <c r="AJ693" s="26" t="str">
        <f t="shared" si="365"/>
        <v/>
      </c>
      <c r="AK693" s="26" t="str">
        <f t="shared" si="367"/>
        <v/>
      </c>
      <c r="AL693" s="26" t="str">
        <f t="shared" si="367"/>
        <v/>
      </c>
      <c r="AM693" s="26" t="str">
        <f t="shared" si="367"/>
        <v/>
      </c>
      <c r="AN693" s="26" t="str">
        <f t="shared" si="353"/>
        <v>Overlay - 2"</v>
      </c>
      <c r="AO693" s="26" t="str">
        <f t="shared" si="366"/>
        <v/>
      </c>
      <c r="AP693" s="26" t="str">
        <f t="shared" si="363"/>
        <v/>
      </c>
      <c r="AQ693" s="68">
        <f t="shared" si="357"/>
        <v>12</v>
      </c>
      <c r="AR693" s="68">
        <f t="shared" si="358"/>
        <v>12</v>
      </c>
      <c r="AS693" s="68">
        <f t="shared" si="347"/>
        <v>1.05</v>
      </c>
      <c r="AT693" s="68">
        <f t="shared" si="348"/>
        <v>1.1000000000000001</v>
      </c>
      <c r="AU693" s="68">
        <f t="shared" si="349"/>
        <v>1.1000000000000001</v>
      </c>
      <c r="AV693" s="68">
        <f t="shared" si="350"/>
        <v>1</v>
      </c>
      <c r="AW693" s="68">
        <f t="shared" si="351"/>
        <v>1</v>
      </c>
      <c r="AX693" s="68">
        <f t="shared" ca="1" si="352"/>
        <v>-1.1000000000000001</v>
      </c>
      <c r="AY693" s="68"/>
      <c r="AZ693" s="68"/>
      <c r="BA693" s="106" t="str">
        <f t="shared" si="340"/>
        <v/>
      </c>
      <c r="BB693" s="178"/>
      <c r="BC693" s="178"/>
      <c r="BD693" s="178"/>
      <c r="BE693" s="178"/>
      <c r="BF693" s="178"/>
      <c r="BG693" s="178"/>
      <c r="BH693" s="178"/>
      <c r="BI693" s="33"/>
      <c r="BK693" s="48">
        <f>$G693/5280*VLOOKUP($AC693,'Cost and Score'!$B$27:$O$40,6,0)</f>
        <v>0.17727272727272725</v>
      </c>
      <c r="BL693" s="48">
        <f>$G693/5280*VLOOKUP($AC693,'Cost and Score'!$B$27:$O$40,7,0)</f>
        <v>16.545454545454543</v>
      </c>
      <c r="BM693" s="48">
        <f>$G693/5280*VLOOKUP($AC693,'Cost and Score'!$B$27:$O$40,8,0)</f>
        <v>27.575757575757574</v>
      </c>
      <c r="BN693" s="48">
        <f>$G693/5280*VLOOKUP($AC693,'Cost and Score'!$B$27:$O$40,9,0)</f>
        <v>0</v>
      </c>
      <c r="BO693" s="48">
        <f>$G693/5280*VLOOKUP($AC693,'Cost and Score'!$B$27:$O$40,10,0)</f>
        <v>0</v>
      </c>
      <c r="BP693" s="48">
        <f>$G693/5280*VLOOKUP($AC693,'Cost and Score'!$B$27:$O$40,11,0)</f>
        <v>15.757575757575756</v>
      </c>
      <c r="BQ693" s="48">
        <f>$G693/5280*VLOOKUP($AC693,'Cost and Score'!$B$27:$O$40,12,0)</f>
        <v>133.93939393939394</v>
      </c>
      <c r="BR693" s="48">
        <f>$G693/5280*VLOOKUP($AC693,'Cost and Score'!$B$27:$O$40,13,0)</f>
        <v>0</v>
      </c>
      <c r="BS693" s="48">
        <f>$G693/5280*VLOOKUP($AC693,'Cost and Score'!$B$27:$O$40,14,0)</f>
        <v>0</v>
      </c>
      <c r="BT693" s="220">
        <f t="shared" si="341"/>
        <v>7.8787878787878782E-2</v>
      </c>
    </row>
    <row r="694" spans="1:103" s="2" customFormat="1" ht="14.45" hidden="1" customHeight="1" x14ac:dyDescent="0.25">
      <c r="A694" s="38" t="s">
        <v>2102</v>
      </c>
      <c r="B694" s="34" t="s">
        <v>1437</v>
      </c>
      <c r="C694" s="26" t="s">
        <v>1437</v>
      </c>
      <c r="D694" s="26"/>
      <c r="E694" s="26" t="s">
        <v>1436</v>
      </c>
      <c r="F694" s="26" t="s">
        <v>10</v>
      </c>
      <c r="G694" s="29">
        <v>244</v>
      </c>
      <c r="H694" s="29">
        <f t="shared" si="364"/>
        <v>20</v>
      </c>
      <c r="I694" s="26" t="s">
        <v>62</v>
      </c>
      <c r="J694" s="26" t="s">
        <v>101</v>
      </c>
      <c r="K694" s="26">
        <v>0</v>
      </c>
      <c r="L694" s="42">
        <v>7</v>
      </c>
      <c r="M694" s="42">
        <v>6</v>
      </c>
      <c r="N694" s="42">
        <v>6</v>
      </c>
      <c r="O694" s="42">
        <v>8</v>
      </c>
      <c r="P694" s="42">
        <v>8</v>
      </c>
      <c r="Q694" s="42">
        <v>7</v>
      </c>
      <c r="R694" s="42">
        <v>7</v>
      </c>
      <c r="S694" s="42">
        <v>6</v>
      </c>
      <c r="T694" s="42">
        <v>6</v>
      </c>
      <c r="U694" s="42">
        <v>6</v>
      </c>
      <c r="V694" s="42"/>
      <c r="W694" s="42"/>
      <c r="X694" s="42"/>
      <c r="Y694" s="26">
        <v>50</v>
      </c>
      <c r="Z694" s="26">
        <f t="shared" si="361"/>
        <v>0</v>
      </c>
      <c r="AA694" s="26" t="s">
        <v>1437</v>
      </c>
      <c r="AB694" s="111">
        <f t="shared" si="356"/>
        <v>2</v>
      </c>
      <c r="AC694" s="26" t="s">
        <v>751</v>
      </c>
      <c r="AD694" s="47">
        <f t="shared" si="339"/>
        <v>5083.333333333333</v>
      </c>
      <c r="AE694" s="140"/>
      <c r="AF694" s="113">
        <f t="shared" si="354"/>
        <v>0</v>
      </c>
      <c r="AG694" s="26">
        <v>2023</v>
      </c>
      <c r="AH694" s="26" t="str">
        <f t="shared" si="344"/>
        <v/>
      </c>
      <c r="AI694" s="26" t="str">
        <f t="shared" si="360"/>
        <v>Overlay - 2"</v>
      </c>
      <c r="AJ694" s="26" t="str">
        <f t="shared" si="365"/>
        <v/>
      </c>
      <c r="AK694" s="26" t="str">
        <f t="shared" si="367"/>
        <v/>
      </c>
      <c r="AL694" s="26" t="str">
        <f t="shared" si="367"/>
        <v/>
      </c>
      <c r="AM694" s="26" t="str">
        <f t="shared" si="367"/>
        <v/>
      </c>
      <c r="AN694" s="26" t="str">
        <f t="shared" si="353"/>
        <v>Overlay - 2"</v>
      </c>
      <c r="AO694" s="26" t="str">
        <f t="shared" si="366"/>
        <v/>
      </c>
      <c r="AP694" s="26" t="str">
        <f t="shared" si="363"/>
        <v/>
      </c>
      <c r="AQ694" s="68">
        <f t="shared" si="357"/>
        <v>12</v>
      </c>
      <c r="AR694" s="68">
        <f t="shared" si="358"/>
        <v>12</v>
      </c>
      <c r="AS694" s="68">
        <f t="shared" si="347"/>
        <v>1.05</v>
      </c>
      <c r="AT694" s="68">
        <f t="shared" si="348"/>
        <v>1.1000000000000001</v>
      </c>
      <c r="AU694" s="68">
        <f t="shared" si="349"/>
        <v>1.1000000000000001</v>
      </c>
      <c r="AV694" s="68">
        <f t="shared" si="350"/>
        <v>1</v>
      </c>
      <c r="AW694" s="68">
        <f t="shared" si="351"/>
        <v>1</v>
      </c>
      <c r="AX694" s="68">
        <f t="shared" ca="1" si="352"/>
        <v>-1.1000000000000001</v>
      </c>
      <c r="AY694" s="68"/>
      <c r="AZ694" s="68"/>
      <c r="BA694" s="106" t="str">
        <f t="shared" si="340"/>
        <v/>
      </c>
      <c r="BB694" s="178"/>
      <c r="BC694" s="178"/>
      <c r="BD694" s="178"/>
      <c r="BE694" s="178"/>
      <c r="BF694" s="178"/>
      <c r="BG694" s="178"/>
      <c r="BH694" s="178"/>
      <c r="BI694" s="33"/>
      <c r="BK694" s="48">
        <f>$G694/5280*VLOOKUP($AC694,'Cost and Score'!$B$27:$O$40,6,0)</f>
        <v>0.10397727272727272</v>
      </c>
      <c r="BL694" s="48">
        <f>$G694/5280*VLOOKUP($AC694,'Cost and Score'!$B$27:$O$40,7,0)</f>
        <v>9.704545454545455</v>
      </c>
      <c r="BM694" s="48">
        <f>$G694/5280*VLOOKUP($AC694,'Cost and Score'!$B$27:$O$40,8,0)</f>
        <v>16.174242424242426</v>
      </c>
      <c r="BN694" s="48">
        <f>$G694/5280*VLOOKUP($AC694,'Cost and Score'!$B$27:$O$40,9,0)</f>
        <v>0</v>
      </c>
      <c r="BO694" s="48">
        <f>$G694/5280*VLOOKUP($AC694,'Cost and Score'!$B$27:$O$40,10,0)</f>
        <v>0</v>
      </c>
      <c r="BP694" s="48">
        <f>$G694/5280*VLOOKUP($AC694,'Cost and Score'!$B$27:$O$40,11,0)</f>
        <v>9.2424242424242422</v>
      </c>
      <c r="BQ694" s="48">
        <f>$G694/5280*VLOOKUP($AC694,'Cost and Score'!$B$27:$O$40,12,0)</f>
        <v>78.560606060606062</v>
      </c>
      <c r="BR694" s="48">
        <f>$G694/5280*VLOOKUP($AC694,'Cost and Score'!$B$27:$O$40,13,0)</f>
        <v>0</v>
      </c>
      <c r="BS694" s="48">
        <f>$G694/5280*VLOOKUP($AC694,'Cost and Score'!$B$27:$O$40,14,0)</f>
        <v>0</v>
      </c>
      <c r="BT694" s="220">
        <f t="shared" si="341"/>
        <v>4.6212121212121211E-2</v>
      </c>
      <c r="CW694" s="112"/>
      <c r="CX694" s="112"/>
      <c r="CY694" s="112"/>
    </row>
    <row r="695" spans="1:103" s="2" customFormat="1" ht="14.45" hidden="1" customHeight="1" x14ac:dyDescent="0.25">
      <c r="A695" s="38"/>
      <c r="B695" s="34" t="s">
        <v>1438</v>
      </c>
      <c r="C695" s="26" t="s">
        <v>1438</v>
      </c>
      <c r="D695" s="26" t="s">
        <v>2106</v>
      </c>
      <c r="E695" s="26" t="s">
        <v>1439</v>
      </c>
      <c r="F695" s="26" t="s">
        <v>1440</v>
      </c>
      <c r="G695" s="29">
        <v>384</v>
      </c>
      <c r="H695" s="29">
        <f t="shared" si="364"/>
        <v>20</v>
      </c>
      <c r="I695" s="26" t="s">
        <v>62</v>
      </c>
      <c r="J695" s="26" t="s">
        <v>101</v>
      </c>
      <c r="K695" s="26">
        <v>0</v>
      </c>
      <c r="L695" s="42">
        <v>7</v>
      </c>
      <c r="M695" s="42">
        <v>6</v>
      </c>
      <c r="N695" s="42">
        <v>6</v>
      </c>
      <c r="O695" s="42">
        <v>8</v>
      </c>
      <c r="P695" s="42">
        <v>8</v>
      </c>
      <c r="Q695" s="42">
        <v>7</v>
      </c>
      <c r="R695" s="42">
        <v>7</v>
      </c>
      <c r="S695" s="42">
        <v>6</v>
      </c>
      <c r="T695" s="42">
        <v>6</v>
      </c>
      <c r="U695" s="42">
        <v>6</v>
      </c>
      <c r="V695" s="42"/>
      <c r="W695" s="42"/>
      <c r="X695" s="42"/>
      <c r="Y695" s="26">
        <v>50</v>
      </c>
      <c r="Z695" s="26">
        <f t="shared" si="361"/>
        <v>0</v>
      </c>
      <c r="AA695" s="26" t="s">
        <v>1438</v>
      </c>
      <c r="AB695" s="111">
        <f t="shared" si="356"/>
        <v>2</v>
      </c>
      <c r="AC695" s="26" t="s">
        <v>751</v>
      </c>
      <c r="AD695" s="47">
        <f t="shared" si="339"/>
        <v>8000</v>
      </c>
      <c r="AE695" s="140"/>
      <c r="AF695" s="113">
        <f t="shared" si="354"/>
        <v>0</v>
      </c>
      <c r="AG695" s="26">
        <v>2023</v>
      </c>
      <c r="AH695" s="26" t="str">
        <f t="shared" si="344"/>
        <v/>
      </c>
      <c r="AI695" s="26" t="str">
        <f t="shared" si="360"/>
        <v>Overlay - 2"</v>
      </c>
      <c r="AJ695" s="26" t="str">
        <f t="shared" si="365"/>
        <v/>
      </c>
      <c r="AK695" s="26" t="str">
        <f t="shared" si="367"/>
        <v/>
      </c>
      <c r="AL695" s="26" t="str">
        <f t="shared" si="367"/>
        <v/>
      </c>
      <c r="AM695" s="26" t="str">
        <f t="shared" si="367"/>
        <v/>
      </c>
      <c r="AN695" s="26" t="str">
        <f t="shared" si="353"/>
        <v>Overlay - 2"</v>
      </c>
      <c r="AO695" s="26" t="str">
        <f t="shared" si="366"/>
        <v/>
      </c>
      <c r="AP695" s="26" t="str">
        <f t="shared" si="363"/>
        <v/>
      </c>
      <c r="AQ695" s="68">
        <f t="shared" si="357"/>
        <v>12</v>
      </c>
      <c r="AR695" s="68">
        <f t="shared" si="358"/>
        <v>12</v>
      </c>
      <c r="AS695" s="68">
        <f t="shared" si="347"/>
        <v>1.05</v>
      </c>
      <c r="AT695" s="68">
        <f t="shared" si="348"/>
        <v>1.1000000000000001</v>
      </c>
      <c r="AU695" s="68">
        <f t="shared" si="349"/>
        <v>1.1000000000000001</v>
      </c>
      <c r="AV695" s="68">
        <f t="shared" si="350"/>
        <v>1</v>
      </c>
      <c r="AW695" s="68">
        <f t="shared" si="351"/>
        <v>1</v>
      </c>
      <c r="AX695" s="68">
        <f t="shared" ca="1" si="352"/>
        <v>-1.1000000000000001</v>
      </c>
      <c r="AY695" s="68"/>
      <c r="AZ695" s="68"/>
      <c r="BA695" s="106" t="str">
        <f t="shared" si="340"/>
        <v/>
      </c>
      <c r="BB695" s="178"/>
      <c r="BC695" s="178"/>
      <c r="BD695" s="178"/>
      <c r="BE695" s="178"/>
      <c r="BF695" s="178"/>
      <c r="BG695" s="178"/>
      <c r="BH695" s="178"/>
      <c r="BI695" s="33"/>
      <c r="BK695" s="48">
        <f>$G695/5280*VLOOKUP($AC695,'Cost and Score'!$B$27:$O$40,6,0)</f>
        <v>0.16363636363636364</v>
      </c>
      <c r="BL695" s="48">
        <f>$G695/5280*VLOOKUP($AC695,'Cost and Score'!$B$27:$O$40,7,0)</f>
        <v>15.272727272727272</v>
      </c>
      <c r="BM695" s="48">
        <f>$G695/5280*VLOOKUP($AC695,'Cost and Score'!$B$27:$O$40,8,0)</f>
        <v>25.454545454545453</v>
      </c>
      <c r="BN695" s="48">
        <f>$G695/5280*VLOOKUP($AC695,'Cost and Score'!$B$27:$O$40,9,0)</f>
        <v>0</v>
      </c>
      <c r="BO695" s="48">
        <f>$G695/5280*VLOOKUP($AC695,'Cost and Score'!$B$27:$O$40,10,0)</f>
        <v>0</v>
      </c>
      <c r="BP695" s="48">
        <f>$G695/5280*VLOOKUP($AC695,'Cost and Score'!$B$27:$O$40,11,0)</f>
        <v>14.545454545454545</v>
      </c>
      <c r="BQ695" s="48">
        <f>$G695/5280*VLOOKUP($AC695,'Cost and Score'!$B$27:$O$40,12,0)</f>
        <v>123.63636363636363</v>
      </c>
      <c r="BR695" s="48">
        <f>$G695/5280*VLOOKUP($AC695,'Cost and Score'!$B$27:$O$40,13,0)</f>
        <v>0</v>
      </c>
      <c r="BS695" s="48">
        <f>$G695/5280*VLOOKUP($AC695,'Cost and Score'!$B$27:$O$40,14,0)</f>
        <v>0</v>
      </c>
      <c r="BT695" s="220">
        <f t="shared" si="341"/>
        <v>7.2727272727272724E-2</v>
      </c>
    </row>
    <row r="696" spans="1:103" s="2" customFormat="1" ht="14.45" hidden="1" customHeight="1" x14ac:dyDescent="0.25">
      <c r="A696" s="38" t="s">
        <v>2102</v>
      </c>
      <c r="B696" s="34" t="s">
        <v>1441</v>
      </c>
      <c r="C696" s="26" t="s">
        <v>1441</v>
      </c>
      <c r="D696" s="26"/>
      <c r="E696" s="26" t="s">
        <v>86</v>
      </c>
      <c r="F696" s="26" t="s">
        <v>10</v>
      </c>
      <c r="G696" s="29">
        <v>330</v>
      </c>
      <c r="H696" s="29">
        <f t="shared" si="364"/>
        <v>20</v>
      </c>
      <c r="I696" s="26" t="s">
        <v>62</v>
      </c>
      <c r="J696" s="26" t="s">
        <v>101</v>
      </c>
      <c r="K696" s="26">
        <v>0</v>
      </c>
      <c r="L696" s="42">
        <v>7</v>
      </c>
      <c r="M696" s="42">
        <v>6</v>
      </c>
      <c r="N696" s="42">
        <v>6</v>
      </c>
      <c r="O696" s="42">
        <v>6</v>
      </c>
      <c r="P696" s="42">
        <v>8</v>
      </c>
      <c r="Q696" s="42">
        <v>7</v>
      </c>
      <c r="R696" s="42">
        <v>7</v>
      </c>
      <c r="S696" s="42">
        <v>6</v>
      </c>
      <c r="T696" s="42">
        <v>6</v>
      </c>
      <c r="U696" s="42">
        <v>6</v>
      </c>
      <c r="V696" s="42"/>
      <c r="W696" s="42"/>
      <c r="X696" s="42"/>
      <c r="Y696" s="26">
        <v>50</v>
      </c>
      <c r="Z696" s="26">
        <f t="shared" si="361"/>
        <v>0</v>
      </c>
      <c r="AA696" s="26" t="s">
        <v>1441</v>
      </c>
      <c r="AB696" s="111">
        <f t="shared" si="356"/>
        <v>2</v>
      </c>
      <c r="AC696" s="26" t="s">
        <v>751</v>
      </c>
      <c r="AD696" s="47">
        <f t="shared" si="339"/>
        <v>6875</v>
      </c>
      <c r="AE696" s="140"/>
      <c r="AF696" s="113">
        <f t="shared" si="354"/>
        <v>0</v>
      </c>
      <c r="AG696" s="26">
        <v>2023</v>
      </c>
      <c r="AH696" s="26" t="str">
        <f t="shared" si="344"/>
        <v/>
      </c>
      <c r="AI696" s="26" t="str">
        <f t="shared" si="360"/>
        <v>Overlay - 2"</v>
      </c>
      <c r="AJ696" s="26" t="str">
        <f t="shared" si="365"/>
        <v/>
      </c>
      <c r="AK696" s="26" t="str">
        <f t="shared" si="367"/>
        <v/>
      </c>
      <c r="AL696" s="26" t="str">
        <f t="shared" si="367"/>
        <v/>
      </c>
      <c r="AM696" s="26" t="str">
        <f t="shared" si="367"/>
        <v/>
      </c>
      <c r="AN696" s="26" t="str">
        <f t="shared" si="353"/>
        <v>Overlay - 2"</v>
      </c>
      <c r="AO696" s="26" t="str">
        <f t="shared" si="366"/>
        <v/>
      </c>
      <c r="AP696" s="26" t="str">
        <f t="shared" si="363"/>
        <v/>
      </c>
      <c r="AQ696" s="68">
        <f t="shared" si="357"/>
        <v>8</v>
      </c>
      <c r="AR696" s="68">
        <f t="shared" si="358"/>
        <v>12</v>
      </c>
      <c r="AS696" s="68">
        <f t="shared" si="347"/>
        <v>1.05</v>
      </c>
      <c r="AT696" s="68">
        <f t="shared" si="348"/>
        <v>1.1000000000000001</v>
      </c>
      <c r="AU696" s="68">
        <f t="shared" si="349"/>
        <v>1.1000000000000001</v>
      </c>
      <c r="AV696" s="68">
        <f t="shared" si="350"/>
        <v>1.1000000000000001</v>
      </c>
      <c r="AW696" s="68">
        <f t="shared" si="351"/>
        <v>1</v>
      </c>
      <c r="AX696" s="68">
        <f t="shared" ca="1" si="352"/>
        <v>-1.1000000000000001</v>
      </c>
      <c r="AY696" s="68"/>
      <c r="AZ696" s="68"/>
      <c r="BA696" s="106" t="str">
        <f t="shared" si="340"/>
        <v/>
      </c>
      <c r="BB696" s="178"/>
      <c r="BC696" s="178"/>
      <c r="BD696" s="178"/>
      <c r="BE696" s="178"/>
      <c r="BF696" s="178"/>
      <c r="BG696" s="178"/>
      <c r="BH696" s="178"/>
      <c r="BI696" s="33"/>
      <c r="BK696" s="48">
        <f>$G696/5280*VLOOKUP($AC696,'Cost and Score'!$B$27:$O$40,6,0)</f>
        <v>0.140625</v>
      </c>
      <c r="BL696" s="48">
        <f>$G696/5280*VLOOKUP($AC696,'Cost and Score'!$B$27:$O$40,7,0)</f>
        <v>13.125</v>
      </c>
      <c r="BM696" s="48">
        <f>$G696/5280*VLOOKUP($AC696,'Cost and Score'!$B$27:$O$40,8,0)</f>
        <v>21.875</v>
      </c>
      <c r="BN696" s="48">
        <f>$G696/5280*VLOOKUP($AC696,'Cost and Score'!$B$27:$O$40,9,0)</f>
        <v>0</v>
      </c>
      <c r="BO696" s="48">
        <f>$G696/5280*VLOOKUP($AC696,'Cost and Score'!$B$27:$O$40,10,0)</f>
        <v>0</v>
      </c>
      <c r="BP696" s="48">
        <f>$G696/5280*VLOOKUP($AC696,'Cost and Score'!$B$27:$O$40,11,0)</f>
        <v>12.5</v>
      </c>
      <c r="BQ696" s="48">
        <f>$G696/5280*VLOOKUP($AC696,'Cost and Score'!$B$27:$O$40,12,0)</f>
        <v>106.25</v>
      </c>
      <c r="BR696" s="48">
        <f>$G696/5280*VLOOKUP($AC696,'Cost and Score'!$B$27:$O$40,13,0)</f>
        <v>0</v>
      </c>
      <c r="BS696" s="48">
        <f>$G696/5280*VLOOKUP($AC696,'Cost and Score'!$B$27:$O$40,14,0)</f>
        <v>0</v>
      </c>
      <c r="BT696" s="220">
        <f t="shared" si="341"/>
        <v>6.25E-2</v>
      </c>
      <c r="CW696" s="112"/>
      <c r="CX696" s="112"/>
      <c r="CY696" s="112"/>
    </row>
    <row r="697" spans="1:103" s="2" customFormat="1" ht="14.45" hidden="1" customHeight="1" x14ac:dyDescent="0.25">
      <c r="A697" s="38" t="s">
        <v>2102</v>
      </c>
      <c r="B697" s="34" t="s">
        <v>1442</v>
      </c>
      <c r="C697" s="26" t="s">
        <v>1442</v>
      </c>
      <c r="D697" s="26"/>
      <c r="E697" s="26" t="s">
        <v>121</v>
      </c>
      <c r="F697" s="26" t="s">
        <v>1443</v>
      </c>
      <c r="G697" s="29">
        <v>294</v>
      </c>
      <c r="H697" s="29">
        <f t="shared" si="364"/>
        <v>20</v>
      </c>
      <c r="I697" s="26" t="s">
        <v>62</v>
      </c>
      <c r="J697" s="26" t="s">
        <v>101</v>
      </c>
      <c r="K697" s="26">
        <v>0</v>
      </c>
      <c r="L697" s="42">
        <v>6</v>
      </c>
      <c r="M697" s="42">
        <v>6</v>
      </c>
      <c r="N697" s="42">
        <v>6</v>
      </c>
      <c r="O697" s="42">
        <v>6</v>
      </c>
      <c r="P697" s="42">
        <v>9</v>
      </c>
      <c r="Q697" s="42">
        <v>8</v>
      </c>
      <c r="R697" s="42">
        <v>8</v>
      </c>
      <c r="S697" s="42">
        <v>8</v>
      </c>
      <c r="T697" s="42">
        <v>7</v>
      </c>
      <c r="U697" s="42">
        <v>7</v>
      </c>
      <c r="V697" s="42"/>
      <c r="W697" s="42"/>
      <c r="X697" s="42"/>
      <c r="Y697" s="26">
        <v>50</v>
      </c>
      <c r="Z697" s="26">
        <f t="shared" si="361"/>
        <v>0</v>
      </c>
      <c r="AA697" s="26" t="s">
        <v>1442</v>
      </c>
      <c r="AB697" s="111">
        <f t="shared" si="356"/>
        <v>1</v>
      </c>
      <c r="AC697" s="26" t="s">
        <v>2076</v>
      </c>
      <c r="AD697" s="47">
        <f t="shared" si="339"/>
        <v>779.5454545454545</v>
      </c>
      <c r="AE697" s="140"/>
      <c r="AF697" s="113">
        <f t="shared" si="354"/>
        <v>0</v>
      </c>
      <c r="AG697" s="85">
        <v>2026</v>
      </c>
      <c r="AH697" s="26" t="str">
        <f t="shared" si="344"/>
        <v/>
      </c>
      <c r="AI697" s="26" t="str">
        <f t="shared" si="360"/>
        <v/>
      </c>
      <c r="AJ697" s="26" t="str">
        <f t="shared" si="365"/>
        <v/>
      </c>
      <c r="AK697" s="26" t="str">
        <f t="shared" si="367"/>
        <v/>
      </c>
      <c r="AL697" s="26" t="str">
        <f t="shared" si="367"/>
        <v>Dust Control</v>
      </c>
      <c r="AM697" s="26" t="str">
        <f t="shared" si="367"/>
        <v/>
      </c>
      <c r="AN697" s="26" t="str">
        <f t="shared" si="353"/>
        <v>Dust Control</v>
      </c>
      <c r="AO697" s="26" t="str">
        <f t="shared" si="366"/>
        <v/>
      </c>
      <c r="AP697" s="26" t="str">
        <f t="shared" si="363"/>
        <v/>
      </c>
      <c r="AQ697" s="68">
        <f t="shared" si="357"/>
        <v>8</v>
      </c>
      <c r="AR697" s="68">
        <f t="shared" si="358"/>
        <v>1</v>
      </c>
      <c r="AS697" s="68">
        <f t="shared" si="347"/>
        <v>1.1000000000000001</v>
      </c>
      <c r="AT697" s="68">
        <f t="shared" si="348"/>
        <v>1.1000000000000001</v>
      </c>
      <c r="AU697" s="68">
        <f t="shared" si="349"/>
        <v>1.1000000000000001</v>
      </c>
      <c r="AV697" s="68">
        <f t="shared" si="350"/>
        <v>1.1000000000000001</v>
      </c>
      <c r="AW697" s="68">
        <f t="shared" si="351"/>
        <v>1</v>
      </c>
      <c r="AX697" s="68">
        <f t="shared" ca="1" si="352"/>
        <v>2.2000000000000002</v>
      </c>
      <c r="AY697" s="68"/>
      <c r="AZ697" s="68"/>
      <c r="BA697" s="106" t="str">
        <f t="shared" si="340"/>
        <v/>
      </c>
      <c r="BB697" s="178"/>
      <c r="BC697" s="178"/>
      <c r="BD697" s="178"/>
      <c r="BE697" s="178"/>
      <c r="BF697" s="178"/>
      <c r="BG697" s="178"/>
      <c r="BH697" s="178"/>
      <c r="BI697" s="33"/>
      <c r="BK697" s="48">
        <f>$G697/5280*VLOOKUP($AC697,'Cost and Score'!$B$27:$O$40,6,0)</f>
        <v>5.568181818181818E-2</v>
      </c>
      <c r="BL697" s="48">
        <f>$G697/5280*VLOOKUP($AC697,'Cost and Score'!$B$27:$O$40,7,0)</f>
        <v>5.0113636363636358</v>
      </c>
      <c r="BM697" s="48">
        <f>$G697/5280*VLOOKUP($AC697,'Cost and Score'!$B$27:$O$40,8,0)</f>
        <v>0</v>
      </c>
      <c r="BN697" s="48">
        <f>$G697/5280*VLOOKUP($AC697,'Cost and Score'!$B$27:$O$40,9,0)</f>
        <v>0</v>
      </c>
      <c r="BO697" s="48">
        <f>$G697/5280*VLOOKUP($AC697,'Cost and Score'!$B$27:$O$40,10,0)</f>
        <v>0</v>
      </c>
      <c r="BP697" s="48">
        <f>$G697/5280*VLOOKUP($AC697,'Cost and Score'!$B$27:$O$40,11,0)</f>
        <v>27.84090909090909</v>
      </c>
      <c r="BQ697" s="48">
        <f>$G697/5280*VLOOKUP($AC697,'Cost and Score'!$B$27:$O$40,12,0)</f>
        <v>0</v>
      </c>
      <c r="BR697" s="48">
        <f>$G697/5280*VLOOKUP($AC697,'Cost and Score'!$B$27:$O$40,13,0)</f>
        <v>0</v>
      </c>
      <c r="BS697" s="48">
        <f>$G697/5280*VLOOKUP($AC697,'Cost and Score'!$B$27:$O$40,14,0)</f>
        <v>0</v>
      </c>
      <c r="BT697" s="220">
        <f t="shared" si="341"/>
        <v>5.568181818181818E-2</v>
      </c>
      <c r="CW697" s="112"/>
      <c r="CX697" s="112"/>
      <c r="CY697" s="112"/>
    </row>
    <row r="698" spans="1:103" s="2" customFormat="1" ht="14.45" hidden="1" customHeight="1" x14ac:dyDescent="0.25">
      <c r="A698" s="38" t="s">
        <v>2102</v>
      </c>
      <c r="B698" s="34" t="s">
        <v>1444</v>
      </c>
      <c r="C698" s="26" t="s">
        <v>1444</v>
      </c>
      <c r="D698" s="26"/>
      <c r="E698" s="26" t="s">
        <v>1445</v>
      </c>
      <c r="F698" s="26" t="s">
        <v>1446</v>
      </c>
      <c r="G698" s="29">
        <v>153</v>
      </c>
      <c r="H698" s="29">
        <f t="shared" si="364"/>
        <v>20</v>
      </c>
      <c r="I698" s="26" t="s">
        <v>62</v>
      </c>
      <c r="J698" s="26" t="s">
        <v>160</v>
      </c>
      <c r="K698" s="26">
        <f t="shared" ref="K698:K705" si="368">VLOOKUP(J698,TOWNSHIPS,2,FALSE)</f>
        <v>0</v>
      </c>
      <c r="L698" s="42">
        <v>7</v>
      </c>
      <c r="M698" s="42">
        <v>6</v>
      </c>
      <c r="N698" s="42">
        <v>6</v>
      </c>
      <c r="O698" s="42">
        <v>6</v>
      </c>
      <c r="P698" s="42">
        <v>6</v>
      </c>
      <c r="Q698" s="42">
        <v>6</v>
      </c>
      <c r="R698" s="42">
        <v>6</v>
      </c>
      <c r="S698" s="42">
        <v>6</v>
      </c>
      <c r="T698" s="42">
        <v>7</v>
      </c>
      <c r="U698" s="42">
        <v>8</v>
      </c>
      <c r="V698" s="42"/>
      <c r="W698" s="42"/>
      <c r="X698" s="42"/>
      <c r="Y698" s="26">
        <v>50</v>
      </c>
      <c r="Z698" s="26">
        <f t="shared" si="361"/>
        <v>0</v>
      </c>
      <c r="AA698" s="26" t="s">
        <v>1444</v>
      </c>
      <c r="AB698" s="111">
        <f t="shared" si="356"/>
        <v>4</v>
      </c>
      <c r="AC698" s="82" t="s">
        <v>2072</v>
      </c>
      <c r="AD698" s="47">
        <f t="shared" si="339"/>
        <v>1332.9545454545455</v>
      </c>
      <c r="AE698" s="140"/>
      <c r="AF698" s="113">
        <f t="shared" si="354"/>
        <v>0</v>
      </c>
      <c r="AG698" s="85">
        <v>2023</v>
      </c>
      <c r="AH698" s="26" t="str">
        <f t="shared" si="344"/>
        <v/>
      </c>
      <c r="AI698" s="26" t="str">
        <f t="shared" si="360"/>
        <v>Chip Seal - Triple</v>
      </c>
      <c r="AJ698" s="26" t="str">
        <f t="shared" si="365"/>
        <v/>
      </c>
      <c r="AK698" s="26" t="str">
        <f t="shared" si="367"/>
        <v/>
      </c>
      <c r="AL698" s="26" t="str">
        <f t="shared" si="367"/>
        <v/>
      </c>
      <c r="AM698" s="26" t="str">
        <f t="shared" si="367"/>
        <v/>
      </c>
      <c r="AN698" s="26" t="str">
        <f t="shared" si="353"/>
        <v>Chip Seal - Triple</v>
      </c>
      <c r="AO698" s="26" t="str">
        <f t="shared" si="366"/>
        <v/>
      </c>
      <c r="AP698" s="26" t="str">
        <f t="shared" si="363"/>
        <v/>
      </c>
      <c r="AQ698" s="68">
        <f t="shared" si="357"/>
        <v>8</v>
      </c>
      <c r="AR698" s="68">
        <f t="shared" si="358"/>
        <v>8</v>
      </c>
      <c r="AS698" s="68">
        <f t="shared" si="347"/>
        <v>1.05</v>
      </c>
      <c r="AT698" s="68">
        <f t="shared" si="348"/>
        <v>1.1000000000000001</v>
      </c>
      <c r="AU698" s="68">
        <f t="shared" si="349"/>
        <v>1.1000000000000001</v>
      </c>
      <c r="AV698" s="68">
        <f t="shared" si="350"/>
        <v>1.1000000000000001</v>
      </c>
      <c r="AW698" s="68">
        <f t="shared" si="351"/>
        <v>1.1000000000000001</v>
      </c>
      <c r="AX698" s="68">
        <f t="shared" ca="1" si="352"/>
        <v>-1.1000000000000001</v>
      </c>
      <c r="AY698" s="68"/>
      <c r="AZ698" s="68"/>
      <c r="BA698" s="106" t="str">
        <f t="shared" si="340"/>
        <v/>
      </c>
      <c r="BB698" s="178"/>
      <c r="BC698" s="178"/>
      <c r="BD698" s="178"/>
      <c r="BE698" s="178"/>
      <c r="BF698" s="178"/>
      <c r="BG698" s="178"/>
      <c r="BH698" s="178"/>
      <c r="BI698" s="33"/>
      <c r="BK698" s="48">
        <f>$G698/5280*VLOOKUP($AC698,'Cost and Score'!$B$27:$O$40,6,0)</f>
        <v>1.7386363636363634E-2</v>
      </c>
      <c r="BL698" s="48">
        <f>$G698/5280*VLOOKUP($AC698,'Cost and Score'!$B$27:$O$40,7,0)</f>
        <v>3.6221590909090908</v>
      </c>
      <c r="BM698" s="48">
        <f>$G698/5280*VLOOKUP($AC698,'Cost and Score'!$B$27:$O$40,8,0)</f>
        <v>5.795454545454545</v>
      </c>
      <c r="BN698" s="48">
        <f>$G698/5280*VLOOKUP($AC698,'Cost and Score'!$B$27:$O$40,9,0)</f>
        <v>57.954545454545453</v>
      </c>
      <c r="BO698" s="48">
        <f>$G698/5280*VLOOKUP($AC698,'Cost and Score'!$B$27:$O$40,10,0)</f>
        <v>14.488636363636363</v>
      </c>
      <c r="BP698" s="48">
        <f>$G698/5280*VLOOKUP($AC698,'Cost and Score'!$B$27:$O$40,11,0)</f>
        <v>2.8977272727272725</v>
      </c>
      <c r="BQ698" s="48">
        <f>$G698/5280*VLOOKUP($AC698,'Cost and Score'!$B$27:$O$40,12,0)</f>
        <v>23.18181818181818</v>
      </c>
      <c r="BR698" s="48">
        <f>$G698/5280*VLOOKUP($AC698,'Cost and Score'!$B$27:$O$40,13,0)</f>
        <v>2.3181818181818183</v>
      </c>
      <c r="BS698" s="48">
        <f>$G698/5280*VLOOKUP($AC698,'Cost and Score'!$B$27:$O$40,14,0)</f>
        <v>0</v>
      </c>
      <c r="BT698" s="220">
        <f t="shared" si="341"/>
        <v>2.8977272727272727E-2</v>
      </c>
      <c r="CW698" s="112"/>
      <c r="CX698" s="112"/>
      <c r="CY698" s="112"/>
    </row>
    <row r="699" spans="1:103" s="2" customFormat="1" ht="14.45" hidden="1" customHeight="1" x14ac:dyDescent="0.25">
      <c r="A699" s="38" t="s">
        <v>2102</v>
      </c>
      <c r="B699" s="34" t="s">
        <v>1447</v>
      </c>
      <c r="C699" s="26" t="s">
        <v>1447</v>
      </c>
      <c r="D699" s="26"/>
      <c r="E699" s="26" t="s">
        <v>307</v>
      </c>
      <c r="F699" s="26" t="s">
        <v>1448</v>
      </c>
      <c r="G699" s="29">
        <v>465</v>
      </c>
      <c r="H699" s="29">
        <f t="shared" si="364"/>
        <v>20</v>
      </c>
      <c r="I699" s="26" t="s">
        <v>62</v>
      </c>
      <c r="J699" s="26" t="s">
        <v>160</v>
      </c>
      <c r="K699" s="26">
        <f t="shared" si="368"/>
        <v>0</v>
      </c>
      <c r="L699" s="42">
        <v>7</v>
      </c>
      <c r="M699" s="42">
        <v>6</v>
      </c>
      <c r="N699" s="42">
        <v>6</v>
      </c>
      <c r="O699" s="42">
        <v>6</v>
      </c>
      <c r="P699" s="42">
        <v>6</v>
      </c>
      <c r="Q699" s="42">
        <v>6</v>
      </c>
      <c r="R699" s="42">
        <v>6</v>
      </c>
      <c r="S699" s="42">
        <v>6</v>
      </c>
      <c r="T699" s="42">
        <v>7</v>
      </c>
      <c r="U699" s="42">
        <v>7</v>
      </c>
      <c r="V699" s="42"/>
      <c r="W699" s="42"/>
      <c r="X699" s="42"/>
      <c r="Y699" s="26">
        <v>50</v>
      </c>
      <c r="Z699" s="26">
        <f t="shared" si="361"/>
        <v>0</v>
      </c>
      <c r="AA699" s="26" t="s">
        <v>1447</v>
      </c>
      <c r="AB699" s="111">
        <f t="shared" si="356"/>
        <v>4</v>
      </c>
      <c r="AC699" s="82" t="s">
        <v>2072</v>
      </c>
      <c r="AD699" s="47">
        <f t="shared" si="339"/>
        <v>4051.1363636363635</v>
      </c>
      <c r="AE699" s="140"/>
      <c r="AF699" s="113">
        <f t="shared" si="354"/>
        <v>0</v>
      </c>
      <c r="AG699" s="85">
        <v>2023</v>
      </c>
      <c r="AH699" s="26" t="str">
        <f t="shared" si="344"/>
        <v/>
      </c>
      <c r="AI699" s="26" t="str">
        <f t="shared" si="360"/>
        <v>Chip Seal - Triple</v>
      </c>
      <c r="AJ699" s="26" t="str">
        <f t="shared" si="365"/>
        <v/>
      </c>
      <c r="AK699" s="26" t="str">
        <f t="shared" si="367"/>
        <v/>
      </c>
      <c r="AL699" s="26" t="str">
        <f t="shared" si="367"/>
        <v/>
      </c>
      <c r="AM699" s="26" t="str">
        <f t="shared" si="367"/>
        <v/>
      </c>
      <c r="AN699" s="26" t="str">
        <f t="shared" si="353"/>
        <v>Chip Seal - Triple</v>
      </c>
      <c r="AO699" s="26" t="str">
        <f t="shared" si="366"/>
        <v/>
      </c>
      <c r="AP699" s="26" t="str">
        <f t="shared" si="363"/>
        <v/>
      </c>
      <c r="AQ699" s="68">
        <f t="shared" si="357"/>
        <v>8</v>
      </c>
      <c r="AR699" s="68">
        <f t="shared" si="358"/>
        <v>8</v>
      </c>
      <c r="AS699" s="68">
        <f t="shared" si="347"/>
        <v>1.05</v>
      </c>
      <c r="AT699" s="68">
        <f t="shared" si="348"/>
        <v>1.1000000000000001</v>
      </c>
      <c r="AU699" s="68">
        <f t="shared" si="349"/>
        <v>1.1000000000000001</v>
      </c>
      <c r="AV699" s="68">
        <f t="shared" si="350"/>
        <v>1.1000000000000001</v>
      </c>
      <c r="AW699" s="68">
        <f t="shared" si="351"/>
        <v>1.1000000000000001</v>
      </c>
      <c r="AX699" s="68">
        <f t="shared" ca="1" si="352"/>
        <v>-1.1000000000000001</v>
      </c>
      <c r="AY699" s="68"/>
      <c r="AZ699" s="68"/>
      <c r="BA699" s="106" t="str">
        <f t="shared" si="340"/>
        <v/>
      </c>
      <c r="BB699" s="178"/>
      <c r="BC699" s="178"/>
      <c r="BD699" s="178"/>
      <c r="BE699" s="178"/>
      <c r="BF699" s="178"/>
      <c r="BG699" s="178"/>
      <c r="BH699" s="178"/>
      <c r="BI699" s="33"/>
      <c r="BK699" s="48">
        <f>$G699/5280*VLOOKUP($AC699,'Cost and Score'!$B$27:$O$40,6,0)</f>
        <v>5.2840909090909091E-2</v>
      </c>
      <c r="BL699" s="48">
        <f>$G699/5280*VLOOKUP($AC699,'Cost and Score'!$B$27:$O$40,7,0)</f>
        <v>11.008522727272728</v>
      </c>
      <c r="BM699" s="48">
        <f>$G699/5280*VLOOKUP($AC699,'Cost and Score'!$B$27:$O$40,8,0)</f>
        <v>17.613636363636363</v>
      </c>
      <c r="BN699" s="48">
        <f>$G699/5280*VLOOKUP($AC699,'Cost and Score'!$B$27:$O$40,9,0)</f>
        <v>176.13636363636365</v>
      </c>
      <c r="BO699" s="48">
        <f>$G699/5280*VLOOKUP($AC699,'Cost and Score'!$B$27:$O$40,10,0)</f>
        <v>44.034090909090914</v>
      </c>
      <c r="BP699" s="48">
        <f>$G699/5280*VLOOKUP($AC699,'Cost and Score'!$B$27:$O$40,11,0)</f>
        <v>8.8068181818181817</v>
      </c>
      <c r="BQ699" s="48">
        <f>$G699/5280*VLOOKUP($AC699,'Cost and Score'!$B$27:$O$40,12,0)</f>
        <v>70.454545454545453</v>
      </c>
      <c r="BR699" s="48">
        <f>$G699/5280*VLOOKUP($AC699,'Cost and Score'!$B$27:$O$40,13,0)</f>
        <v>7.0454545454545459</v>
      </c>
      <c r="BS699" s="48">
        <f>$G699/5280*VLOOKUP($AC699,'Cost and Score'!$B$27:$O$40,14,0)</f>
        <v>0</v>
      </c>
      <c r="BT699" s="220">
        <f t="shared" si="341"/>
        <v>8.8068181818181823E-2</v>
      </c>
    </row>
    <row r="700" spans="1:103" s="2" customFormat="1" ht="14.45" hidden="1" customHeight="1" x14ac:dyDescent="0.25">
      <c r="A700" s="38" t="s">
        <v>2102</v>
      </c>
      <c r="B700" s="34" t="s">
        <v>1449</v>
      </c>
      <c r="C700" s="26" t="s">
        <v>1449</v>
      </c>
      <c r="D700" s="26"/>
      <c r="E700" s="26" t="s">
        <v>307</v>
      </c>
      <c r="F700" s="26" t="s">
        <v>1448</v>
      </c>
      <c r="G700" s="29">
        <v>459</v>
      </c>
      <c r="H700" s="29">
        <f t="shared" si="364"/>
        <v>20</v>
      </c>
      <c r="I700" s="26" t="s">
        <v>62</v>
      </c>
      <c r="J700" s="26" t="s">
        <v>160</v>
      </c>
      <c r="K700" s="26">
        <f t="shared" si="368"/>
        <v>0</v>
      </c>
      <c r="L700" s="42">
        <v>7</v>
      </c>
      <c r="M700" s="42">
        <v>6</v>
      </c>
      <c r="N700" s="42">
        <v>6</v>
      </c>
      <c r="O700" s="42">
        <v>6</v>
      </c>
      <c r="P700" s="42">
        <v>6</v>
      </c>
      <c r="Q700" s="42">
        <v>6</v>
      </c>
      <c r="R700" s="42">
        <v>6</v>
      </c>
      <c r="S700" s="42">
        <v>6</v>
      </c>
      <c r="T700" s="42">
        <v>7</v>
      </c>
      <c r="U700" s="42">
        <v>7</v>
      </c>
      <c r="V700" s="42"/>
      <c r="W700" s="42"/>
      <c r="X700" s="42"/>
      <c r="Y700" s="26">
        <v>50</v>
      </c>
      <c r="Z700" s="26">
        <f t="shared" si="361"/>
        <v>0</v>
      </c>
      <c r="AA700" s="26" t="s">
        <v>1449</v>
      </c>
      <c r="AB700" s="111">
        <f t="shared" si="356"/>
        <v>4</v>
      </c>
      <c r="AC700" s="82" t="s">
        <v>2072</v>
      </c>
      <c r="AD700" s="47">
        <f t="shared" si="339"/>
        <v>3998.8636363636365</v>
      </c>
      <c r="AE700" s="140"/>
      <c r="AF700" s="113">
        <f t="shared" si="354"/>
        <v>0</v>
      </c>
      <c r="AG700" s="85">
        <v>2023</v>
      </c>
      <c r="AH700" s="26" t="str">
        <f t="shared" si="344"/>
        <v/>
      </c>
      <c r="AI700" s="26" t="str">
        <f t="shared" si="360"/>
        <v>Chip Seal - Triple</v>
      </c>
      <c r="AJ700" s="26" t="str">
        <f t="shared" si="365"/>
        <v/>
      </c>
      <c r="AK700" s="26" t="str">
        <f t="shared" si="367"/>
        <v/>
      </c>
      <c r="AL700" s="26" t="str">
        <f t="shared" si="367"/>
        <v/>
      </c>
      <c r="AM700" s="26" t="str">
        <f t="shared" si="367"/>
        <v/>
      </c>
      <c r="AN700" s="26" t="str">
        <f t="shared" si="353"/>
        <v>Chip Seal - Triple</v>
      </c>
      <c r="AO700" s="26" t="str">
        <f t="shared" si="366"/>
        <v/>
      </c>
      <c r="AP700" s="26" t="str">
        <f t="shared" si="363"/>
        <v/>
      </c>
      <c r="AQ700" s="68">
        <f t="shared" si="357"/>
        <v>8</v>
      </c>
      <c r="AR700" s="68">
        <f t="shared" si="358"/>
        <v>8</v>
      </c>
      <c r="AS700" s="68">
        <f t="shared" si="347"/>
        <v>1.05</v>
      </c>
      <c r="AT700" s="68">
        <f t="shared" si="348"/>
        <v>1.1000000000000001</v>
      </c>
      <c r="AU700" s="68">
        <f t="shared" si="349"/>
        <v>1.1000000000000001</v>
      </c>
      <c r="AV700" s="68">
        <f t="shared" si="350"/>
        <v>1.1000000000000001</v>
      </c>
      <c r="AW700" s="68">
        <f t="shared" si="351"/>
        <v>1.1000000000000001</v>
      </c>
      <c r="AX700" s="68">
        <f t="shared" ca="1" si="352"/>
        <v>-1.1000000000000001</v>
      </c>
      <c r="AY700" s="68"/>
      <c r="AZ700" s="68"/>
      <c r="BA700" s="106" t="str">
        <f t="shared" si="340"/>
        <v/>
      </c>
      <c r="BB700" s="178"/>
      <c r="BC700" s="178"/>
      <c r="BD700" s="178"/>
      <c r="BE700" s="178"/>
      <c r="BF700" s="178"/>
      <c r="BG700" s="178"/>
      <c r="BH700" s="178"/>
      <c r="BI700" s="33"/>
      <c r="BK700" s="48">
        <f>$G700/5280*VLOOKUP($AC700,'Cost and Score'!$B$27:$O$40,6,0)</f>
        <v>5.2159090909090905E-2</v>
      </c>
      <c r="BL700" s="48">
        <f>$G700/5280*VLOOKUP($AC700,'Cost and Score'!$B$27:$O$40,7,0)</f>
        <v>10.866477272727272</v>
      </c>
      <c r="BM700" s="48">
        <f>$G700/5280*VLOOKUP($AC700,'Cost and Score'!$B$27:$O$40,8,0)</f>
        <v>17.386363636363637</v>
      </c>
      <c r="BN700" s="48">
        <f>$G700/5280*VLOOKUP($AC700,'Cost and Score'!$B$27:$O$40,9,0)</f>
        <v>173.86363636363635</v>
      </c>
      <c r="BO700" s="48">
        <f>$G700/5280*VLOOKUP($AC700,'Cost and Score'!$B$27:$O$40,10,0)</f>
        <v>43.465909090909086</v>
      </c>
      <c r="BP700" s="48">
        <f>$G700/5280*VLOOKUP($AC700,'Cost and Score'!$B$27:$O$40,11,0)</f>
        <v>8.6931818181818183</v>
      </c>
      <c r="BQ700" s="48">
        <f>$G700/5280*VLOOKUP($AC700,'Cost and Score'!$B$27:$O$40,12,0)</f>
        <v>69.545454545454547</v>
      </c>
      <c r="BR700" s="48">
        <f>$G700/5280*VLOOKUP($AC700,'Cost and Score'!$B$27:$O$40,13,0)</f>
        <v>6.9545454545454541</v>
      </c>
      <c r="BS700" s="48">
        <f>$G700/5280*VLOOKUP($AC700,'Cost and Score'!$B$27:$O$40,14,0)</f>
        <v>0</v>
      </c>
      <c r="BT700" s="220">
        <f t="shared" si="341"/>
        <v>8.693181818181818E-2</v>
      </c>
    </row>
    <row r="701" spans="1:103" s="2" customFormat="1" ht="14.45" hidden="1" customHeight="1" x14ac:dyDescent="0.25">
      <c r="A701" s="31" t="s">
        <v>2102</v>
      </c>
      <c r="B701" s="225" t="s">
        <v>2335</v>
      </c>
      <c r="C701" s="26" t="s">
        <v>2335</v>
      </c>
      <c r="D701" s="36" t="s">
        <v>2226</v>
      </c>
      <c r="E701" s="26" t="s">
        <v>138</v>
      </c>
      <c r="F701" s="26" t="s">
        <v>119</v>
      </c>
      <c r="G701" s="29">
        <v>88.69</v>
      </c>
      <c r="H701" s="29"/>
      <c r="I701" s="26" t="s">
        <v>2098</v>
      </c>
      <c r="J701" s="26" t="s">
        <v>125</v>
      </c>
      <c r="K701" s="26">
        <f t="shared" si="368"/>
        <v>0</v>
      </c>
      <c r="L701" s="42"/>
      <c r="M701" s="42">
        <v>7</v>
      </c>
      <c r="N701" s="42">
        <v>7</v>
      </c>
      <c r="O701" s="42">
        <v>7</v>
      </c>
      <c r="P701" s="42">
        <v>7</v>
      </c>
      <c r="Q701" s="42">
        <v>7</v>
      </c>
      <c r="R701" s="42">
        <v>5</v>
      </c>
      <c r="S701" s="42">
        <v>7</v>
      </c>
      <c r="T701" s="42">
        <v>7</v>
      </c>
      <c r="U701" s="42">
        <v>7</v>
      </c>
      <c r="V701" s="42"/>
      <c r="W701" s="42"/>
      <c r="X701" s="42"/>
      <c r="Y701" s="26">
        <v>50</v>
      </c>
      <c r="Z701" s="26">
        <f t="shared" si="361"/>
        <v>0</v>
      </c>
      <c r="AA701" s="26" t="s">
        <v>2335</v>
      </c>
      <c r="AB701" s="111">
        <f t="shared" si="356"/>
        <v>3</v>
      </c>
      <c r="AC701" s="85" t="s">
        <v>2425</v>
      </c>
      <c r="AD701" s="47">
        <f t="shared" ref="AD701:AD764" si="369">VLOOKUP(AC701,Cost,2,FALSE)*G701/5280</f>
        <v>419.93371212121212</v>
      </c>
      <c r="AE701" s="140"/>
      <c r="AF701" s="113">
        <f t="shared" si="354"/>
        <v>0</v>
      </c>
      <c r="AG701" s="85">
        <v>2026</v>
      </c>
      <c r="AH701" s="26" t="str">
        <f t="shared" si="344"/>
        <v/>
      </c>
      <c r="AI701" s="26" t="str">
        <f t="shared" si="360"/>
        <v/>
      </c>
      <c r="AJ701" s="26" t="str">
        <f t="shared" si="365"/>
        <v/>
      </c>
      <c r="AK701" s="26" t="str">
        <f t="shared" si="367"/>
        <v/>
      </c>
      <c r="AL701" s="26" t="str">
        <f t="shared" si="367"/>
        <v>Liquid Road</v>
      </c>
      <c r="AM701" s="26" t="str">
        <f t="shared" si="367"/>
        <v/>
      </c>
      <c r="AN701" s="26" t="str">
        <f t="shared" si="353"/>
        <v>Liquid Road</v>
      </c>
      <c r="AO701" s="26" t="str">
        <f t="shared" si="366"/>
        <v/>
      </c>
      <c r="AP701" s="26" t="str">
        <f t="shared" si="363"/>
        <v/>
      </c>
      <c r="AQ701" s="68">
        <f t="shared" si="357"/>
        <v>10</v>
      </c>
      <c r="AR701" s="68">
        <f t="shared" si="358"/>
        <v>10</v>
      </c>
      <c r="AS701" s="68">
        <f t="shared" si="347"/>
        <v>0</v>
      </c>
      <c r="AT701" s="68">
        <f t="shared" si="348"/>
        <v>1.05</v>
      </c>
      <c r="AU701" s="68">
        <f t="shared" si="349"/>
        <v>1.05</v>
      </c>
      <c r="AV701" s="68">
        <f t="shared" si="350"/>
        <v>1.05</v>
      </c>
      <c r="AW701" s="68">
        <f t="shared" si="351"/>
        <v>1.05</v>
      </c>
      <c r="AX701" s="68">
        <f t="shared" ca="1" si="352"/>
        <v>2.1</v>
      </c>
      <c r="AY701" s="68">
        <v>2016</v>
      </c>
      <c r="AZ701" s="68" t="s">
        <v>2075</v>
      </c>
      <c r="BA701" s="106" t="str">
        <f t="shared" si="340"/>
        <v/>
      </c>
      <c r="BB701" s="178"/>
      <c r="BC701" s="178"/>
      <c r="BD701" s="178">
        <v>1</v>
      </c>
      <c r="BE701" s="178"/>
      <c r="BF701" s="178"/>
      <c r="BG701" s="178"/>
      <c r="BH701" s="178"/>
      <c r="BI701" s="43"/>
      <c r="BJ701" s="26"/>
      <c r="BK701" s="48">
        <f>$G701/5280*VLOOKUP($AC701,'Cost and Score'!$B$27:$O$40,6,0)</f>
        <v>1.6797348484848484E-2</v>
      </c>
      <c r="BL701" s="48">
        <f>$G701/5280*VLOOKUP($AC701,'Cost and Score'!$B$27:$O$40,7,0)</f>
        <v>0.26875757575757575</v>
      </c>
      <c r="BM701" s="48">
        <f>$G701/5280*VLOOKUP($AC701,'Cost and Score'!$B$27:$O$40,8,0)</f>
        <v>0</v>
      </c>
      <c r="BN701" s="48">
        <f>$G701/5280*VLOOKUP($AC701,'Cost and Score'!$B$27:$O$40,9,0)</f>
        <v>0</v>
      </c>
      <c r="BO701" s="48">
        <f>$G701/5280*VLOOKUP($AC701,'Cost and Score'!$B$27:$O$40,10,0)</f>
        <v>0</v>
      </c>
      <c r="BP701" s="48">
        <f>$G701/5280*VLOOKUP($AC701,'Cost and Score'!$B$27:$O$40,11,0)</f>
        <v>0</v>
      </c>
      <c r="BQ701" s="48">
        <f>$G701/5280*VLOOKUP($AC701,'Cost and Score'!$B$27:$O$40,12,0)</f>
        <v>0</v>
      </c>
      <c r="BR701" s="48">
        <f>$G701/5280*VLOOKUP($AC701,'Cost and Score'!$B$27:$O$40,13,0)</f>
        <v>0</v>
      </c>
      <c r="BS701" s="48">
        <f>$G701/5280*VLOOKUP($AC701,'Cost and Score'!$B$27:$O$40,14,0)</f>
        <v>0</v>
      </c>
      <c r="BT701" s="220">
        <f t="shared" si="341"/>
        <v>1.6797348484848484E-2</v>
      </c>
    </row>
    <row r="702" spans="1:103" s="2" customFormat="1" ht="14.45" hidden="1" customHeight="1" x14ac:dyDescent="0.25">
      <c r="A702" s="31" t="s">
        <v>2102</v>
      </c>
      <c r="B702" s="224" t="s">
        <v>1450</v>
      </c>
      <c r="C702" s="26" t="s">
        <v>1450</v>
      </c>
      <c r="D702" s="119" t="s">
        <v>2279</v>
      </c>
      <c r="E702" s="82" t="s">
        <v>1451</v>
      </c>
      <c r="F702" s="82" t="s">
        <v>1452</v>
      </c>
      <c r="G702" s="29">
        <v>1162</v>
      </c>
      <c r="H702" s="29">
        <f t="shared" ref="H702:H720" si="370">IF(I702="NC",26,20)</f>
        <v>26</v>
      </c>
      <c r="I702" s="26" t="s">
        <v>2098</v>
      </c>
      <c r="J702" s="26" t="s">
        <v>160</v>
      </c>
      <c r="K702" s="26">
        <f t="shared" si="368"/>
        <v>0</v>
      </c>
      <c r="L702" s="42">
        <v>6</v>
      </c>
      <c r="M702" s="42">
        <v>7</v>
      </c>
      <c r="N702" s="42">
        <v>10</v>
      </c>
      <c r="O702" s="83">
        <v>9</v>
      </c>
      <c r="P702" s="83">
        <v>8</v>
      </c>
      <c r="Q702" s="83">
        <v>7</v>
      </c>
      <c r="R702" s="83">
        <v>7</v>
      </c>
      <c r="S702" s="83">
        <v>8</v>
      </c>
      <c r="T702" s="83">
        <v>7</v>
      </c>
      <c r="U702" s="83">
        <v>6</v>
      </c>
      <c r="V702" s="42"/>
      <c r="W702" s="42"/>
      <c r="X702" s="42"/>
      <c r="Y702" s="26">
        <v>139</v>
      </c>
      <c r="Z702" s="26">
        <f t="shared" si="361"/>
        <v>0</v>
      </c>
      <c r="AA702" s="82" t="s">
        <v>1450</v>
      </c>
      <c r="AB702" s="111">
        <f t="shared" si="356"/>
        <v>2</v>
      </c>
      <c r="AC702" s="85" t="s">
        <v>2489</v>
      </c>
      <c r="AD702" s="84">
        <f t="shared" si="369"/>
        <v>5501.893939393939</v>
      </c>
      <c r="AE702" s="140"/>
      <c r="AF702" s="113">
        <f t="shared" si="354"/>
        <v>0</v>
      </c>
      <c r="AG702" s="85">
        <v>2026</v>
      </c>
      <c r="AH702" s="26" t="str">
        <f t="shared" si="344"/>
        <v/>
      </c>
      <c r="AI702" s="26" t="str">
        <f t="shared" si="360"/>
        <v/>
      </c>
      <c r="AJ702" s="26" t="str">
        <f t="shared" si="365"/>
        <v/>
      </c>
      <c r="AK702" s="26" t="str">
        <f t="shared" si="367"/>
        <v/>
      </c>
      <c r="AL702" s="26" t="str">
        <f t="shared" si="367"/>
        <v>Liquid Road</v>
      </c>
      <c r="AM702" s="26" t="str">
        <f t="shared" si="367"/>
        <v/>
      </c>
      <c r="AN702" s="26" t="str">
        <f t="shared" si="353"/>
        <v>Liquid Road</v>
      </c>
      <c r="AO702" s="26" t="str">
        <f t="shared" si="366"/>
        <v/>
      </c>
      <c r="AP702" s="26" t="str">
        <f t="shared" si="363"/>
        <v/>
      </c>
      <c r="AQ702" s="68">
        <f t="shared" si="357"/>
        <v>14</v>
      </c>
      <c r="AR702" s="68">
        <f t="shared" si="358"/>
        <v>10</v>
      </c>
      <c r="AS702" s="68">
        <f t="shared" si="347"/>
        <v>1.1000000000000001</v>
      </c>
      <c r="AT702" s="68">
        <f t="shared" si="348"/>
        <v>1.05</v>
      </c>
      <c r="AU702" s="68">
        <f t="shared" si="349"/>
        <v>1</v>
      </c>
      <c r="AV702" s="68">
        <f t="shared" si="350"/>
        <v>1</v>
      </c>
      <c r="AW702" s="68">
        <f t="shared" si="351"/>
        <v>1</v>
      </c>
      <c r="AX702" s="68">
        <f t="shared" ca="1" si="352"/>
        <v>2</v>
      </c>
      <c r="AY702" s="68">
        <v>2015</v>
      </c>
      <c r="AZ702" s="68" t="s">
        <v>751</v>
      </c>
      <c r="BA702" s="106" t="str">
        <f t="shared" si="340"/>
        <v/>
      </c>
      <c r="BB702" s="178"/>
      <c r="BC702" s="178"/>
      <c r="BD702" s="178"/>
      <c r="BE702" s="178"/>
      <c r="BF702" s="178"/>
      <c r="BG702" s="178">
        <v>4</v>
      </c>
      <c r="BH702" s="178"/>
      <c r="BI702" s="33"/>
      <c r="BK702" s="48">
        <f>$G702/5280*VLOOKUP($AC702,'Cost and Score'!$B$27:$O$40,6,0)</f>
        <v>0.22007575757575756</v>
      </c>
      <c r="BL702" s="48">
        <f>$G702/5280*VLOOKUP($AC702,'Cost and Score'!$B$27:$O$40,7,0)</f>
        <v>3.521212121212121</v>
      </c>
      <c r="BM702" s="48">
        <f>$G702/5280*VLOOKUP($AC702,'Cost and Score'!$B$27:$O$40,8,0)</f>
        <v>0</v>
      </c>
      <c r="BN702" s="48">
        <f>$G702/5280*VLOOKUP($AC702,'Cost and Score'!$B$27:$O$40,9,0)</f>
        <v>0</v>
      </c>
      <c r="BO702" s="48">
        <f>$G702/5280*VLOOKUP($AC702,'Cost and Score'!$B$27:$O$40,10,0)</f>
        <v>0</v>
      </c>
      <c r="BP702" s="48">
        <f>$G702/5280*VLOOKUP($AC702,'Cost and Score'!$B$27:$O$40,11,0)</f>
        <v>0</v>
      </c>
      <c r="BQ702" s="48">
        <f>$G702/5280*VLOOKUP($AC702,'Cost and Score'!$B$27:$O$40,12,0)</f>
        <v>0</v>
      </c>
      <c r="BR702" s="48">
        <f>$G702/5280*VLOOKUP($AC702,'Cost and Score'!$B$27:$O$40,13,0)</f>
        <v>0</v>
      </c>
      <c r="BS702" s="48">
        <f>$G702/5280*VLOOKUP($AC702,'Cost and Score'!$B$27:$O$40,14,0)</f>
        <v>0</v>
      </c>
      <c r="BT702" s="220">
        <f t="shared" si="341"/>
        <v>0.22007575757575756</v>
      </c>
    </row>
    <row r="703" spans="1:103" s="2" customFormat="1" ht="14.45" customHeight="1" x14ac:dyDescent="0.25">
      <c r="A703" s="31" t="s">
        <v>2102</v>
      </c>
      <c r="B703" s="120" t="s">
        <v>2046</v>
      </c>
      <c r="C703" s="106" t="s">
        <v>2046</v>
      </c>
      <c r="D703" s="116" t="s">
        <v>2308</v>
      </c>
      <c r="E703" s="106" t="s">
        <v>1619</v>
      </c>
      <c r="F703" s="106" t="s">
        <v>1502</v>
      </c>
      <c r="G703" s="150">
        <v>686</v>
      </c>
      <c r="H703" s="109">
        <f t="shared" si="370"/>
        <v>26</v>
      </c>
      <c r="I703" s="106" t="s">
        <v>2098</v>
      </c>
      <c r="J703" s="106" t="s">
        <v>160</v>
      </c>
      <c r="K703" s="106">
        <f t="shared" si="368"/>
        <v>0</v>
      </c>
      <c r="L703" s="110">
        <v>8</v>
      </c>
      <c r="M703" s="110">
        <v>8</v>
      </c>
      <c r="N703" s="110">
        <v>8</v>
      </c>
      <c r="O703" s="110">
        <v>8</v>
      </c>
      <c r="P703" s="110">
        <v>8</v>
      </c>
      <c r="Q703" s="110">
        <v>7</v>
      </c>
      <c r="R703" s="110">
        <v>7</v>
      </c>
      <c r="S703" s="110">
        <v>7</v>
      </c>
      <c r="T703" s="110">
        <v>7</v>
      </c>
      <c r="U703" s="110">
        <v>7</v>
      </c>
      <c r="V703" s="110"/>
      <c r="W703" s="110"/>
      <c r="X703" s="110"/>
      <c r="Y703" s="106">
        <v>2144</v>
      </c>
      <c r="Z703" s="106">
        <f t="shared" si="361"/>
        <v>1</v>
      </c>
      <c r="AA703" s="106" t="s">
        <v>2046</v>
      </c>
      <c r="AB703" s="111">
        <f t="shared" si="356"/>
        <v>3</v>
      </c>
      <c r="AC703" s="106" t="s">
        <v>2086</v>
      </c>
      <c r="AD703" s="107">
        <f t="shared" si="369"/>
        <v>324.81060606060606</v>
      </c>
      <c r="AE703" s="198"/>
      <c r="AF703" s="113">
        <f t="shared" si="354"/>
        <v>0</v>
      </c>
      <c r="AG703" s="106">
        <v>2025</v>
      </c>
      <c r="AH703" s="26" t="str">
        <f t="shared" si="344"/>
        <v/>
      </c>
      <c r="AI703" s="26" t="str">
        <f t="shared" si="360"/>
        <v/>
      </c>
      <c r="AJ703" s="26" t="str">
        <f t="shared" si="365"/>
        <v/>
      </c>
      <c r="AK703" s="26" t="str">
        <f t="shared" si="367"/>
        <v>Fog Seal</v>
      </c>
      <c r="AL703" s="26" t="str">
        <f t="shared" si="367"/>
        <v/>
      </c>
      <c r="AM703" s="26" t="str">
        <f t="shared" si="367"/>
        <v/>
      </c>
      <c r="AN703" s="26" t="str">
        <f t="shared" si="353"/>
        <v>Fog Seal</v>
      </c>
      <c r="AO703" s="26" t="str">
        <f t="shared" si="366"/>
        <v/>
      </c>
      <c r="AP703" s="26" t="str">
        <f t="shared" si="363"/>
        <v/>
      </c>
      <c r="AQ703" s="68">
        <f t="shared" si="357"/>
        <v>12</v>
      </c>
      <c r="AR703" s="68">
        <f t="shared" si="358"/>
        <v>2</v>
      </c>
      <c r="AS703" s="68">
        <f t="shared" si="347"/>
        <v>1</v>
      </c>
      <c r="AT703" s="68">
        <f t="shared" si="348"/>
        <v>1</v>
      </c>
      <c r="AU703" s="68">
        <f t="shared" si="349"/>
        <v>1</v>
      </c>
      <c r="AV703" s="68">
        <f t="shared" si="350"/>
        <v>1</v>
      </c>
      <c r="AW703" s="68">
        <f t="shared" si="351"/>
        <v>1</v>
      </c>
      <c r="AX703" s="68">
        <f t="shared" ca="1" si="352"/>
        <v>1</v>
      </c>
      <c r="AY703" s="106">
        <v>2019</v>
      </c>
      <c r="AZ703" s="106" t="s">
        <v>2425</v>
      </c>
      <c r="BA703" s="106" t="str">
        <f t="shared" si="340"/>
        <v/>
      </c>
      <c r="BB703" s="177"/>
      <c r="BC703" s="110"/>
      <c r="BD703" s="110"/>
      <c r="BE703" s="110"/>
      <c r="BF703" s="110"/>
      <c r="BG703" s="110"/>
      <c r="BH703" s="110"/>
      <c r="BI703" s="33"/>
      <c r="BK703" s="48">
        <f>$G703/5280*VLOOKUP($AC703,'Cost and Score'!$B$27:$O$40,6,0)</f>
        <v>1.2992424242424243E-2</v>
      </c>
      <c r="BL703" s="48">
        <f>$G703/5280*VLOOKUP($AC703,'Cost and Score'!$B$27:$O$40,7,0)</f>
        <v>2.5984848484848486E-2</v>
      </c>
      <c r="BM703" s="48">
        <f>$G703/5280*VLOOKUP($AC703,'Cost and Score'!$B$27:$O$40,8,0)</f>
        <v>0</v>
      </c>
      <c r="BN703" s="48">
        <f>$G703/5280*VLOOKUP($AC703,'Cost and Score'!$B$27:$O$40,9,0)</f>
        <v>0</v>
      </c>
      <c r="BO703" s="48">
        <f>$G703/5280*VLOOKUP($AC703,'Cost and Score'!$B$27:$O$40,10,0)</f>
        <v>129.92424242424241</v>
      </c>
      <c r="BP703" s="48">
        <f>$G703/5280*VLOOKUP($AC703,'Cost and Score'!$B$27:$O$40,11,0)</f>
        <v>0</v>
      </c>
      <c r="BQ703" s="48">
        <f>$G703/5280*VLOOKUP($AC703,'Cost and Score'!$B$27:$O$40,12,0)</f>
        <v>0</v>
      </c>
      <c r="BR703" s="48">
        <f>$G703/5280*VLOOKUP($AC703,'Cost and Score'!$B$27:$O$40,13,0)</f>
        <v>0</v>
      </c>
      <c r="BS703" s="48">
        <f>$G703/5280*VLOOKUP($AC703,'Cost and Score'!$B$27:$O$40,14,0)</f>
        <v>0</v>
      </c>
      <c r="BT703" s="220">
        <f t="shared" si="341"/>
        <v>0.12992424242424241</v>
      </c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</row>
    <row r="704" spans="1:103" s="2" customFormat="1" ht="14.45" hidden="1" customHeight="1" x14ac:dyDescent="0.25">
      <c r="A704" s="31" t="s">
        <v>2102</v>
      </c>
      <c r="B704" s="224" t="s">
        <v>1454</v>
      </c>
      <c r="C704" s="26" t="s">
        <v>1454</v>
      </c>
      <c r="D704" s="36" t="s">
        <v>2279</v>
      </c>
      <c r="E704" s="26" t="s">
        <v>1451</v>
      </c>
      <c r="F704" s="26" t="s">
        <v>1452</v>
      </c>
      <c r="G704" s="29">
        <v>2746</v>
      </c>
      <c r="H704" s="29">
        <f t="shared" si="370"/>
        <v>26</v>
      </c>
      <c r="I704" s="26" t="s">
        <v>2098</v>
      </c>
      <c r="J704" s="26" t="s">
        <v>160</v>
      </c>
      <c r="K704" s="26">
        <f t="shared" si="368"/>
        <v>0</v>
      </c>
      <c r="L704" s="42">
        <v>7</v>
      </c>
      <c r="M704" s="42">
        <v>7</v>
      </c>
      <c r="N704" s="42">
        <v>10</v>
      </c>
      <c r="O704" s="42">
        <v>9</v>
      </c>
      <c r="P704" s="42">
        <v>8</v>
      </c>
      <c r="Q704" s="42">
        <v>7</v>
      </c>
      <c r="R704" s="42">
        <v>7</v>
      </c>
      <c r="S704" s="42">
        <v>8</v>
      </c>
      <c r="T704" s="42">
        <v>7</v>
      </c>
      <c r="U704" s="42">
        <v>6</v>
      </c>
      <c r="V704" s="42"/>
      <c r="W704" s="42"/>
      <c r="X704" s="42"/>
      <c r="Y704" s="26">
        <v>410</v>
      </c>
      <c r="Z704" s="26">
        <f t="shared" si="361"/>
        <v>0</v>
      </c>
      <c r="AA704" s="26" t="s">
        <v>1454</v>
      </c>
      <c r="AB704" s="111">
        <f t="shared" si="356"/>
        <v>2</v>
      </c>
      <c r="AC704" s="85" t="s">
        <v>2489</v>
      </c>
      <c r="AD704" s="47">
        <f t="shared" si="369"/>
        <v>13001.89393939394</v>
      </c>
      <c r="AE704" s="140"/>
      <c r="AF704" s="113">
        <f t="shared" si="354"/>
        <v>0</v>
      </c>
      <c r="AG704" s="85">
        <v>2026</v>
      </c>
      <c r="AH704" s="26" t="str">
        <f t="shared" si="344"/>
        <v/>
      </c>
      <c r="AI704" s="26" t="str">
        <f t="shared" si="360"/>
        <v/>
      </c>
      <c r="AJ704" s="26" t="str">
        <f t="shared" si="365"/>
        <v/>
      </c>
      <c r="AK704" s="26" t="str">
        <f t="shared" si="367"/>
        <v/>
      </c>
      <c r="AL704" s="26" t="str">
        <f t="shared" si="367"/>
        <v>Liquid Road</v>
      </c>
      <c r="AM704" s="26" t="str">
        <f t="shared" si="367"/>
        <v/>
      </c>
      <c r="AN704" s="26" t="str">
        <f t="shared" si="353"/>
        <v>Liquid Road</v>
      </c>
      <c r="AO704" s="26" t="str">
        <f t="shared" si="366"/>
        <v/>
      </c>
      <c r="AP704" s="26" t="str">
        <f t="shared" si="363"/>
        <v/>
      </c>
      <c r="AQ704" s="68">
        <f t="shared" si="357"/>
        <v>14</v>
      </c>
      <c r="AR704" s="68">
        <f t="shared" si="358"/>
        <v>10</v>
      </c>
      <c r="AS704" s="68">
        <f t="shared" si="347"/>
        <v>1.05</v>
      </c>
      <c r="AT704" s="68">
        <f t="shared" si="348"/>
        <v>1.05</v>
      </c>
      <c r="AU704" s="68">
        <f t="shared" si="349"/>
        <v>1</v>
      </c>
      <c r="AV704" s="68">
        <f t="shared" si="350"/>
        <v>1</v>
      </c>
      <c r="AW704" s="68">
        <f t="shared" si="351"/>
        <v>1</v>
      </c>
      <c r="AX704" s="68">
        <f t="shared" ca="1" si="352"/>
        <v>2</v>
      </c>
      <c r="AY704" s="68">
        <v>2016</v>
      </c>
      <c r="AZ704" s="68" t="s">
        <v>2371</v>
      </c>
      <c r="BA704" s="106" t="str">
        <f t="shared" si="340"/>
        <v/>
      </c>
      <c r="BB704" s="178"/>
      <c r="BC704" s="178"/>
      <c r="BD704" s="178"/>
      <c r="BE704" s="178"/>
      <c r="BF704" s="178"/>
      <c r="BG704" s="178">
        <v>4</v>
      </c>
      <c r="BH704" s="178"/>
      <c r="BI704" s="33"/>
      <c r="BK704" s="48">
        <f>$G704/5280*VLOOKUP($AC704,'Cost and Score'!$B$27:$O$40,6,0)</f>
        <v>0.52007575757575752</v>
      </c>
      <c r="BL704" s="48">
        <f>$G704/5280*VLOOKUP($AC704,'Cost and Score'!$B$27:$O$40,7,0)</f>
        <v>8.3212121212121204</v>
      </c>
      <c r="BM704" s="48">
        <f>$G704/5280*VLOOKUP($AC704,'Cost and Score'!$B$27:$O$40,8,0)</f>
        <v>0</v>
      </c>
      <c r="BN704" s="48">
        <f>$G704/5280*VLOOKUP($AC704,'Cost and Score'!$B$27:$O$40,9,0)</f>
        <v>0</v>
      </c>
      <c r="BO704" s="48">
        <f>$G704/5280*VLOOKUP($AC704,'Cost and Score'!$B$27:$O$40,10,0)</f>
        <v>0</v>
      </c>
      <c r="BP704" s="48">
        <f>$G704/5280*VLOOKUP($AC704,'Cost and Score'!$B$27:$O$40,11,0)</f>
        <v>0</v>
      </c>
      <c r="BQ704" s="48">
        <f>$G704/5280*VLOOKUP($AC704,'Cost and Score'!$B$27:$O$40,12,0)</f>
        <v>0</v>
      </c>
      <c r="BR704" s="48">
        <f>$G704/5280*VLOOKUP($AC704,'Cost and Score'!$B$27:$O$40,13,0)</f>
        <v>0</v>
      </c>
      <c r="BS704" s="48">
        <f>$G704/5280*VLOOKUP($AC704,'Cost and Score'!$B$27:$O$40,14,0)</f>
        <v>0</v>
      </c>
      <c r="BT704" s="220">
        <f t="shared" si="341"/>
        <v>0.52007575757575752</v>
      </c>
    </row>
    <row r="705" spans="1:103" s="2" customFormat="1" ht="14.45" hidden="1" customHeight="1" x14ac:dyDescent="0.25">
      <c r="A705" s="31" t="s">
        <v>2102</v>
      </c>
      <c r="B705" s="226" t="s">
        <v>2424</v>
      </c>
      <c r="C705" s="106" t="s">
        <v>1455</v>
      </c>
      <c r="D705" s="116" t="s">
        <v>2229</v>
      </c>
      <c r="E705" s="106" t="s">
        <v>1456</v>
      </c>
      <c r="F705" s="106" t="s">
        <v>1452</v>
      </c>
      <c r="G705" s="109">
        <v>280</v>
      </c>
      <c r="H705" s="109">
        <f t="shared" si="370"/>
        <v>26</v>
      </c>
      <c r="I705" s="106" t="s">
        <v>2098</v>
      </c>
      <c r="J705" s="106" t="s">
        <v>160</v>
      </c>
      <c r="K705" s="106">
        <f t="shared" si="368"/>
        <v>0</v>
      </c>
      <c r="L705" s="110">
        <v>8</v>
      </c>
      <c r="M705" s="110">
        <v>8</v>
      </c>
      <c r="N705" s="110">
        <v>8</v>
      </c>
      <c r="O705" s="110">
        <v>8</v>
      </c>
      <c r="P705" s="110">
        <v>8</v>
      </c>
      <c r="Q705" s="110">
        <v>7</v>
      </c>
      <c r="R705" s="110">
        <v>7</v>
      </c>
      <c r="S705" s="110">
        <v>7</v>
      </c>
      <c r="T705" s="110">
        <v>7</v>
      </c>
      <c r="U705" s="110">
        <v>7</v>
      </c>
      <c r="V705" s="110"/>
      <c r="W705" s="110"/>
      <c r="X705" s="110"/>
      <c r="Y705" s="106">
        <v>50</v>
      </c>
      <c r="Z705" s="106">
        <f t="shared" si="361"/>
        <v>0</v>
      </c>
      <c r="AA705" s="106" t="s">
        <v>1455</v>
      </c>
      <c r="AB705" s="111">
        <f t="shared" si="356"/>
        <v>2</v>
      </c>
      <c r="AC705" s="85" t="s">
        <v>2425</v>
      </c>
      <c r="AD705" s="107">
        <f t="shared" si="369"/>
        <v>1325.7575757575758</v>
      </c>
      <c r="AE705" s="198"/>
      <c r="AF705" s="113">
        <f t="shared" si="354"/>
        <v>0</v>
      </c>
      <c r="AG705" s="85">
        <v>2026</v>
      </c>
      <c r="AH705" s="26" t="str">
        <f t="shared" si="344"/>
        <v/>
      </c>
      <c r="AI705" s="26" t="str">
        <f t="shared" si="360"/>
        <v/>
      </c>
      <c r="AJ705" s="26" t="str">
        <f t="shared" si="365"/>
        <v/>
      </c>
      <c r="AK705" s="26" t="str">
        <f t="shared" si="367"/>
        <v/>
      </c>
      <c r="AL705" s="26" t="str">
        <f t="shared" si="367"/>
        <v>Liquid Road</v>
      </c>
      <c r="AM705" s="26" t="str">
        <f t="shared" si="367"/>
        <v/>
      </c>
      <c r="AN705" s="26" t="str">
        <f t="shared" si="353"/>
        <v>Liquid Road</v>
      </c>
      <c r="AO705" s="26" t="str">
        <f t="shared" si="366"/>
        <v/>
      </c>
      <c r="AP705" s="26" t="str">
        <f t="shared" si="363"/>
        <v/>
      </c>
      <c r="AQ705" s="68">
        <f t="shared" si="357"/>
        <v>12</v>
      </c>
      <c r="AR705" s="68">
        <f t="shared" si="358"/>
        <v>10</v>
      </c>
      <c r="AS705" s="68">
        <f t="shared" si="347"/>
        <v>1</v>
      </c>
      <c r="AT705" s="68">
        <f t="shared" si="348"/>
        <v>1</v>
      </c>
      <c r="AU705" s="68">
        <f t="shared" si="349"/>
        <v>1</v>
      </c>
      <c r="AV705" s="68">
        <f t="shared" si="350"/>
        <v>1</v>
      </c>
      <c r="AW705" s="68">
        <f t="shared" si="351"/>
        <v>1</v>
      </c>
      <c r="AX705" s="68">
        <f t="shared" ca="1" si="352"/>
        <v>2</v>
      </c>
      <c r="AY705" s="106">
        <v>2017</v>
      </c>
      <c r="AZ705" s="106" t="s">
        <v>2075</v>
      </c>
      <c r="BA705" s="106" t="str">
        <f t="shared" si="340"/>
        <v/>
      </c>
      <c r="BB705" s="177"/>
      <c r="BC705" s="177"/>
      <c r="BD705" s="177">
        <v>1</v>
      </c>
      <c r="BE705" s="177"/>
      <c r="BF705" s="177"/>
      <c r="BG705" s="177"/>
      <c r="BH705" s="177"/>
      <c r="BI705" s="33"/>
      <c r="BK705" s="48">
        <f>$G705/5280*VLOOKUP($AC705,'Cost and Score'!$B$27:$O$40,6,0)</f>
        <v>5.3030303030303032E-2</v>
      </c>
      <c r="BL705" s="48">
        <f>$G705/5280*VLOOKUP($AC705,'Cost and Score'!$B$27:$O$40,7,0)</f>
        <v>0.84848484848484851</v>
      </c>
      <c r="BM705" s="48">
        <f>$G705/5280*VLOOKUP($AC705,'Cost and Score'!$B$27:$O$40,8,0)</f>
        <v>0</v>
      </c>
      <c r="BN705" s="48">
        <f>$G705/5280*VLOOKUP($AC705,'Cost and Score'!$B$27:$O$40,9,0)</f>
        <v>0</v>
      </c>
      <c r="BO705" s="48">
        <f>$G705/5280*VLOOKUP($AC705,'Cost and Score'!$B$27:$O$40,10,0)</f>
        <v>0</v>
      </c>
      <c r="BP705" s="48">
        <f>$G705/5280*VLOOKUP($AC705,'Cost and Score'!$B$27:$O$40,11,0)</f>
        <v>0</v>
      </c>
      <c r="BQ705" s="48">
        <f>$G705/5280*VLOOKUP($AC705,'Cost and Score'!$B$27:$O$40,12,0)</f>
        <v>0</v>
      </c>
      <c r="BR705" s="48">
        <f>$G705/5280*VLOOKUP($AC705,'Cost and Score'!$B$27:$O$40,13,0)</f>
        <v>0</v>
      </c>
      <c r="BS705" s="48">
        <f>$G705/5280*VLOOKUP($AC705,'Cost and Score'!$B$27:$O$40,14,0)</f>
        <v>0</v>
      </c>
      <c r="BT705" s="220">
        <f t="shared" si="341"/>
        <v>5.3030303030303032E-2</v>
      </c>
      <c r="CF705" s="112"/>
      <c r="CR705" s="112"/>
    </row>
    <row r="706" spans="1:103" s="112" customFormat="1" ht="14.45" hidden="1" customHeight="1" x14ac:dyDescent="0.25">
      <c r="A706" s="31"/>
      <c r="B706" s="34" t="s">
        <v>2103</v>
      </c>
      <c r="C706" s="26" t="s">
        <v>2103</v>
      </c>
      <c r="D706" s="26"/>
      <c r="E706" s="26" t="s">
        <v>1505</v>
      </c>
      <c r="F706" s="26" t="s">
        <v>1706</v>
      </c>
      <c r="G706" s="29">
        <v>2420</v>
      </c>
      <c r="H706" s="29">
        <f t="shared" si="370"/>
        <v>20</v>
      </c>
      <c r="I706" s="26" t="s">
        <v>8</v>
      </c>
      <c r="J706" s="26" t="s">
        <v>101</v>
      </c>
      <c r="K706" s="26">
        <v>0</v>
      </c>
      <c r="L706" s="42"/>
      <c r="M706" s="42"/>
      <c r="N706" s="42"/>
      <c r="O706" s="42"/>
      <c r="P706" s="42"/>
      <c r="Q706" s="42">
        <v>6</v>
      </c>
      <c r="R706" s="42"/>
      <c r="S706" s="42" t="s">
        <v>2614</v>
      </c>
      <c r="T706" s="42"/>
      <c r="U706" s="42"/>
      <c r="V706" s="42"/>
      <c r="W706" s="42"/>
      <c r="X706" s="42"/>
      <c r="Y706" s="26">
        <v>50</v>
      </c>
      <c r="Z706" s="26">
        <f t="shared" ref="Z706:Z737" si="371">VLOOKUP(Y706,AADT,2)</f>
        <v>0</v>
      </c>
      <c r="AA706" s="26" t="s">
        <v>2103</v>
      </c>
      <c r="AB706" s="111">
        <f t="shared" si="356"/>
        <v>10</v>
      </c>
      <c r="AC706" s="26" t="s">
        <v>751</v>
      </c>
      <c r="AD706" s="47">
        <f t="shared" si="369"/>
        <v>50416.666666666664</v>
      </c>
      <c r="AE706" s="140"/>
      <c r="AF706" s="113">
        <f t="shared" si="354"/>
        <v>0</v>
      </c>
      <c r="AG706" s="26"/>
      <c r="AH706" s="26" t="str">
        <f t="shared" si="344"/>
        <v/>
      </c>
      <c r="AI706" s="26" t="str">
        <f t="shared" si="360"/>
        <v/>
      </c>
      <c r="AJ706" s="26" t="str">
        <f t="shared" si="365"/>
        <v/>
      </c>
      <c r="AK706" s="26" t="str">
        <f t="shared" si="367"/>
        <v/>
      </c>
      <c r="AL706" s="26" t="str">
        <f t="shared" si="367"/>
        <v/>
      </c>
      <c r="AM706" s="26" t="str">
        <f t="shared" si="367"/>
        <v/>
      </c>
      <c r="AN706" s="26" t="str">
        <f t="shared" si="353"/>
        <v>Overlay - 2"</v>
      </c>
      <c r="AO706" s="26" t="str">
        <f t="shared" si="366"/>
        <v/>
      </c>
      <c r="AP706" s="26" t="str">
        <f t="shared" si="363"/>
        <v/>
      </c>
      <c r="AQ706" s="68" t="e">
        <f t="shared" si="357"/>
        <v>#N/A</v>
      </c>
      <c r="AR706" s="68">
        <f t="shared" si="358"/>
        <v>12</v>
      </c>
      <c r="AS706" s="68">
        <f t="shared" si="347"/>
        <v>0</v>
      </c>
      <c r="AT706" s="68">
        <f t="shared" si="348"/>
        <v>0</v>
      </c>
      <c r="AU706" s="68">
        <f t="shared" si="349"/>
        <v>0</v>
      </c>
      <c r="AV706" s="68">
        <f t="shared" si="350"/>
        <v>0</v>
      </c>
      <c r="AW706" s="68">
        <f t="shared" si="351"/>
        <v>0</v>
      </c>
      <c r="AX706" s="68">
        <f t="shared" ca="1" si="352"/>
        <v>0</v>
      </c>
      <c r="AY706" s="68"/>
      <c r="AZ706" s="68"/>
      <c r="BA706" s="106" t="str">
        <f t="shared" ref="BA706:BA769" si="372">IF(AY706=2018,AZ706,"")</f>
        <v/>
      </c>
      <c r="BB706" s="178"/>
      <c r="BC706" s="178"/>
      <c r="BD706" s="178"/>
      <c r="BE706" s="178"/>
      <c r="BF706" s="178"/>
      <c r="BG706" s="178"/>
      <c r="BH706" s="178"/>
      <c r="BI706" s="33"/>
      <c r="BJ706" s="2"/>
      <c r="BK706" s="48">
        <f>$G706/5280*VLOOKUP($AC706,'Cost and Score'!$B$27:$O$40,6,0)</f>
        <v>1.03125</v>
      </c>
      <c r="BL706" s="48">
        <f>$G706/5280*VLOOKUP($AC706,'Cost and Score'!$B$27:$O$40,7,0)</f>
        <v>96.25</v>
      </c>
      <c r="BM706" s="48">
        <f>$G706/5280*VLOOKUP($AC706,'Cost and Score'!$B$27:$O$40,8,0)</f>
        <v>160.41666666666666</v>
      </c>
      <c r="BN706" s="48">
        <f>$G706/5280*VLOOKUP($AC706,'Cost and Score'!$B$27:$O$40,9,0)</f>
        <v>0</v>
      </c>
      <c r="BO706" s="48">
        <f>$G706/5280*VLOOKUP($AC706,'Cost and Score'!$B$27:$O$40,10,0)</f>
        <v>0</v>
      </c>
      <c r="BP706" s="48">
        <f>$G706/5280*VLOOKUP($AC706,'Cost and Score'!$B$27:$O$40,11,0)</f>
        <v>91.666666666666657</v>
      </c>
      <c r="BQ706" s="48">
        <f>$G706/5280*VLOOKUP($AC706,'Cost and Score'!$B$27:$O$40,12,0)</f>
        <v>779.16666666666663</v>
      </c>
      <c r="BR706" s="48">
        <f>$G706/5280*VLOOKUP($AC706,'Cost and Score'!$B$27:$O$40,13,0)</f>
        <v>0</v>
      </c>
      <c r="BS706" s="48">
        <f>$G706/5280*VLOOKUP($AC706,'Cost and Score'!$B$27:$O$40,14,0)</f>
        <v>0</v>
      </c>
      <c r="BT706" s="220">
        <f t="shared" ref="BT706:BT769" si="373">G706/5280</f>
        <v>0.45833333333333331</v>
      </c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N706" s="2"/>
      <c r="CO706" s="2"/>
      <c r="CP706" s="2"/>
      <c r="CQ706" s="2"/>
      <c r="CR706" s="2"/>
      <c r="CV706" s="2"/>
    </row>
    <row r="707" spans="1:103" s="2" customFormat="1" ht="14.45" hidden="1" customHeight="1" x14ac:dyDescent="0.25">
      <c r="A707" s="31" t="s">
        <v>2102</v>
      </c>
      <c r="B707" s="120" t="s">
        <v>1457</v>
      </c>
      <c r="C707" s="106" t="s">
        <v>1457</v>
      </c>
      <c r="D707" s="116" t="s">
        <v>2231</v>
      </c>
      <c r="E707" s="106" t="s">
        <v>1458</v>
      </c>
      <c r="F707" s="106" t="s">
        <v>1459</v>
      </c>
      <c r="G707" s="109">
        <v>3053</v>
      </c>
      <c r="H707" s="109">
        <f t="shared" si="370"/>
        <v>26</v>
      </c>
      <c r="I707" s="106" t="s">
        <v>2098</v>
      </c>
      <c r="J707" s="106" t="s">
        <v>160</v>
      </c>
      <c r="K707" s="106">
        <f>VLOOKUP(J707,TOWNSHIPS,2,FALSE)</f>
        <v>0</v>
      </c>
      <c r="L707" s="110">
        <v>7</v>
      </c>
      <c r="M707" s="110">
        <v>8</v>
      </c>
      <c r="N707" s="110">
        <v>7</v>
      </c>
      <c r="O707" s="110">
        <v>7</v>
      </c>
      <c r="P707" s="110">
        <v>7</v>
      </c>
      <c r="Q707" s="110">
        <v>7</v>
      </c>
      <c r="R707" s="110">
        <v>7</v>
      </c>
      <c r="S707" s="110">
        <v>7</v>
      </c>
      <c r="T707" s="110">
        <v>7</v>
      </c>
      <c r="U707" s="110">
        <v>7</v>
      </c>
      <c r="V707" s="110"/>
      <c r="W707" s="110"/>
      <c r="X707" s="110"/>
      <c r="Y707" s="106">
        <v>433</v>
      </c>
      <c r="Z707" s="106">
        <f t="shared" si="371"/>
        <v>0</v>
      </c>
      <c r="AA707" s="106" t="s">
        <v>1457</v>
      </c>
      <c r="AB707" s="111">
        <f t="shared" si="356"/>
        <v>3</v>
      </c>
      <c r="AC707" s="26" t="s">
        <v>2086</v>
      </c>
      <c r="AD707" s="107">
        <f t="shared" si="369"/>
        <v>1445.5492424242425</v>
      </c>
      <c r="AE707" s="140"/>
      <c r="AF707" s="113">
        <f t="shared" si="354"/>
        <v>0</v>
      </c>
      <c r="AG707" s="26">
        <v>2024</v>
      </c>
      <c r="AH707" s="26" t="str">
        <f t="shared" si="344"/>
        <v/>
      </c>
      <c r="AI707" s="26" t="str">
        <f t="shared" si="360"/>
        <v/>
      </c>
      <c r="AJ707" s="26" t="str">
        <f t="shared" si="365"/>
        <v>Fog Seal</v>
      </c>
      <c r="AK707" s="26" t="str">
        <f t="shared" si="367"/>
        <v/>
      </c>
      <c r="AL707" s="26" t="str">
        <f t="shared" si="367"/>
        <v/>
      </c>
      <c r="AM707" s="26" t="str">
        <f t="shared" si="367"/>
        <v/>
      </c>
      <c r="AN707" s="26" t="str">
        <f t="shared" si="353"/>
        <v>Fog Seal</v>
      </c>
      <c r="AO707" s="26" t="str">
        <f t="shared" si="366"/>
        <v/>
      </c>
      <c r="AP707" s="26" t="str">
        <f t="shared" si="363"/>
        <v/>
      </c>
      <c r="AQ707" s="68">
        <f t="shared" si="357"/>
        <v>10</v>
      </c>
      <c r="AR707" s="68">
        <f t="shared" si="358"/>
        <v>2</v>
      </c>
      <c r="AS707" s="68">
        <f t="shared" si="347"/>
        <v>1.05</v>
      </c>
      <c r="AT707" s="68">
        <f t="shared" si="348"/>
        <v>1</v>
      </c>
      <c r="AU707" s="68">
        <f t="shared" si="349"/>
        <v>1.05</v>
      </c>
      <c r="AV707" s="68">
        <f t="shared" si="350"/>
        <v>1.05</v>
      </c>
      <c r="AW707" s="68">
        <f t="shared" si="351"/>
        <v>1.05</v>
      </c>
      <c r="AX707" s="68">
        <f t="shared" ca="1" si="352"/>
        <v>0</v>
      </c>
      <c r="AY707" s="106">
        <v>2018</v>
      </c>
      <c r="AZ707" s="106" t="s">
        <v>2425</v>
      </c>
      <c r="BA707" s="106" t="str">
        <f t="shared" si="372"/>
        <v>MICROSEAL</v>
      </c>
      <c r="BB707" s="177"/>
      <c r="BC707" s="177"/>
      <c r="BD707" s="177"/>
      <c r="BE707" s="177"/>
      <c r="BF707" s="177"/>
      <c r="BG707" s="177"/>
      <c r="BH707" s="177"/>
      <c r="BI707" s="33"/>
      <c r="BK707" s="48">
        <f>$G707/5280*VLOOKUP($AC707,'Cost and Score'!$B$27:$O$40,6,0)</f>
        <v>5.7821969696969705E-2</v>
      </c>
      <c r="BL707" s="48">
        <f>$G707/5280*VLOOKUP($AC707,'Cost and Score'!$B$27:$O$40,7,0)</f>
        <v>0.11564393939393941</v>
      </c>
      <c r="BM707" s="48">
        <f>$G707/5280*VLOOKUP($AC707,'Cost and Score'!$B$27:$O$40,8,0)</f>
        <v>0</v>
      </c>
      <c r="BN707" s="48">
        <f>$G707/5280*VLOOKUP($AC707,'Cost and Score'!$B$27:$O$40,9,0)</f>
        <v>0</v>
      </c>
      <c r="BO707" s="48">
        <f>$G707/5280*VLOOKUP($AC707,'Cost and Score'!$B$27:$O$40,10,0)</f>
        <v>578.219696969697</v>
      </c>
      <c r="BP707" s="48">
        <f>$G707/5280*VLOOKUP($AC707,'Cost and Score'!$B$27:$O$40,11,0)</f>
        <v>0</v>
      </c>
      <c r="BQ707" s="48">
        <f>$G707/5280*VLOOKUP($AC707,'Cost and Score'!$B$27:$O$40,12,0)</f>
        <v>0</v>
      </c>
      <c r="BR707" s="48">
        <f>$G707/5280*VLOOKUP($AC707,'Cost and Score'!$B$27:$O$40,13,0)</f>
        <v>0</v>
      </c>
      <c r="BS707" s="48">
        <f>$G707/5280*VLOOKUP($AC707,'Cost and Score'!$B$27:$O$40,14,0)</f>
        <v>0</v>
      </c>
      <c r="BT707" s="220">
        <f t="shared" si="373"/>
        <v>0.57821969696969699</v>
      </c>
      <c r="CF707" s="112"/>
      <c r="CN707" s="112"/>
      <c r="CO707" s="112"/>
      <c r="CP707" s="112"/>
      <c r="CQ707" s="112"/>
      <c r="CR707" s="112"/>
      <c r="CV707" s="112"/>
    </row>
    <row r="708" spans="1:103" s="112" customFormat="1" hidden="1" x14ac:dyDescent="0.25">
      <c r="A708" s="31"/>
      <c r="B708" s="226" t="s">
        <v>2324</v>
      </c>
      <c r="C708" s="106" t="s">
        <v>2324</v>
      </c>
      <c r="D708" s="116" t="s">
        <v>2252</v>
      </c>
      <c r="E708" s="106" t="s">
        <v>1548</v>
      </c>
      <c r="F708" s="106" t="s">
        <v>1533</v>
      </c>
      <c r="G708" s="109">
        <v>441</v>
      </c>
      <c r="H708" s="109">
        <f t="shared" si="370"/>
        <v>26</v>
      </c>
      <c r="I708" s="106" t="s">
        <v>2098</v>
      </c>
      <c r="J708" s="106" t="s">
        <v>160</v>
      </c>
      <c r="K708" s="106">
        <f>VLOOKUP(J708,TOWNSHIPS,2,FALSE)</f>
        <v>0</v>
      </c>
      <c r="L708" s="110">
        <v>8</v>
      </c>
      <c r="M708" s="110">
        <v>8</v>
      </c>
      <c r="N708" s="110">
        <v>8</v>
      </c>
      <c r="O708" s="110">
        <v>8</v>
      </c>
      <c r="P708" s="110">
        <v>8</v>
      </c>
      <c r="Q708" s="110">
        <v>8</v>
      </c>
      <c r="R708" s="110">
        <v>7</v>
      </c>
      <c r="S708" s="110">
        <v>7</v>
      </c>
      <c r="T708" s="110">
        <v>7</v>
      </c>
      <c r="U708" s="110">
        <v>7</v>
      </c>
      <c r="V708" s="110"/>
      <c r="W708" s="110"/>
      <c r="X708" s="110"/>
      <c r="Y708" s="106">
        <v>50</v>
      </c>
      <c r="Z708" s="106">
        <f t="shared" si="371"/>
        <v>0</v>
      </c>
      <c r="AA708" s="106" t="s">
        <v>2324</v>
      </c>
      <c r="AB708" s="111">
        <f t="shared" si="356"/>
        <v>2</v>
      </c>
      <c r="AC708" s="85" t="s">
        <v>2489</v>
      </c>
      <c r="AD708" s="107">
        <f t="shared" si="369"/>
        <v>2088.068181818182</v>
      </c>
      <c r="AE708" s="198"/>
      <c r="AF708" s="113">
        <f t="shared" si="354"/>
        <v>0</v>
      </c>
      <c r="AG708" s="85">
        <v>2026</v>
      </c>
      <c r="AH708" s="26" t="str">
        <f t="shared" si="344"/>
        <v/>
      </c>
      <c r="AI708" s="26" t="str">
        <f t="shared" si="360"/>
        <v/>
      </c>
      <c r="AJ708" s="26" t="str">
        <f t="shared" si="365"/>
        <v/>
      </c>
      <c r="AK708" s="26" t="str">
        <f t="shared" ref="AK708:AM727" si="374">IF($AG708=AK$1,VLOOKUP($AC708,RSL,3,FALSE),"")</f>
        <v/>
      </c>
      <c r="AL708" s="26" t="str">
        <f t="shared" si="374"/>
        <v>Liquid Road</v>
      </c>
      <c r="AM708" s="26" t="str">
        <f t="shared" si="374"/>
        <v/>
      </c>
      <c r="AN708" s="26" t="str">
        <f t="shared" si="353"/>
        <v>Liquid Road</v>
      </c>
      <c r="AO708" s="26" t="str">
        <f t="shared" si="366"/>
        <v/>
      </c>
      <c r="AP708" s="26" t="str">
        <f t="shared" si="363"/>
        <v/>
      </c>
      <c r="AQ708" s="68">
        <f t="shared" si="357"/>
        <v>12</v>
      </c>
      <c r="AR708" s="68">
        <f t="shared" si="358"/>
        <v>10</v>
      </c>
      <c r="AS708" s="68">
        <f t="shared" si="347"/>
        <v>1</v>
      </c>
      <c r="AT708" s="68">
        <f t="shared" si="348"/>
        <v>1</v>
      </c>
      <c r="AU708" s="68">
        <f t="shared" si="349"/>
        <v>1</v>
      </c>
      <c r="AV708" s="68">
        <f t="shared" si="350"/>
        <v>1</v>
      </c>
      <c r="AW708" s="68">
        <f t="shared" si="351"/>
        <v>1</v>
      </c>
      <c r="AX708" s="68">
        <f t="shared" ca="1" si="352"/>
        <v>2</v>
      </c>
      <c r="AY708" s="106">
        <v>2017</v>
      </c>
      <c r="AZ708" s="68" t="s">
        <v>2425</v>
      </c>
      <c r="BA708" s="106" t="str">
        <f t="shared" si="372"/>
        <v/>
      </c>
      <c r="BB708" s="178"/>
      <c r="BC708" s="178"/>
      <c r="BD708" s="178"/>
      <c r="BE708" s="178"/>
      <c r="BF708" s="178">
        <v>3</v>
      </c>
      <c r="BG708" s="178"/>
      <c r="BH708" s="178"/>
      <c r="BI708" s="33" t="s">
        <v>2425</v>
      </c>
      <c r="BJ708" s="2"/>
      <c r="BK708" s="48">
        <f>$G708/5280*VLOOKUP($AC708,'Cost and Score'!$B$27:$O$40,6,0)</f>
        <v>8.3522727272727276E-2</v>
      </c>
      <c r="BL708" s="48">
        <f>$G708/5280*VLOOKUP($AC708,'Cost and Score'!$B$27:$O$40,7,0)</f>
        <v>1.3363636363636364</v>
      </c>
      <c r="BM708" s="48">
        <f>$G708/5280*VLOOKUP($AC708,'Cost and Score'!$B$27:$O$40,8,0)</f>
        <v>0</v>
      </c>
      <c r="BN708" s="48">
        <f>$G708/5280*VLOOKUP($AC708,'Cost and Score'!$B$27:$O$40,9,0)</f>
        <v>0</v>
      </c>
      <c r="BO708" s="48">
        <f>$G708/5280*VLOOKUP($AC708,'Cost and Score'!$B$27:$O$40,10,0)</f>
        <v>0</v>
      </c>
      <c r="BP708" s="48">
        <f>$G708/5280*VLOOKUP($AC708,'Cost and Score'!$B$27:$O$40,11,0)</f>
        <v>0</v>
      </c>
      <c r="BQ708" s="48">
        <f>$G708/5280*VLOOKUP($AC708,'Cost and Score'!$B$27:$O$40,12,0)</f>
        <v>0</v>
      </c>
      <c r="BR708" s="48">
        <f>$G708/5280*VLOOKUP($AC708,'Cost and Score'!$B$27:$O$40,13,0)</f>
        <v>0</v>
      </c>
      <c r="BS708" s="48">
        <f>$G708/5280*VLOOKUP($AC708,'Cost and Score'!$B$27:$O$40,14,0)</f>
        <v>0</v>
      </c>
      <c r="BT708" s="220">
        <f t="shared" si="373"/>
        <v>8.3522727272727276E-2</v>
      </c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N708" s="2"/>
      <c r="CO708" s="2"/>
      <c r="CP708" s="2"/>
      <c r="CQ708" s="2"/>
      <c r="CV708" s="2"/>
      <c r="CW708" s="2"/>
      <c r="CX708" s="2"/>
      <c r="CY708" s="2"/>
    </row>
    <row r="709" spans="1:103" s="112" customFormat="1" hidden="1" x14ac:dyDescent="0.25">
      <c r="A709" s="31" t="s">
        <v>2102</v>
      </c>
      <c r="B709" s="224" t="s">
        <v>1460</v>
      </c>
      <c r="C709" s="26" t="s">
        <v>1460</v>
      </c>
      <c r="D709" s="222" t="s">
        <v>2217</v>
      </c>
      <c r="E709" s="82" t="s">
        <v>1461</v>
      </c>
      <c r="F709" s="82" t="s">
        <v>1462</v>
      </c>
      <c r="G709" s="29">
        <v>1445</v>
      </c>
      <c r="H709" s="29">
        <f t="shared" si="370"/>
        <v>26</v>
      </c>
      <c r="I709" s="26" t="s">
        <v>2098</v>
      </c>
      <c r="J709" s="26" t="s">
        <v>101</v>
      </c>
      <c r="K709" s="26">
        <v>0</v>
      </c>
      <c r="L709" s="42">
        <v>8</v>
      </c>
      <c r="M709" s="42">
        <v>9</v>
      </c>
      <c r="N709" s="42">
        <v>9</v>
      </c>
      <c r="O709" s="83">
        <v>8</v>
      </c>
      <c r="P709" s="83">
        <v>8</v>
      </c>
      <c r="Q709" s="83">
        <v>7</v>
      </c>
      <c r="R709" s="83">
        <v>7</v>
      </c>
      <c r="S709" s="83">
        <v>6</v>
      </c>
      <c r="T709" s="83">
        <v>7</v>
      </c>
      <c r="U709" s="83">
        <v>7</v>
      </c>
      <c r="V709" s="42"/>
      <c r="W709" s="42"/>
      <c r="X709" s="42"/>
      <c r="Y709" s="26">
        <v>50</v>
      </c>
      <c r="Z709" s="26">
        <f t="shared" si="371"/>
        <v>0</v>
      </c>
      <c r="AA709" s="82" t="s">
        <v>1460</v>
      </c>
      <c r="AB709" s="111">
        <f t="shared" si="356"/>
        <v>2</v>
      </c>
      <c r="AC709" s="85" t="s">
        <v>2425</v>
      </c>
      <c r="AD709" s="84">
        <f t="shared" si="369"/>
        <v>6841.856060606061</v>
      </c>
      <c r="AE709" s="140"/>
      <c r="AF709" s="113">
        <f t="shared" si="354"/>
        <v>0</v>
      </c>
      <c r="AG709" s="85">
        <v>2026</v>
      </c>
      <c r="AH709" s="26" t="str">
        <f t="shared" si="344"/>
        <v/>
      </c>
      <c r="AI709" s="26" t="str">
        <f t="shared" si="360"/>
        <v/>
      </c>
      <c r="AJ709" s="26" t="str">
        <f t="shared" si="365"/>
        <v/>
      </c>
      <c r="AK709" s="26" t="str">
        <f t="shared" si="374"/>
        <v/>
      </c>
      <c r="AL709" s="26" t="str">
        <f t="shared" si="374"/>
        <v>Liquid Road</v>
      </c>
      <c r="AM709" s="26" t="str">
        <f t="shared" si="374"/>
        <v/>
      </c>
      <c r="AN709" s="26" t="str">
        <f t="shared" si="353"/>
        <v>Liquid Road</v>
      </c>
      <c r="AO709" s="26" t="str">
        <f t="shared" si="366"/>
        <v/>
      </c>
      <c r="AP709" s="26" t="str">
        <f t="shared" si="363"/>
        <v/>
      </c>
      <c r="AQ709" s="68">
        <f t="shared" si="357"/>
        <v>12</v>
      </c>
      <c r="AR709" s="68">
        <f t="shared" si="358"/>
        <v>10</v>
      </c>
      <c r="AS709" s="68">
        <f t="shared" si="347"/>
        <v>1</v>
      </c>
      <c r="AT709" s="68">
        <f t="shared" si="348"/>
        <v>1</v>
      </c>
      <c r="AU709" s="68">
        <f t="shared" si="349"/>
        <v>1</v>
      </c>
      <c r="AV709" s="68">
        <f t="shared" si="350"/>
        <v>1</v>
      </c>
      <c r="AW709" s="68">
        <f t="shared" si="351"/>
        <v>1</v>
      </c>
      <c r="AX709" s="68">
        <f t="shared" ca="1" si="352"/>
        <v>2</v>
      </c>
      <c r="AY709" s="68">
        <v>2016</v>
      </c>
      <c r="AZ709" s="68" t="s">
        <v>2086</v>
      </c>
      <c r="BA709" s="106" t="str">
        <f t="shared" si="372"/>
        <v/>
      </c>
      <c r="BB709" s="178"/>
      <c r="BC709" s="178"/>
      <c r="BD709" s="178"/>
      <c r="BE709" s="178">
        <v>2</v>
      </c>
      <c r="BF709" s="178"/>
      <c r="BG709" s="178"/>
      <c r="BH709" s="178"/>
      <c r="BI709" s="33"/>
      <c r="BJ709" s="2"/>
      <c r="BK709" s="48">
        <f>$G709/5280*VLOOKUP($AC709,'Cost and Score'!$B$27:$O$40,6,0)</f>
        <v>0.27367424242424243</v>
      </c>
      <c r="BL709" s="48">
        <f>$G709/5280*VLOOKUP($AC709,'Cost and Score'!$B$27:$O$40,7,0)</f>
        <v>4.3787878787878789</v>
      </c>
      <c r="BM709" s="48">
        <f>$G709/5280*VLOOKUP($AC709,'Cost and Score'!$B$27:$O$40,8,0)</f>
        <v>0</v>
      </c>
      <c r="BN709" s="48">
        <f>$G709/5280*VLOOKUP($AC709,'Cost and Score'!$B$27:$O$40,9,0)</f>
        <v>0</v>
      </c>
      <c r="BO709" s="48">
        <f>$G709/5280*VLOOKUP($AC709,'Cost and Score'!$B$27:$O$40,10,0)</f>
        <v>0</v>
      </c>
      <c r="BP709" s="48">
        <f>$G709/5280*VLOOKUP($AC709,'Cost and Score'!$B$27:$O$40,11,0)</f>
        <v>0</v>
      </c>
      <c r="BQ709" s="48">
        <f>$G709/5280*VLOOKUP($AC709,'Cost and Score'!$B$27:$O$40,12,0)</f>
        <v>0</v>
      </c>
      <c r="BR709" s="48">
        <f>$G709/5280*VLOOKUP($AC709,'Cost and Score'!$B$27:$O$40,13,0)</f>
        <v>0</v>
      </c>
      <c r="BS709" s="48">
        <f>$G709/5280*VLOOKUP($AC709,'Cost and Score'!$B$27:$O$40,14,0)</f>
        <v>0</v>
      </c>
      <c r="BT709" s="220">
        <f t="shared" si="373"/>
        <v>0.27367424242424243</v>
      </c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R709" s="2"/>
      <c r="CW709" s="2"/>
      <c r="CX709" s="2"/>
      <c r="CY709" s="2"/>
    </row>
    <row r="710" spans="1:103" s="2" customFormat="1" ht="14.45" hidden="1" customHeight="1" x14ac:dyDescent="0.25">
      <c r="A710" s="31" t="s">
        <v>2102</v>
      </c>
      <c r="B710" s="224" t="s">
        <v>1463</v>
      </c>
      <c r="C710" s="26" t="s">
        <v>1463</v>
      </c>
      <c r="D710" s="119" t="s">
        <v>2217</v>
      </c>
      <c r="E710" s="82" t="s">
        <v>1461</v>
      </c>
      <c r="F710" s="82" t="s">
        <v>1462</v>
      </c>
      <c r="G710" s="29">
        <v>2621</v>
      </c>
      <c r="H710" s="29">
        <f t="shared" si="370"/>
        <v>26</v>
      </c>
      <c r="I710" s="26" t="s">
        <v>2098</v>
      </c>
      <c r="J710" s="26" t="s">
        <v>101</v>
      </c>
      <c r="K710" s="26">
        <v>0</v>
      </c>
      <c r="L710" s="42">
        <v>6</v>
      </c>
      <c r="M710" s="42">
        <v>6</v>
      </c>
      <c r="N710" s="42">
        <v>10</v>
      </c>
      <c r="O710" s="83">
        <v>9</v>
      </c>
      <c r="P710" s="83">
        <v>9</v>
      </c>
      <c r="Q710" s="83">
        <v>8</v>
      </c>
      <c r="R710" s="83">
        <v>7</v>
      </c>
      <c r="S710" s="83">
        <v>6</v>
      </c>
      <c r="T710" s="83">
        <v>7</v>
      </c>
      <c r="U710" s="83">
        <v>7</v>
      </c>
      <c r="V710" s="42"/>
      <c r="W710" s="42"/>
      <c r="X710" s="42"/>
      <c r="Y710" s="26">
        <v>50</v>
      </c>
      <c r="Z710" s="26">
        <f t="shared" si="371"/>
        <v>0</v>
      </c>
      <c r="AA710" s="82" t="s">
        <v>1463</v>
      </c>
      <c r="AB710" s="111">
        <f t="shared" si="356"/>
        <v>1</v>
      </c>
      <c r="AC710" s="85" t="s">
        <v>2425</v>
      </c>
      <c r="AD710" s="84">
        <f t="shared" si="369"/>
        <v>12410.037878787878</v>
      </c>
      <c r="AE710" s="140"/>
      <c r="AF710" s="113">
        <f t="shared" si="354"/>
        <v>0</v>
      </c>
      <c r="AG710" s="85">
        <v>2026</v>
      </c>
      <c r="AH710" s="26" t="str">
        <f t="shared" si="344"/>
        <v/>
      </c>
      <c r="AI710" s="26" t="str">
        <f t="shared" si="360"/>
        <v/>
      </c>
      <c r="AJ710" s="26" t="str">
        <f t="shared" si="365"/>
        <v/>
      </c>
      <c r="AK710" s="26" t="str">
        <f t="shared" si="374"/>
        <v/>
      </c>
      <c r="AL710" s="26" t="str">
        <f t="shared" si="374"/>
        <v>Liquid Road</v>
      </c>
      <c r="AM710" s="26" t="str">
        <f t="shared" si="374"/>
        <v/>
      </c>
      <c r="AN710" s="26" t="str">
        <f t="shared" si="353"/>
        <v>Liquid Road</v>
      </c>
      <c r="AO710" s="26" t="str">
        <f t="shared" si="366"/>
        <v/>
      </c>
      <c r="AP710" s="26" t="str">
        <f t="shared" si="363"/>
        <v/>
      </c>
      <c r="AQ710" s="68">
        <f t="shared" si="357"/>
        <v>14</v>
      </c>
      <c r="AR710" s="68">
        <f t="shared" si="358"/>
        <v>10</v>
      </c>
      <c r="AS710" s="68">
        <f t="shared" si="347"/>
        <v>1.1000000000000001</v>
      </c>
      <c r="AT710" s="68">
        <f t="shared" si="348"/>
        <v>1.1000000000000001</v>
      </c>
      <c r="AU710" s="68">
        <f t="shared" si="349"/>
        <v>1</v>
      </c>
      <c r="AV710" s="68">
        <f t="shared" si="350"/>
        <v>1</v>
      </c>
      <c r="AW710" s="68">
        <f t="shared" si="351"/>
        <v>1</v>
      </c>
      <c r="AX710" s="68">
        <f t="shared" ca="1" si="352"/>
        <v>2</v>
      </c>
      <c r="AY710" s="68">
        <v>2015</v>
      </c>
      <c r="AZ710" s="68" t="s">
        <v>751</v>
      </c>
      <c r="BA710" s="106" t="str">
        <f t="shared" si="372"/>
        <v/>
      </c>
      <c r="BB710" s="178"/>
      <c r="BC710" s="178"/>
      <c r="BD710" s="178"/>
      <c r="BE710" s="178">
        <v>2</v>
      </c>
      <c r="BF710" s="178"/>
      <c r="BG710" s="178"/>
      <c r="BH710" s="178"/>
      <c r="BI710" s="33"/>
      <c r="BK710" s="48">
        <f>$G710/5280*VLOOKUP($AC710,'Cost and Score'!$B$27:$O$40,6,0)</f>
        <v>0.49640151515151515</v>
      </c>
      <c r="BL710" s="48">
        <f>$G710/5280*VLOOKUP($AC710,'Cost and Score'!$B$27:$O$40,7,0)</f>
        <v>7.9424242424242424</v>
      </c>
      <c r="BM710" s="48">
        <f>$G710/5280*VLOOKUP($AC710,'Cost and Score'!$B$27:$O$40,8,0)</f>
        <v>0</v>
      </c>
      <c r="BN710" s="48">
        <f>$G710/5280*VLOOKUP($AC710,'Cost and Score'!$B$27:$O$40,9,0)</f>
        <v>0</v>
      </c>
      <c r="BO710" s="48">
        <f>$G710/5280*VLOOKUP($AC710,'Cost and Score'!$B$27:$O$40,10,0)</f>
        <v>0</v>
      </c>
      <c r="BP710" s="48">
        <f>$G710/5280*VLOOKUP($AC710,'Cost and Score'!$B$27:$O$40,11,0)</f>
        <v>0</v>
      </c>
      <c r="BQ710" s="48">
        <f>$G710/5280*VLOOKUP($AC710,'Cost and Score'!$B$27:$O$40,12,0)</f>
        <v>0</v>
      </c>
      <c r="BR710" s="48">
        <f>$G710/5280*VLOOKUP($AC710,'Cost and Score'!$B$27:$O$40,13,0)</f>
        <v>0</v>
      </c>
      <c r="BS710" s="48">
        <f>$G710/5280*VLOOKUP($AC710,'Cost and Score'!$B$27:$O$40,14,0)</f>
        <v>0</v>
      </c>
      <c r="BT710" s="220">
        <f t="shared" si="373"/>
        <v>0.49640151515151515</v>
      </c>
      <c r="CN710" s="112"/>
      <c r="CO710" s="112"/>
      <c r="CP710" s="112"/>
      <c r="CQ710" s="112"/>
      <c r="CV710" s="112"/>
    </row>
    <row r="711" spans="1:103" s="2" customFormat="1" ht="14.45" customHeight="1" x14ac:dyDescent="0.25">
      <c r="A711" s="31" t="s">
        <v>2102</v>
      </c>
      <c r="B711" s="120" t="s">
        <v>2048</v>
      </c>
      <c r="C711" s="106" t="s">
        <v>2048</v>
      </c>
      <c r="D711" s="116" t="s">
        <v>2308</v>
      </c>
      <c r="E711" s="106" t="s">
        <v>1619</v>
      </c>
      <c r="F711" s="106" t="s">
        <v>1502</v>
      </c>
      <c r="G711" s="150">
        <v>528</v>
      </c>
      <c r="H711" s="109">
        <f t="shared" si="370"/>
        <v>26</v>
      </c>
      <c r="I711" s="106" t="s">
        <v>2098</v>
      </c>
      <c r="J711" s="106" t="s">
        <v>160</v>
      </c>
      <c r="K711" s="106">
        <f t="shared" ref="K711:K719" si="375">VLOOKUP(J711,TOWNSHIPS,2,FALSE)</f>
        <v>0</v>
      </c>
      <c r="L711" s="110">
        <v>8</v>
      </c>
      <c r="M711" s="110">
        <v>8</v>
      </c>
      <c r="N711" s="110">
        <v>8</v>
      </c>
      <c r="O711" s="110">
        <v>8</v>
      </c>
      <c r="P711" s="110">
        <v>8</v>
      </c>
      <c r="Q711" s="110">
        <v>7</v>
      </c>
      <c r="R711" s="110">
        <v>7</v>
      </c>
      <c r="S711" s="110">
        <v>7</v>
      </c>
      <c r="T711" s="110">
        <v>7</v>
      </c>
      <c r="U711" s="110">
        <v>7</v>
      </c>
      <c r="V711" s="110"/>
      <c r="W711" s="110"/>
      <c r="X711" s="110"/>
      <c r="Y711" s="106">
        <v>2144</v>
      </c>
      <c r="Z711" s="106">
        <f t="shared" si="371"/>
        <v>1</v>
      </c>
      <c r="AA711" s="106" t="s">
        <v>2048</v>
      </c>
      <c r="AB711" s="111">
        <f t="shared" si="356"/>
        <v>3</v>
      </c>
      <c r="AC711" s="106" t="s">
        <v>2086</v>
      </c>
      <c r="AD711" s="107">
        <f t="shared" si="369"/>
        <v>250</v>
      </c>
      <c r="AE711" s="198"/>
      <c r="AF711" s="113">
        <f t="shared" si="354"/>
        <v>0</v>
      </c>
      <c r="AG711" s="106">
        <v>2025</v>
      </c>
      <c r="AH711" s="26" t="str">
        <f t="shared" si="344"/>
        <v/>
      </c>
      <c r="AI711" s="26" t="str">
        <f t="shared" si="360"/>
        <v/>
      </c>
      <c r="AJ711" s="26" t="str">
        <f t="shared" si="365"/>
        <v/>
      </c>
      <c r="AK711" s="26" t="str">
        <f t="shared" si="374"/>
        <v>Fog Seal</v>
      </c>
      <c r="AL711" s="26" t="str">
        <f t="shared" si="374"/>
        <v/>
      </c>
      <c r="AM711" s="26" t="str">
        <f t="shared" si="374"/>
        <v/>
      </c>
      <c r="AN711" s="26" t="str">
        <f t="shared" si="353"/>
        <v>Fog Seal</v>
      </c>
      <c r="AO711" s="26" t="str">
        <f t="shared" si="366"/>
        <v/>
      </c>
      <c r="AP711" s="26" t="str">
        <f t="shared" si="363"/>
        <v/>
      </c>
      <c r="AQ711" s="68">
        <f t="shared" si="357"/>
        <v>12</v>
      </c>
      <c r="AR711" s="68">
        <f t="shared" si="358"/>
        <v>2</v>
      </c>
      <c r="AS711" s="68">
        <f t="shared" si="347"/>
        <v>1</v>
      </c>
      <c r="AT711" s="68">
        <f t="shared" si="348"/>
        <v>1</v>
      </c>
      <c r="AU711" s="68">
        <f t="shared" si="349"/>
        <v>1</v>
      </c>
      <c r="AV711" s="68">
        <f t="shared" si="350"/>
        <v>1</v>
      </c>
      <c r="AW711" s="68">
        <f t="shared" si="351"/>
        <v>1</v>
      </c>
      <c r="AX711" s="68">
        <f t="shared" ca="1" si="352"/>
        <v>1</v>
      </c>
      <c r="AY711" s="106">
        <v>2019</v>
      </c>
      <c r="AZ711" s="106" t="s">
        <v>2425</v>
      </c>
      <c r="BA711" s="106" t="str">
        <f t="shared" si="372"/>
        <v/>
      </c>
      <c r="BB711" s="177"/>
      <c r="BC711" s="177"/>
      <c r="BD711" s="177"/>
      <c r="BE711" s="177"/>
      <c r="BF711" s="177"/>
      <c r="BG711" s="177"/>
      <c r="BH711" s="177"/>
      <c r="BI711" s="33"/>
      <c r="BK711" s="48">
        <f>$G711/5280*VLOOKUP($AC711,'Cost and Score'!$B$27:$O$40,6,0)</f>
        <v>1.0000000000000002E-2</v>
      </c>
      <c r="BL711" s="48">
        <f>$G711/5280*VLOOKUP($AC711,'Cost and Score'!$B$27:$O$40,7,0)</f>
        <v>2.0000000000000004E-2</v>
      </c>
      <c r="BM711" s="48">
        <f>$G711/5280*VLOOKUP($AC711,'Cost and Score'!$B$27:$O$40,8,0)</f>
        <v>0</v>
      </c>
      <c r="BN711" s="48">
        <f>$G711/5280*VLOOKUP($AC711,'Cost and Score'!$B$27:$O$40,9,0)</f>
        <v>0</v>
      </c>
      <c r="BO711" s="48">
        <f>$G711/5280*VLOOKUP($AC711,'Cost and Score'!$B$27:$O$40,10,0)</f>
        <v>100</v>
      </c>
      <c r="BP711" s="48">
        <f>$G711/5280*VLOOKUP($AC711,'Cost and Score'!$B$27:$O$40,11,0)</f>
        <v>0</v>
      </c>
      <c r="BQ711" s="48">
        <f>$G711/5280*VLOOKUP($AC711,'Cost and Score'!$B$27:$O$40,12,0)</f>
        <v>0</v>
      </c>
      <c r="BR711" s="48">
        <f>$G711/5280*VLOOKUP($AC711,'Cost and Score'!$B$27:$O$40,13,0)</f>
        <v>0</v>
      </c>
      <c r="BS711" s="48">
        <f>$G711/5280*VLOOKUP($AC711,'Cost and Score'!$B$27:$O$40,14,0)</f>
        <v>0</v>
      </c>
      <c r="BT711" s="220">
        <f t="shared" si="373"/>
        <v>0.1</v>
      </c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</row>
    <row r="712" spans="1:103" s="2" customFormat="1" ht="14.45" customHeight="1" x14ac:dyDescent="0.25">
      <c r="A712" s="31" t="s">
        <v>2102</v>
      </c>
      <c r="B712" s="45" t="s">
        <v>1499</v>
      </c>
      <c r="C712" s="26" t="s">
        <v>1499</v>
      </c>
      <c r="D712" s="36" t="s">
        <v>2331</v>
      </c>
      <c r="E712" s="26" t="s">
        <v>1480</v>
      </c>
      <c r="F712" s="26" t="s">
        <v>1481</v>
      </c>
      <c r="G712" s="29">
        <v>1795</v>
      </c>
      <c r="H712" s="29">
        <f t="shared" si="370"/>
        <v>26</v>
      </c>
      <c r="I712" s="26" t="s">
        <v>2098</v>
      </c>
      <c r="J712" s="26" t="s">
        <v>160</v>
      </c>
      <c r="K712" s="26">
        <f t="shared" si="375"/>
        <v>0</v>
      </c>
      <c r="L712" s="42">
        <v>7</v>
      </c>
      <c r="M712" s="42">
        <v>8</v>
      </c>
      <c r="N712" s="42">
        <v>8</v>
      </c>
      <c r="O712" s="42">
        <v>8</v>
      </c>
      <c r="P712" s="42">
        <v>8</v>
      </c>
      <c r="Q712" s="42">
        <v>8</v>
      </c>
      <c r="R712" s="42">
        <v>8</v>
      </c>
      <c r="S712" s="42">
        <v>7</v>
      </c>
      <c r="T712" s="42">
        <v>7</v>
      </c>
      <c r="U712" s="42">
        <v>7</v>
      </c>
      <c r="V712" s="42"/>
      <c r="W712" s="42"/>
      <c r="X712" s="42"/>
      <c r="Y712" s="26">
        <v>306</v>
      </c>
      <c r="Z712" s="26">
        <f t="shared" si="371"/>
        <v>0</v>
      </c>
      <c r="AA712" s="26" t="s">
        <v>1499</v>
      </c>
      <c r="AB712" s="111">
        <f t="shared" si="356"/>
        <v>2</v>
      </c>
      <c r="AC712" s="28" t="s">
        <v>2086</v>
      </c>
      <c r="AD712" s="123">
        <v>15557</v>
      </c>
      <c r="AE712" s="140"/>
      <c r="AF712" s="113">
        <f t="shared" si="354"/>
        <v>0</v>
      </c>
      <c r="AG712" s="106">
        <v>2025</v>
      </c>
      <c r="AH712" s="26" t="str">
        <f t="shared" si="344"/>
        <v/>
      </c>
      <c r="AI712" s="26" t="str">
        <f t="shared" si="360"/>
        <v/>
      </c>
      <c r="AJ712" s="26" t="str">
        <f t="shared" si="365"/>
        <v/>
      </c>
      <c r="AK712" s="26" t="str">
        <f t="shared" si="374"/>
        <v>Fog Seal</v>
      </c>
      <c r="AL712" s="26" t="str">
        <f t="shared" si="374"/>
        <v/>
      </c>
      <c r="AM712" s="26" t="str">
        <f t="shared" si="374"/>
        <v/>
      </c>
      <c r="AN712" s="26" t="str">
        <f t="shared" si="353"/>
        <v>Fog Seal</v>
      </c>
      <c r="AO712" s="26" t="str">
        <f t="shared" si="366"/>
        <v/>
      </c>
      <c r="AP712" s="26" t="str">
        <f t="shared" si="363"/>
        <v/>
      </c>
      <c r="AQ712" s="68">
        <f t="shared" si="357"/>
        <v>12</v>
      </c>
      <c r="AR712" s="68">
        <f t="shared" si="358"/>
        <v>2</v>
      </c>
      <c r="AS712" s="68">
        <f t="shared" si="347"/>
        <v>1.05</v>
      </c>
      <c r="AT712" s="68">
        <f t="shared" si="348"/>
        <v>1</v>
      </c>
      <c r="AU712" s="68">
        <f t="shared" si="349"/>
        <v>1</v>
      </c>
      <c r="AV712" s="68">
        <f t="shared" si="350"/>
        <v>1</v>
      </c>
      <c r="AW712" s="68">
        <f t="shared" si="351"/>
        <v>1</v>
      </c>
      <c r="AX712" s="68">
        <f t="shared" ca="1" si="352"/>
        <v>1</v>
      </c>
      <c r="AY712" s="68">
        <v>2019</v>
      </c>
      <c r="AZ712" s="68" t="s">
        <v>2371</v>
      </c>
      <c r="BA712" s="106" t="str">
        <f t="shared" si="372"/>
        <v/>
      </c>
      <c r="BB712" s="178"/>
      <c r="BC712" s="178"/>
      <c r="BD712" s="178"/>
      <c r="BE712" s="178"/>
      <c r="BF712" s="178"/>
      <c r="BG712" s="178"/>
      <c r="BH712" s="178"/>
      <c r="BI712" s="33"/>
      <c r="BK712" s="48">
        <f>$G712/5280*VLOOKUP($AC712,'Cost and Score'!$B$27:$O$40,6,0)</f>
        <v>3.3996212121212122E-2</v>
      </c>
      <c r="BL712" s="48">
        <f>$G712/5280*VLOOKUP($AC712,'Cost and Score'!$B$27:$O$40,7,0)</f>
        <v>6.7992424242424243E-2</v>
      </c>
      <c r="BM712" s="48">
        <f>$G712/5280*VLOOKUP($AC712,'Cost and Score'!$B$27:$O$40,8,0)</f>
        <v>0</v>
      </c>
      <c r="BN712" s="48">
        <f>$G712/5280*VLOOKUP($AC712,'Cost and Score'!$B$27:$O$40,9,0)</f>
        <v>0</v>
      </c>
      <c r="BO712" s="48">
        <f>$G712/5280*VLOOKUP($AC712,'Cost and Score'!$B$27:$O$40,10,0)</f>
        <v>339.96212121212119</v>
      </c>
      <c r="BP712" s="48">
        <f>$G712/5280*VLOOKUP($AC712,'Cost and Score'!$B$27:$O$40,11,0)</f>
        <v>0</v>
      </c>
      <c r="BQ712" s="48">
        <f>$G712/5280*VLOOKUP($AC712,'Cost and Score'!$B$27:$O$40,12,0)</f>
        <v>0</v>
      </c>
      <c r="BR712" s="48">
        <f>$G712/5280*VLOOKUP($AC712,'Cost and Score'!$B$27:$O$40,13,0)</f>
        <v>0</v>
      </c>
      <c r="BS712" s="48">
        <f>$G712/5280*VLOOKUP($AC712,'Cost and Score'!$B$27:$O$40,14,0)</f>
        <v>0</v>
      </c>
      <c r="BT712" s="220">
        <f t="shared" si="373"/>
        <v>0.33996212121212122</v>
      </c>
    </row>
    <row r="713" spans="1:103" s="2" customFormat="1" ht="14.45" hidden="1" customHeight="1" x14ac:dyDescent="0.25">
      <c r="A713" s="31" t="s">
        <v>2102</v>
      </c>
      <c r="B713" s="45" t="s">
        <v>1468</v>
      </c>
      <c r="C713" s="26" t="s">
        <v>1468</v>
      </c>
      <c r="D713" s="119" t="s">
        <v>2239</v>
      </c>
      <c r="E713" s="82" t="s">
        <v>1469</v>
      </c>
      <c r="F713" s="82" t="s">
        <v>15</v>
      </c>
      <c r="G713" s="29">
        <v>1267</v>
      </c>
      <c r="H713" s="29">
        <f t="shared" si="370"/>
        <v>26</v>
      </c>
      <c r="I713" s="26" t="s">
        <v>2098</v>
      </c>
      <c r="J713" s="26" t="s">
        <v>11</v>
      </c>
      <c r="K713" s="26">
        <f t="shared" si="375"/>
        <v>0</v>
      </c>
      <c r="L713" s="42">
        <v>7</v>
      </c>
      <c r="M713" s="42">
        <v>6</v>
      </c>
      <c r="N713" s="42">
        <v>6</v>
      </c>
      <c r="O713" s="83">
        <v>6</v>
      </c>
      <c r="P713" s="83">
        <v>6</v>
      </c>
      <c r="Q713" s="83">
        <v>9</v>
      </c>
      <c r="R713" s="83">
        <v>8</v>
      </c>
      <c r="S713" s="83">
        <v>7</v>
      </c>
      <c r="T713" s="83">
        <v>7</v>
      </c>
      <c r="U713" s="83">
        <v>7</v>
      </c>
      <c r="V713" s="42"/>
      <c r="W713" s="42"/>
      <c r="X713" s="42"/>
      <c r="Y713" s="26">
        <v>50</v>
      </c>
      <c r="Z713" s="26">
        <f t="shared" si="371"/>
        <v>0</v>
      </c>
      <c r="AA713" s="82" t="s">
        <v>1468</v>
      </c>
      <c r="AB713" s="111">
        <f t="shared" si="356"/>
        <v>4</v>
      </c>
      <c r="AC713" s="85" t="s">
        <v>13</v>
      </c>
      <c r="AD713" s="84">
        <f>VLOOKUP(AC713,Cost,2,FALSE)*G713/5280</f>
        <v>5039.204545454545</v>
      </c>
      <c r="AE713" s="140"/>
      <c r="AF713" s="113">
        <f t="shared" si="354"/>
        <v>0</v>
      </c>
      <c r="AG713" s="26">
        <v>2024</v>
      </c>
      <c r="AH713" s="26" t="str">
        <f t="shared" si="344"/>
        <v/>
      </c>
      <c r="AI713" s="26" t="str">
        <f t="shared" si="360"/>
        <v/>
      </c>
      <c r="AJ713" s="26" t="str">
        <f t="shared" si="365"/>
        <v>Chip Seal and Fog</v>
      </c>
      <c r="AK713" s="26" t="str">
        <f t="shared" si="374"/>
        <v/>
      </c>
      <c r="AL713" s="26" t="str">
        <f t="shared" si="374"/>
        <v/>
      </c>
      <c r="AM713" s="26" t="str">
        <f t="shared" si="374"/>
        <v/>
      </c>
      <c r="AN713" s="26" t="str">
        <f t="shared" si="353"/>
        <v>Chip Seal and Fog</v>
      </c>
      <c r="AO713" s="26" t="str">
        <f t="shared" si="366"/>
        <v/>
      </c>
      <c r="AP713" s="26" t="str">
        <f t="shared" si="363"/>
        <v/>
      </c>
      <c r="AQ713" s="68">
        <f t="shared" si="357"/>
        <v>8</v>
      </c>
      <c r="AR713" s="68">
        <f t="shared" si="358"/>
        <v>6</v>
      </c>
      <c r="AS713" s="68">
        <f t="shared" si="347"/>
        <v>1.05</v>
      </c>
      <c r="AT713" s="68">
        <f t="shared" si="348"/>
        <v>1.1000000000000001</v>
      </c>
      <c r="AU713" s="68">
        <f t="shared" si="349"/>
        <v>1.1000000000000001</v>
      </c>
      <c r="AV713" s="68">
        <f t="shared" si="350"/>
        <v>1.1000000000000001</v>
      </c>
      <c r="AW713" s="68">
        <f t="shared" si="351"/>
        <v>1.1000000000000001</v>
      </c>
      <c r="AX713" s="68">
        <f t="shared" ca="1" si="352"/>
        <v>0</v>
      </c>
      <c r="AY713" s="68">
        <v>2018</v>
      </c>
      <c r="AZ713" s="68" t="s">
        <v>751</v>
      </c>
      <c r="BA713" s="106" t="str">
        <f t="shared" si="372"/>
        <v>P</v>
      </c>
      <c r="BB713" s="178"/>
      <c r="BC713" s="178"/>
      <c r="BD713" s="178"/>
      <c r="BE713" s="178"/>
      <c r="BF713" s="178"/>
      <c r="BG713" s="178"/>
      <c r="BH713" s="178"/>
      <c r="BI713" s="33"/>
      <c r="BK713" s="48">
        <f>$G713/5280*VLOOKUP($AC713,'Cost and Score'!$B$27:$O$40,6,0)</f>
        <v>4.7992424242424246E-2</v>
      </c>
      <c r="BL713" s="48">
        <f>$G713/5280*VLOOKUP($AC713,'Cost and Score'!$B$27:$O$40,7,0)</f>
        <v>5.2791666666666668</v>
      </c>
      <c r="BM713" s="48">
        <f>$G713/5280*VLOOKUP($AC713,'Cost and Score'!$B$27:$O$40,8,0)</f>
        <v>0</v>
      </c>
      <c r="BN713" s="48">
        <f>$G713/5280*VLOOKUP($AC713,'Cost and Score'!$B$27:$O$40,9,0)</f>
        <v>1079.8295454545455</v>
      </c>
      <c r="BO713" s="48">
        <f>$G713/5280*VLOOKUP($AC713,'Cost and Score'!$B$27:$O$40,10,0)</f>
        <v>239.96212121212122</v>
      </c>
      <c r="BP713" s="48">
        <f>$G713/5280*VLOOKUP($AC713,'Cost and Score'!$B$27:$O$40,11,0)</f>
        <v>0</v>
      </c>
      <c r="BQ713" s="48">
        <f>$G713/5280*VLOOKUP($AC713,'Cost and Score'!$B$27:$O$40,12,0)</f>
        <v>23.996212121212121</v>
      </c>
      <c r="BR713" s="48">
        <f>$G713/5280*VLOOKUP($AC713,'Cost and Score'!$B$27:$O$40,13,0)</f>
        <v>28.795454545454547</v>
      </c>
      <c r="BS713" s="48">
        <f>$G713/5280*VLOOKUP($AC713,'Cost and Score'!$B$27:$O$40,14,0)</f>
        <v>0</v>
      </c>
      <c r="BT713" s="220">
        <f t="shared" si="373"/>
        <v>0.23996212121212121</v>
      </c>
    </row>
    <row r="714" spans="1:103" s="2" customFormat="1" ht="14.45" hidden="1" customHeight="1" x14ac:dyDescent="0.25">
      <c r="A714" s="31" t="s">
        <v>2102</v>
      </c>
      <c r="B714" s="45" t="s">
        <v>1470</v>
      </c>
      <c r="C714" s="26" t="s">
        <v>1470</v>
      </c>
      <c r="D714" s="119" t="s">
        <v>2239</v>
      </c>
      <c r="E714" s="82" t="s">
        <v>1469</v>
      </c>
      <c r="F714" s="82" t="s">
        <v>15</v>
      </c>
      <c r="G714" s="29">
        <v>1267</v>
      </c>
      <c r="H714" s="29">
        <f t="shared" si="370"/>
        <v>26</v>
      </c>
      <c r="I714" s="26" t="s">
        <v>2098</v>
      </c>
      <c r="J714" s="26" t="s">
        <v>11</v>
      </c>
      <c r="K714" s="26">
        <f t="shared" si="375"/>
        <v>0</v>
      </c>
      <c r="L714" s="42">
        <v>7</v>
      </c>
      <c r="M714" s="42">
        <v>6</v>
      </c>
      <c r="N714" s="42">
        <v>6</v>
      </c>
      <c r="O714" s="83">
        <v>6</v>
      </c>
      <c r="P714" s="83">
        <v>6</v>
      </c>
      <c r="Q714" s="83">
        <v>9</v>
      </c>
      <c r="R714" s="83">
        <v>8</v>
      </c>
      <c r="S714" s="83">
        <v>7</v>
      </c>
      <c r="T714" s="83">
        <v>7</v>
      </c>
      <c r="U714" s="83">
        <v>7</v>
      </c>
      <c r="V714" s="42"/>
      <c r="W714" s="42"/>
      <c r="X714" s="42"/>
      <c r="Y714" s="26">
        <v>50</v>
      </c>
      <c r="Z714" s="26">
        <f t="shared" si="371"/>
        <v>0</v>
      </c>
      <c r="AA714" s="82" t="s">
        <v>1470</v>
      </c>
      <c r="AB714" s="111">
        <f t="shared" si="356"/>
        <v>4</v>
      </c>
      <c r="AC714" s="85" t="s">
        <v>13</v>
      </c>
      <c r="AD714" s="84">
        <f>VLOOKUP(AC714,Cost,2,FALSE)*G714/5280</f>
        <v>5039.204545454545</v>
      </c>
      <c r="AE714" s="140"/>
      <c r="AF714" s="113">
        <f t="shared" si="354"/>
        <v>0</v>
      </c>
      <c r="AG714" s="26">
        <v>2024</v>
      </c>
      <c r="AH714" s="26" t="str">
        <f t="shared" si="344"/>
        <v/>
      </c>
      <c r="AI714" s="26" t="str">
        <f t="shared" si="360"/>
        <v/>
      </c>
      <c r="AJ714" s="26" t="str">
        <f t="shared" si="365"/>
        <v>Chip Seal and Fog</v>
      </c>
      <c r="AK714" s="26" t="str">
        <f t="shared" si="374"/>
        <v/>
      </c>
      <c r="AL714" s="26" t="str">
        <f t="shared" si="374"/>
        <v/>
      </c>
      <c r="AM714" s="26" t="str">
        <f t="shared" si="374"/>
        <v/>
      </c>
      <c r="AN714" s="26" t="str">
        <f t="shared" si="353"/>
        <v>Chip Seal and Fog</v>
      </c>
      <c r="AO714" s="26" t="str">
        <f t="shared" si="366"/>
        <v/>
      </c>
      <c r="AP714" s="26" t="str">
        <f t="shared" si="363"/>
        <v/>
      </c>
      <c r="AQ714" s="68">
        <f t="shared" si="357"/>
        <v>8</v>
      </c>
      <c r="AR714" s="68">
        <f t="shared" si="358"/>
        <v>6</v>
      </c>
      <c r="AS714" s="68">
        <f t="shared" si="347"/>
        <v>1.05</v>
      </c>
      <c r="AT714" s="68">
        <f t="shared" si="348"/>
        <v>1.1000000000000001</v>
      </c>
      <c r="AU714" s="68">
        <f t="shared" si="349"/>
        <v>1.1000000000000001</v>
      </c>
      <c r="AV714" s="68">
        <f t="shared" si="350"/>
        <v>1.1000000000000001</v>
      </c>
      <c r="AW714" s="68">
        <f t="shared" si="351"/>
        <v>1.1000000000000001</v>
      </c>
      <c r="AX714" s="68">
        <f t="shared" ca="1" si="352"/>
        <v>0</v>
      </c>
      <c r="AY714" s="68">
        <v>2018</v>
      </c>
      <c r="AZ714" s="68" t="s">
        <v>751</v>
      </c>
      <c r="BA714" s="106" t="str">
        <f t="shared" si="372"/>
        <v>P</v>
      </c>
      <c r="BB714" s="178"/>
      <c r="BC714" s="178"/>
      <c r="BD714" s="178"/>
      <c r="BE714" s="178"/>
      <c r="BF714" s="178"/>
      <c r="BG714" s="178"/>
      <c r="BH714" s="178"/>
      <c r="BI714" s="33"/>
      <c r="BK714" s="48">
        <f>$G714/5280*VLOOKUP($AC714,'Cost and Score'!$B$27:$O$40,6,0)</f>
        <v>4.7992424242424246E-2</v>
      </c>
      <c r="BL714" s="48">
        <f>$G714/5280*VLOOKUP($AC714,'Cost and Score'!$B$27:$O$40,7,0)</f>
        <v>5.2791666666666668</v>
      </c>
      <c r="BM714" s="48">
        <f>$G714/5280*VLOOKUP($AC714,'Cost and Score'!$B$27:$O$40,8,0)</f>
        <v>0</v>
      </c>
      <c r="BN714" s="48">
        <f>$G714/5280*VLOOKUP($AC714,'Cost and Score'!$B$27:$O$40,9,0)</f>
        <v>1079.8295454545455</v>
      </c>
      <c r="BO714" s="48">
        <f>$G714/5280*VLOOKUP($AC714,'Cost and Score'!$B$27:$O$40,10,0)</f>
        <v>239.96212121212122</v>
      </c>
      <c r="BP714" s="48">
        <f>$G714/5280*VLOOKUP($AC714,'Cost and Score'!$B$27:$O$40,11,0)</f>
        <v>0</v>
      </c>
      <c r="BQ714" s="48">
        <f>$G714/5280*VLOOKUP($AC714,'Cost and Score'!$B$27:$O$40,12,0)</f>
        <v>23.996212121212121</v>
      </c>
      <c r="BR714" s="48">
        <f>$G714/5280*VLOOKUP($AC714,'Cost and Score'!$B$27:$O$40,13,0)</f>
        <v>28.795454545454547</v>
      </c>
      <c r="BS714" s="48">
        <f>$G714/5280*VLOOKUP($AC714,'Cost and Score'!$B$27:$O$40,14,0)</f>
        <v>0</v>
      </c>
      <c r="BT714" s="220">
        <f t="shared" si="373"/>
        <v>0.23996212121212121</v>
      </c>
    </row>
    <row r="715" spans="1:103" s="2" customFormat="1" ht="14.45" hidden="1" customHeight="1" x14ac:dyDescent="0.25">
      <c r="A715" s="31" t="s">
        <v>2102</v>
      </c>
      <c r="B715" s="45" t="s">
        <v>1471</v>
      </c>
      <c r="C715" s="26" t="s">
        <v>1471</v>
      </c>
      <c r="D715" s="36" t="s">
        <v>2243</v>
      </c>
      <c r="E715" s="26" t="s">
        <v>1472</v>
      </c>
      <c r="F715" s="26" t="s">
        <v>1473</v>
      </c>
      <c r="G715" s="29">
        <v>634</v>
      </c>
      <c r="H715" s="29">
        <f t="shared" si="370"/>
        <v>26</v>
      </c>
      <c r="I715" s="26" t="s">
        <v>2098</v>
      </c>
      <c r="J715" s="26" t="s">
        <v>160</v>
      </c>
      <c r="K715" s="26">
        <f t="shared" si="375"/>
        <v>0</v>
      </c>
      <c r="L715" s="42">
        <v>7</v>
      </c>
      <c r="M715" s="42">
        <v>7</v>
      </c>
      <c r="N715" s="42">
        <v>7</v>
      </c>
      <c r="O715" s="42">
        <v>7</v>
      </c>
      <c r="P715" s="42">
        <v>7</v>
      </c>
      <c r="Q715" s="42">
        <v>8</v>
      </c>
      <c r="R715" s="42">
        <v>8</v>
      </c>
      <c r="S715" s="42">
        <v>8</v>
      </c>
      <c r="T715" s="42">
        <v>7</v>
      </c>
      <c r="U715" s="42">
        <v>7</v>
      </c>
      <c r="V715" s="42"/>
      <c r="W715" s="42"/>
      <c r="X715" s="42"/>
      <c r="Y715" s="26">
        <v>667</v>
      </c>
      <c r="Z715" s="26">
        <f t="shared" si="371"/>
        <v>0.5</v>
      </c>
      <c r="AA715" s="26" t="s">
        <v>1471</v>
      </c>
      <c r="AB715" s="111">
        <f t="shared" si="356"/>
        <v>3.5</v>
      </c>
      <c r="AC715" s="26" t="s">
        <v>2086</v>
      </c>
      <c r="AD715" s="47">
        <v>5072</v>
      </c>
      <c r="AE715" s="140"/>
      <c r="AF715" s="113">
        <f t="shared" si="354"/>
        <v>0</v>
      </c>
      <c r="AG715" s="26">
        <v>2024</v>
      </c>
      <c r="AH715" s="26" t="str">
        <f t="shared" si="344"/>
        <v/>
      </c>
      <c r="AI715" s="26" t="str">
        <f t="shared" si="360"/>
        <v/>
      </c>
      <c r="AJ715" s="26" t="str">
        <f t="shared" si="365"/>
        <v>Fog Seal</v>
      </c>
      <c r="AK715" s="26" t="str">
        <f t="shared" si="374"/>
        <v/>
      </c>
      <c r="AL715" s="26" t="str">
        <f t="shared" si="374"/>
        <v/>
      </c>
      <c r="AM715" s="26" t="str">
        <f t="shared" si="374"/>
        <v/>
      </c>
      <c r="AN715" s="26" t="str">
        <f t="shared" si="353"/>
        <v>Fog Seal</v>
      </c>
      <c r="AO715" s="26" t="str">
        <f t="shared" si="366"/>
        <v/>
      </c>
      <c r="AP715" s="26" t="str">
        <f t="shared" si="363"/>
        <v/>
      </c>
      <c r="AQ715" s="68">
        <f t="shared" si="357"/>
        <v>10</v>
      </c>
      <c r="AR715" s="68">
        <f t="shared" si="358"/>
        <v>2</v>
      </c>
      <c r="AS715" s="68">
        <f t="shared" si="347"/>
        <v>1.05</v>
      </c>
      <c r="AT715" s="68">
        <f t="shared" si="348"/>
        <v>1.05</v>
      </c>
      <c r="AU715" s="68">
        <f t="shared" si="349"/>
        <v>1.05</v>
      </c>
      <c r="AV715" s="68">
        <f t="shared" si="350"/>
        <v>1.05</v>
      </c>
      <c r="AW715" s="68">
        <f t="shared" si="351"/>
        <v>1.05</v>
      </c>
      <c r="AX715" s="68">
        <f t="shared" ca="1" si="352"/>
        <v>0</v>
      </c>
      <c r="AY715" s="68">
        <v>2018</v>
      </c>
      <c r="AZ715" s="68" t="s">
        <v>2371</v>
      </c>
      <c r="BA715" s="106" t="str">
        <f t="shared" si="372"/>
        <v>MICRO</v>
      </c>
      <c r="BB715" s="178"/>
      <c r="BC715" s="178"/>
      <c r="BD715" s="178"/>
      <c r="BE715" s="178"/>
      <c r="BF715" s="178"/>
      <c r="BG715" s="178"/>
      <c r="BH715" s="178"/>
      <c r="BI715" s="33"/>
      <c r="BK715" s="48">
        <f>$G715/5280*VLOOKUP($AC715,'Cost and Score'!$B$27:$O$40,6,0)</f>
        <v>1.2007575757575759E-2</v>
      </c>
      <c r="BL715" s="48">
        <f>$G715/5280*VLOOKUP($AC715,'Cost and Score'!$B$27:$O$40,7,0)</f>
        <v>2.4015151515151517E-2</v>
      </c>
      <c r="BM715" s="48">
        <f>$G715/5280*VLOOKUP($AC715,'Cost and Score'!$B$27:$O$40,8,0)</f>
        <v>0</v>
      </c>
      <c r="BN715" s="48">
        <f>$G715/5280*VLOOKUP($AC715,'Cost and Score'!$B$27:$O$40,9,0)</f>
        <v>0</v>
      </c>
      <c r="BO715" s="48">
        <f>$G715/5280*VLOOKUP($AC715,'Cost and Score'!$B$27:$O$40,10,0)</f>
        <v>120.07575757575758</v>
      </c>
      <c r="BP715" s="48">
        <f>$G715/5280*VLOOKUP($AC715,'Cost and Score'!$B$27:$O$40,11,0)</f>
        <v>0</v>
      </c>
      <c r="BQ715" s="48">
        <f>$G715/5280*VLOOKUP($AC715,'Cost and Score'!$B$27:$O$40,12,0)</f>
        <v>0</v>
      </c>
      <c r="BR715" s="48">
        <f>$G715/5280*VLOOKUP($AC715,'Cost and Score'!$B$27:$O$40,13,0)</f>
        <v>0</v>
      </c>
      <c r="BS715" s="48">
        <f>$G715/5280*VLOOKUP($AC715,'Cost and Score'!$B$27:$O$40,14,0)</f>
        <v>0</v>
      </c>
      <c r="BT715" s="220">
        <f t="shared" si="373"/>
        <v>0.12007575757575757</v>
      </c>
    </row>
    <row r="716" spans="1:103" s="2" customFormat="1" ht="14.45" hidden="1" customHeight="1" x14ac:dyDescent="0.25">
      <c r="A716" s="38" t="s">
        <v>1475</v>
      </c>
      <c r="B716" s="34" t="s">
        <v>1474</v>
      </c>
      <c r="C716" s="26" t="s">
        <v>1474</v>
      </c>
      <c r="D716" s="26"/>
      <c r="E716" s="26" t="s">
        <v>38</v>
      </c>
      <c r="F716" s="26" t="s">
        <v>20</v>
      </c>
      <c r="G716" s="29">
        <v>6593</v>
      </c>
      <c r="H716" s="29">
        <f t="shared" si="370"/>
        <v>20</v>
      </c>
      <c r="I716" s="26" t="s">
        <v>13</v>
      </c>
      <c r="J716" s="26" t="s">
        <v>62</v>
      </c>
      <c r="K716" s="26">
        <f t="shared" si="375"/>
        <v>0</v>
      </c>
      <c r="L716" s="42">
        <v>7</v>
      </c>
      <c r="M716" s="42">
        <v>7</v>
      </c>
      <c r="N716" s="42">
        <v>7</v>
      </c>
      <c r="O716" s="42">
        <v>5</v>
      </c>
      <c r="P716" s="42">
        <v>5</v>
      </c>
      <c r="Q716" s="42">
        <v>5</v>
      </c>
      <c r="R716" s="42">
        <v>5</v>
      </c>
      <c r="S716" s="42">
        <v>8</v>
      </c>
      <c r="T716" s="42">
        <v>7</v>
      </c>
      <c r="U716" s="42">
        <v>7</v>
      </c>
      <c r="V716" s="42"/>
      <c r="W716" s="42"/>
      <c r="X716" s="42"/>
      <c r="Y716" s="26">
        <v>40</v>
      </c>
      <c r="Z716" s="26">
        <f t="shared" si="371"/>
        <v>0</v>
      </c>
      <c r="AA716" s="26" t="s">
        <v>60</v>
      </c>
      <c r="AB716" s="111">
        <f t="shared" si="356"/>
        <v>5</v>
      </c>
      <c r="AC716" s="26" t="s">
        <v>2073</v>
      </c>
      <c r="AD716" s="47">
        <f>VLOOKUP(AC716,Cost,2,FALSE)*G716/5280</f>
        <v>39957.57575757576</v>
      </c>
      <c r="AE716" s="140"/>
      <c r="AF716" s="113">
        <f t="shared" si="354"/>
        <v>0</v>
      </c>
      <c r="AG716" s="85">
        <v>2026</v>
      </c>
      <c r="AH716" s="26" t="str">
        <f t="shared" si="344"/>
        <v/>
      </c>
      <c r="AI716" s="26" t="str">
        <f t="shared" si="360"/>
        <v/>
      </c>
      <c r="AJ716" s="26" t="str">
        <f t="shared" si="365"/>
        <v/>
      </c>
      <c r="AK716" s="26" t="str">
        <f t="shared" si="374"/>
        <v/>
      </c>
      <c r="AL716" s="26" t="str">
        <f t="shared" si="374"/>
        <v>Chip Seal - Double and Fog</v>
      </c>
      <c r="AM716" s="26" t="str">
        <f t="shared" si="374"/>
        <v/>
      </c>
      <c r="AN716" s="26" t="str">
        <f t="shared" si="353"/>
        <v>Chip Seal - Double and Fog</v>
      </c>
      <c r="AO716" s="26" t="str">
        <f t="shared" si="366"/>
        <v/>
      </c>
      <c r="AP716" s="26" t="str">
        <f t="shared" si="363"/>
        <v/>
      </c>
      <c r="AQ716" s="68">
        <f t="shared" si="357"/>
        <v>6</v>
      </c>
      <c r="AR716" s="68">
        <f t="shared" si="358"/>
        <v>6</v>
      </c>
      <c r="AS716" s="68">
        <f t="shared" si="347"/>
        <v>1.05</v>
      </c>
      <c r="AT716" s="68">
        <f t="shared" si="348"/>
        <v>1.05</v>
      </c>
      <c r="AU716" s="68">
        <f t="shared" si="349"/>
        <v>1.05</v>
      </c>
      <c r="AV716" s="68">
        <f t="shared" si="350"/>
        <v>1.25</v>
      </c>
      <c r="AW716" s="68">
        <f t="shared" si="351"/>
        <v>1.25</v>
      </c>
      <c r="AX716" s="68">
        <f t="shared" ca="1" si="352"/>
        <v>2.1</v>
      </c>
      <c r="AY716" s="68">
        <v>2020</v>
      </c>
      <c r="AZ716" s="68" t="s">
        <v>2073</v>
      </c>
      <c r="BA716" s="106" t="str">
        <f t="shared" si="372"/>
        <v/>
      </c>
      <c r="BB716" s="178">
        <v>92</v>
      </c>
      <c r="BC716" s="178">
        <v>1</v>
      </c>
      <c r="BD716" s="178"/>
      <c r="BE716" s="178"/>
      <c r="BF716" s="178"/>
      <c r="BG716" s="178"/>
      <c r="BH716" s="178"/>
      <c r="BI716" s="33"/>
      <c r="BK716" s="48">
        <f>$G716/5280*VLOOKUP($AC716,'Cost and Score'!$B$27:$O$40,6,0)</f>
        <v>0.62433712121212126</v>
      </c>
      <c r="BL716" s="48">
        <f>$G716/5280*VLOOKUP($AC716,'Cost and Score'!$B$27:$O$40,7,0)</f>
        <v>62.433712121212125</v>
      </c>
      <c r="BM716" s="48">
        <f>$G716/5280*VLOOKUP($AC716,'Cost and Score'!$B$27:$O$40,8,0)</f>
        <v>0</v>
      </c>
      <c r="BN716" s="48">
        <f>$G716/5280*VLOOKUP($AC716,'Cost and Score'!$B$27:$O$40,9,0)</f>
        <v>11862.405303030304</v>
      </c>
      <c r="BO716" s="48">
        <f>$G716/5280*VLOOKUP($AC716,'Cost and Score'!$B$27:$O$40,10,0)</f>
        <v>1248.6742424242425</v>
      </c>
      <c r="BP716" s="48">
        <f>$G716/5280*VLOOKUP($AC716,'Cost and Score'!$B$27:$O$40,11,0)</f>
        <v>0</v>
      </c>
      <c r="BQ716" s="48">
        <f>$G716/5280*VLOOKUP($AC716,'Cost and Score'!$B$27:$O$40,12,0)</f>
        <v>249.7348484848485</v>
      </c>
      <c r="BR716" s="48">
        <f>$G716/5280*VLOOKUP($AC716,'Cost and Score'!$B$27:$O$40,13,0)</f>
        <v>224.76136363636365</v>
      </c>
      <c r="BS716" s="48">
        <f>$G716/5280*VLOOKUP($AC716,'Cost and Score'!$B$27:$O$40,14,0)</f>
        <v>299.68181818181819</v>
      </c>
      <c r="BT716" s="220">
        <f t="shared" si="373"/>
        <v>1.2486742424242425</v>
      </c>
      <c r="CW716" s="112"/>
      <c r="CX716" s="112"/>
      <c r="CY716" s="112"/>
    </row>
    <row r="717" spans="1:103" s="2" customFormat="1" ht="14.45" hidden="1" customHeight="1" x14ac:dyDescent="0.25">
      <c r="A717" s="38" t="s">
        <v>1477</v>
      </c>
      <c r="B717" s="34" t="s">
        <v>1476</v>
      </c>
      <c r="C717" s="26" t="s">
        <v>1476</v>
      </c>
      <c r="D717" s="26"/>
      <c r="E717" s="26" t="s">
        <v>20</v>
      </c>
      <c r="F717" s="26" t="s">
        <v>21</v>
      </c>
      <c r="G717" s="29">
        <v>5610</v>
      </c>
      <c r="H717" s="29">
        <f t="shared" si="370"/>
        <v>20</v>
      </c>
      <c r="I717" s="26" t="s">
        <v>8</v>
      </c>
      <c r="J717" s="26" t="s">
        <v>62</v>
      </c>
      <c r="K717" s="26">
        <f t="shared" si="375"/>
        <v>0</v>
      </c>
      <c r="L717" s="42">
        <v>7</v>
      </c>
      <c r="M717" s="42">
        <v>7</v>
      </c>
      <c r="N717" s="42">
        <v>6</v>
      </c>
      <c r="O717" s="42">
        <v>5</v>
      </c>
      <c r="P717" s="42">
        <v>5</v>
      </c>
      <c r="Q717" s="42">
        <v>5</v>
      </c>
      <c r="R717" s="42">
        <v>5</v>
      </c>
      <c r="S717" s="42">
        <v>8</v>
      </c>
      <c r="T717" s="42">
        <v>8</v>
      </c>
      <c r="U717" s="42">
        <v>8</v>
      </c>
      <c r="V717" s="42"/>
      <c r="W717" s="42"/>
      <c r="X717" s="42"/>
      <c r="Y717" s="26">
        <v>52</v>
      </c>
      <c r="Z717" s="26">
        <f t="shared" si="371"/>
        <v>0</v>
      </c>
      <c r="AA717" s="26" t="s">
        <v>60</v>
      </c>
      <c r="AB717" s="111">
        <f t="shared" si="356"/>
        <v>5</v>
      </c>
      <c r="AC717" s="85" t="s">
        <v>13</v>
      </c>
      <c r="AD717" s="47">
        <f>VLOOKUP(AC717,Cost,2,FALSE)*G717/5280</f>
        <v>22312.5</v>
      </c>
      <c r="AE717" s="140"/>
      <c r="AF717" s="113">
        <f t="shared" si="354"/>
        <v>0</v>
      </c>
      <c r="AG717" s="85">
        <v>2026</v>
      </c>
      <c r="AH717" s="26" t="str">
        <f t="shared" ref="AH717:AH780" si="376">IF($AG717=AH$1,VLOOKUP($AC717,RSL,3,FALSE),"")</f>
        <v/>
      </c>
      <c r="AI717" s="26" t="str">
        <f t="shared" si="360"/>
        <v/>
      </c>
      <c r="AJ717" s="26" t="str">
        <f t="shared" si="365"/>
        <v/>
      </c>
      <c r="AK717" s="26" t="str">
        <f t="shared" si="374"/>
        <v/>
      </c>
      <c r="AL717" s="26" t="str">
        <f t="shared" si="374"/>
        <v>Chip Seal and Fog</v>
      </c>
      <c r="AM717" s="26" t="str">
        <f t="shared" si="374"/>
        <v/>
      </c>
      <c r="AN717" s="26" t="str">
        <f t="shared" si="353"/>
        <v>Chip Seal and Fog</v>
      </c>
      <c r="AO717" s="26" t="str">
        <f t="shared" si="366"/>
        <v/>
      </c>
      <c r="AP717" s="26" t="str">
        <f t="shared" si="363"/>
        <v/>
      </c>
      <c r="AQ717" s="68">
        <f t="shared" si="357"/>
        <v>6</v>
      </c>
      <c r="AR717" s="68">
        <f t="shared" si="358"/>
        <v>6</v>
      </c>
      <c r="AS717" s="68">
        <f t="shared" si="347"/>
        <v>1.05</v>
      </c>
      <c r="AT717" s="68">
        <f t="shared" si="348"/>
        <v>1.05</v>
      </c>
      <c r="AU717" s="68">
        <f t="shared" si="349"/>
        <v>1.1000000000000001</v>
      </c>
      <c r="AV717" s="68">
        <f t="shared" si="350"/>
        <v>1.25</v>
      </c>
      <c r="AW717" s="68">
        <f t="shared" si="351"/>
        <v>1.25</v>
      </c>
      <c r="AX717" s="68">
        <f t="shared" ca="1" si="352"/>
        <v>2.2000000000000002</v>
      </c>
      <c r="AY717" s="68">
        <v>2020</v>
      </c>
      <c r="AZ717" s="68" t="s">
        <v>751</v>
      </c>
      <c r="BA717" s="106" t="str">
        <f t="shared" si="372"/>
        <v/>
      </c>
      <c r="BB717" s="178">
        <v>93</v>
      </c>
      <c r="BC717" s="178">
        <v>1</v>
      </c>
      <c r="BD717" s="178"/>
      <c r="BE717" s="178"/>
      <c r="BF717" s="178"/>
      <c r="BG717" s="178"/>
      <c r="BH717" s="178"/>
      <c r="BI717" s="33"/>
      <c r="BK717" s="48">
        <f>$G717/5280*VLOOKUP($AC717,'Cost and Score'!$B$27:$O$40,6,0)</f>
        <v>0.21250000000000002</v>
      </c>
      <c r="BL717" s="48">
        <f>$G717/5280*VLOOKUP($AC717,'Cost and Score'!$B$27:$O$40,7,0)</f>
        <v>23.375</v>
      </c>
      <c r="BM717" s="48">
        <f>$G717/5280*VLOOKUP($AC717,'Cost and Score'!$B$27:$O$40,8,0)</f>
        <v>0</v>
      </c>
      <c r="BN717" s="48">
        <f>$G717/5280*VLOOKUP($AC717,'Cost and Score'!$B$27:$O$40,9,0)</f>
        <v>4781.25</v>
      </c>
      <c r="BO717" s="48">
        <f>$G717/5280*VLOOKUP($AC717,'Cost and Score'!$B$27:$O$40,10,0)</f>
        <v>1062.5</v>
      </c>
      <c r="BP717" s="48">
        <f>$G717/5280*VLOOKUP($AC717,'Cost and Score'!$B$27:$O$40,11,0)</f>
        <v>0</v>
      </c>
      <c r="BQ717" s="48">
        <f>$G717/5280*VLOOKUP($AC717,'Cost and Score'!$B$27:$O$40,12,0)</f>
        <v>106.25</v>
      </c>
      <c r="BR717" s="48">
        <f>$G717/5280*VLOOKUP($AC717,'Cost and Score'!$B$27:$O$40,13,0)</f>
        <v>127.5</v>
      </c>
      <c r="BS717" s="48">
        <f>$G717/5280*VLOOKUP($AC717,'Cost and Score'!$B$27:$O$40,14,0)</f>
        <v>0</v>
      </c>
      <c r="BT717" s="220">
        <f t="shared" si="373"/>
        <v>1.0625</v>
      </c>
    </row>
    <row r="718" spans="1:103" s="2" customFormat="1" ht="14.45" hidden="1" customHeight="1" x14ac:dyDescent="0.25">
      <c r="A718" s="31" t="s">
        <v>2102</v>
      </c>
      <c r="B718" s="120" t="s">
        <v>1478</v>
      </c>
      <c r="C718" s="106" t="s">
        <v>1478</v>
      </c>
      <c r="D718" s="116" t="s">
        <v>2231</v>
      </c>
      <c r="E718" s="106" t="s">
        <v>1458</v>
      </c>
      <c r="F718" s="106" t="s">
        <v>1459</v>
      </c>
      <c r="G718" s="109">
        <v>1056</v>
      </c>
      <c r="H718" s="109">
        <f t="shared" si="370"/>
        <v>26</v>
      </c>
      <c r="I718" s="106" t="s">
        <v>2098</v>
      </c>
      <c r="J718" s="106" t="s">
        <v>160</v>
      </c>
      <c r="K718" s="106">
        <f t="shared" si="375"/>
        <v>0</v>
      </c>
      <c r="L718" s="110">
        <v>7</v>
      </c>
      <c r="M718" s="110">
        <v>8</v>
      </c>
      <c r="N718" s="110">
        <v>8</v>
      </c>
      <c r="O718" s="110">
        <v>8</v>
      </c>
      <c r="P718" s="110">
        <v>7</v>
      </c>
      <c r="Q718" s="110">
        <v>7</v>
      </c>
      <c r="R718" s="110">
        <v>7</v>
      </c>
      <c r="S718" s="110">
        <v>7</v>
      </c>
      <c r="T718" s="110">
        <v>7</v>
      </c>
      <c r="U718" s="110">
        <v>6</v>
      </c>
      <c r="V718" s="110"/>
      <c r="W718" s="110"/>
      <c r="X718" s="110"/>
      <c r="Y718" s="106">
        <v>515</v>
      </c>
      <c r="Z718" s="106">
        <f t="shared" si="371"/>
        <v>0.5</v>
      </c>
      <c r="AA718" s="106" t="s">
        <v>1478</v>
      </c>
      <c r="AB718" s="111">
        <f t="shared" si="356"/>
        <v>3.5</v>
      </c>
      <c r="AC718" s="26" t="s">
        <v>2086</v>
      </c>
      <c r="AD718" s="107">
        <f>VLOOKUP(AC718,Cost,2,FALSE)*G718/5280</f>
        <v>500</v>
      </c>
      <c r="AE718" s="198"/>
      <c r="AF718" s="113">
        <f t="shared" si="354"/>
        <v>0</v>
      </c>
      <c r="AG718" s="26">
        <v>2024</v>
      </c>
      <c r="AH718" s="26" t="str">
        <f t="shared" si="376"/>
        <v/>
      </c>
      <c r="AI718" s="26" t="str">
        <f t="shared" si="360"/>
        <v/>
      </c>
      <c r="AJ718" s="26" t="str">
        <f t="shared" si="365"/>
        <v>Fog Seal</v>
      </c>
      <c r="AK718" s="26" t="str">
        <f t="shared" si="374"/>
        <v/>
      </c>
      <c r="AL718" s="26" t="str">
        <f t="shared" si="374"/>
        <v/>
      </c>
      <c r="AM718" s="26" t="str">
        <f t="shared" si="374"/>
        <v/>
      </c>
      <c r="AN718" s="26" t="str">
        <f t="shared" si="353"/>
        <v>Fog Seal</v>
      </c>
      <c r="AO718" s="26" t="str">
        <f t="shared" si="366"/>
        <v/>
      </c>
      <c r="AP718" s="26" t="str">
        <f t="shared" si="363"/>
        <v/>
      </c>
      <c r="AQ718" s="68">
        <f t="shared" si="357"/>
        <v>12</v>
      </c>
      <c r="AR718" s="68">
        <f t="shared" si="358"/>
        <v>2</v>
      </c>
      <c r="AS718" s="68">
        <f t="shared" si="347"/>
        <v>1.05</v>
      </c>
      <c r="AT718" s="68">
        <f t="shared" si="348"/>
        <v>1</v>
      </c>
      <c r="AU718" s="68">
        <f t="shared" si="349"/>
        <v>1</v>
      </c>
      <c r="AV718" s="68">
        <f t="shared" si="350"/>
        <v>1</v>
      </c>
      <c r="AW718" s="68">
        <f t="shared" si="351"/>
        <v>1.05</v>
      </c>
      <c r="AX718" s="68">
        <f t="shared" ca="1" si="352"/>
        <v>0</v>
      </c>
      <c r="AY718" s="106">
        <v>2018</v>
      </c>
      <c r="AZ718" s="106" t="s">
        <v>2425</v>
      </c>
      <c r="BA718" s="106" t="str">
        <f t="shared" si="372"/>
        <v>MICROSEAL</v>
      </c>
      <c r="BB718" s="177"/>
      <c r="BC718" s="177"/>
      <c r="BD718" s="177"/>
      <c r="BE718" s="177"/>
      <c r="BF718" s="177"/>
      <c r="BG718" s="177"/>
      <c r="BH718" s="177"/>
      <c r="BI718" s="33"/>
      <c r="BK718" s="48">
        <f>$G718/5280*VLOOKUP($AC718,'Cost and Score'!$B$27:$O$40,6,0)</f>
        <v>2.0000000000000004E-2</v>
      </c>
      <c r="BL718" s="48">
        <f>$G718/5280*VLOOKUP($AC718,'Cost and Score'!$B$27:$O$40,7,0)</f>
        <v>4.0000000000000008E-2</v>
      </c>
      <c r="BM718" s="48">
        <f>$G718/5280*VLOOKUP($AC718,'Cost and Score'!$B$27:$O$40,8,0)</f>
        <v>0</v>
      </c>
      <c r="BN718" s="48">
        <f>$G718/5280*VLOOKUP($AC718,'Cost and Score'!$B$27:$O$40,9,0)</f>
        <v>0</v>
      </c>
      <c r="BO718" s="48">
        <f>$G718/5280*VLOOKUP($AC718,'Cost and Score'!$B$27:$O$40,10,0)</f>
        <v>200</v>
      </c>
      <c r="BP718" s="48">
        <f>$G718/5280*VLOOKUP($AC718,'Cost and Score'!$B$27:$O$40,11,0)</f>
        <v>0</v>
      </c>
      <c r="BQ718" s="48">
        <f>$G718/5280*VLOOKUP($AC718,'Cost and Score'!$B$27:$O$40,12,0)</f>
        <v>0</v>
      </c>
      <c r="BR718" s="48">
        <f>$G718/5280*VLOOKUP($AC718,'Cost and Score'!$B$27:$O$40,13,0)</f>
        <v>0</v>
      </c>
      <c r="BS718" s="48">
        <f>$G718/5280*VLOOKUP($AC718,'Cost and Score'!$B$27:$O$40,14,0)</f>
        <v>0</v>
      </c>
      <c r="BT718" s="220">
        <f t="shared" si="373"/>
        <v>0.2</v>
      </c>
      <c r="CF718" s="112"/>
      <c r="CR718" s="112"/>
    </row>
    <row r="719" spans="1:103" s="112" customFormat="1" ht="14.45" customHeight="1" x14ac:dyDescent="0.25">
      <c r="A719" s="31" t="s">
        <v>2102</v>
      </c>
      <c r="B719" s="45" t="s">
        <v>1959</v>
      </c>
      <c r="C719" s="26" t="s">
        <v>1959</v>
      </c>
      <c r="D719" s="36" t="s">
        <v>2331</v>
      </c>
      <c r="E719" s="26" t="s">
        <v>1480</v>
      </c>
      <c r="F719" s="26" t="s">
        <v>1481</v>
      </c>
      <c r="G719" s="29">
        <v>475</v>
      </c>
      <c r="H719" s="29">
        <f t="shared" si="370"/>
        <v>26</v>
      </c>
      <c r="I719" s="26" t="s">
        <v>2098</v>
      </c>
      <c r="J719" s="26" t="s">
        <v>160</v>
      </c>
      <c r="K719" s="26">
        <f t="shared" si="375"/>
        <v>0</v>
      </c>
      <c r="L719" s="42">
        <v>6</v>
      </c>
      <c r="M719" s="42">
        <v>8</v>
      </c>
      <c r="N719" s="42">
        <v>8</v>
      </c>
      <c r="O719" s="42">
        <v>8</v>
      </c>
      <c r="P719" s="42">
        <v>8</v>
      </c>
      <c r="Q719" s="42">
        <v>8</v>
      </c>
      <c r="R719" s="42">
        <v>8</v>
      </c>
      <c r="S719" s="42">
        <v>7</v>
      </c>
      <c r="T719" s="42">
        <v>7</v>
      </c>
      <c r="U719" s="42">
        <v>7</v>
      </c>
      <c r="V719" s="42"/>
      <c r="W719" s="42"/>
      <c r="X719" s="42"/>
      <c r="Y719" s="26">
        <v>306</v>
      </c>
      <c r="Z719" s="26">
        <f t="shared" si="371"/>
        <v>0</v>
      </c>
      <c r="AA719" s="26" t="s">
        <v>1959</v>
      </c>
      <c r="AB719" s="111">
        <f t="shared" si="356"/>
        <v>2</v>
      </c>
      <c r="AC719" s="28" t="s">
        <v>2086</v>
      </c>
      <c r="AD719" s="123">
        <v>4117</v>
      </c>
      <c r="AE719" s="140"/>
      <c r="AF719" s="113">
        <f t="shared" si="354"/>
        <v>0</v>
      </c>
      <c r="AG719" s="106">
        <v>2025</v>
      </c>
      <c r="AH719" s="26" t="str">
        <f t="shared" si="376"/>
        <v/>
      </c>
      <c r="AI719" s="26" t="str">
        <f t="shared" si="360"/>
        <v/>
      </c>
      <c r="AJ719" s="26" t="str">
        <f t="shared" si="365"/>
        <v/>
      </c>
      <c r="AK719" s="26" t="str">
        <f t="shared" si="374"/>
        <v>Fog Seal</v>
      </c>
      <c r="AL719" s="26" t="str">
        <f t="shared" si="374"/>
        <v/>
      </c>
      <c r="AM719" s="26" t="str">
        <f t="shared" si="374"/>
        <v/>
      </c>
      <c r="AN719" s="26" t="str">
        <f t="shared" si="353"/>
        <v>Fog Seal</v>
      </c>
      <c r="AO719" s="26" t="str">
        <f t="shared" si="366"/>
        <v/>
      </c>
      <c r="AP719" s="26" t="str">
        <f t="shared" si="363"/>
        <v/>
      </c>
      <c r="AQ719" s="68">
        <f t="shared" si="357"/>
        <v>12</v>
      </c>
      <c r="AR719" s="68">
        <f t="shared" si="358"/>
        <v>2</v>
      </c>
      <c r="AS719" s="68">
        <f t="shared" si="347"/>
        <v>1.1000000000000001</v>
      </c>
      <c r="AT719" s="68">
        <f t="shared" si="348"/>
        <v>1</v>
      </c>
      <c r="AU719" s="68">
        <f t="shared" si="349"/>
        <v>1</v>
      </c>
      <c r="AV719" s="68">
        <f t="shared" si="350"/>
        <v>1</v>
      </c>
      <c r="AW719" s="68">
        <f t="shared" si="351"/>
        <v>1</v>
      </c>
      <c r="AX719" s="68">
        <f t="shared" ca="1" si="352"/>
        <v>1</v>
      </c>
      <c r="AY719" s="68">
        <v>2019</v>
      </c>
      <c r="AZ719" s="68" t="s">
        <v>2371</v>
      </c>
      <c r="BA719" s="106" t="str">
        <f t="shared" si="372"/>
        <v/>
      </c>
      <c r="BB719" s="178"/>
      <c r="BC719" s="177"/>
      <c r="BD719" s="177"/>
      <c r="BE719" s="177"/>
      <c r="BF719" s="177"/>
      <c r="BG719" s="177"/>
      <c r="BH719" s="177"/>
      <c r="BI719" s="33"/>
      <c r="BJ719" s="2"/>
      <c r="BK719" s="48">
        <f>$G719/5280*VLOOKUP($AC719,'Cost and Score'!$B$27:$O$40,6,0)</f>
        <v>8.9962121212121219E-3</v>
      </c>
      <c r="BL719" s="48">
        <f>$G719/5280*VLOOKUP($AC719,'Cost and Score'!$B$27:$O$40,7,0)</f>
        <v>1.7992424242424244E-2</v>
      </c>
      <c r="BM719" s="48">
        <f>$G719/5280*VLOOKUP($AC719,'Cost and Score'!$B$27:$O$40,8,0)</f>
        <v>0</v>
      </c>
      <c r="BN719" s="48">
        <f>$G719/5280*VLOOKUP($AC719,'Cost and Score'!$B$27:$O$40,9,0)</f>
        <v>0</v>
      </c>
      <c r="BO719" s="48">
        <f>$G719/5280*VLOOKUP($AC719,'Cost and Score'!$B$27:$O$40,10,0)</f>
        <v>89.962121212121218</v>
      </c>
      <c r="BP719" s="48">
        <f>$G719/5280*VLOOKUP($AC719,'Cost and Score'!$B$27:$O$40,11,0)</f>
        <v>0</v>
      </c>
      <c r="BQ719" s="48">
        <f>$G719/5280*VLOOKUP($AC719,'Cost and Score'!$B$27:$O$40,12,0)</f>
        <v>0</v>
      </c>
      <c r="BR719" s="48">
        <f>$G719/5280*VLOOKUP($AC719,'Cost and Score'!$B$27:$O$40,13,0)</f>
        <v>0</v>
      </c>
      <c r="BS719" s="48">
        <f>$G719/5280*VLOOKUP($AC719,'Cost and Score'!$B$27:$O$40,14,0)</f>
        <v>0</v>
      </c>
      <c r="BT719" s="220">
        <f t="shared" si="373"/>
        <v>8.9962121212121215E-2</v>
      </c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R719" s="2"/>
      <c r="CS719" s="2"/>
      <c r="CT719" s="2"/>
      <c r="CU719" s="2"/>
    </row>
    <row r="720" spans="1:103" s="2" customFormat="1" ht="14.45" hidden="1" customHeight="1" x14ac:dyDescent="0.25">
      <c r="A720" s="31"/>
      <c r="B720" s="226" t="s">
        <v>1482</v>
      </c>
      <c r="C720" s="106" t="s">
        <v>1482</v>
      </c>
      <c r="D720" s="116" t="s">
        <v>2299</v>
      </c>
      <c r="E720" s="106" t="s">
        <v>4</v>
      </c>
      <c r="F720" s="106" t="s">
        <v>1405</v>
      </c>
      <c r="G720" s="109">
        <v>634</v>
      </c>
      <c r="H720" s="109">
        <f t="shared" si="370"/>
        <v>26</v>
      </c>
      <c r="I720" s="106" t="s">
        <v>2098</v>
      </c>
      <c r="J720" s="106" t="s">
        <v>101</v>
      </c>
      <c r="K720" s="106">
        <v>0</v>
      </c>
      <c r="L720" s="110">
        <v>7</v>
      </c>
      <c r="M720" s="110">
        <v>7</v>
      </c>
      <c r="N720" s="110">
        <v>7</v>
      </c>
      <c r="O720" s="110">
        <v>7</v>
      </c>
      <c r="P720" s="110">
        <v>9</v>
      </c>
      <c r="Q720" s="110">
        <v>8</v>
      </c>
      <c r="R720" s="110">
        <v>8</v>
      </c>
      <c r="S720" s="110">
        <v>7</v>
      </c>
      <c r="T720" s="110">
        <v>6</v>
      </c>
      <c r="U720" s="110">
        <v>6</v>
      </c>
      <c r="V720" s="110"/>
      <c r="W720" s="110"/>
      <c r="X720" s="110"/>
      <c r="Y720" s="106">
        <v>50</v>
      </c>
      <c r="Z720" s="106">
        <f t="shared" si="371"/>
        <v>0</v>
      </c>
      <c r="AA720" s="106" t="s">
        <v>1482</v>
      </c>
      <c r="AB720" s="111">
        <f t="shared" si="356"/>
        <v>1</v>
      </c>
      <c r="AC720" s="85" t="s">
        <v>2371</v>
      </c>
      <c r="AD720" s="107">
        <f>VLOOKUP(AC720,Cost,2,FALSE)*G720/5280</f>
        <v>9606.060606060606</v>
      </c>
      <c r="AE720" s="140">
        <v>1</v>
      </c>
      <c r="AF720" s="113">
        <f t="shared" si="354"/>
        <v>9606.060606060606</v>
      </c>
      <c r="AG720" s="106">
        <v>2024</v>
      </c>
      <c r="AH720" s="26" t="str">
        <f t="shared" si="376"/>
        <v/>
      </c>
      <c r="AI720" s="26" t="str">
        <f t="shared" si="360"/>
        <v/>
      </c>
      <c r="AJ720" s="26" t="str">
        <f t="shared" si="365"/>
        <v>Microsurface double</v>
      </c>
      <c r="AK720" s="26" t="str">
        <f t="shared" si="374"/>
        <v/>
      </c>
      <c r="AL720" s="26" t="str">
        <f t="shared" si="374"/>
        <v/>
      </c>
      <c r="AM720" s="26" t="str">
        <f t="shared" si="374"/>
        <v/>
      </c>
      <c r="AN720" s="26" t="str">
        <f t="shared" si="353"/>
        <v>Microsurface double</v>
      </c>
      <c r="AO720" s="26" t="str">
        <f t="shared" si="366"/>
        <v/>
      </c>
      <c r="AP720" s="26" t="str">
        <f t="shared" si="363"/>
        <v/>
      </c>
      <c r="AQ720" s="68">
        <f t="shared" si="357"/>
        <v>10</v>
      </c>
      <c r="AR720" s="68">
        <f t="shared" si="358"/>
        <v>10</v>
      </c>
      <c r="AS720" s="68">
        <f t="shared" ref="AS720:AS783" si="377">IF(L720 &lt;&gt; "",VLOOKUP(L720,RSLloss,3,FALSE),0)</f>
        <v>1.05</v>
      </c>
      <c r="AT720" s="68">
        <f t="shared" ref="AT720:AT783" si="378">IF(M720 &lt;&gt; "",VLOOKUP(M720,RSLloss,3,FALSE),0)</f>
        <v>1.05</v>
      </c>
      <c r="AU720" s="68">
        <f t="shared" ref="AU720:AU783" si="379">IF(N720 &lt;&gt; "",VLOOKUP(N720,RSLloss,3,FALSE),0)</f>
        <v>1.05</v>
      </c>
      <c r="AV720" s="68">
        <f t="shared" ref="AV720:AV783" si="380">IF(O720 &lt;&gt; "",VLOOKUP(O720,RSLloss,3,FALSE),0)</f>
        <v>1.05</v>
      </c>
      <c r="AW720" s="68">
        <f t="shared" ref="AW720:AW783" si="381">IF(P720 &lt;&gt; "",VLOOKUP(P720,RSLloss,3,FALSE),0)</f>
        <v>1</v>
      </c>
      <c r="AX720" s="68">
        <f t="shared" ref="AX720:AX755" ca="1" si="382">AU720*(AG720-YEAR(TODAY()))</f>
        <v>0</v>
      </c>
      <c r="AY720" s="106">
        <v>2017</v>
      </c>
      <c r="AZ720" s="68" t="s">
        <v>2425</v>
      </c>
      <c r="BA720" s="106" t="str">
        <f t="shared" si="372"/>
        <v/>
      </c>
      <c r="BB720" s="178"/>
      <c r="BC720" s="178"/>
      <c r="BD720" s="178"/>
      <c r="BE720" s="178"/>
      <c r="BF720" s="178"/>
      <c r="BG720" s="178"/>
      <c r="BH720" s="178">
        <v>5</v>
      </c>
      <c r="BI720" s="33" t="s">
        <v>2623</v>
      </c>
      <c r="BK720" s="48">
        <f>$G720/5280*VLOOKUP($AC720,'Cost and Score'!$B$27:$O$40,6,0)</f>
        <v>6.0037878787878786E-2</v>
      </c>
      <c r="BL720" s="48">
        <f>$G720/5280*VLOOKUP($AC720,'Cost and Score'!$B$27:$O$40,7,0)</f>
        <v>0</v>
      </c>
      <c r="BM720" s="48">
        <f>$G720/5280*VLOOKUP($AC720,'Cost and Score'!$B$27:$O$40,8,0)</f>
        <v>0</v>
      </c>
      <c r="BN720" s="48">
        <f>$G720/5280*VLOOKUP($AC720,'Cost and Score'!$B$27:$O$40,9,0)</f>
        <v>0</v>
      </c>
      <c r="BO720" s="48">
        <f>$G720/5280*VLOOKUP($AC720,'Cost and Score'!$B$27:$O$40,10,0)</f>
        <v>0</v>
      </c>
      <c r="BP720" s="48">
        <f>$G720/5280*VLOOKUP($AC720,'Cost and Score'!$B$27:$O$40,11,0)</f>
        <v>0</v>
      </c>
      <c r="BQ720" s="48">
        <f>$G720/5280*VLOOKUP($AC720,'Cost and Score'!$B$27:$O$40,12,0)</f>
        <v>0</v>
      </c>
      <c r="BR720" s="48">
        <f>$G720/5280*VLOOKUP($AC720,'Cost and Score'!$B$27:$O$40,13,0)</f>
        <v>0</v>
      </c>
      <c r="BS720" s="48">
        <f>$G720/5280*VLOOKUP($AC720,'Cost and Score'!$B$27:$O$40,14,0)</f>
        <v>0</v>
      </c>
      <c r="BT720" s="220">
        <f t="shared" si="373"/>
        <v>0.12007575757575757</v>
      </c>
      <c r="CS720" s="112"/>
      <c r="CT720" s="112"/>
      <c r="CU720" s="112"/>
      <c r="CV720" s="112"/>
    </row>
    <row r="721" spans="1:103" s="112" customFormat="1" ht="14.45" hidden="1" customHeight="1" x14ac:dyDescent="0.25">
      <c r="A721" s="31"/>
      <c r="B721" s="106" t="s">
        <v>2341</v>
      </c>
      <c r="C721" s="106" t="s">
        <v>2341</v>
      </c>
      <c r="D721" s="116" t="s">
        <v>2299</v>
      </c>
      <c r="E721" s="106" t="s">
        <v>4</v>
      </c>
      <c r="F721" s="106" t="s">
        <v>1405</v>
      </c>
      <c r="G721" s="109">
        <v>663.7</v>
      </c>
      <c r="H721" s="109"/>
      <c r="I721" s="106" t="s">
        <v>2098</v>
      </c>
      <c r="J721" s="106" t="s">
        <v>101</v>
      </c>
      <c r="K721" s="106">
        <v>0</v>
      </c>
      <c r="L721" s="110"/>
      <c r="M721" s="110">
        <v>8</v>
      </c>
      <c r="N721" s="110">
        <v>8</v>
      </c>
      <c r="O721" s="110">
        <v>8</v>
      </c>
      <c r="P721" s="110">
        <v>9</v>
      </c>
      <c r="Q721" s="110">
        <v>8</v>
      </c>
      <c r="R721" s="110">
        <v>8</v>
      </c>
      <c r="S721" s="110">
        <v>7</v>
      </c>
      <c r="T721" s="110">
        <v>6</v>
      </c>
      <c r="U721" s="110">
        <v>6</v>
      </c>
      <c r="V721" s="110"/>
      <c r="W721" s="110"/>
      <c r="X721" s="110"/>
      <c r="Y721" s="106">
        <v>50</v>
      </c>
      <c r="Z721" s="106">
        <f t="shared" si="371"/>
        <v>0</v>
      </c>
      <c r="AA721" s="106"/>
      <c r="AB721" s="111">
        <f t="shared" si="356"/>
        <v>1</v>
      </c>
      <c r="AC721" s="85" t="s">
        <v>2371</v>
      </c>
      <c r="AD721" s="107">
        <f>VLOOKUP(AC721,Cost,2,FALSE)*G721/5280</f>
        <v>10056.060606060606</v>
      </c>
      <c r="AE721" s="140">
        <v>1</v>
      </c>
      <c r="AF721" s="113">
        <f t="shared" si="354"/>
        <v>10056.060606060606</v>
      </c>
      <c r="AG721" s="106">
        <v>2024</v>
      </c>
      <c r="AH721" s="26" t="str">
        <f t="shared" si="376"/>
        <v/>
      </c>
      <c r="AI721" s="26" t="str">
        <f t="shared" si="360"/>
        <v/>
      </c>
      <c r="AJ721" s="26" t="str">
        <f t="shared" si="365"/>
        <v>Microsurface double</v>
      </c>
      <c r="AK721" s="26" t="str">
        <f t="shared" si="374"/>
        <v/>
      </c>
      <c r="AL721" s="26" t="str">
        <f t="shared" si="374"/>
        <v/>
      </c>
      <c r="AM721" s="26" t="str">
        <f t="shared" si="374"/>
        <v/>
      </c>
      <c r="AN721" s="26" t="str">
        <f t="shared" si="353"/>
        <v>Microsurface double</v>
      </c>
      <c r="AO721" s="26" t="str">
        <f t="shared" si="366"/>
        <v/>
      </c>
      <c r="AP721" s="26" t="str">
        <f t="shared" si="363"/>
        <v/>
      </c>
      <c r="AQ721" s="68">
        <f t="shared" si="357"/>
        <v>12</v>
      </c>
      <c r="AR721" s="68">
        <f t="shared" si="358"/>
        <v>10</v>
      </c>
      <c r="AS721" s="68">
        <f t="shared" si="377"/>
        <v>0</v>
      </c>
      <c r="AT721" s="68">
        <f t="shared" si="378"/>
        <v>1</v>
      </c>
      <c r="AU721" s="68">
        <f t="shared" si="379"/>
        <v>1</v>
      </c>
      <c r="AV721" s="68">
        <f t="shared" si="380"/>
        <v>1</v>
      </c>
      <c r="AW721" s="68">
        <f t="shared" si="381"/>
        <v>1</v>
      </c>
      <c r="AX721" s="68">
        <f t="shared" ca="1" si="382"/>
        <v>0</v>
      </c>
      <c r="AY721" s="106">
        <v>2017</v>
      </c>
      <c r="AZ721" s="68" t="s">
        <v>2425</v>
      </c>
      <c r="BA721" s="106" t="str">
        <f t="shared" si="372"/>
        <v/>
      </c>
      <c r="BB721" s="178"/>
      <c r="BC721" s="178"/>
      <c r="BD721" s="178"/>
      <c r="BE721" s="178"/>
      <c r="BF721" s="178"/>
      <c r="BG721" s="178"/>
      <c r="BH721" s="178"/>
      <c r="BI721" s="33" t="s">
        <v>2623</v>
      </c>
      <c r="BJ721" s="26"/>
      <c r="BK721" s="48">
        <f>$G721/5280*VLOOKUP($AC721,'Cost and Score'!$B$27:$O$40,6,0)</f>
        <v>6.2850378787878788E-2</v>
      </c>
      <c r="BL721" s="48">
        <f>$G721/5280*VLOOKUP($AC721,'Cost and Score'!$B$27:$O$40,7,0)</f>
        <v>0</v>
      </c>
      <c r="BM721" s="48">
        <f>$G721/5280*VLOOKUP($AC721,'Cost and Score'!$B$27:$O$40,8,0)</f>
        <v>0</v>
      </c>
      <c r="BN721" s="48">
        <f>$G721/5280*VLOOKUP($AC721,'Cost and Score'!$B$27:$O$40,9,0)</f>
        <v>0</v>
      </c>
      <c r="BO721" s="48">
        <f>$G721/5280*VLOOKUP($AC721,'Cost and Score'!$B$27:$O$40,10,0)</f>
        <v>0</v>
      </c>
      <c r="BP721" s="48">
        <f>$G721/5280*VLOOKUP($AC721,'Cost and Score'!$B$27:$O$40,11,0)</f>
        <v>0</v>
      </c>
      <c r="BQ721" s="48">
        <f>$G721/5280*VLOOKUP($AC721,'Cost and Score'!$B$27:$O$40,12,0)</f>
        <v>0</v>
      </c>
      <c r="BR721" s="48">
        <f>$G721/5280*VLOOKUP($AC721,'Cost and Score'!$B$27:$O$40,13,0)</f>
        <v>0</v>
      </c>
      <c r="BS721" s="48">
        <f>$G721/5280*VLOOKUP($AC721,'Cost and Score'!$B$27:$O$40,14,0)</f>
        <v>0</v>
      </c>
      <c r="BT721" s="220">
        <f t="shared" si="373"/>
        <v>0.12570075757575758</v>
      </c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N721" s="2"/>
      <c r="CO721" s="2"/>
      <c r="CP721" s="2"/>
      <c r="CQ721" s="2"/>
      <c r="CV721" s="2"/>
    </row>
    <row r="722" spans="1:103" s="112" customFormat="1" ht="14.45" hidden="1" customHeight="1" x14ac:dyDescent="0.25">
      <c r="A722" s="31" t="s">
        <v>2102</v>
      </c>
      <c r="B722" s="226" t="s">
        <v>1483</v>
      </c>
      <c r="C722" s="106" t="s">
        <v>1483</v>
      </c>
      <c r="D722" s="116" t="s">
        <v>2218</v>
      </c>
      <c r="E722" s="106" t="s">
        <v>1484</v>
      </c>
      <c r="F722" s="106" t="s">
        <v>1485</v>
      </c>
      <c r="G722" s="109">
        <v>1162</v>
      </c>
      <c r="H722" s="109">
        <f t="shared" ref="H722:H755" si="383">IF(I722="NC",26,20)</f>
        <v>26</v>
      </c>
      <c r="I722" s="106" t="s">
        <v>2098</v>
      </c>
      <c r="J722" s="106" t="s">
        <v>160</v>
      </c>
      <c r="K722" s="106">
        <f t="shared" ref="K722:K743" si="384">VLOOKUP(J722,TOWNSHIPS,2,FALSE)</f>
        <v>0</v>
      </c>
      <c r="L722" s="110">
        <v>6</v>
      </c>
      <c r="M722" s="110">
        <v>6</v>
      </c>
      <c r="N722" s="110">
        <v>10</v>
      </c>
      <c r="O722" s="110">
        <v>9</v>
      </c>
      <c r="P722" s="110">
        <v>8</v>
      </c>
      <c r="Q722" s="110">
        <v>8</v>
      </c>
      <c r="R722" s="110">
        <v>8</v>
      </c>
      <c r="S722" s="110">
        <v>7</v>
      </c>
      <c r="T722" s="110">
        <v>7</v>
      </c>
      <c r="U722" s="110">
        <v>6</v>
      </c>
      <c r="V722" s="110"/>
      <c r="W722" s="110"/>
      <c r="X722" s="110"/>
      <c r="Y722" s="106">
        <v>163</v>
      </c>
      <c r="Z722" s="106">
        <f t="shared" si="371"/>
        <v>0</v>
      </c>
      <c r="AA722" s="106" t="s">
        <v>1483</v>
      </c>
      <c r="AB722" s="111">
        <f t="shared" si="356"/>
        <v>2</v>
      </c>
      <c r="AC722" s="106" t="s">
        <v>2425</v>
      </c>
      <c r="AD722" s="107">
        <f>VLOOKUP(AC722,Cost,2,FALSE)*G722/5280</f>
        <v>5501.893939393939</v>
      </c>
      <c r="AE722" s="198"/>
      <c r="AF722" s="113">
        <f t="shared" si="354"/>
        <v>0</v>
      </c>
      <c r="AG722" s="85">
        <v>2026</v>
      </c>
      <c r="AH722" s="26" t="str">
        <f t="shared" si="376"/>
        <v/>
      </c>
      <c r="AI722" s="26" t="str">
        <f t="shared" si="360"/>
        <v/>
      </c>
      <c r="AJ722" s="26" t="str">
        <f t="shared" si="365"/>
        <v/>
      </c>
      <c r="AK722" s="26" t="str">
        <f t="shared" si="374"/>
        <v/>
      </c>
      <c r="AL722" s="26" t="str">
        <f t="shared" si="374"/>
        <v>Liquid Road</v>
      </c>
      <c r="AM722" s="26" t="str">
        <f t="shared" si="374"/>
        <v/>
      </c>
      <c r="AN722" s="26" t="str">
        <f t="shared" si="353"/>
        <v>Liquid Road</v>
      </c>
      <c r="AO722" s="26" t="str">
        <f t="shared" si="366"/>
        <v/>
      </c>
      <c r="AP722" s="26" t="str">
        <f t="shared" si="363"/>
        <v/>
      </c>
      <c r="AQ722" s="68">
        <f t="shared" si="357"/>
        <v>14</v>
      </c>
      <c r="AR722" s="68">
        <f t="shared" si="358"/>
        <v>10</v>
      </c>
      <c r="AS722" s="68">
        <f t="shared" si="377"/>
        <v>1.1000000000000001</v>
      </c>
      <c r="AT722" s="68">
        <f t="shared" si="378"/>
        <v>1.1000000000000001</v>
      </c>
      <c r="AU722" s="68">
        <f t="shared" si="379"/>
        <v>1</v>
      </c>
      <c r="AV722" s="68">
        <f t="shared" si="380"/>
        <v>1</v>
      </c>
      <c r="AW722" s="68">
        <f t="shared" si="381"/>
        <v>1</v>
      </c>
      <c r="AX722" s="68">
        <f t="shared" ca="1" si="382"/>
        <v>2</v>
      </c>
      <c r="AY722" s="106">
        <v>2017</v>
      </c>
      <c r="AZ722" s="106" t="s">
        <v>2086</v>
      </c>
      <c r="BA722" s="106" t="str">
        <f t="shared" si="372"/>
        <v/>
      </c>
      <c r="BB722" s="177"/>
      <c r="BC722" s="177"/>
      <c r="BD722" s="177"/>
      <c r="BE722" s="177">
        <v>2</v>
      </c>
      <c r="BF722" s="177"/>
      <c r="BG722" s="177"/>
      <c r="BH722" s="177"/>
      <c r="BI722" s="33"/>
      <c r="BJ722" s="2"/>
      <c r="BK722" s="48">
        <f>$G722/5280*VLOOKUP($AC722,'Cost and Score'!$B$27:$O$40,6,0)</f>
        <v>0.22007575757575756</v>
      </c>
      <c r="BL722" s="48">
        <f>$G722/5280*VLOOKUP($AC722,'Cost and Score'!$B$27:$O$40,7,0)</f>
        <v>3.521212121212121</v>
      </c>
      <c r="BM722" s="48">
        <f>$G722/5280*VLOOKUP($AC722,'Cost and Score'!$B$27:$O$40,8,0)</f>
        <v>0</v>
      </c>
      <c r="BN722" s="48">
        <f>$G722/5280*VLOOKUP($AC722,'Cost and Score'!$B$27:$O$40,9,0)</f>
        <v>0</v>
      </c>
      <c r="BO722" s="48">
        <f>$G722/5280*VLOOKUP($AC722,'Cost and Score'!$B$27:$O$40,10,0)</f>
        <v>0</v>
      </c>
      <c r="BP722" s="48">
        <f>$G722/5280*VLOOKUP($AC722,'Cost and Score'!$B$27:$O$40,11,0)</f>
        <v>0</v>
      </c>
      <c r="BQ722" s="48">
        <f>$G722/5280*VLOOKUP($AC722,'Cost and Score'!$B$27:$O$40,12,0)</f>
        <v>0</v>
      </c>
      <c r="BR722" s="48">
        <f>$G722/5280*VLOOKUP($AC722,'Cost and Score'!$B$27:$O$40,13,0)</f>
        <v>0</v>
      </c>
      <c r="BS722" s="48">
        <f>$G722/5280*VLOOKUP($AC722,'Cost and Score'!$B$27:$O$40,14,0)</f>
        <v>0</v>
      </c>
      <c r="BT722" s="220">
        <f t="shared" si="373"/>
        <v>0.22007575757575756</v>
      </c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W722" s="2"/>
      <c r="CX722" s="2"/>
      <c r="CY722" s="2"/>
    </row>
    <row r="723" spans="1:103" s="112" customFormat="1" ht="14.45" customHeight="1" x14ac:dyDescent="0.25">
      <c r="A723" s="31" t="s">
        <v>2102</v>
      </c>
      <c r="B723" s="45" t="s">
        <v>1683</v>
      </c>
      <c r="C723" s="26" t="s">
        <v>1683</v>
      </c>
      <c r="D723" s="36" t="s">
        <v>2331</v>
      </c>
      <c r="E723" s="26" t="s">
        <v>1480</v>
      </c>
      <c r="F723" s="26" t="s">
        <v>1481</v>
      </c>
      <c r="G723" s="29">
        <v>1373</v>
      </c>
      <c r="H723" s="29">
        <f t="shared" si="383"/>
        <v>26</v>
      </c>
      <c r="I723" s="26" t="s">
        <v>2098</v>
      </c>
      <c r="J723" s="26" t="s">
        <v>160</v>
      </c>
      <c r="K723" s="26">
        <f t="shared" si="384"/>
        <v>0</v>
      </c>
      <c r="L723" s="42">
        <v>7</v>
      </c>
      <c r="M723" s="42">
        <v>8</v>
      </c>
      <c r="N723" s="42">
        <v>8</v>
      </c>
      <c r="O723" s="42">
        <v>8</v>
      </c>
      <c r="P723" s="42">
        <v>8</v>
      </c>
      <c r="Q723" s="42">
        <v>8</v>
      </c>
      <c r="R723" s="42">
        <v>8</v>
      </c>
      <c r="S723" s="42">
        <v>7</v>
      </c>
      <c r="T723" s="42">
        <v>7</v>
      </c>
      <c r="U723" s="42">
        <v>7</v>
      </c>
      <c r="V723" s="42"/>
      <c r="W723" s="42"/>
      <c r="X723" s="42"/>
      <c r="Y723" s="26">
        <v>220</v>
      </c>
      <c r="Z723" s="26">
        <f t="shared" si="371"/>
        <v>0</v>
      </c>
      <c r="AA723" s="26" t="s">
        <v>1683</v>
      </c>
      <c r="AB723" s="111">
        <f t="shared" si="356"/>
        <v>2</v>
      </c>
      <c r="AC723" s="28" t="s">
        <v>2086</v>
      </c>
      <c r="AD723" s="123">
        <v>11900</v>
      </c>
      <c r="AE723" s="140"/>
      <c r="AF723" s="113">
        <f t="shared" si="354"/>
        <v>0</v>
      </c>
      <c r="AG723" s="106">
        <v>2025</v>
      </c>
      <c r="AH723" s="26" t="str">
        <f t="shared" si="376"/>
        <v/>
      </c>
      <c r="AI723" s="26" t="str">
        <f t="shared" si="360"/>
        <v/>
      </c>
      <c r="AJ723" s="26" t="str">
        <f t="shared" si="365"/>
        <v/>
      </c>
      <c r="AK723" s="26" t="str">
        <f t="shared" si="374"/>
        <v>Fog Seal</v>
      </c>
      <c r="AL723" s="26" t="str">
        <f t="shared" si="374"/>
        <v/>
      </c>
      <c r="AM723" s="26" t="str">
        <f t="shared" si="374"/>
        <v/>
      </c>
      <c r="AN723" s="26" t="str">
        <f t="shared" si="353"/>
        <v>Fog Seal</v>
      </c>
      <c r="AO723" s="26" t="str">
        <f t="shared" si="366"/>
        <v/>
      </c>
      <c r="AP723" s="26" t="str">
        <f t="shared" si="363"/>
        <v/>
      </c>
      <c r="AQ723" s="68">
        <f t="shared" si="357"/>
        <v>12</v>
      </c>
      <c r="AR723" s="68">
        <f t="shared" si="358"/>
        <v>2</v>
      </c>
      <c r="AS723" s="68">
        <f t="shared" si="377"/>
        <v>1.05</v>
      </c>
      <c r="AT723" s="68">
        <f t="shared" si="378"/>
        <v>1</v>
      </c>
      <c r="AU723" s="68">
        <f t="shared" si="379"/>
        <v>1</v>
      </c>
      <c r="AV723" s="68">
        <f t="shared" si="380"/>
        <v>1</v>
      </c>
      <c r="AW723" s="68">
        <f t="shared" si="381"/>
        <v>1</v>
      </c>
      <c r="AX723" s="68">
        <f t="shared" ca="1" si="382"/>
        <v>1</v>
      </c>
      <c r="AY723" s="68">
        <v>2019</v>
      </c>
      <c r="AZ723" s="68" t="s">
        <v>2371</v>
      </c>
      <c r="BA723" s="106" t="str">
        <f t="shared" si="372"/>
        <v/>
      </c>
      <c r="BB723" s="178"/>
      <c r="BC723" s="178"/>
      <c r="BD723" s="178"/>
      <c r="BE723" s="178"/>
      <c r="BF723" s="178"/>
      <c r="BG723" s="178"/>
      <c r="BH723" s="178"/>
      <c r="BI723" s="33"/>
      <c r="BJ723" s="2"/>
      <c r="BK723" s="48">
        <f>$G723/5280*VLOOKUP($AC723,'Cost and Score'!$B$27:$O$40,6,0)</f>
        <v>2.6003787878787876E-2</v>
      </c>
      <c r="BL723" s="48">
        <f>$G723/5280*VLOOKUP($AC723,'Cost and Score'!$B$27:$O$40,7,0)</f>
        <v>5.2007575757575752E-2</v>
      </c>
      <c r="BM723" s="48">
        <f>$G723/5280*VLOOKUP($AC723,'Cost and Score'!$B$27:$O$40,8,0)</f>
        <v>0</v>
      </c>
      <c r="BN723" s="48">
        <f>$G723/5280*VLOOKUP($AC723,'Cost and Score'!$B$27:$O$40,9,0)</f>
        <v>0</v>
      </c>
      <c r="BO723" s="48">
        <f>$G723/5280*VLOOKUP($AC723,'Cost and Score'!$B$27:$O$40,10,0)</f>
        <v>260.03787878787875</v>
      </c>
      <c r="BP723" s="48">
        <f>$G723/5280*VLOOKUP($AC723,'Cost and Score'!$B$27:$O$40,11,0)</f>
        <v>0</v>
      </c>
      <c r="BQ723" s="48">
        <f>$G723/5280*VLOOKUP($AC723,'Cost and Score'!$B$27:$O$40,12,0)</f>
        <v>0</v>
      </c>
      <c r="BR723" s="48">
        <f>$G723/5280*VLOOKUP($AC723,'Cost and Score'!$B$27:$O$40,13,0)</f>
        <v>0</v>
      </c>
      <c r="BS723" s="48">
        <f>$G723/5280*VLOOKUP($AC723,'Cost and Score'!$B$27:$O$40,14,0)</f>
        <v>0</v>
      </c>
      <c r="BT723" s="220">
        <f t="shared" si="373"/>
        <v>0.26003787878787876</v>
      </c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</row>
    <row r="724" spans="1:103" s="2" customFormat="1" ht="14.45" hidden="1" customHeight="1" x14ac:dyDescent="0.25">
      <c r="A724" s="31" t="s">
        <v>2102</v>
      </c>
      <c r="B724" s="224" t="s">
        <v>1488</v>
      </c>
      <c r="C724" s="26" t="s">
        <v>1488</v>
      </c>
      <c r="D724" s="36" t="s">
        <v>2266</v>
      </c>
      <c r="E724" s="26" t="s">
        <v>1484</v>
      </c>
      <c r="F724" s="26" t="s">
        <v>2416</v>
      </c>
      <c r="G724" s="29">
        <v>898</v>
      </c>
      <c r="H724" s="29">
        <f t="shared" si="383"/>
        <v>26</v>
      </c>
      <c r="I724" s="26" t="s">
        <v>2098</v>
      </c>
      <c r="J724" s="26" t="s">
        <v>160</v>
      </c>
      <c r="K724" s="26">
        <f t="shared" si="384"/>
        <v>0</v>
      </c>
      <c r="L724" s="42">
        <v>7</v>
      </c>
      <c r="M724" s="42">
        <v>6</v>
      </c>
      <c r="N724" s="42">
        <v>10</v>
      </c>
      <c r="O724" s="42">
        <v>9</v>
      </c>
      <c r="P724" s="42">
        <v>9</v>
      </c>
      <c r="Q724" s="42">
        <v>8</v>
      </c>
      <c r="R724" s="42">
        <v>8</v>
      </c>
      <c r="S724" s="42">
        <v>7</v>
      </c>
      <c r="T724" s="42">
        <v>7</v>
      </c>
      <c r="U724" s="42">
        <v>7</v>
      </c>
      <c r="V724" s="42"/>
      <c r="W724" s="42"/>
      <c r="X724" s="42"/>
      <c r="Y724" s="26">
        <v>155</v>
      </c>
      <c r="Z724" s="26">
        <f t="shared" si="371"/>
        <v>0</v>
      </c>
      <c r="AA724" s="26" t="s">
        <v>1488</v>
      </c>
      <c r="AB724" s="111">
        <f t="shared" si="356"/>
        <v>1</v>
      </c>
      <c r="AC724" s="85" t="s">
        <v>2425</v>
      </c>
      <c r="AD724" s="47">
        <f t="shared" ref="AD724:AD729" si="385">VLOOKUP(AC724,Cost,2,FALSE)*G724/5280</f>
        <v>4251.893939393939</v>
      </c>
      <c r="AE724" s="140"/>
      <c r="AF724" s="113">
        <f t="shared" si="354"/>
        <v>0</v>
      </c>
      <c r="AG724" s="85">
        <v>2026</v>
      </c>
      <c r="AH724" s="26" t="str">
        <f t="shared" si="376"/>
        <v/>
      </c>
      <c r="AI724" s="26" t="str">
        <f t="shared" si="360"/>
        <v/>
      </c>
      <c r="AJ724" s="26" t="str">
        <f t="shared" si="365"/>
        <v/>
      </c>
      <c r="AK724" s="26" t="str">
        <f t="shared" si="374"/>
        <v/>
      </c>
      <c r="AL724" s="26" t="str">
        <f t="shared" si="374"/>
        <v>Liquid Road</v>
      </c>
      <c r="AM724" s="26" t="str">
        <f t="shared" si="374"/>
        <v/>
      </c>
      <c r="AN724" s="26" t="str">
        <f t="shared" si="353"/>
        <v>Liquid Road</v>
      </c>
      <c r="AO724" s="26" t="str">
        <f t="shared" si="366"/>
        <v/>
      </c>
      <c r="AP724" s="26" t="str">
        <f t="shared" si="363"/>
        <v/>
      </c>
      <c r="AQ724" s="68">
        <f t="shared" si="357"/>
        <v>14</v>
      </c>
      <c r="AR724" s="68">
        <f t="shared" si="358"/>
        <v>10</v>
      </c>
      <c r="AS724" s="68">
        <f t="shared" si="377"/>
        <v>1.05</v>
      </c>
      <c r="AT724" s="68">
        <f t="shared" si="378"/>
        <v>1.1000000000000001</v>
      </c>
      <c r="AU724" s="68">
        <f t="shared" si="379"/>
        <v>1</v>
      </c>
      <c r="AV724" s="68">
        <f t="shared" si="380"/>
        <v>1</v>
      </c>
      <c r="AW724" s="68">
        <f t="shared" si="381"/>
        <v>1</v>
      </c>
      <c r="AX724" s="68">
        <f t="shared" ca="1" si="382"/>
        <v>2</v>
      </c>
      <c r="AY724" s="68">
        <v>2016</v>
      </c>
      <c r="AZ724" s="85" t="s">
        <v>2425</v>
      </c>
      <c r="BA724" s="106" t="str">
        <f t="shared" si="372"/>
        <v/>
      </c>
      <c r="BB724" s="203"/>
      <c r="BC724" s="178"/>
      <c r="BD724" s="178"/>
      <c r="BE724" s="178"/>
      <c r="BF724" s="178">
        <v>3</v>
      </c>
      <c r="BG724" s="178"/>
      <c r="BH724" s="178"/>
      <c r="BI724" s="33"/>
      <c r="BK724" s="48">
        <f>$G724/5280*VLOOKUP($AC724,'Cost and Score'!$B$27:$O$40,6,0)</f>
        <v>0.17007575757575757</v>
      </c>
      <c r="BL724" s="48">
        <f>$G724/5280*VLOOKUP($AC724,'Cost and Score'!$B$27:$O$40,7,0)</f>
        <v>2.7212121212121212</v>
      </c>
      <c r="BM724" s="48">
        <f>$G724/5280*VLOOKUP($AC724,'Cost and Score'!$B$27:$O$40,8,0)</f>
        <v>0</v>
      </c>
      <c r="BN724" s="48">
        <f>$G724/5280*VLOOKUP($AC724,'Cost and Score'!$B$27:$O$40,9,0)</f>
        <v>0</v>
      </c>
      <c r="BO724" s="48">
        <f>$G724/5280*VLOOKUP($AC724,'Cost and Score'!$B$27:$O$40,10,0)</f>
        <v>0</v>
      </c>
      <c r="BP724" s="48">
        <f>$G724/5280*VLOOKUP($AC724,'Cost and Score'!$B$27:$O$40,11,0)</f>
        <v>0</v>
      </c>
      <c r="BQ724" s="48">
        <f>$G724/5280*VLOOKUP($AC724,'Cost and Score'!$B$27:$O$40,12,0)</f>
        <v>0</v>
      </c>
      <c r="BR724" s="48">
        <f>$G724/5280*VLOOKUP($AC724,'Cost and Score'!$B$27:$O$40,13,0)</f>
        <v>0</v>
      </c>
      <c r="BS724" s="48">
        <f>$G724/5280*VLOOKUP($AC724,'Cost and Score'!$B$27:$O$40,14,0)</f>
        <v>0</v>
      </c>
      <c r="BT724" s="220">
        <f t="shared" si="373"/>
        <v>0.17007575757575757</v>
      </c>
      <c r="CN724" s="112"/>
      <c r="CO724" s="112"/>
      <c r="CP724" s="112"/>
      <c r="CQ724" s="112"/>
      <c r="CV724" s="112"/>
    </row>
    <row r="725" spans="1:103" s="2" customFormat="1" ht="14.45" hidden="1" customHeight="1" x14ac:dyDescent="0.25">
      <c r="A725" s="38" t="s">
        <v>1490</v>
      </c>
      <c r="B725" s="34" t="s">
        <v>1489</v>
      </c>
      <c r="C725" s="26" t="s">
        <v>1489</v>
      </c>
      <c r="D725" s="26"/>
      <c r="E725" s="26" t="s">
        <v>104</v>
      </c>
      <c r="F725" s="26" t="s">
        <v>147</v>
      </c>
      <c r="G725" s="29">
        <v>5539</v>
      </c>
      <c r="H725" s="29">
        <f t="shared" si="383"/>
        <v>20</v>
      </c>
      <c r="I725" s="26" t="s">
        <v>8</v>
      </c>
      <c r="J725" s="26" t="s">
        <v>172</v>
      </c>
      <c r="K725" s="26">
        <f t="shared" si="384"/>
        <v>0</v>
      </c>
      <c r="L725" s="42">
        <v>6</v>
      </c>
      <c r="M725" s="42">
        <v>6</v>
      </c>
      <c r="N725" s="42">
        <v>10</v>
      </c>
      <c r="O725" s="42">
        <v>9</v>
      </c>
      <c r="P725" s="42">
        <v>8</v>
      </c>
      <c r="Q725" s="42">
        <v>7</v>
      </c>
      <c r="R725" s="42">
        <v>7</v>
      </c>
      <c r="S725" s="42">
        <v>7</v>
      </c>
      <c r="T725" s="42">
        <v>7</v>
      </c>
      <c r="U725" s="42">
        <v>7</v>
      </c>
      <c r="V725" s="42"/>
      <c r="W725" s="42"/>
      <c r="X725" s="42"/>
      <c r="Y725" s="26">
        <v>318</v>
      </c>
      <c r="Z725" s="26">
        <f t="shared" si="371"/>
        <v>0</v>
      </c>
      <c r="AA725" s="26" t="s">
        <v>1489</v>
      </c>
      <c r="AB725" s="111">
        <f t="shared" si="356"/>
        <v>2</v>
      </c>
      <c r="AC725" s="85" t="s">
        <v>2073</v>
      </c>
      <c r="AD725" s="47">
        <f t="shared" si="385"/>
        <v>33569.696969696968</v>
      </c>
      <c r="AE725" s="140"/>
      <c r="AF725" s="113">
        <f t="shared" si="354"/>
        <v>0</v>
      </c>
      <c r="AG725" s="26">
        <v>2027</v>
      </c>
      <c r="AH725" s="26" t="str">
        <f t="shared" si="376"/>
        <v/>
      </c>
      <c r="AI725" s="26" t="str">
        <f t="shared" si="360"/>
        <v/>
      </c>
      <c r="AJ725" s="26" t="str">
        <f t="shared" si="365"/>
        <v/>
      </c>
      <c r="AK725" s="26" t="str">
        <f t="shared" si="374"/>
        <v/>
      </c>
      <c r="AL725" s="26" t="str">
        <f t="shared" si="374"/>
        <v/>
      </c>
      <c r="AM725" s="26" t="str">
        <f t="shared" si="374"/>
        <v>Chip Seal - Double and Fog</v>
      </c>
      <c r="AN725" s="26" t="str">
        <f t="shared" ref="AN725:AN788" si="386">VLOOKUP($AC725,RSL,3,FALSE)</f>
        <v>Chip Seal - Double and Fog</v>
      </c>
      <c r="AO725" s="26" t="str">
        <f t="shared" si="366"/>
        <v/>
      </c>
      <c r="AP725" s="26" t="str">
        <f t="shared" si="363"/>
        <v/>
      </c>
      <c r="AQ725" s="68">
        <f t="shared" si="357"/>
        <v>14</v>
      </c>
      <c r="AR725" s="68">
        <f t="shared" si="358"/>
        <v>6</v>
      </c>
      <c r="AS725" s="68">
        <f t="shared" si="377"/>
        <v>1.1000000000000001</v>
      </c>
      <c r="AT725" s="68">
        <f t="shared" si="378"/>
        <v>1.1000000000000001</v>
      </c>
      <c r="AU725" s="68">
        <f t="shared" si="379"/>
        <v>1</v>
      </c>
      <c r="AV725" s="68">
        <f t="shared" si="380"/>
        <v>1</v>
      </c>
      <c r="AW725" s="68">
        <f t="shared" si="381"/>
        <v>1</v>
      </c>
      <c r="AX725" s="68">
        <f t="shared" ca="1" si="382"/>
        <v>3</v>
      </c>
      <c r="AY725" s="68">
        <v>2016</v>
      </c>
      <c r="AZ725" s="85" t="s">
        <v>2425</v>
      </c>
      <c r="BA725" s="106" t="str">
        <f t="shared" si="372"/>
        <v/>
      </c>
      <c r="BB725" s="203"/>
      <c r="BC725" s="178">
        <v>7</v>
      </c>
      <c r="BD725" s="178"/>
      <c r="BE725" s="178"/>
      <c r="BF725" s="178"/>
      <c r="BG725" s="178"/>
      <c r="BH725" s="178"/>
      <c r="BI725" s="33"/>
      <c r="BK725" s="48">
        <f>$G725/5280*VLOOKUP($AC725,'Cost and Score'!$B$27:$O$40,6,0)</f>
        <v>0.52452651515151516</v>
      </c>
      <c r="BL725" s="48">
        <f>$G725/5280*VLOOKUP($AC725,'Cost and Score'!$B$27:$O$40,7,0)</f>
        <v>52.452651515151516</v>
      </c>
      <c r="BM725" s="48">
        <f>$G725/5280*VLOOKUP($AC725,'Cost and Score'!$B$27:$O$40,8,0)</f>
        <v>0</v>
      </c>
      <c r="BN725" s="48">
        <f>$G725/5280*VLOOKUP($AC725,'Cost and Score'!$B$27:$O$40,9,0)</f>
        <v>9966.003787878788</v>
      </c>
      <c r="BO725" s="48">
        <f>$G725/5280*VLOOKUP($AC725,'Cost and Score'!$B$27:$O$40,10,0)</f>
        <v>1049.0530303030303</v>
      </c>
      <c r="BP725" s="48">
        <f>$G725/5280*VLOOKUP($AC725,'Cost and Score'!$B$27:$O$40,11,0)</f>
        <v>0</v>
      </c>
      <c r="BQ725" s="48">
        <f>$G725/5280*VLOOKUP($AC725,'Cost and Score'!$B$27:$O$40,12,0)</f>
        <v>209.81060606060606</v>
      </c>
      <c r="BR725" s="48">
        <f>$G725/5280*VLOOKUP($AC725,'Cost and Score'!$B$27:$O$40,13,0)</f>
        <v>188.82954545454547</v>
      </c>
      <c r="BS725" s="48">
        <f>$G725/5280*VLOOKUP($AC725,'Cost and Score'!$B$27:$O$40,14,0)</f>
        <v>251.77272727272728</v>
      </c>
      <c r="BT725" s="220">
        <f t="shared" si="373"/>
        <v>1.0490530303030303</v>
      </c>
      <c r="BU725" s="2" t="s">
        <v>2417</v>
      </c>
    </row>
    <row r="726" spans="1:103" s="2" customFormat="1" ht="14.45" hidden="1" customHeight="1" x14ac:dyDescent="0.25">
      <c r="A726" s="38" t="s">
        <v>1492</v>
      </c>
      <c r="B726" s="34" t="s">
        <v>1491</v>
      </c>
      <c r="C726" s="26" t="s">
        <v>1491</v>
      </c>
      <c r="D726" s="26"/>
      <c r="E726" s="26" t="s">
        <v>147</v>
      </c>
      <c r="F726" s="26" t="s">
        <v>107</v>
      </c>
      <c r="G726" s="29">
        <v>3067</v>
      </c>
      <c r="H726" s="29">
        <f t="shared" si="383"/>
        <v>20</v>
      </c>
      <c r="I726" s="26" t="s">
        <v>8</v>
      </c>
      <c r="J726" s="26" t="s">
        <v>172</v>
      </c>
      <c r="K726" s="26">
        <f t="shared" si="384"/>
        <v>0</v>
      </c>
      <c r="L726" s="42">
        <v>6</v>
      </c>
      <c r="M726" s="42">
        <v>8</v>
      </c>
      <c r="N726" s="42">
        <v>10</v>
      </c>
      <c r="O726" s="42">
        <v>9</v>
      </c>
      <c r="P726" s="42">
        <v>8</v>
      </c>
      <c r="Q726" s="42">
        <v>7</v>
      </c>
      <c r="R726" s="42">
        <v>6</v>
      </c>
      <c r="S726" s="42">
        <v>6</v>
      </c>
      <c r="T726" s="42">
        <v>6</v>
      </c>
      <c r="U726" s="42">
        <v>7</v>
      </c>
      <c r="V726" s="42"/>
      <c r="W726" s="42"/>
      <c r="X726" s="42"/>
      <c r="Y726" s="26">
        <v>318</v>
      </c>
      <c r="Z726" s="26">
        <f t="shared" si="371"/>
        <v>0</v>
      </c>
      <c r="AA726" s="26" t="s">
        <v>1491</v>
      </c>
      <c r="AB726" s="111">
        <f t="shared" si="356"/>
        <v>2</v>
      </c>
      <c r="AC726" s="85" t="s">
        <v>2073</v>
      </c>
      <c r="AD726" s="47">
        <f t="shared" si="385"/>
        <v>18587.878787878788</v>
      </c>
      <c r="AE726" s="140"/>
      <c r="AF726" s="113">
        <f t="shared" si="354"/>
        <v>0</v>
      </c>
      <c r="AG726" s="26">
        <v>2027</v>
      </c>
      <c r="AH726" s="26" t="str">
        <f t="shared" si="376"/>
        <v/>
      </c>
      <c r="AI726" s="26" t="str">
        <f t="shared" si="360"/>
        <v/>
      </c>
      <c r="AJ726" s="26" t="str">
        <f t="shared" si="365"/>
        <v/>
      </c>
      <c r="AK726" s="26" t="str">
        <f t="shared" si="374"/>
        <v/>
      </c>
      <c r="AL726" s="26" t="str">
        <f t="shared" si="374"/>
        <v/>
      </c>
      <c r="AM726" s="26" t="str">
        <f t="shared" si="374"/>
        <v>Chip Seal - Double and Fog</v>
      </c>
      <c r="AN726" s="26" t="str">
        <f t="shared" si="386"/>
        <v>Chip Seal - Double and Fog</v>
      </c>
      <c r="AO726" s="26" t="str">
        <f t="shared" si="366"/>
        <v/>
      </c>
      <c r="AP726" s="26" t="str">
        <f t="shared" si="363"/>
        <v/>
      </c>
      <c r="AQ726" s="68">
        <f t="shared" si="357"/>
        <v>14</v>
      </c>
      <c r="AR726" s="68">
        <f t="shared" si="358"/>
        <v>6</v>
      </c>
      <c r="AS726" s="68">
        <f t="shared" si="377"/>
        <v>1.1000000000000001</v>
      </c>
      <c r="AT726" s="68">
        <f t="shared" si="378"/>
        <v>1</v>
      </c>
      <c r="AU726" s="68">
        <f t="shared" si="379"/>
        <v>1</v>
      </c>
      <c r="AV726" s="68">
        <f t="shared" si="380"/>
        <v>1</v>
      </c>
      <c r="AW726" s="68">
        <f t="shared" si="381"/>
        <v>1</v>
      </c>
      <c r="AX726" s="68">
        <f t="shared" ca="1" si="382"/>
        <v>3</v>
      </c>
      <c r="AY726" s="68">
        <v>2016</v>
      </c>
      <c r="AZ726" s="85" t="s">
        <v>2425</v>
      </c>
      <c r="BA726" s="106" t="str">
        <f t="shared" si="372"/>
        <v/>
      </c>
      <c r="BB726" s="203"/>
      <c r="BC726" s="178">
        <v>7</v>
      </c>
      <c r="BD726" s="178"/>
      <c r="BE726" s="178"/>
      <c r="BF726" s="178"/>
      <c r="BG726" s="178"/>
      <c r="BH726" s="178"/>
      <c r="BI726" s="33"/>
      <c r="BK726" s="48">
        <f>$G726/5280*VLOOKUP($AC726,'Cost and Score'!$B$27:$O$40,6,0)</f>
        <v>0.29043560606060603</v>
      </c>
      <c r="BL726" s="48">
        <f>$G726/5280*VLOOKUP($AC726,'Cost and Score'!$B$27:$O$40,7,0)</f>
        <v>29.043560606060602</v>
      </c>
      <c r="BM726" s="48">
        <f>$G726/5280*VLOOKUP($AC726,'Cost and Score'!$B$27:$O$40,8,0)</f>
        <v>0</v>
      </c>
      <c r="BN726" s="48">
        <f>$G726/5280*VLOOKUP($AC726,'Cost and Score'!$B$27:$O$40,9,0)</f>
        <v>5518.276515151515</v>
      </c>
      <c r="BO726" s="48">
        <f>$G726/5280*VLOOKUP($AC726,'Cost and Score'!$B$27:$O$40,10,0)</f>
        <v>580.87121212121201</v>
      </c>
      <c r="BP726" s="48">
        <f>$G726/5280*VLOOKUP($AC726,'Cost and Score'!$B$27:$O$40,11,0)</f>
        <v>0</v>
      </c>
      <c r="BQ726" s="48">
        <f>$G726/5280*VLOOKUP($AC726,'Cost and Score'!$B$27:$O$40,12,0)</f>
        <v>116.17424242424241</v>
      </c>
      <c r="BR726" s="48">
        <f>$G726/5280*VLOOKUP($AC726,'Cost and Score'!$B$27:$O$40,13,0)</f>
        <v>104.55681818181817</v>
      </c>
      <c r="BS726" s="48">
        <f>$G726/5280*VLOOKUP($AC726,'Cost and Score'!$B$27:$O$40,14,0)</f>
        <v>139.40909090909091</v>
      </c>
      <c r="BT726" s="220">
        <f t="shared" si="373"/>
        <v>0.58087121212121207</v>
      </c>
      <c r="BU726" s="2" t="s">
        <v>2417</v>
      </c>
    </row>
    <row r="727" spans="1:103" s="2" customFormat="1" ht="14.45" hidden="1" customHeight="1" x14ac:dyDescent="0.25">
      <c r="A727" s="31" t="s">
        <v>2102</v>
      </c>
      <c r="B727" s="224" t="s">
        <v>1493</v>
      </c>
      <c r="C727" s="26" t="s">
        <v>1493</v>
      </c>
      <c r="D727" s="119" t="s">
        <v>2228</v>
      </c>
      <c r="E727" s="82" t="s">
        <v>1451</v>
      </c>
      <c r="F727" s="82" t="s">
        <v>1408</v>
      </c>
      <c r="G727" s="29">
        <v>106</v>
      </c>
      <c r="H727" s="29">
        <f t="shared" si="383"/>
        <v>26</v>
      </c>
      <c r="I727" s="26" t="s">
        <v>2098</v>
      </c>
      <c r="J727" s="26" t="s">
        <v>125</v>
      </c>
      <c r="K727" s="26">
        <f t="shared" si="384"/>
        <v>0</v>
      </c>
      <c r="L727" s="42">
        <v>6</v>
      </c>
      <c r="M727" s="42">
        <v>7</v>
      </c>
      <c r="N727" s="42">
        <v>8</v>
      </c>
      <c r="O727" s="83">
        <v>8</v>
      </c>
      <c r="P727" s="83">
        <v>7</v>
      </c>
      <c r="Q727" s="83">
        <v>7</v>
      </c>
      <c r="R727" s="83">
        <v>6</v>
      </c>
      <c r="S727" s="83">
        <v>7</v>
      </c>
      <c r="T727" s="83">
        <v>7</v>
      </c>
      <c r="U727" s="83">
        <v>7</v>
      </c>
      <c r="V727" s="42"/>
      <c r="W727" s="42"/>
      <c r="X727" s="42"/>
      <c r="Y727" s="26">
        <v>50</v>
      </c>
      <c r="Z727" s="26">
        <f t="shared" si="371"/>
        <v>0</v>
      </c>
      <c r="AA727" s="82" t="s">
        <v>1493</v>
      </c>
      <c r="AB727" s="111">
        <f t="shared" si="356"/>
        <v>3</v>
      </c>
      <c r="AC727" s="85" t="s">
        <v>2425</v>
      </c>
      <c r="AD727" s="84">
        <f t="shared" si="385"/>
        <v>501.89393939393938</v>
      </c>
      <c r="AE727" s="140"/>
      <c r="AF727" s="113">
        <f t="shared" si="354"/>
        <v>0</v>
      </c>
      <c r="AG727" s="85">
        <v>2026</v>
      </c>
      <c r="AH727" s="26" t="str">
        <f t="shared" si="376"/>
        <v/>
      </c>
      <c r="AI727" s="26" t="str">
        <f t="shared" si="360"/>
        <v/>
      </c>
      <c r="AJ727" s="26" t="str">
        <f t="shared" si="365"/>
        <v/>
      </c>
      <c r="AK727" s="26" t="str">
        <f t="shared" si="374"/>
        <v/>
      </c>
      <c r="AL727" s="26" t="str">
        <f t="shared" si="374"/>
        <v>Liquid Road</v>
      </c>
      <c r="AM727" s="26" t="str">
        <f t="shared" si="374"/>
        <v/>
      </c>
      <c r="AN727" s="26" t="str">
        <f t="shared" si="386"/>
        <v>Liquid Road</v>
      </c>
      <c r="AO727" s="26" t="str">
        <f t="shared" si="366"/>
        <v/>
      </c>
      <c r="AP727" s="26" t="str">
        <f t="shared" si="363"/>
        <v/>
      </c>
      <c r="AQ727" s="68">
        <f t="shared" si="357"/>
        <v>12</v>
      </c>
      <c r="AR727" s="68">
        <f t="shared" si="358"/>
        <v>10</v>
      </c>
      <c r="AS727" s="68">
        <f t="shared" si="377"/>
        <v>1.1000000000000001</v>
      </c>
      <c r="AT727" s="68">
        <f t="shared" si="378"/>
        <v>1.05</v>
      </c>
      <c r="AU727" s="68">
        <f t="shared" si="379"/>
        <v>1</v>
      </c>
      <c r="AV727" s="68">
        <f t="shared" si="380"/>
        <v>1</v>
      </c>
      <c r="AW727" s="68">
        <f t="shared" si="381"/>
        <v>1.05</v>
      </c>
      <c r="AX727" s="68">
        <f t="shared" ca="1" si="382"/>
        <v>2</v>
      </c>
      <c r="AY727" s="68">
        <v>2015</v>
      </c>
      <c r="AZ727" s="85" t="s">
        <v>2425</v>
      </c>
      <c r="BA727" s="106" t="str">
        <f t="shared" si="372"/>
        <v/>
      </c>
      <c r="BB727" s="203"/>
      <c r="BC727" s="178"/>
      <c r="BD727" s="178">
        <v>1</v>
      </c>
      <c r="BE727" s="178"/>
      <c r="BF727" s="178"/>
      <c r="BG727" s="178"/>
      <c r="BH727" s="178"/>
      <c r="BI727" s="33"/>
      <c r="BK727" s="48">
        <f>$G727/5280*VLOOKUP($AC727,'Cost and Score'!$B$27:$O$40,6,0)</f>
        <v>2.0075757575757577E-2</v>
      </c>
      <c r="BL727" s="48">
        <f>$G727/5280*VLOOKUP($AC727,'Cost and Score'!$B$27:$O$40,7,0)</f>
        <v>0.32121212121212123</v>
      </c>
      <c r="BM727" s="48">
        <f>$G727/5280*VLOOKUP($AC727,'Cost and Score'!$B$27:$O$40,8,0)</f>
        <v>0</v>
      </c>
      <c r="BN727" s="48">
        <f>$G727/5280*VLOOKUP($AC727,'Cost and Score'!$B$27:$O$40,9,0)</f>
        <v>0</v>
      </c>
      <c r="BO727" s="48">
        <f>$G727/5280*VLOOKUP($AC727,'Cost and Score'!$B$27:$O$40,10,0)</f>
        <v>0</v>
      </c>
      <c r="BP727" s="48">
        <f>$G727/5280*VLOOKUP($AC727,'Cost and Score'!$B$27:$O$40,11,0)</f>
        <v>0</v>
      </c>
      <c r="BQ727" s="48">
        <f>$G727/5280*VLOOKUP($AC727,'Cost and Score'!$B$27:$O$40,12,0)</f>
        <v>0</v>
      </c>
      <c r="BR727" s="48">
        <f>$G727/5280*VLOOKUP($AC727,'Cost and Score'!$B$27:$O$40,13,0)</f>
        <v>0</v>
      </c>
      <c r="BS727" s="48">
        <f>$G727/5280*VLOOKUP($AC727,'Cost and Score'!$B$27:$O$40,14,0)</f>
        <v>0</v>
      </c>
      <c r="BT727" s="220">
        <f t="shared" si="373"/>
        <v>2.0075757575757577E-2</v>
      </c>
    </row>
    <row r="728" spans="1:103" s="2" customFormat="1" ht="14.45" hidden="1" customHeight="1" x14ac:dyDescent="0.25">
      <c r="A728" s="31" t="s">
        <v>2102</v>
      </c>
      <c r="B728" s="224" t="s">
        <v>1494</v>
      </c>
      <c r="C728" s="26" t="s">
        <v>1494</v>
      </c>
      <c r="D728" s="36" t="s">
        <v>2276</v>
      </c>
      <c r="E728" s="26" t="s">
        <v>162</v>
      </c>
      <c r="F728" s="26" t="s">
        <v>1495</v>
      </c>
      <c r="G728" s="29">
        <v>422</v>
      </c>
      <c r="H728" s="29">
        <f t="shared" si="383"/>
        <v>26</v>
      </c>
      <c r="I728" s="26" t="s">
        <v>2098</v>
      </c>
      <c r="J728" s="26" t="s">
        <v>160</v>
      </c>
      <c r="K728" s="26">
        <f t="shared" si="384"/>
        <v>0</v>
      </c>
      <c r="L728" s="42">
        <v>7</v>
      </c>
      <c r="M728" s="42">
        <v>7</v>
      </c>
      <c r="N728" s="42">
        <v>10</v>
      </c>
      <c r="O728" s="42">
        <v>9</v>
      </c>
      <c r="P728" s="42">
        <v>8</v>
      </c>
      <c r="Q728" s="42">
        <v>7</v>
      </c>
      <c r="R728" s="42">
        <v>7</v>
      </c>
      <c r="S728" s="42">
        <v>7</v>
      </c>
      <c r="T728" s="42">
        <v>6</v>
      </c>
      <c r="U728" s="42">
        <v>6</v>
      </c>
      <c r="V728" s="42"/>
      <c r="W728" s="42"/>
      <c r="X728" s="42"/>
      <c r="Y728" s="26">
        <v>116</v>
      </c>
      <c r="Z728" s="26">
        <f t="shared" si="371"/>
        <v>0</v>
      </c>
      <c r="AA728" s="26" t="s">
        <v>1494</v>
      </c>
      <c r="AB728" s="111">
        <f t="shared" si="356"/>
        <v>2</v>
      </c>
      <c r="AC728" s="85" t="s">
        <v>2371</v>
      </c>
      <c r="AD728" s="47">
        <f t="shared" si="385"/>
        <v>6393.939393939394</v>
      </c>
      <c r="AE728" s="140">
        <v>1</v>
      </c>
      <c r="AF728" s="113">
        <f t="shared" ref="AF728:AF791" si="387">AD728*AE728</f>
        <v>6393.939393939394</v>
      </c>
      <c r="AG728" s="85">
        <v>2024</v>
      </c>
      <c r="AH728" s="26" t="str">
        <f t="shared" si="376"/>
        <v/>
      </c>
      <c r="AI728" s="26" t="str">
        <f t="shared" si="360"/>
        <v/>
      </c>
      <c r="AJ728" s="26" t="str">
        <f t="shared" si="365"/>
        <v>Microsurface double</v>
      </c>
      <c r="AK728" s="26" t="str">
        <f t="shared" ref="AK728:AM747" si="388">IF($AG728=AK$1,VLOOKUP($AC728,RSL,3,FALSE),"")</f>
        <v/>
      </c>
      <c r="AL728" s="26" t="str">
        <f t="shared" si="388"/>
        <v/>
      </c>
      <c r="AM728" s="26" t="str">
        <f t="shared" si="388"/>
        <v/>
      </c>
      <c r="AN728" s="26" t="str">
        <f t="shared" si="386"/>
        <v>Microsurface double</v>
      </c>
      <c r="AO728" s="26" t="str">
        <f t="shared" si="366"/>
        <v/>
      </c>
      <c r="AP728" s="26" t="str">
        <f t="shared" si="363"/>
        <v/>
      </c>
      <c r="AQ728" s="68">
        <f t="shared" si="357"/>
        <v>14</v>
      </c>
      <c r="AR728" s="68">
        <f t="shared" si="358"/>
        <v>10</v>
      </c>
      <c r="AS728" s="68">
        <f t="shared" si="377"/>
        <v>1.05</v>
      </c>
      <c r="AT728" s="68">
        <f t="shared" si="378"/>
        <v>1.05</v>
      </c>
      <c r="AU728" s="68">
        <f t="shared" si="379"/>
        <v>1</v>
      </c>
      <c r="AV728" s="68">
        <f t="shared" si="380"/>
        <v>1</v>
      </c>
      <c r="AW728" s="68">
        <f t="shared" si="381"/>
        <v>1</v>
      </c>
      <c r="AX728" s="68">
        <f t="shared" ca="1" si="382"/>
        <v>0</v>
      </c>
      <c r="AY728" s="68">
        <v>2016</v>
      </c>
      <c r="AZ728" s="85" t="s">
        <v>2425</v>
      </c>
      <c r="BA728" s="106" t="str">
        <f t="shared" si="372"/>
        <v/>
      </c>
      <c r="BB728" s="203"/>
      <c r="BC728" s="178"/>
      <c r="BD728" s="178"/>
      <c r="BE728" s="178"/>
      <c r="BF728" s="178"/>
      <c r="BG728" s="178">
        <v>4</v>
      </c>
      <c r="BH728" s="178"/>
      <c r="BI728" s="33"/>
      <c r="BK728" s="48">
        <f>$G728/5280*VLOOKUP($AC728,'Cost and Score'!$B$27:$O$40,6,0)</f>
        <v>3.9962121212121213E-2</v>
      </c>
      <c r="BL728" s="48">
        <f>$G728/5280*VLOOKUP($AC728,'Cost and Score'!$B$27:$O$40,7,0)</f>
        <v>0</v>
      </c>
      <c r="BM728" s="48">
        <f>$G728/5280*VLOOKUP($AC728,'Cost and Score'!$B$27:$O$40,8,0)</f>
        <v>0</v>
      </c>
      <c r="BN728" s="48">
        <f>$G728/5280*VLOOKUP($AC728,'Cost and Score'!$B$27:$O$40,9,0)</f>
        <v>0</v>
      </c>
      <c r="BO728" s="48">
        <f>$G728/5280*VLOOKUP($AC728,'Cost and Score'!$B$27:$O$40,10,0)</f>
        <v>0</v>
      </c>
      <c r="BP728" s="48">
        <f>$G728/5280*VLOOKUP($AC728,'Cost and Score'!$B$27:$O$40,11,0)</f>
        <v>0</v>
      </c>
      <c r="BQ728" s="48">
        <f>$G728/5280*VLOOKUP($AC728,'Cost and Score'!$B$27:$O$40,12,0)</f>
        <v>0</v>
      </c>
      <c r="BR728" s="48">
        <f>$G728/5280*VLOOKUP($AC728,'Cost and Score'!$B$27:$O$40,13,0)</f>
        <v>0</v>
      </c>
      <c r="BS728" s="48">
        <f>$G728/5280*VLOOKUP($AC728,'Cost and Score'!$B$27:$O$40,14,0)</f>
        <v>0</v>
      </c>
      <c r="BT728" s="220">
        <f t="shared" si="373"/>
        <v>7.9924242424242425E-2</v>
      </c>
    </row>
    <row r="729" spans="1:103" s="2" customFormat="1" ht="14.45" hidden="1" customHeight="1" x14ac:dyDescent="0.25">
      <c r="A729" s="31" t="s">
        <v>2102</v>
      </c>
      <c r="B729" s="224" t="s">
        <v>1496</v>
      </c>
      <c r="C729" s="26" t="s">
        <v>1496</v>
      </c>
      <c r="D729" s="36" t="s">
        <v>2276</v>
      </c>
      <c r="E729" s="26" t="s">
        <v>162</v>
      </c>
      <c r="F729" s="26" t="s">
        <v>1495</v>
      </c>
      <c r="G729" s="29">
        <v>1003</v>
      </c>
      <c r="H729" s="29">
        <f t="shared" si="383"/>
        <v>26</v>
      </c>
      <c r="I729" s="26" t="s">
        <v>2098</v>
      </c>
      <c r="J729" s="26" t="s">
        <v>160</v>
      </c>
      <c r="K729" s="26">
        <f t="shared" si="384"/>
        <v>0</v>
      </c>
      <c r="L729" s="42">
        <v>7</v>
      </c>
      <c r="M729" s="42">
        <v>7</v>
      </c>
      <c r="N729" s="42">
        <v>10</v>
      </c>
      <c r="O729" s="42">
        <v>9</v>
      </c>
      <c r="P729" s="42">
        <v>8</v>
      </c>
      <c r="Q729" s="42">
        <v>7</v>
      </c>
      <c r="R729" s="42">
        <v>7</v>
      </c>
      <c r="S729" s="42">
        <v>7</v>
      </c>
      <c r="T729" s="42">
        <v>6</v>
      </c>
      <c r="U729" s="42">
        <v>6</v>
      </c>
      <c r="V729" s="42"/>
      <c r="W729" s="42"/>
      <c r="X729" s="42"/>
      <c r="Y729" s="26">
        <v>116</v>
      </c>
      <c r="Z729" s="26">
        <f t="shared" si="371"/>
        <v>0</v>
      </c>
      <c r="AA729" s="26" t="s">
        <v>1496</v>
      </c>
      <c r="AB729" s="111">
        <f t="shared" si="356"/>
        <v>2</v>
      </c>
      <c r="AC729" s="85" t="s">
        <v>2371</v>
      </c>
      <c r="AD729" s="47">
        <f t="shared" si="385"/>
        <v>15196.969696969696</v>
      </c>
      <c r="AE729" s="140">
        <v>1</v>
      </c>
      <c r="AF729" s="113">
        <f t="shared" si="387"/>
        <v>15196.969696969696</v>
      </c>
      <c r="AG729" s="85">
        <v>2024</v>
      </c>
      <c r="AH729" s="26" t="str">
        <f t="shared" si="376"/>
        <v/>
      </c>
      <c r="AI729" s="26" t="str">
        <f t="shared" si="360"/>
        <v/>
      </c>
      <c r="AJ729" s="26" t="str">
        <f t="shared" si="365"/>
        <v>Microsurface double</v>
      </c>
      <c r="AK729" s="26" t="str">
        <f t="shared" si="388"/>
        <v/>
      </c>
      <c r="AL729" s="26" t="str">
        <f t="shared" si="388"/>
        <v/>
      </c>
      <c r="AM729" s="26" t="str">
        <f t="shared" si="388"/>
        <v/>
      </c>
      <c r="AN729" s="26" t="str">
        <f t="shared" si="386"/>
        <v>Microsurface double</v>
      </c>
      <c r="AO729" s="26" t="str">
        <f t="shared" si="366"/>
        <v/>
      </c>
      <c r="AP729" s="26" t="str">
        <f t="shared" si="363"/>
        <v/>
      </c>
      <c r="AQ729" s="68">
        <f t="shared" si="357"/>
        <v>14</v>
      </c>
      <c r="AR729" s="68">
        <f t="shared" si="358"/>
        <v>10</v>
      </c>
      <c r="AS729" s="68">
        <f t="shared" si="377"/>
        <v>1.05</v>
      </c>
      <c r="AT729" s="68">
        <f t="shared" si="378"/>
        <v>1.05</v>
      </c>
      <c r="AU729" s="68">
        <f t="shared" si="379"/>
        <v>1</v>
      </c>
      <c r="AV729" s="68">
        <f t="shared" si="380"/>
        <v>1</v>
      </c>
      <c r="AW729" s="68">
        <f t="shared" si="381"/>
        <v>1</v>
      </c>
      <c r="AX729" s="68">
        <f t="shared" ca="1" si="382"/>
        <v>0</v>
      </c>
      <c r="AY729" s="68">
        <v>2016</v>
      </c>
      <c r="AZ729" s="85" t="s">
        <v>2425</v>
      </c>
      <c r="BA729" s="106" t="str">
        <f t="shared" si="372"/>
        <v/>
      </c>
      <c r="BB729" s="203"/>
      <c r="BC729" s="178"/>
      <c r="BD729" s="178"/>
      <c r="BE729" s="178"/>
      <c r="BF729" s="178"/>
      <c r="BG729" s="178">
        <v>4</v>
      </c>
      <c r="BH729" s="178"/>
      <c r="BI729" s="33"/>
      <c r="BK729" s="48">
        <f>$G729/5280*VLOOKUP($AC729,'Cost and Score'!$B$27:$O$40,6,0)</f>
        <v>9.4981060606060611E-2</v>
      </c>
      <c r="BL729" s="48">
        <f>$G729/5280*VLOOKUP($AC729,'Cost and Score'!$B$27:$O$40,7,0)</f>
        <v>0</v>
      </c>
      <c r="BM729" s="48">
        <f>$G729/5280*VLOOKUP($AC729,'Cost and Score'!$B$27:$O$40,8,0)</f>
        <v>0</v>
      </c>
      <c r="BN729" s="48">
        <f>$G729/5280*VLOOKUP($AC729,'Cost and Score'!$B$27:$O$40,9,0)</f>
        <v>0</v>
      </c>
      <c r="BO729" s="48">
        <f>$G729/5280*VLOOKUP($AC729,'Cost and Score'!$B$27:$O$40,10,0)</f>
        <v>0</v>
      </c>
      <c r="BP729" s="48">
        <f>$G729/5280*VLOOKUP($AC729,'Cost and Score'!$B$27:$O$40,11,0)</f>
        <v>0</v>
      </c>
      <c r="BQ729" s="48">
        <f>$G729/5280*VLOOKUP($AC729,'Cost and Score'!$B$27:$O$40,12,0)</f>
        <v>0</v>
      </c>
      <c r="BR729" s="48">
        <f>$G729/5280*VLOOKUP($AC729,'Cost and Score'!$B$27:$O$40,13,0)</f>
        <v>0</v>
      </c>
      <c r="BS729" s="48">
        <f>$G729/5280*VLOOKUP($AC729,'Cost and Score'!$B$27:$O$40,14,0)</f>
        <v>0</v>
      </c>
      <c r="BT729" s="220">
        <f t="shared" si="373"/>
        <v>0.18996212121212122</v>
      </c>
    </row>
    <row r="730" spans="1:103" s="2" customFormat="1" ht="14.45" customHeight="1" x14ac:dyDescent="0.25">
      <c r="A730" s="31" t="s">
        <v>2102</v>
      </c>
      <c r="B730" s="45" t="s">
        <v>1497</v>
      </c>
      <c r="C730" s="26" t="s">
        <v>1497</v>
      </c>
      <c r="D730" s="36" t="s">
        <v>2219</v>
      </c>
      <c r="E730" s="26" t="s">
        <v>1456</v>
      </c>
      <c r="F730" s="26" t="s">
        <v>1498</v>
      </c>
      <c r="G730" s="29">
        <v>1320</v>
      </c>
      <c r="H730" s="29">
        <f t="shared" si="383"/>
        <v>26</v>
      </c>
      <c r="I730" s="26" t="s">
        <v>2098</v>
      </c>
      <c r="J730" s="26" t="s">
        <v>160</v>
      </c>
      <c r="K730" s="26">
        <f t="shared" si="384"/>
        <v>0</v>
      </c>
      <c r="L730" s="42">
        <v>7</v>
      </c>
      <c r="M730" s="42">
        <v>8</v>
      </c>
      <c r="N730" s="42">
        <v>8</v>
      </c>
      <c r="O730" s="42">
        <v>8</v>
      </c>
      <c r="P730" s="42">
        <v>8</v>
      </c>
      <c r="Q730" s="42">
        <v>8</v>
      </c>
      <c r="R730" s="42">
        <v>8</v>
      </c>
      <c r="S730" s="42">
        <v>7</v>
      </c>
      <c r="T730" s="42">
        <v>7</v>
      </c>
      <c r="U730" s="42">
        <v>7</v>
      </c>
      <c r="V730" s="42"/>
      <c r="W730" s="42"/>
      <c r="X730" s="42"/>
      <c r="Y730" s="26">
        <v>196</v>
      </c>
      <c r="Z730" s="26">
        <f t="shared" si="371"/>
        <v>0</v>
      </c>
      <c r="AA730" s="26" t="s">
        <v>1497</v>
      </c>
      <c r="AB730" s="111">
        <f t="shared" ref="AB730:AB755" si="389">(10-P730)+Z730+K730</f>
        <v>2</v>
      </c>
      <c r="AC730" s="28" t="s">
        <v>2086</v>
      </c>
      <c r="AD730" s="123">
        <v>10990</v>
      </c>
      <c r="AE730" s="140"/>
      <c r="AF730" s="113">
        <f t="shared" si="387"/>
        <v>0</v>
      </c>
      <c r="AG730" s="106">
        <v>2025</v>
      </c>
      <c r="AH730" s="26" t="str">
        <f t="shared" si="376"/>
        <v/>
      </c>
      <c r="AI730" s="26" t="str">
        <f t="shared" si="360"/>
        <v/>
      </c>
      <c r="AJ730" s="26" t="str">
        <f t="shared" si="365"/>
        <v/>
      </c>
      <c r="AK730" s="26" t="str">
        <f t="shared" si="388"/>
        <v>Fog Seal</v>
      </c>
      <c r="AL730" s="26" t="str">
        <f t="shared" si="388"/>
        <v/>
      </c>
      <c r="AM730" s="26" t="str">
        <f t="shared" si="388"/>
        <v/>
      </c>
      <c r="AN730" s="26" t="str">
        <f t="shared" si="386"/>
        <v>Fog Seal</v>
      </c>
      <c r="AO730" s="26" t="str">
        <f t="shared" si="366"/>
        <v/>
      </c>
      <c r="AP730" s="26" t="str">
        <f t="shared" si="363"/>
        <v/>
      </c>
      <c r="AQ730" s="68">
        <f t="shared" ref="AQ730:AQ793" si="390">VLOOKUP(O730,RSLrem,2,FALSE)</f>
        <v>12</v>
      </c>
      <c r="AR730" s="68">
        <f t="shared" ref="AR730:AR793" si="391">VLOOKUP(AC730,RSL,5,FALSE)</f>
        <v>2</v>
      </c>
      <c r="AS730" s="68">
        <f t="shared" si="377"/>
        <v>1.05</v>
      </c>
      <c r="AT730" s="68">
        <f t="shared" si="378"/>
        <v>1</v>
      </c>
      <c r="AU730" s="68">
        <f t="shared" si="379"/>
        <v>1</v>
      </c>
      <c r="AV730" s="68">
        <f t="shared" si="380"/>
        <v>1</v>
      </c>
      <c r="AW730" s="68">
        <f t="shared" si="381"/>
        <v>1</v>
      </c>
      <c r="AX730" s="68">
        <f t="shared" ca="1" si="382"/>
        <v>1</v>
      </c>
      <c r="AY730" s="68">
        <v>2019</v>
      </c>
      <c r="AZ730" s="68" t="s">
        <v>2371</v>
      </c>
      <c r="BA730" s="106" t="str">
        <f t="shared" si="372"/>
        <v/>
      </c>
      <c r="BB730" s="178"/>
      <c r="BC730" s="178"/>
      <c r="BD730" s="178"/>
      <c r="BE730" s="178"/>
      <c r="BF730" s="178"/>
      <c r="BG730" s="178"/>
      <c r="BH730" s="178"/>
      <c r="BI730" s="33"/>
      <c r="BK730" s="48">
        <f>$G730/5280*VLOOKUP($AC730,'Cost and Score'!$B$27:$O$40,6,0)</f>
        <v>2.5000000000000001E-2</v>
      </c>
      <c r="BL730" s="48">
        <f>$G730/5280*VLOOKUP($AC730,'Cost and Score'!$B$27:$O$40,7,0)</f>
        <v>0.05</v>
      </c>
      <c r="BM730" s="48">
        <f>$G730/5280*VLOOKUP($AC730,'Cost and Score'!$B$27:$O$40,8,0)</f>
        <v>0</v>
      </c>
      <c r="BN730" s="48">
        <f>$G730/5280*VLOOKUP($AC730,'Cost and Score'!$B$27:$O$40,9,0)</f>
        <v>0</v>
      </c>
      <c r="BO730" s="48">
        <f>$G730/5280*VLOOKUP($AC730,'Cost and Score'!$B$27:$O$40,10,0)</f>
        <v>250</v>
      </c>
      <c r="BP730" s="48">
        <f>$G730/5280*VLOOKUP($AC730,'Cost and Score'!$B$27:$O$40,11,0)</f>
        <v>0</v>
      </c>
      <c r="BQ730" s="48">
        <f>$G730/5280*VLOOKUP($AC730,'Cost and Score'!$B$27:$O$40,12,0)</f>
        <v>0</v>
      </c>
      <c r="BR730" s="48">
        <f>$G730/5280*VLOOKUP($AC730,'Cost and Score'!$B$27:$O$40,13,0)</f>
        <v>0</v>
      </c>
      <c r="BS730" s="48">
        <f>$G730/5280*VLOOKUP($AC730,'Cost and Score'!$B$27:$O$40,14,0)</f>
        <v>0</v>
      </c>
      <c r="BT730" s="220">
        <f t="shared" si="373"/>
        <v>0.25</v>
      </c>
    </row>
    <row r="731" spans="1:103" s="2" customFormat="1" x14ac:dyDescent="0.25">
      <c r="A731" s="31" t="s">
        <v>2102</v>
      </c>
      <c r="B731" s="45" t="s">
        <v>1687</v>
      </c>
      <c r="C731" s="26" t="s">
        <v>1687</v>
      </c>
      <c r="D731" s="36" t="s">
        <v>2331</v>
      </c>
      <c r="E731" s="26" t="s">
        <v>1480</v>
      </c>
      <c r="F731" s="26" t="s">
        <v>1481</v>
      </c>
      <c r="G731" s="29">
        <v>1003</v>
      </c>
      <c r="H731" s="29">
        <f t="shared" si="383"/>
        <v>26</v>
      </c>
      <c r="I731" s="26" t="s">
        <v>2098</v>
      </c>
      <c r="J731" s="26" t="s">
        <v>160</v>
      </c>
      <c r="K731" s="26">
        <f t="shared" si="384"/>
        <v>0</v>
      </c>
      <c r="L731" s="42">
        <v>7</v>
      </c>
      <c r="M731" s="42">
        <v>9</v>
      </c>
      <c r="N731" s="42">
        <v>8</v>
      </c>
      <c r="O731" s="42">
        <v>8</v>
      </c>
      <c r="P731" s="42">
        <v>8</v>
      </c>
      <c r="Q731" s="42">
        <v>8</v>
      </c>
      <c r="R731" s="42">
        <v>8</v>
      </c>
      <c r="S731" s="42">
        <v>7</v>
      </c>
      <c r="T731" s="42">
        <v>7</v>
      </c>
      <c r="U731" s="42">
        <v>7</v>
      </c>
      <c r="V731" s="42"/>
      <c r="W731" s="42"/>
      <c r="X731" s="42"/>
      <c r="Y731" s="26">
        <v>162</v>
      </c>
      <c r="Z731" s="26">
        <f t="shared" si="371"/>
        <v>0</v>
      </c>
      <c r="AA731" s="26" t="s">
        <v>1687</v>
      </c>
      <c r="AB731" s="111">
        <f t="shared" si="389"/>
        <v>2</v>
      </c>
      <c r="AC731" s="28" t="s">
        <v>2086</v>
      </c>
      <c r="AD731" s="123">
        <v>8693</v>
      </c>
      <c r="AE731" s="140"/>
      <c r="AF731" s="113">
        <f t="shared" si="387"/>
        <v>0</v>
      </c>
      <c r="AG731" s="106">
        <v>2025</v>
      </c>
      <c r="AH731" s="26" t="str">
        <f t="shared" si="376"/>
        <v/>
      </c>
      <c r="AI731" s="26" t="str">
        <f t="shared" si="360"/>
        <v/>
      </c>
      <c r="AJ731" s="26" t="str">
        <f t="shared" si="365"/>
        <v/>
      </c>
      <c r="AK731" s="26" t="str">
        <f t="shared" si="388"/>
        <v>Fog Seal</v>
      </c>
      <c r="AL731" s="26" t="str">
        <f t="shared" si="388"/>
        <v/>
      </c>
      <c r="AM731" s="26" t="str">
        <f t="shared" si="388"/>
        <v/>
      </c>
      <c r="AN731" s="26" t="str">
        <f t="shared" si="386"/>
        <v>Fog Seal</v>
      </c>
      <c r="AO731" s="26" t="str">
        <f t="shared" si="366"/>
        <v/>
      </c>
      <c r="AP731" s="26" t="str">
        <f t="shared" si="363"/>
        <v/>
      </c>
      <c r="AQ731" s="68">
        <f t="shared" si="390"/>
        <v>12</v>
      </c>
      <c r="AR731" s="68">
        <f t="shared" si="391"/>
        <v>2</v>
      </c>
      <c r="AS731" s="68">
        <f t="shared" si="377"/>
        <v>1.05</v>
      </c>
      <c r="AT731" s="68">
        <f t="shared" si="378"/>
        <v>1</v>
      </c>
      <c r="AU731" s="68">
        <f t="shared" si="379"/>
        <v>1</v>
      </c>
      <c r="AV731" s="68">
        <f t="shared" si="380"/>
        <v>1</v>
      </c>
      <c r="AW731" s="68">
        <f t="shared" si="381"/>
        <v>1</v>
      </c>
      <c r="AX731" s="68">
        <f t="shared" ca="1" si="382"/>
        <v>1</v>
      </c>
      <c r="AY731" s="68">
        <v>2019</v>
      </c>
      <c r="AZ731" s="68" t="s">
        <v>2371</v>
      </c>
      <c r="BA731" s="106" t="str">
        <f t="shared" si="372"/>
        <v/>
      </c>
      <c r="BB731" s="178"/>
      <c r="BC731" s="178"/>
      <c r="BD731" s="178"/>
      <c r="BE731" s="178"/>
      <c r="BF731" s="178"/>
      <c r="BG731" s="178"/>
      <c r="BH731" s="178"/>
      <c r="BI731" s="33"/>
      <c r="BK731" s="48">
        <f>$G731/5280*VLOOKUP($AC731,'Cost and Score'!$B$27:$O$40,6,0)</f>
        <v>1.8996212121212122E-2</v>
      </c>
      <c r="BL731" s="48">
        <f>$G731/5280*VLOOKUP($AC731,'Cost and Score'!$B$27:$O$40,7,0)</f>
        <v>3.7992424242424244E-2</v>
      </c>
      <c r="BM731" s="48">
        <f>$G731/5280*VLOOKUP($AC731,'Cost and Score'!$B$27:$O$40,8,0)</f>
        <v>0</v>
      </c>
      <c r="BN731" s="48">
        <f>$G731/5280*VLOOKUP($AC731,'Cost and Score'!$B$27:$O$40,9,0)</f>
        <v>0</v>
      </c>
      <c r="BO731" s="48">
        <f>$G731/5280*VLOOKUP($AC731,'Cost and Score'!$B$27:$O$40,10,0)</f>
        <v>189.96212121212122</v>
      </c>
      <c r="BP731" s="48">
        <f>$G731/5280*VLOOKUP($AC731,'Cost and Score'!$B$27:$O$40,11,0)</f>
        <v>0</v>
      </c>
      <c r="BQ731" s="48">
        <f>$G731/5280*VLOOKUP($AC731,'Cost and Score'!$B$27:$O$40,12,0)</f>
        <v>0</v>
      </c>
      <c r="BR731" s="48">
        <f>$G731/5280*VLOOKUP($AC731,'Cost and Score'!$B$27:$O$40,13,0)</f>
        <v>0</v>
      </c>
      <c r="BS731" s="48">
        <f>$G731/5280*VLOOKUP($AC731,'Cost and Score'!$B$27:$O$40,14,0)</f>
        <v>0</v>
      </c>
      <c r="BT731" s="220">
        <f t="shared" si="373"/>
        <v>0.18996212121212122</v>
      </c>
      <c r="BU731" s="26"/>
      <c r="CR731" s="112"/>
    </row>
    <row r="732" spans="1:103" s="2" customFormat="1" ht="14.45" hidden="1" customHeight="1" x14ac:dyDescent="0.25">
      <c r="A732" s="31" t="s">
        <v>2102</v>
      </c>
      <c r="B732" s="226" t="s">
        <v>1500</v>
      </c>
      <c r="C732" s="106" t="s">
        <v>1500</v>
      </c>
      <c r="D732" s="116" t="s">
        <v>2309</v>
      </c>
      <c r="E732" s="106" t="s">
        <v>1501</v>
      </c>
      <c r="F732" s="106" t="s">
        <v>1502</v>
      </c>
      <c r="G732" s="109">
        <v>422</v>
      </c>
      <c r="H732" s="109">
        <f t="shared" si="383"/>
        <v>26</v>
      </c>
      <c r="I732" s="106" t="s">
        <v>2098</v>
      </c>
      <c r="J732" s="106" t="s">
        <v>160</v>
      </c>
      <c r="K732" s="106">
        <f t="shared" si="384"/>
        <v>0</v>
      </c>
      <c r="L732" s="110">
        <v>7</v>
      </c>
      <c r="M732" s="110">
        <v>8</v>
      </c>
      <c r="N732" s="110">
        <v>8</v>
      </c>
      <c r="O732" s="110">
        <v>8</v>
      </c>
      <c r="P732" s="110">
        <v>8</v>
      </c>
      <c r="Q732" s="110">
        <v>8</v>
      </c>
      <c r="R732" s="110">
        <v>8</v>
      </c>
      <c r="S732" s="110">
        <v>8</v>
      </c>
      <c r="T732" s="110">
        <v>8</v>
      </c>
      <c r="U732" s="110">
        <v>7</v>
      </c>
      <c r="V732" s="110"/>
      <c r="W732" s="110"/>
      <c r="X732" s="110"/>
      <c r="Y732" s="106">
        <v>50</v>
      </c>
      <c r="Z732" s="106">
        <f t="shared" si="371"/>
        <v>0</v>
      </c>
      <c r="AA732" s="106" t="s">
        <v>1500</v>
      </c>
      <c r="AB732" s="111">
        <f t="shared" si="389"/>
        <v>2</v>
      </c>
      <c r="AC732" s="85" t="s">
        <v>2425</v>
      </c>
      <c r="AD732" s="107">
        <f>VLOOKUP(AC732,Cost,2,FALSE)*G732/5280</f>
        <v>1998.1060606060605</v>
      </c>
      <c r="AE732" s="140"/>
      <c r="AF732" s="113">
        <f t="shared" si="387"/>
        <v>0</v>
      </c>
      <c r="AG732" s="85">
        <v>2026</v>
      </c>
      <c r="AH732" s="26" t="str">
        <f t="shared" si="376"/>
        <v/>
      </c>
      <c r="AI732" s="26" t="str">
        <f t="shared" si="360"/>
        <v/>
      </c>
      <c r="AJ732" s="26" t="str">
        <f t="shared" si="365"/>
        <v/>
      </c>
      <c r="AK732" s="26" t="str">
        <f t="shared" si="388"/>
        <v/>
      </c>
      <c r="AL732" s="26" t="str">
        <f t="shared" si="388"/>
        <v>Liquid Road</v>
      </c>
      <c r="AM732" s="26" t="str">
        <f t="shared" si="388"/>
        <v/>
      </c>
      <c r="AN732" s="26" t="str">
        <f t="shared" si="386"/>
        <v>Liquid Road</v>
      </c>
      <c r="AO732" s="26" t="str">
        <f t="shared" si="366"/>
        <v/>
      </c>
      <c r="AP732" s="26" t="str">
        <f t="shared" si="363"/>
        <v/>
      </c>
      <c r="AQ732" s="68">
        <f t="shared" si="390"/>
        <v>12</v>
      </c>
      <c r="AR732" s="68">
        <f t="shared" si="391"/>
        <v>10</v>
      </c>
      <c r="AS732" s="68">
        <f t="shared" si="377"/>
        <v>1.05</v>
      </c>
      <c r="AT732" s="68">
        <f t="shared" si="378"/>
        <v>1</v>
      </c>
      <c r="AU732" s="68">
        <f t="shared" si="379"/>
        <v>1</v>
      </c>
      <c r="AV732" s="68">
        <f t="shared" si="380"/>
        <v>1</v>
      </c>
      <c r="AW732" s="68">
        <f t="shared" si="381"/>
        <v>1</v>
      </c>
      <c r="AX732" s="68">
        <f t="shared" ca="1" si="382"/>
        <v>2</v>
      </c>
      <c r="AY732" s="106">
        <v>2018</v>
      </c>
      <c r="AZ732" s="85" t="s">
        <v>2425</v>
      </c>
      <c r="BA732" s="106" t="str">
        <f t="shared" si="372"/>
        <v>MICROSEAL</v>
      </c>
      <c r="BB732" s="203"/>
      <c r="BC732" s="177"/>
      <c r="BD732" s="177"/>
      <c r="BE732" s="177"/>
      <c r="BF732" s="177"/>
      <c r="BG732" s="177"/>
      <c r="BH732" s="177">
        <v>5</v>
      </c>
      <c r="BI732" s="33"/>
      <c r="BK732" s="48">
        <f>$G732/5280*VLOOKUP($AC732,'Cost and Score'!$B$27:$O$40,6,0)</f>
        <v>7.9924242424242425E-2</v>
      </c>
      <c r="BL732" s="48">
        <f>$G732/5280*VLOOKUP($AC732,'Cost and Score'!$B$27:$O$40,7,0)</f>
        <v>1.2787878787878788</v>
      </c>
      <c r="BM732" s="48">
        <f>$G732/5280*VLOOKUP($AC732,'Cost and Score'!$B$27:$O$40,8,0)</f>
        <v>0</v>
      </c>
      <c r="BN732" s="48">
        <f>$G732/5280*VLOOKUP($AC732,'Cost and Score'!$B$27:$O$40,9,0)</f>
        <v>0</v>
      </c>
      <c r="BO732" s="48">
        <f>$G732/5280*VLOOKUP($AC732,'Cost and Score'!$B$27:$O$40,10,0)</f>
        <v>0</v>
      </c>
      <c r="BP732" s="48">
        <f>$G732/5280*VLOOKUP($AC732,'Cost and Score'!$B$27:$O$40,11,0)</f>
        <v>0</v>
      </c>
      <c r="BQ732" s="48">
        <f>$G732/5280*VLOOKUP($AC732,'Cost and Score'!$B$27:$O$40,12,0)</f>
        <v>0</v>
      </c>
      <c r="BR732" s="48">
        <f>$G732/5280*VLOOKUP($AC732,'Cost and Score'!$B$27:$O$40,13,0)</f>
        <v>0</v>
      </c>
      <c r="BS732" s="48">
        <f>$G732/5280*VLOOKUP($AC732,'Cost and Score'!$B$27:$O$40,14,0)</f>
        <v>0</v>
      </c>
      <c r="BT732" s="220">
        <f t="shared" si="373"/>
        <v>7.9924242424242425E-2</v>
      </c>
      <c r="CF732" s="112"/>
      <c r="CR732" s="112"/>
      <c r="CW732" s="112"/>
      <c r="CX732" s="112"/>
      <c r="CY732" s="112"/>
    </row>
    <row r="733" spans="1:103" s="112" customFormat="1" hidden="1" x14ac:dyDescent="0.25">
      <c r="A733" s="31" t="s">
        <v>2102</v>
      </c>
      <c r="B733" s="45" t="s">
        <v>1503</v>
      </c>
      <c r="C733" s="26" t="s">
        <v>1503</v>
      </c>
      <c r="D733" s="36" t="s">
        <v>2288</v>
      </c>
      <c r="E733" s="26" t="s">
        <v>1504</v>
      </c>
      <c r="F733" s="26" t="s">
        <v>1505</v>
      </c>
      <c r="G733" s="29">
        <v>370</v>
      </c>
      <c r="H733" s="29">
        <f t="shared" si="383"/>
        <v>26</v>
      </c>
      <c r="I733" s="26" t="s">
        <v>2098</v>
      </c>
      <c r="J733" s="26" t="s">
        <v>125</v>
      </c>
      <c r="K733" s="26">
        <f t="shared" si="384"/>
        <v>0</v>
      </c>
      <c r="L733" s="42">
        <v>7</v>
      </c>
      <c r="M733" s="42">
        <v>7</v>
      </c>
      <c r="N733" s="42">
        <v>7</v>
      </c>
      <c r="O733" s="42">
        <v>7</v>
      </c>
      <c r="P733" s="42">
        <v>7</v>
      </c>
      <c r="Q733" s="42">
        <v>8</v>
      </c>
      <c r="R733" s="42">
        <v>8</v>
      </c>
      <c r="S733" s="42">
        <v>7</v>
      </c>
      <c r="T733" s="42">
        <v>7</v>
      </c>
      <c r="U733" s="42">
        <v>7</v>
      </c>
      <c r="V733" s="42"/>
      <c r="W733" s="42"/>
      <c r="X733" s="42"/>
      <c r="Y733" s="26">
        <v>50</v>
      </c>
      <c r="Z733" s="26">
        <f t="shared" si="371"/>
        <v>0</v>
      </c>
      <c r="AA733" s="26" t="s">
        <v>1503</v>
      </c>
      <c r="AB733" s="111">
        <f t="shared" si="389"/>
        <v>3</v>
      </c>
      <c r="AC733" s="26" t="s">
        <v>2086</v>
      </c>
      <c r="AD733" s="47">
        <v>2993</v>
      </c>
      <c r="AE733" s="140"/>
      <c r="AF733" s="113">
        <f t="shared" si="387"/>
        <v>0</v>
      </c>
      <c r="AG733" s="26">
        <v>2024</v>
      </c>
      <c r="AH733" s="26" t="str">
        <f t="shared" si="376"/>
        <v/>
      </c>
      <c r="AI733" s="26" t="str">
        <f t="shared" si="360"/>
        <v/>
      </c>
      <c r="AJ733" s="26" t="str">
        <f t="shared" si="365"/>
        <v>Fog Seal</v>
      </c>
      <c r="AK733" s="26" t="str">
        <f t="shared" si="388"/>
        <v/>
      </c>
      <c r="AL733" s="26" t="str">
        <f t="shared" si="388"/>
        <v/>
      </c>
      <c r="AM733" s="26" t="str">
        <f t="shared" si="388"/>
        <v/>
      </c>
      <c r="AN733" s="26" t="str">
        <f t="shared" si="386"/>
        <v>Fog Seal</v>
      </c>
      <c r="AO733" s="26" t="str">
        <f t="shared" si="366"/>
        <v/>
      </c>
      <c r="AP733" s="26" t="str">
        <f t="shared" si="363"/>
        <v/>
      </c>
      <c r="AQ733" s="68">
        <f t="shared" si="390"/>
        <v>10</v>
      </c>
      <c r="AR733" s="68">
        <f t="shared" si="391"/>
        <v>2</v>
      </c>
      <c r="AS733" s="68">
        <f t="shared" si="377"/>
        <v>1.05</v>
      </c>
      <c r="AT733" s="68">
        <f t="shared" si="378"/>
        <v>1.05</v>
      </c>
      <c r="AU733" s="68">
        <f t="shared" si="379"/>
        <v>1.05</v>
      </c>
      <c r="AV733" s="68">
        <f t="shared" si="380"/>
        <v>1.05</v>
      </c>
      <c r="AW733" s="68">
        <f t="shared" si="381"/>
        <v>1.05</v>
      </c>
      <c r="AX733" s="68">
        <f t="shared" ca="1" si="382"/>
        <v>0</v>
      </c>
      <c r="AY733" s="68">
        <v>2018</v>
      </c>
      <c r="AZ733" s="85" t="s">
        <v>2425</v>
      </c>
      <c r="BA733" s="106" t="str">
        <f t="shared" si="372"/>
        <v>MICROSEAL</v>
      </c>
      <c r="BB733" s="203"/>
      <c r="BC733" s="178"/>
      <c r="BD733" s="178"/>
      <c r="BE733" s="178"/>
      <c r="BF733" s="178"/>
      <c r="BG733" s="178"/>
      <c r="BH733" s="178"/>
      <c r="BI733" s="33"/>
      <c r="BJ733" s="2"/>
      <c r="BK733" s="48">
        <f>$G733/5280*VLOOKUP($AC733,'Cost and Score'!$B$27:$O$40,6,0)</f>
        <v>7.0075757575757576E-3</v>
      </c>
      <c r="BL733" s="48">
        <f>$G733/5280*VLOOKUP($AC733,'Cost and Score'!$B$27:$O$40,7,0)</f>
        <v>1.4015151515151515E-2</v>
      </c>
      <c r="BM733" s="48">
        <f>$G733/5280*VLOOKUP($AC733,'Cost and Score'!$B$27:$O$40,8,0)</f>
        <v>0</v>
      </c>
      <c r="BN733" s="48">
        <f>$G733/5280*VLOOKUP($AC733,'Cost and Score'!$B$27:$O$40,9,0)</f>
        <v>0</v>
      </c>
      <c r="BO733" s="48">
        <f>$G733/5280*VLOOKUP($AC733,'Cost and Score'!$B$27:$O$40,10,0)</f>
        <v>70.075757575757564</v>
      </c>
      <c r="BP733" s="48">
        <f>$G733/5280*VLOOKUP($AC733,'Cost and Score'!$B$27:$O$40,11,0)</f>
        <v>0</v>
      </c>
      <c r="BQ733" s="48">
        <f>$G733/5280*VLOOKUP($AC733,'Cost and Score'!$B$27:$O$40,12,0)</f>
        <v>0</v>
      </c>
      <c r="BR733" s="48">
        <f>$G733/5280*VLOOKUP($AC733,'Cost and Score'!$B$27:$O$40,13,0)</f>
        <v>0</v>
      </c>
      <c r="BS733" s="48">
        <f>$G733/5280*VLOOKUP($AC733,'Cost and Score'!$B$27:$O$40,14,0)</f>
        <v>0</v>
      </c>
      <c r="BT733" s="220">
        <f t="shared" si="373"/>
        <v>7.0075757575757569E-2</v>
      </c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N733" s="2"/>
      <c r="CO733" s="2"/>
      <c r="CP733" s="2"/>
      <c r="CQ733" s="2"/>
      <c r="CR733" s="2"/>
      <c r="CV733" s="2"/>
      <c r="CW733" s="2"/>
      <c r="CX733" s="2"/>
      <c r="CY733" s="2"/>
    </row>
    <row r="734" spans="1:103" s="2" customFormat="1" hidden="1" x14ac:dyDescent="0.25">
      <c r="A734" s="31" t="s">
        <v>2102</v>
      </c>
      <c r="B734" s="224" t="s">
        <v>1506</v>
      </c>
      <c r="C734" s="26" t="s">
        <v>1506</v>
      </c>
      <c r="D734" s="119" t="s">
        <v>2244</v>
      </c>
      <c r="E734" s="82" t="s">
        <v>1458</v>
      </c>
      <c r="F734" s="82" t="s">
        <v>1507</v>
      </c>
      <c r="G734" s="29">
        <v>1373</v>
      </c>
      <c r="H734" s="29">
        <f t="shared" si="383"/>
        <v>26</v>
      </c>
      <c r="I734" s="26" t="s">
        <v>2098</v>
      </c>
      <c r="J734" s="26" t="s">
        <v>160</v>
      </c>
      <c r="K734" s="26">
        <f t="shared" si="384"/>
        <v>0</v>
      </c>
      <c r="L734" s="42">
        <v>7</v>
      </c>
      <c r="M734" s="42">
        <v>7</v>
      </c>
      <c r="N734" s="42">
        <v>7</v>
      </c>
      <c r="O734" s="83">
        <v>7</v>
      </c>
      <c r="P734" s="83">
        <v>7</v>
      </c>
      <c r="Q734" s="83">
        <v>7</v>
      </c>
      <c r="R734" s="83">
        <v>7</v>
      </c>
      <c r="S734" s="83">
        <v>7</v>
      </c>
      <c r="T734" s="83">
        <v>7</v>
      </c>
      <c r="U734" s="83">
        <v>7</v>
      </c>
      <c r="V734" s="42"/>
      <c r="W734" s="42"/>
      <c r="X734" s="42"/>
      <c r="Y734" s="26">
        <v>302</v>
      </c>
      <c r="Z734" s="26">
        <f t="shared" si="371"/>
        <v>0</v>
      </c>
      <c r="AA734" s="82" t="s">
        <v>1506</v>
      </c>
      <c r="AB734" s="111">
        <f t="shared" si="389"/>
        <v>3</v>
      </c>
      <c r="AC734" s="85" t="s">
        <v>2371</v>
      </c>
      <c r="AD734" s="84">
        <f>VLOOKUP(AC734,Cost,2,FALSE)*G734/5280</f>
        <v>20803.030303030304</v>
      </c>
      <c r="AE734" s="140"/>
      <c r="AF734" s="113">
        <f t="shared" si="387"/>
        <v>0</v>
      </c>
      <c r="AG734" s="85">
        <v>2028</v>
      </c>
      <c r="AH734" s="26" t="str">
        <f t="shared" si="376"/>
        <v/>
      </c>
      <c r="AI734" s="26" t="str">
        <f t="shared" ref="AI734:AI797" si="392">IF($AG734=AI$1,VLOOKUP($AC734,RSL,3,FALSE),"")</f>
        <v/>
      </c>
      <c r="AJ734" s="26" t="str">
        <f t="shared" si="365"/>
        <v/>
      </c>
      <c r="AK734" s="26" t="str">
        <f t="shared" si="388"/>
        <v/>
      </c>
      <c r="AL734" s="26" t="str">
        <f t="shared" si="388"/>
        <v/>
      </c>
      <c r="AM734" s="26" t="str">
        <f t="shared" si="388"/>
        <v/>
      </c>
      <c r="AN734" s="26" t="str">
        <f t="shared" si="386"/>
        <v>Microsurface double</v>
      </c>
      <c r="AO734" s="26" t="str">
        <f t="shared" si="366"/>
        <v/>
      </c>
      <c r="AP734" s="26" t="str">
        <f t="shared" si="363"/>
        <v/>
      </c>
      <c r="AQ734" s="68">
        <f t="shared" si="390"/>
        <v>10</v>
      </c>
      <c r="AR734" s="68">
        <f t="shared" si="391"/>
        <v>10</v>
      </c>
      <c r="AS734" s="68">
        <f t="shared" si="377"/>
        <v>1.05</v>
      </c>
      <c r="AT734" s="68">
        <f t="shared" si="378"/>
        <v>1.05</v>
      </c>
      <c r="AU734" s="68">
        <f t="shared" si="379"/>
        <v>1.05</v>
      </c>
      <c r="AV734" s="68">
        <f t="shared" si="380"/>
        <v>1.05</v>
      </c>
      <c r="AW734" s="68">
        <f t="shared" si="381"/>
        <v>1.05</v>
      </c>
      <c r="AX734" s="68">
        <f t="shared" ca="1" si="382"/>
        <v>4.2</v>
      </c>
      <c r="AY734" s="68"/>
      <c r="AZ734" s="85" t="s">
        <v>2425</v>
      </c>
      <c r="BA734" s="106" t="str">
        <f t="shared" si="372"/>
        <v/>
      </c>
      <c r="BB734" s="203"/>
      <c r="BC734" s="178"/>
      <c r="BD734" s="178"/>
      <c r="BE734" s="178"/>
      <c r="BF734" s="178"/>
      <c r="BG734" s="178"/>
      <c r="BH734" s="178"/>
      <c r="BI734" s="33"/>
      <c r="BK734" s="48">
        <f>$G734/5280*VLOOKUP($AC734,'Cost and Score'!$B$27:$O$40,6,0)</f>
        <v>0.13001893939393938</v>
      </c>
      <c r="BL734" s="48">
        <f>$G734/5280*VLOOKUP($AC734,'Cost and Score'!$B$27:$O$40,7,0)</f>
        <v>0</v>
      </c>
      <c r="BM734" s="48">
        <f>$G734/5280*VLOOKUP($AC734,'Cost and Score'!$B$27:$O$40,8,0)</f>
        <v>0</v>
      </c>
      <c r="BN734" s="48">
        <f>$G734/5280*VLOOKUP($AC734,'Cost and Score'!$B$27:$O$40,9,0)</f>
        <v>0</v>
      </c>
      <c r="BO734" s="48">
        <f>$G734/5280*VLOOKUP($AC734,'Cost and Score'!$B$27:$O$40,10,0)</f>
        <v>0</v>
      </c>
      <c r="BP734" s="48">
        <f>$G734/5280*VLOOKUP($AC734,'Cost and Score'!$B$27:$O$40,11,0)</f>
        <v>0</v>
      </c>
      <c r="BQ734" s="48">
        <f>$G734/5280*VLOOKUP($AC734,'Cost and Score'!$B$27:$O$40,12,0)</f>
        <v>0</v>
      </c>
      <c r="BR734" s="48">
        <f>$G734/5280*VLOOKUP($AC734,'Cost and Score'!$B$27:$O$40,13,0)</f>
        <v>0</v>
      </c>
      <c r="BS734" s="48">
        <f>$G734/5280*VLOOKUP($AC734,'Cost and Score'!$B$27:$O$40,14,0)</f>
        <v>0</v>
      </c>
      <c r="BT734" s="220">
        <f t="shared" si="373"/>
        <v>0.26003787878787876</v>
      </c>
      <c r="CN734" s="112"/>
      <c r="CO734" s="112"/>
      <c r="CP734" s="112"/>
      <c r="CQ734" s="112"/>
      <c r="CV734" s="112"/>
    </row>
    <row r="735" spans="1:103" s="2" customFormat="1" ht="14.45" customHeight="1" x14ac:dyDescent="0.25">
      <c r="A735" s="31"/>
      <c r="B735" s="45" t="s">
        <v>1479</v>
      </c>
      <c r="C735" s="26" t="s">
        <v>1479</v>
      </c>
      <c r="D735" s="36" t="s">
        <v>2331</v>
      </c>
      <c r="E735" s="26" t="s">
        <v>1480</v>
      </c>
      <c r="F735" s="26" t="s">
        <v>1481</v>
      </c>
      <c r="G735" s="29">
        <v>1056</v>
      </c>
      <c r="H735" s="29">
        <f t="shared" si="383"/>
        <v>26</v>
      </c>
      <c r="I735" s="26" t="s">
        <v>2098</v>
      </c>
      <c r="J735" s="26" t="s">
        <v>160</v>
      </c>
      <c r="K735" s="26">
        <f t="shared" si="384"/>
        <v>0</v>
      </c>
      <c r="L735" s="42">
        <v>7</v>
      </c>
      <c r="M735" s="42">
        <v>8</v>
      </c>
      <c r="N735" s="42">
        <v>8</v>
      </c>
      <c r="O735" s="42">
        <v>8</v>
      </c>
      <c r="P735" s="42">
        <v>8</v>
      </c>
      <c r="Q735" s="42">
        <v>8</v>
      </c>
      <c r="R735" s="42">
        <v>8</v>
      </c>
      <c r="S735" s="42">
        <v>7</v>
      </c>
      <c r="T735" s="42">
        <v>7</v>
      </c>
      <c r="U735" s="42">
        <v>7</v>
      </c>
      <c r="V735" s="42"/>
      <c r="W735" s="42"/>
      <c r="X735" s="42"/>
      <c r="Y735" s="26">
        <v>145</v>
      </c>
      <c r="Z735" s="26">
        <f t="shared" si="371"/>
        <v>0</v>
      </c>
      <c r="AA735" s="26" t="s">
        <v>1479</v>
      </c>
      <c r="AB735" s="111">
        <f t="shared" si="389"/>
        <v>2</v>
      </c>
      <c r="AC735" s="28" t="s">
        <v>2086</v>
      </c>
      <c r="AD735" s="123">
        <v>9152</v>
      </c>
      <c r="AE735" s="140"/>
      <c r="AF735" s="113">
        <f t="shared" si="387"/>
        <v>0</v>
      </c>
      <c r="AG735" s="106">
        <v>2025</v>
      </c>
      <c r="AH735" s="26" t="str">
        <f t="shared" si="376"/>
        <v/>
      </c>
      <c r="AI735" s="26" t="str">
        <f t="shared" si="392"/>
        <v/>
      </c>
      <c r="AJ735" s="26" t="str">
        <f t="shared" si="365"/>
        <v/>
      </c>
      <c r="AK735" s="26" t="str">
        <f t="shared" si="388"/>
        <v>Fog Seal</v>
      </c>
      <c r="AL735" s="26" t="str">
        <f t="shared" si="388"/>
        <v/>
      </c>
      <c r="AM735" s="26" t="str">
        <f t="shared" si="388"/>
        <v/>
      </c>
      <c r="AN735" s="26" t="str">
        <f t="shared" si="386"/>
        <v>Fog Seal</v>
      </c>
      <c r="AO735" s="26" t="str">
        <f t="shared" si="366"/>
        <v/>
      </c>
      <c r="AP735" s="26" t="str">
        <f t="shared" si="363"/>
        <v/>
      </c>
      <c r="AQ735" s="68">
        <f t="shared" si="390"/>
        <v>12</v>
      </c>
      <c r="AR735" s="68">
        <f t="shared" si="391"/>
        <v>2</v>
      </c>
      <c r="AS735" s="68">
        <f t="shared" si="377"/>
        <v>1.05</v>
      </c>
      <c r="AT735" s="68">
        <f t="shared" si="378"/>
        <v>1</v>
      </c>
      <c r="AU735" s="68">
        <f t="shared" si="379"/>
        <v>1</v>
      </c>
      <c r="AV735" s="68">
        <f t="shared" si="380"/>
        <v>1</v>
      </c>
      <c r="AW735" s="68">
        <f t="shared" si="381"/>
        <v>1</v>
      </c>
      <c r="AX735" s="68">
        <f t="shared" ca="1" si="382"/>
        <v>1</v>
      </c>
      <c r="AY735" s="68">
        <v>2019</v>
      </c>
      <c r="AZ735" s="68" t="s">
        <v>2371</v>
      </c>
      <c r="BA735" s="106" t="str">
        <f t="shared" si="372"/>
        <v/>
      </c>
      <c r="BB735" s="178"/>
      <c r="BC735" s="178"/>
      <c r="BD735" s="178"/>
      <c r="BE735" s="178"/>
      <c r="BF735" s="178"/>
      <c r="BG735" s="178"/>
      <c r="BH735" s="178"/>
      <c r="BI735" s="33"/>
      <c r="BK735" s="48">
        <f>$G735/5280*VLOOKUP($AC735,'Cost and Score'!$B$27:$O$40,6,0)</f>
        <v>2.0000000000000004E-2</v>
      </c>
      <c r="BL735" s="48">
        <f>$G735/5280*VLOOKUP($AC735,'Cost and Score'!$B$27:$O$40,7,0)</f>
        <v>4.0000000000000008E-2</v>
      </c>
      <c r="BM735" s="48">
        <f>$G735/5280*VLOOKUP($AC735,'Cost and Score'!$B$27:$O$40,8,0)</f>
        <v>0</v>
      </c>
      <c r="BN735" s="48">
        <f>$G735/5280*VLOOKUP($AC735,'Cost and Score'!$B$27:$O$40,9,0)</f>
        <v>0</v>
      </c>
      <c r="BO735" s="48">
        <f>$G735/5280*VLOOKUP($AC735,'Cost and Score'!$B$27:$O$40,10,0)</f>
        <v>200</v>
      </c>
      <c r="BP735" s="48">
        <f>$G735/5280*VLOOKUP($AC735,'Cost and Score'!$B$27:$O$40,11,0)</f>
        <v>0</v>
      </c>
      <c r="BQ735" s="48">
        <f>$G735/5280*VLOOKUP($AC735,'Cost and Score'!$B$27:$O$40,12,0)</f>
        <v>0</v>
      </c>
      <c r="BR735" s="48">
        <f>$G735/5280*VLOOKUP($AC735,'Cost and Score'!$B$27:$O$40,13,0)</f>
        <v>0</v>
      </c>
      <c r="BS735" s="48">
        <f>$G735/5280*VLOOKUP($AC735,'Cost and Score'!$B$27:$O$40,14,0)</f>
        <v>0</v>
      </c>
      <c r="BT735" s="220">
        <f t="shared" si="373"/>
        <v>0.2</v>
      </c>
      <c r="CG735" s="112"/>
      <c r="CH735" s="112"/>
      <c r="CI735" s="112"/>
      <c r="CJ735" s="112"/>
      <c r="CK735" s="112"/>
      <c r="CL735" s="112"/>
      <c r="CM735" s="112"/>
      <c r="CS735" s="112"/>
      <c r="CT735" s="112"/>
      <c r="CU735" s="112"/>
      <c r="CW735" s="112"/>
      <c r="CX735" s="112"/>
      <c r="CY735" s="112"/>
    </row>
    <row r="736" spans="1:103" s="2" customFormat="1" ht="14.45" customHeight="1" x14ac:dyDescent="0.25">
      <c r="A736" s="31" t="s">
        <v>2102</v>
      </c>
      <c r="B736" s="45" t="s">
        <v>1744</v>
      </c>
      <c r="C736" s="26" t="s">
        <v>1744</v>
      </c>
      <c r="D736" s="119" t="s">
        <v>2296</v>
      </c>
      <c r="E736" s="82" t="s">
        <v>1745</v>
      </c>
      <c r="F736" s="82" t="s">
        <v>1746</v>
      </c>
      <c r="G736" s="29">
        <v>317</v>
      </c>
      <c r="H736" s="29">
        <f t="shared" si="383"/>
        <v>26</v>
      </c>
      <c r="I736" s="26" t="s">
        <v>2098</v>
      </c>
      <c r="J736" s="26" t="s">
        <v>160</v>
      </c>
      <c r="K736" s="26">
        <f t="shared" si="384"/>
        <v>0</v>
      </c>
      <c r="L736" s="42">
        <v>6</v>
      </c>
      <c r="M736" s="42">
        <v>7</v>
      </c>
      <c r="N736" s="42">
        <v>7</v>
      </c>
      <c r="O736" s="83">
        <v>7</v>
      </c>
      <c r="P736" s="83">
        <v>7</v>
      </c>
      <c r="Q736" s="83">
        <v>6</v>
      </c>
      <c r="R736" s="83">
        <v>7</v>
      </c>
      <c r="S736" s="83">
        <v>7</v>
      </c>
      <c r="T736" s="83">
        <v>7</v>
      </c>
      <c r="U736" s="83">
        <v>7</v>
      </c>
      <c r="V736" s="42"/>
      <c r="W736" s="42"/>
      <c r="X736" s="42"/>
      <c r="Y736" s="26">
        <v>123</v>
      </c>
      <c r="Z736" s="26">
        <f t="shared" si="371"/>
        <v>0</v>
      </c>
      <c r="AA736" s="82" t="s">
        <v>1744</v>
      </c>
      <c r="AB736" s="111">
        <f t="shared" si="389"/>
        <v>3</v>
      </c>
      <c r="AC736" s="85" t="s">
        <v>2086</v>
      </c>
      <c r="AD736" s="84">
        <f t="shared" ref="AD736:AD741" si="393">VLOOKUP(AC736,Cost,2,FALSE)*G736/5280</f>
        <v>150.09469696969697</v>
      </c>
      <c r="AE736" s="140"/>
      <c r="AF736" s="113">
        <f t="shared" si="387"/>
        <v>0</v>
      </c>
      <c r="AG736" s="106">
        <v>2025</v>
      </c>
      <c r="AH736" s="26" t="str">
        <f t="shared" si="376"/>
        <v/>
      </c>
      <c r="AI736" s="26" t="str">
        <f t="shared" si="392"/>
        <v/>
      </c>
      <c r="AJ736" s="26" t="str">
        <f t="shared" si="365"/>
        <v/>
      </c>
      <c r="AK736" s="26" t="str">
        <f t="shared" si="388"/>
        <v>Fog Seal</v>
      </c>
      <c r="AL736" s="26" t="str">
        <f t="shared" si="388"/>
        <v/>
      </c>
      <c r="AM736" s="26" t="str">
        <f t="shared" si="388"/>
        <v/>
      </c>
      <c r="AN736" s="26" t="str">
        <f t="shared" si="386"/>
        <v>Fog Seal</v>
      </c>
      <c r="AO736" s="26" t="str">
        <f t="shared" si="366"/>
        <v/>
      </c>
      <c r="AP736" s="26" t="str">
        <f t="shared" si="363"/>
        <v/>
      </c>
      <c r="AQ736" s="68">
        <f t="shared" si="390"/>
        <v>10</v>
      </c>
      <c r="AR736" s="68">
        <f t="shared" si="391"/>
        <v>2</v>
      </c>
      <c r="AS736" s="68">
        <f t="shared" si="377"/>
        <v>1.1000000000000001</v>
      </c>
      <c r="AT736" s="68">
        <f t="shared" si="378"/>
        <v>1.05</v>
      </c>
      <c r="AU736" s="68">
        <f t="shared" si="379"/>
        <v>1.05</v>
      </c>
      <c r="AV736" s="68">
        <f t="shared" si="380"/>
        <v>1.05</v>
      </c>
      <c r="AW736" s="68">
        <f t="shared" si="381"/>
        <v>1.05</v>
      </c>
      <c r="AX736" s="68">
        <f t="shared" ca="1" si="382"/>
        <v>1.05</v>
      </c>
      <c r="AY736" s="68">
        <v>2019</v>
      </c>
      <c r="AZ736" s="68" t="s">
        <v>2371</v>
      </c>
      <c r="BA736" s="106" t="str">
        <f t="shared" si="372"/>
        <v/>
      </c>
      <c r="BB736" s="178"/>
      <c r="BC736" s="178"/>
      <c r="BD736" s="178"/>
      <c r="BE736" s="178"/>
      <c r="BF736" s="178"/>
      <c r="BG736" s="178"/>
      <c r="BH736" s="178"/>
      <c r="BI736" s="33"/>
      <c r="BK736" s="48">
        <f>$G736/5280*VLOOKUP($AC736,'Cost and Score'!$B$27:$O$40,6,0)</f>
        <v>6.0037878787878793E-3</v>
      </c>
      <c r="BL736" s="48">
        <f>$G736/5280*VLOOKUP($AC736,'Cost and Score'!$B$27:$O$40,7,0)</f>
        <v>1.2007575757575759E-2</v>
      </c>
      <c r="BM736" s="48">
        <f>$G736/5280*VLOOKUP($AC736,'Cost and Score'!$B$27:$O$40,8,0)</f>
        <v>0</v>
      </c>
      <c r="BN736" s="48">
        <f>$G736/5280*VLOOKUP($AC736,'Cost and Score'!$B$27:$O$40,9,0)</f>
        <v>0</v>
      </c>
      <c r="BO736" s="48">
        <f>$G736/5280*VLOOKUP($AC736,'Cost and Score'!$B$27:$O$40,10,0)</f>
        <v>60.037878787878789</v>
      </c>
      <c r="BP736" s="48">
        <f>$G736/5280*VLOOKUP($AC736,'Cost and Score'!$B$27:$O$40,11,0)</f>
        <v>0</v>
      </c>
      <c r="BQ736" s="48">
        <f>$G736/5280*VLOOKUP($AC736,'Cost and Score'!$B$27:$O$40,12,0)</f>
        <v>0</v>
      </c>
      <c r="BR736" s="48">
        <f>$G736/5280*VLOOKUP($AC736,'Cost and Score'!$B$27:$O$40,13,0)</f>
        <v>0</v>
      </c>
      <c r="BS736" s="48">
        <f>$G736/5280*VLOOKUP($AC736,'Cost and Score'!$B$27:$O$40,14,0)</f>
        <v>0</v>
      </c>
      <c r="BT736" s="220">
        <f t="shared" si="373"/>
        <v>6.0037878787878786E-2</v>
      </c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V736" s="112"/>
    </row>
    <row r="737" spans="1:103" s="112" customFormat="1" ht="14.45" customHeight="1" x14ac:dyDescent="0.25">
      <c r="A737" s="31" t="s">
        <v>2102</v>
      </c>
      <c r="B737" s="45" t="s">
        <v>1996</v>
      </c>
      <c r="C737" s="85" t="s">
        <v>1996</v>
      </c>
      <c r="D737" s="86" t="s">
        <v>2296</v>
      </c>
      <c r="E737" s="85" t="s">
        <v>1997</v>
      </c>
      <c r="F737" s="85" t="s">
        <v>1416</v>
      </c>
      <c r="G737" s="29">
        <v>475</v>
      </c>
      <c r="H737" s="29">
        <f t="shared" si="383"/>
        <v>26</v>
      </c>
      <c r="I737" s="85" t="s">
        <v>2098</v>
      </c>
      <c r="J737" s="85" t="s">
        <v>160</v>
      </c>
      <c r="K737" s="85">
        <f t="shared" si="384"/>
        <v>0</v>
      </c>
      <c r="L737" s="74">
        <v>8</v>
      </c>
      <c r="M737" s="74">
        <v>7</v>
      </c>
      <c r="N737" s="74">
        <v>7</v>
      </c>
      <c r="O737" s="74">
        <v>7</v>
      </c>
      <c r="P737" s="74">
        <v>7</v>
      </c>
      <c r="Q737" s="74">
        <v>6</v>
      </c>
      <c r="R737" s="74">
        <v>7</v>
      </c>
      <c r="S737" s="74">
        <v>7</v>
      </c>
      <c r="T737" s="74">
        <v>7</v>
      </c>
      <c r="U737" s="74">
        <v>7</v>
      </c>
      <c r="V737" s="74"/>
      <c r="W737" s="74"/>
      <c r="X737" s="74"/>
      <c r="Y737" s="85">
        <v>123</v>
      </c>
      <c r="Z737" s="85">
        <f t="shared" si="371"/>
        <v>0</v>
      </c>
      <c r="AA737" s="85" t="s">
        <v>1996</v>
      </c>
      <c r="AB737" s="111">
        <f t="shared" si="389"/>
        <v>3</v>
      </c>
      <c r="AC737" s="106" t="s">
        <v>2086</v>
      </c>
      <c r="AD737" s="47">
        <f t="shared" si="393"/>
        <v>224.90530303030303</v>
      </c>
      <c r="AE737" s="140"/>
      <c r="AF737" s="113">
        <f t="shared" si="387"/>
        <v>0</v>
      </c>
      <c r="AG737" s="106">
        <v>2025</v>
      </c>
      <c r="AH737" s="26" t="str">
        <f t="shared" si="376"/>
        <v/>
      </c>
      <c r="AI737" s="26" t="str">
        <f t="shared" si="392"/>
        <v/>
      </c>
      <c r="AJ737" s="26" t="str">
        <f t="shared" si="365"/>
        <v/>
      </c>
      <c r="AK737" s="26" t="str">
        <f t="shared" si="388"/>
        <v>Fog Seal</v>
      </c>
      <c r="AL737" s="26" t="str">
        <f t="shared" si="388"/>
        <v/>
      </c>
      <c r="AM737" s="26" t="str">
        <f t="shared" si="388"/>
        <v/>
      </c>
      <c r="AN737" s="26" t="str">
        <f t="shared" si="386"/>
        <v>Fog Seal</v>
      </c>
      <c r="AO737" s="26" t="str">
        <f t="shared" si="366"/>
        <v/>
      </c>
      <c r="AP737" s="26" t="str">
        <f t="shared" si="363"/>
        <v/>
      </c>
      <c r="AQ737" s="68">
        <f t="shared" si="390"/>
        <v>10</v>
      </c>
      <c r="AR737" s="68">
        <f t="shared" si="391"/>
        <v>2</v>
      </c>
      <c r="AS737" s="68">
        <f t="shared" si="377"/>
        <v>1</v>
      </c>
      <c r="AT737" s="68">
        <f t="shared" si="378"/>
        <v>1.05</v>
      </c>
      <c r="AU737" s="68">
        <f t="shared" si="379"/>
        <v>1.05</v>
      </c>
      <c r="AV737" s="68">
        <f t="shared" si="380"/>
        <v>1.05</v>
      </c>
      <c r="AW737" s="68">
        <f t="shared" si="381"/>
        <v>1.05</v>
      </c>
      <c r="AX737" s="68">
        <f t="shared" ca="1" si="382"/>
        <v>1.05</v>
      </c>
      <c r="AY737" s="68">
        <v>2019</v>
      </c>
      <c r="AZ737" s="68" t="s">
        <v>2371</v>
      </c>
      <c r="BA737" s="106" t="str">
        <f t="shared" si="372"/>
        <v/>
      </c>
      <c r="BB737" s="178"/>
      <c r="BC737" s="177"/>
      <c r="BD737" s="177"/>
      <c r="BE737" s="177"/>
      <c r="BF737" s="177"/>
      <c r="BG737" s="177"/>
      <c r="BH737" s="177"/>
      <c r="BI737" s="33"/>
      <c r="BJ737" s="2"/>
      <c r="BK737" s="48">
        <f>$G737/5280*VLOOKUP($AC737,'Cost and Score'!$B$27:$O$40,6,0)</f>
        <v>8.9962121212121219E-3</v>
      </c>
      <c r="BL737" s="48">
        <f>$G737/5280*VLOOKUP($AC737,'Cost and Score'!$B$27:$O$40,7,0)</f>
        <v>1.7992424242424244E-2</v>
      </c>
      <c r="BM737" s="48">
        <f>$G737/5280*VLOOKUP($AC737,'Cost and Score'!$B$27:$O$40,8,0)</f>
        <v>0</v>
      </c>
      <c r="BN737" s="48">
        <f>$G737/5280*VLOOKUP($AC737,'Cost and Score'!$B$27:$O$40,9,0)</f>
        <v>0</v>
      </c>
      <c r="BO737" s="48">
        <f>$G737/5280*VLOOKUP($AC737,'Cost and Score'!$B$27:$O$40,10,0)</f>
        <v>89.962121212121218</v>
      </c>
      <c r="BP737" s="48">
        <f>$G737/5280*VLOOKUP($AC737,'Cost and Score'!$B$27:$O$40,11,0)</f>
        <v>0</v>
      </c>
      <c r="BQ737" s="48">
        <f>$G737/5280*VLOOKUP($AC737,'Cost and Score'!$B$27:$O$40,12,0)</f>
        <v>0</v>
      </c>
      <c r="BR737" s="48">
        <f>$G737/5280*VLOOKUP($AC737,'Cost and Score'!$B$27:$O$40,13,0)</f>
        <v>0</v>
      </c>
      <c r="BS737" s="48">
        <f>$G737/5280*VLOOKUP($AC737,'Cost and Score'!$B$27:$O$40,14,0)</f>
        <v>0</v>
      </c>
      <c r="BT737" s="220">
        <f t="shared" si="373"/>
        <v>8.9962121212121215E-2</v>
      </c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</row>
    <row r="738" spans="1:103" s="2" customFormat="1" ht="14.45" hidden="1" customHeight="1" x14ac:dyDescent="0.25">
      <c r="A738" s="31" t="s">
        <v>2102</v>
      </c>
      <c r="B738" s="226" t="s">
        <v>1511</v>
      </c>
      <c r="C738" s="106" t="s">
        <v>1511</v>
      </c>
      <c r="D738" s="116" t="s">
        <v>2221</v>
      </c>
      <c r="E738" s="106" t="s">
        <v>1512</v>
      </c>
      <c r="F738" s="106" t="s">
        <v>1416</v>
      </c>
      <c r="G738" s="109">
        <v>475</v>
      </c>
      <c r="H738" s="109">
        <f t="shared" si="383"/>
        <v>26</v>
      </c>
      <c r="I738" s="106" t="s">
        <v>2098</v>
      </c>
      <c r="J738" s="106" t="s">
        <v>160</v>
      </c>
      <c r="K738" s="106">
        <f t="shared" si="384"/>
        <v>0</v>
      </c>
      <c r="L738" s="110">
        <v>7</v>
      </c>
      <c r="M738" s="110">
        <v>8</v>
      </c>
      <c r="N738" s="110">
        <v>8</v>
      </c>
      <c r="O738" s="110">
        <v>8</v>
      </c>
      <c r="P738" s="110">
        <v>8</v>
      </c>
      <c r="Q738" s="110">
        <v>7</v>
      </c>
      <c r="R738" s="110">
        <v>7</v>
      </c>
      <c r="S738" s="110">
        <v>7</v>
      </c>
      <c r="T738" s="110">
        <v>7</v>
      </c>
      <c r="U738" s="110">
        <v>7</v>
      </c>
      <c r="V738" s="110"/>
      <c r="W738" s="110"/>
      <c r="X738" s="110"/>
      <c r="Y738" s="106">
        <v>247</v>
      </c>
      <c r="Z738" s="106">
        <f t="shared" ref="Z738:Z769" si="394">VLOOKUP(Y738,AADT,2)</f>
        <v>0</v>
      </c>
      <c r="AA738" s="106" t="s">
        <v>1511</v>
      </c>
      <c r="AB738" s="111">
        <f t="shared" si="389"/>
        <v>2</v>
      </c>
      <c r="AC738" s="106" t="s">
        <v>2425</v>
      </c>
      <c r="AD738" s="107">
        <f t="shared" si="393"/>
        <v>2249.0530303030305</v>
      </c>
      <c r="AE738" s="198"/>
      <c r="AF738" s="113">
        <f t="shared" si="387"/>
        <v>0</v>
      </c>
      <c r="AG738" s="85">
        <v>2026</v>
      </c>
      <c r="AH738" s="26" t="str">
        <f t="shared" si="376"/>
        <v/>
      </c>
      <c r="AI738" s="26" t="str">
        <f t="shared" si="392"/>
        <v/>
      </c>
      <c r="AJ738" s="26" t="str">
        <f t="shared" si="365"/>
        <v/>
      </c>
      <c r="AK738" s="26" t="str">
        <f t="shared" si="388"/>
        <v/>
      </c>
      <c r="AL738" s="26" t="str">
        <f t="shared" si="388"/>
        <v>Liquid Road</v>
      </c>
      <c r="AM738" s="26" t="str">
        <f t="shared" si="388"/>
        <v/>
      </c>
      <c r="AN738" s="26" t="str">
        <f t="shared" si="386"/>
        <v>Liquid Road</v>
      </c>
      <c r="AO738" s="26" t="str">
        <f t="shared" si="366"/>
        <v/>
      </c>
      <c r="AP738" s="26" t="str">
        <f t="shared" si="363"/>
        <v/>
      </c>
      <c r="AQ738" s="68">
        <f t="shared" si="390"/>
        <v>12</v>
      </c>
      <c r="AR738" s="68">
        <f t="shared" si="391"/>
        <v>10</v>
      </c>
      <c r="AS738" s="68">
        <f t="shared" si="377"/>
        <v>1.05</v>
      </c>
      <c r="AT738" s="68">
        <f t="shared" si="378"/>
        <v>1</v>
      </c>
      <c r="AU738" s="68">
        <f t="shared" si="379"/>
        <v>1</v>
      </c>
      <c r="AV738" s="68">
        <f t="shared" si="380"/>
        <v>1</v>
      </c>
      <c r="AW738" s="68">
        <f t="shared" si="381"/>
        <v>1</v>
      </c>
      <c r="AX738" s="68">
        <f t="shared" ca="1" si="382"/>
        <v>2</v>
      </c>
      <c r="AY738" s="106">
        <v>2017</v>
      </c>
      <c r="AZ738" s="85" t="s">
        <v>2425</v>
      </c>
      <c r="BA738" s="106" t="str">
        <f t="shared" si="372"/>
        <v/>
      </c>
      <c r="BB738" s="203"/>
      <c r="BC738" s="177"/>
      <c r="BD738" s="177"/>
      <c r="BE738" s="177">
        <v>2</v>
      </c>
      <c r="BF738" s="177"/>
      <c r="BG738" s="177"/>
      <c r="BH738" s="177"/>
      <c r="BI738" s="33"/>
      <c r="BK738" s="48">
        <f>$G738/5280*VLOOKUP($AC738,'Cost and Score'!$B$27:$O$40,6,0)</f>
        <v>8.9962121212121215E-2</v>
      </c>
      <c r="BL738" s="48">
        <f>$G738/5280*VLOOKUP($AC738,'Cost and Score'!$B$27:$O$40,7,0)</f>
        <v>1.4393939393939394</v>
      </c>
      <c r="BM738" s="48">
        <f>$G738/5280*VLOOKUP($AC738,'Cost and Score'!$B$27:$O$40,8,0)</f>
        <v>0</v>
      </c>
      <c r="BN738" s="48">
        <f>$G738/5280*VLOOKUP($AC738,'Cost and Score'!$B$27:$O$40,9,0)</f>
        <v>0</v>
      </c>
      <c r="BO738" s="48">
        <f>$G738/5280*VLOOKUP($AC738,'Cost and Score'!$B$27:$O$40,10,0)</f>
        <v>0</v>
      </c>
      <c r="BP738" s="48">
        <f>$G738/5280*VLOOKUP($AC738,'Cost and Score'!$B$27:$O$40,11,0)</f>
        <v>0</v>
      </c>
      <c r="BQ738" s="48">
        <f>$G738/5280*VLOOKUP($AC738,'Cost and Score'!$B$27:$O$40,12,0)</f>
        <v>0</v>
      </c>
      <c r="BR738" s="48">
        <f>$G738/5280*VLOOKUP($AC738,'Cost and Score'!$B$27:$O$40,13,0)</f>
        <v>0</v>
      </c>
      <c r="BS738" s="48">
        <f>$G738/5280*VLOOKUP($AC738,'Cost and Score'!$B$27:$O$40,14,0)</f>
        <v>0</v>
      </c>
      <c r="BT738" s="220">
        <f t="shared" si="373"/>
        <v>8.9962121212121215E-2</v>
      </c>
      <c r="CF738" s="112"/>
      <c r="CN738" s="112"/>
      <c r="CO738" s="112"/>
      <c r="CP738" s="112"/>
      <c r="CQ738" s="112"/>
      <c r="CR738" s="112"/>
      <c r="CV738" s="112"/>
    </row>
    <row r="739" spans="1:103" s="112" customFormat="1" ht="14.45" hidden="1" customHeight="1" x14ac:dyDescent="0.25">
      <c r="A739" s="31" t="s">
        <v>2102</v>
      </c>
      <c r="B739" s="226" t="s">
        <v>1513</v>
      </c>
      <c r="C739" s="106" t="s">
        <v>1513</v>
      </c>
      <c r="D739" s="116" t="s">
        <v>2221</v>
      </c>
      <c r="E739" s="106" t="s">
        <v>1512</v>
      </c>
      <c r="F739" s="106" t="s">
        <v>1416</v>
      </c>
      <c r="G739" s="109">
        <v>1214</v>
      </c>
      <c r="H739" s="109">
        <f t="shared" si="383"/>
        <v>26</v>
      </c>
      <c r="I739" s="106" t="s">
        <v>2098</v>
      </c>
      <c r="J739" s="106" t="s">
        <v>160</v>
      </c>
      <c r="K739" s="106">
        <f t="shared" si="384"/>
        <v>0</v>
      </c>
      <c r="L739" s="110">
        <v>7</v>
      </c>
      <c r="M739" s="110">
        <v>8</v>
      </c>
      <c r="N739" s="110">
        <v>8</v>
      </c>
      <c r="O739" s="110">
        <v>8</v>
      </c>
      <c r="P739" s="110">
        <v>8</v>
      </c>
      <c r="Q739" s="110">
        <v>8</v>
      </c>
      <c r="R739" s="110">
        <v>8</v>
      </c>
      <c r="S739" s="110">
        <v>7</v>
      </c>
      <c r="T739" s="110">
        <v>7</v>
      </c>
      <c r="U739" s="110">
        <v>7</v>
      </c>
      <c r="V739" s="110"/>
      <c r="W739" s="110"/>
      <c r="X739" s="110"/>
      <c r="Y739" s="106">
        <v>247</v>
      </c>
      <c r="Z739" s="106">
        <f t="shared" si="394"/>
        <v>0</v>
      </c>
      <c r="AA739" s="106" t="s">
        <v>1513</v>
      </c>
      <c r="AB739" s="111">
        <f t="shared" si="389"/>
        <v>2</v>
      </c>
      <c r="AC739" s="106" t="s">
        <v>2425</v>
      </c>
      <c r="AD739" s="107">
        <f t="shared" si="393"/>
        <v>5748.106060606061</v>
      </c>
      <c r="AE739" s="198"/>
      <c r="AF739" s="113">
        <f t="shared" si="387"/>
        <v>0</v>
      </c>
      <c r="AG739" s="85">
        <v>2026</v>
      </c>
      <c r="AH739" s="26" t="str">
        <f t="shared" si="376"/>
        <v/>
      </c>
      <c r="AI739" s="26" t="str">
        <f t="shared" si="392"/>
        <v/>
      </c>
      <c r="AJ739" s="26" t="str">
        <f t="shared" si="365"/>
        <v/>
      </c>
      <c r="AK739" s="26" t="str">
        <f t="shared" si="388"/>
        <v/>
      </c>
      <c r="AL739" s="26" t="str">
        <f t="shared" si="388"/>
        <v>Liquid Road</v>
      </c>
      <c r="AM739" s="26" t="str">
        <f t="shared" si="388"/>
        <v/>
      </c>
      <c r="AN739" s="26" t="str">
        <f t="shared" si="386"/>
        <v>Liquid Road</v>
      </c>
      <c r="AO739" s="26" t="str">
        <f t="shared" si="366"/>
        <v/>
      </c>
      <c r="AP739" s="26" t="str">
        <f t="shared" si="363"/>
        <v/>
      </c>
      <c r="AQ739" s="68">
        <f t="shared" si="390"/>
        <v>12</v>
      </c>
      <c r="AR739" s="68">
        <f t="shared" si="391"/>
        <v>10</v>
      </c>
      <c r="AS739" s="68">
        <f t="shared" si="377"/>
        <v>1.05</v>
      </c>
      <c r="AT739" s="68">
        <f t="shared" si="378"/>
        <v>1</v>
      </c>
      <c r="AU739" s="68">
        <f t="shared" si="379"/>
        <v>1</v>
      </c>
      <c r="AV739" s="68">
        <f t="shared" si="380"/>
        <v>1</v>
      </c>
      <c r="AW739" s="68">
        <f t="shared" si="381"/>
        <v>1</v>
      </c>
      <c r="AX739" s="68">
        <f t="shared" ca="1" si="382"/>
        <v>2</v>
      </c>
      <c r="AY739" s="106">
        <v>2017</v>
      </c>
      <c r="AZ739" s="85" t="s">
        <v>2425</v>
      </c>
      <c r="BA739" s="106" t="str">
        <f t="shared" si="372"/>
        <v/>
      </c>
      <c r="BB739" s="203"/>
      <c r="BC739" s="177"/>
      <c r="BD739" s="177"/>
      <c r="BE739" s="177">
        <v>2</v>
      </c>
      <c r="BF739" s="177"/>
      <c r="BG739" s="177"/>
      <c r="BH739" s="177"/>
      <c r="BI739" s="33"/>
      <c r="BJ739" s="2"/>
      <c r="BK739" s="48">
        <f>$G739/5280*VLOOKUP($AC739,'Cost and Score'!$B$27:$O$40,6,0)</f>
        <v>0.22992424242424242</v>
      </c>
      <c r="BL739" s="48">
        <f>$G739/5280*VLOOKUP($AC739,'Cost and Score'!$B$27:$O$40,7,0)</f>
        <v>3.6787878787878787</v>
      </c>
      <c r="BM739" s="48">
        <f>$G739/5280*VLOOKUP($AC739,'Cost and Score'!$B$27:$O$40,8,0)</f>
        <v>0</v>
      </c>
      <c r="BN739" s="48">
        <f>$G739/5280*VLOOKUP($AC739,'Cost and Score'!$B$27:$O$40,9,0)</f>
        <v>0</v>
      </c>
      <c r="BO739" s="48">
        <f>$G739/5280*VLOOKUP($AC739,'Cost and Score'!$B$27:$O$40,10,0)</f>
        <v>0</v>
      </c>
      <c r="BP739" s="48">
        <f>$G739/5280*VLOOKUP($AC739,'Cost and Score'!$B$27:$O$40,11,0)</f>
        <v>0</v>
      </c>
      <c r="BQ739" s="48">
        <f>$G739/5280*VLOOKUP($AC739,'Cost and Score'!$B$27:$O$40,12,0)</f>
        <v>0</v>
      </c>
      <c r="BR739" s="48">
        <f>$G739/5280*VLOOKUP($AC739,'Cost and Score'!$B$27:$O$40,13,0)</f>
        <v>0</v>
      </c>
      <c r="BS739" s="48">
        <f>$G739/5280*VLOOKUP($AC739,'Cost and Score'!$B$27:$O$40,14,0)</f>
        <v>0</v>
      </c>
      <c r="BT739" s="220">
        <f t="shared" si="373"/>
        <v>0.22992424242424242</v>
      </c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N739" s="2"/>
      <c r="CO739" s="2"/>
      <c r="CP739" s="2"/>
      <c r="CQ739" s="2"/>
      <c r="CV739" s="2"/>
      <c r="CW739" s="2"/>
      <c r="CX739" s="2"/>
      <c r="CY739" s="2"/>
    </row>
    <row r="740" spans="1:103" s="112" customFormat="1" ht="14.45" hidden="1" customHeight="1" x14ac:dyDescent="0.25">
      <c r="A740" s="31" t="s">
        <v>2102</v>
      </c>
      <c r="B740" s="226" t="s">
        <v>1514</v>
      </c>
      <c r="C740" s="106" t="s">
        <v>2477</v>
      </c>
      <c r="D740" s="116" t="s">
        <v>2221</v>
      </c>
      <c r="E740" s="106" t="s">
        <v>1512</v>
      </c>
      <c r="F740" s="106" t="s">
        <v>1416</v>
      </c>
      <c r="G740" s="109">
        <v>739</v>
      </c>
      <c r="H740" s="109">
        <f t="shared" si="383"/>
        <v>26</v>
      </c>
      <c r="I740" s="106" t="s">
        <v>2098</v>
      </c>
      <c r="J740" s="106" t="s">
        <v>160</v>
      </c>
      <c r="K740" s="106">
        <f t="shared" si="384"/>
        <v>0</v>
      </c>
      <c r="L740" s="110">
        <v>7</v>
      </c>
      <c r="M740" s="110">
        <v>8</v>
      </c>
      <c r="N740" s="110">
        <v>8</v>
      </c>
      <c r="O740" s="110">
        <v>8</v>
      </c>
      <c r="P740" s="110">
        <v>8</v>
      </c>
      <c r="Q740" s="110">
        <v>8</v>
      </c>
      <c r="R740" s="110">
        <v>8</v>
      </c>
      <c r="S740" s="110">
        <v>8</v>
      </c>
      <c r="T740" s="110">
        <v>7</v>
      </c>
      <c r="U740" s="110">
        <v>7</v>
      </c>
      <c r="V740" s="110"/>
      <c r="W740" s="110"/>
      <c r="X740" s="110"/>
      <c r="Y740" s="106">
        <v>247</v>
      </c>
      <c r="Z740" s="106">
        <f t="shared" si="394"/>
        <v>0</v>
      </c>
      <c r="AA740" s="106" t="s">
        <v>1514</v>
      </c>
      <c r="AB740" s="111">
        <f t="shared" si="389"/>
        <v>2</v>
      </c>
      <c r="AC740" s="106" t="s">
        <v>2425</v>
      </c>
      <c r="AD740" s="107">
        <f t="shared" si="393"/>
        <v>3499.0530303030305</v>
      </c>
      <c r="AE740" s="198"/>
      <c r="AF740" s="113">
        <f t="shared" si="387"/>
        <v>0</v>
      </c>
      <c r="AG740" s="85">
        <v>2026</v>
      </c>
      <c r="AH740" s="26" t="str">
        <f t="shared" si="376"/>
        <v/>
      </c>
      <c r="AI740" s="26" t="str">
        <f t="shared" si="392"/>
        <v/>
      </c>
      <c r="AJ740" s="26" t="str">
        <f t="shared" si="365"/>
        <v/>
      </c>
      <c r="AK740" s="26" t="str">
        <f t="shared" si="388"/>
        <v/>
      </c>
      <c r="AL740" s="26" t="str">
        <f t="shared" si="388"/>
        <v>Liquid Road</v>
      </c>
      <c r="AM740" s="26" t="str">
        <f t="shared" si="388"/>
        <v/>
      </c>
      <c r="AN740" s="26" t="str">
        <f t="shared" si="386"/>
        <v>Liquid Road</v>
      </c>
      <c r="AO740" s="26" t="str">
        <f t="shared" si="366"/>
        <v/>
      </c>
      <c r="AP740" s="26" t="str">
        <f t="shared" si="363"/>
        <v/>
      </c>
      <c r="AQ740" s="68">
        <f t="shared" si="390"/>
        <v>12</v>
      </c>
      <c r="AR740" s="68">
        <f t="shared" si="391"/>
        <v>10</v>
      </c>
      <c r="AS740" s="68">
        <f t="shared" si="377"/>
        <v>1.05</v>
      </c>
      <c r="AT740" s="68">
        <f t="shared" si="378"/>
        <v>1</v>
      </c>
      <c r="AU740" s="68">
        <f t="shared" si="379"/>
        <v>1</v>
      </c>
      <c r="AV740" s="68">
        <f t="shared" si="380"/>
        <v>1</v>
      </c>
      <c r="AW740" s="68">
        <f t="shared" si="381"/>
        <v>1</v>
      </c>
      <c r="AX740" s="68">
        <f t="shared" ca="1" si="382"/>
        <v>2</v>
      </c>
      <c r="AY740" s="106">
        <v>2017</v>
      </c>
      <c r="AZ740" s="85" t="s">
        <v>2425</v>
      </c>
      <c r="BA740" s="106" t="str">
        <f t="shared" si="372"/>
        <v/>
      </c>
      <c r="BB740" s="203"/>
      <c r="BC740" s="177"/>
      <c r="BD740" s="177"/>
      <c r="BE740" s="177">
        <v>2</v>
      </c>
      <c r="BF740" s="177"/>
      <c r="BG740" s="177"/>
      <c r="BH740" s="177"/>
      <c r="BI740" s="33"/>
      <c r="BJ740" s="2"/>
      <c r="BK740" s="48">
        <f>$G740/5280*VLOOKUP($AC740,'Cost and Score'!$B$27:$O$40,6,0)</f>
        <v>0.1399621212121212</v>
      </c>
      <c r="BL740" s="48">
        <f>$G740/5280*VLOOKUP($AC740,'Cost and Score'!$B$27:$O$40,7,0)</f>
        <v>2.2393939393939393</v>
      </c>
      <c r="BM740" s="48">
        <f>$G740/5280*VLOOKUP($AC740,'Cost and Score'!$B$27:$O$40,8,0)</f>
        <v>0</v>
      </c>
      <c r="BN740" s="48">
        <f>$G740/5280*VLOOKUP($AC740,'Cost and Score'!$B$27:$O$40,9,0)</f>
        <v>0</v>
      </c>
      <c r="BO740" s="48">
        <f>$G740/5280*VLOOKUP($AC740,'Cost and Score'!$B$27:$O$40,10,0)</f>
        <v>0</v>
      </c>
      <c r="BP740" s="48">
        <f>$G740/5280*VLOOKUP($AC740,'Cost and Score'!$B$27:$O$40,11,0)</f>
        <v>0</v>
      </c>
      <c r="BQ740" s="48">
        <f>$G740/5280*VLOOKUP($AC740,'Cost and Score'!$B$27:$O$40,12,0)</f>
        <v>0</v>
      </c>
      <c r="BR740" s="48">
        <f>$G740/5280*VLOOKUP($AC740,'Cost and Score'!$B$27:$O$40,13,0)</f>
        <v>0</v>
      </c>
      <c r="BS740" s="48">
        <f>$G740/5280*VLOOKUP($AC740,'Cost and Score'!$B$27:$O$40,14,0)</f>
        <v>0</v>
      </c>
      <c r="BT740" s="220">
        <f t="shared" si="373"/>
        <v>0.1399621212121212</v>
      </c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W740" s="2"/>
      <c r="CX740" s="2"/>
      <c r="CY740" s="2"/>
    </row>
    <row r="741" spans="1:103" s="112" customFormat="1" x14ac:dyDescent="0.25">
      <c r="A741" s="38" t="s">
        <v>1670</v>
      </c>
      <c r="B741" s="34" t="s">
        <v>1669</v>
      </c>
      <c r="C741" s="26" t="s">
        <v>1669</v>
      </c>
      <c r="D741" s="82"/>
      <c r="E741" s="82" t="s">
        <v>116</v>
      </c>
      <c r="F741" s="82" t="s">
        <v>121</v>
      </c>
      <c r="G741" s="29">
        <v>6050</v>
      </c>
      <c r="H741" s="29">
        <f t="shared" si="383"/>
        <v>20</v>
      </c>
      <c r="I741" s="26" t="s">
        <v>13</v>
      </c>
      <c r="J741" s="26" t="s">
        <v>6</v>
      </c>
      <c r="K741" s="26">
        <f t="shared" si="384"/>
        <v>0</v>
      </c>
      <c r="L741" s="42">
        <v>7</v>
      </c>
      <c r="M741" s="42">
        <v>7</v>
      </c>
      <c r="N741" s="42">
        <v>7</v>
      </c>
      <c r="O741" s="83">
        <v>7</v>
      </c>
      <c r="P741" s="83">
        <v>7</v>
      </c>
      <c r="Q741" s="83">
        <v>6</v>
      </c>
      <c r="R741" s="83">
        <v>6</v>
      </c>
      <c r="S741" s="83">
        <v>7</v>
      </c>
      <c r="T741" s="83">
        <v>7</v>
      </c>
      <c r="U741" s="83">
        <v>7</v>
      </c>
      <c r="V741" s="42"/>
      <c r="W741" s="42"/>
      <c r="X741" s="42"/>
      <c r="Y741" s="26">
        <v>105</v>
      </c>
      <c r="Z741" s="26">
        <f t="shared" si="394"/>
        <v>0</v>
      </c>
      <c r="AA741" s="82" t="s">
        <v>1669</v>
      </c>
      <c r="AB741" s="111">
        <f t="shared" si="389"/>
        <v>3</v>
      </c>
      <c r="AC741" s="82" t="s">
        <v>2086</v>
      </c>
      <c r="AD741" s="84">
        <f t="shared" si="393"/>
        <v>2864.5833333333335</v>
      </c>
      <c r="AE741" s="140"/>
      <c r="AF741" s="113">
        <f t="shared" si="387"/>
        <v>0</v>
      </c>
      <c r="AG741" s="106">
        <v>2025</v>
      </c>
      <c r="AH741" s="26" t="str">
        <f t="shared" si="376"/>
        <v/>
      </c>
      <c r="AI741" s="26" t="str">
        <f t="shared" si="392"/>
        <v/>
      </c>
      <c r="AJ741" s="26" t="str">
        <f t="shared" si="365"/>
        <v/>
      </c>
      <c r="AK741" s="26" t="str">
        <f t="shared" si="388"/>
        <v>Fog Seal</v>
      </c>
      <c r="AL741" s="26" t="str">
        <f t="shared" si="388"/>
        <v/>
      </c>
      <c r="AM741" s="26" t="str">
        <f t="shared" si="388"/>
        <v/>
      </c>
      <c r="AN741" s="26" t="str">
        <f t="shared" si="386"/>
        <v>Fog Seal</v>
      </c>
      <c r="AO741" s="26" t="str">
        <f t="shared" si="366"/>
        <v/>
      </c>
      <c r="AP741" s="26" t="str">
        <f t="shared" ref="AP741:AP804" si="395">IF(AY741=AP$1,VLOOKUP(AZ741,RSL,3,FALSE),"")</f>
        <v/>
      </c>
      <c r="AQ741" s="68">
        <f t="shared" si="390"/>
        <v>10</v>
      </c>
      <c r="AR741" s="68">
        <f t="shared" si="391"/>
        <v>2</v>
      </c>
      <c r="AS741" s="68">
        <f t="shared" si="377"/>
        <v>1.05</v>
      </c>
      <c r="AT741" s="68">
        <f t="shared" si="378"/>
        <v>1.05</v>
      </c>
      <c r="AU741" s="68">
        <f t="shared" si="379"/>
        <v>1.05</v>
      </c>
      <c r="AV741" s="68">
        <f t="shared" si="380"/>
        <v>1.05</v>
      </c>
      <c r="AW741" s="68">
        <f t="shared" si="381"/>
        <v>1.05</v>
      </c>
      <c r="AX741" s="68">
        <f t="shared" ca="1" si="382"/>
        <v>1.05</v>
      </c>
      <c r="AY741" s="68">
        <v>2019</v>
      </c>
      <c r="AZ741" s="68" t="s">
        <v>2073</v>
      </c>
      <c r="BA741" s="106" t="str">
        <f t="shared" si="372"/>
        <v/>
      </c>
      <c r="BB741" s="178"/>
      <c r="BC741" s="178">
        <v>8</v>
      </c>
      <c r="BD741" s="178"/>
      <c r="BE741" s="178"/>
      <c r="BF741" s="178"/>
      <c r="BG741" s="178"/>
      <c r="BH741" s="178"/>
      <c r="BI741" s="33"/>
      <c r="BJ741" s="2"/>
      <c r="BK741" s="48">
        <f>$G741/5280*VLOOKUP($AC741,'Cost and Score'!$B$27:$O$40,6,0)</f>
        <v>0.11458333333333333</v>
      </c>
      <c r="BL741" s="48">
        <f>$G741/5280*VLOOKUP($AC741,'Cost and Score'!$B$27:$O$40,7,0)</f>
        <v>0.22916666666666666</v>
      </c>
      <c r="BM741" s="48">
        <f>$G741/5280*VLOOKUP($AC741,'Cost and Score'!$B$27:$O$40,8,0)</f>
        <v>0</v>
      </c>
      <c r="BN741" s="48">
        <f>$G741/5280*VLOOKUP($AC741,'Cost and Score'!$B$27:$O$40,9,0)</f>
        <v>0</v>
      </c>
      <c r="BO741" s="48">
        <f>$G741/5280*VLOOKUP($AC741,'Cost and Score'!$B$27:$O$40,10,0)</f>
        <v>1145.8333333333333</v>
      </c>
      <c r="BP741" s="48">
        <f>$G741/5280*VLOOKUP($AC741,'Cost and Score'!$B$27:$O$40,11,0)</f>
        <v>0</v>
      </c>
      <c r="BQ741" s="48">
        <f>$G741/5280*VLOOKUP($AC741,'Cost and Score'!$B$27:$O$40,12,0)</f>
        <v>0</v>
      </c>
      <c r="BR741" s="48">
        <f>$G741/5280*VLOOKUP($AC741,'Cost and Score'!$B$27:$O$40,13,0)</f>
        <v>0</v>
      </c>
      <c r="BS741" s="48">
        <f>$G741/5280*VLOOKUP($AC741,'Cost and Score'!$B$27:$O$40,14,0)</f>
        <v>0</v>
      </c>
      <c r="BT741" s="220">
        <f t="shared" si="373"/>
        <v>1.1458333333333333</v>
      </c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G741" s="2"/>
      <c r="CH741" s="2"/>
      <c r="CI741" s="2"/>
      <c r="CJ741" s="2"/>
      <c r="CK741" s="2"/>
      <c r="CL741" s="2"/>
      <c r="CM741" s="2"/>
      <c r="CR741" s="2"/>
      <c r="CS741" s="2"/>
      <c r="CT741" s="2"/>
      <c r="CU741" s="2"/>
      <c r="CW741" s="2"/>
      <c r="CX741" s="2"/>
      <c r="CY741" s="2"/>
    </row>
    <row r="742" spans="1:103" s="2" customFormat="1" x14ac:dyDescent="0.25">
      <c r="A742" s="31" t="s">
        <v>2102</v>
      </c>
      <c r="B742" s="45" t="s">
        <v>1835</v>
      </c>
      <c r="C742" s="26" t="s">
        <v>1835</v>
      </c>
      <c r="D742" s="36" t="s">
        <v>2331</v>
      </c>
      <c r="E742" s="26" t="s">
        <v>1480</v>
      </c>
      <c r="F742" s="26" t="s">
        <v>1481</v>
      </c>
      <c r="G742" s="29">
        <v>950</v>
      </c>
      <c r="H742" s="29">
        <f t="shared" si="383"/>
        <v>26</v>
      </c>
      <c r="I742" s="26" t="s">
        <v>2098</v>
      </c>
      <c r="J742" s="26" t="s">
        <v>160</v>
      </c>
      <c r="K742" s="26">
        <f t="shared" si="384"/>
        <v>0</v>
      </c>
      <c r="L742" s="42">
        <v>7</v>
      </c>
      <c r="M742" s="42">
        <v>8</v>
      </c>
      <c r="N742" s="42">
        <v>8</v>
      </c>
      <c r="O742" s="42">
        <v>8</v>
      </c>
      <c r="P742" s="42">
        <v>8</v>
      </c>
      <c r="Q742" s="42">
        <v>8</v>
      </c>
      <c r="R742" s="42">
        <v>8</v>
      </c>
      <c r="S742" s="42">
        <v>7</v>
      </c>
      <c r="T742" s="42">
        <v>7</v>
      </c>
      <c r="U742" s="42">
        <v>7</v>
      </c>
      <c r="V742" s="42"/>
      <c r="W742" s="42"/>
      <c r="X742" s="42"/>
      <c r="Y742" s="26">
        <v>92</v>
      </c>
      <c r="Z742" s="26">
        <f t="shared" si="394"/>
        <v>0</v>
      </c>
      <c r="AA742" s="26" t="s">
        <v>1835</v>
      </c>
      <c r="AB742" s="111">
        <f t="shared" si="389"/>
        <v>2</v>
      </c>
      <c r="AC742" s="28" t="s">
        <v>2086</v>
      </c>
      <c r="AD742" s="123">
        <v>8234</v>
      </c>
      <c r="AE742" s="140"/>
      <c r="AF742" s="113">
        <f t="shared" si="387"/>
        <v>0</v>
      </c>
      <c r="AG742" s="106">
        <v>2025</v>
      </c>
      <c r="AH742" s="26" t="str">
        <f t="shared" si="376"/>
        <v/>
      </c>
      <c r="AI742" s="26" t="str">
        <f t="shared" si="392"/>
        <v/>
      </c>
      <c r="AJ742" s="26" t="str">
        <f t="shared" si="365"/>
        <v/>
      </c>
      <c r="AK742" s="26" t="str">
        <f t="shared" si="388"/>
        <v>Fog Seal</v>
      </c>
      <c r="AL742" s="26" t="str">
        <f t="shared" si="388"/>
        <v/>
      </c>
      <c r="AM742" s="26" t="str">
        <f t="shared" si="388"/>
        <v/>
      </c>
      <c r="AN742" s="26" t="str">
        <f t="shared" si="386"/>
        <v>Fog Seal</v>
      </c>
      <c r="AO742" s="26" t="str">
        <f t="shared" si="366"/>
        <v/>
      </c>
      <c r="AP742" s="26" t="str">
        <f t="shared" si="395"/>
        <v/>
      </c>
      <c r="AQ742" s="68">
        <f t="shared" si="390"/>
        <v>12</v>
      </c>
      <c r="AR742" s="68">
        <f t="shared" si="391"/>
        <v>2</v>
      </c>
      <c r="AS742" s="68">
        <f t="shared" si="377"/>
        <v>1.05</v>
      </c>
      <c r="AT742" s="68">
        <f t="shared" si="378"/>
        <v>1</v>
      </c>
      <c r="AU742" s="68">
        <f t="shared" si="379"/>
        <v>1</v>
      </c>
      <c r="AV742" s="68">
        <f t="shared" si="380"/>
        <v>1</v>
      </c>
      <c r="AW742" s="68">
        <f t="shared" si="381"/>
        <v>1</v>
      </c>
      <c r="AX742" s="68">
        <f t="shared" ca="1" si="382"/>
        <v>1</v>
      </c>
      <c r="AY742" s="68">
        <v>2019</v>
      </c>
      <c r="AZ742" s="68" t="s">
        <v>2371</v>
      </c>
      <c r="BA742" s="106" t="str">
        <f t="shared" si="372"/>
        <v/>
      </c>
      <c r="BB742" s="178"/>
      <c r="BC742" s="178"/>
      <c r="BD742" s="178"/>
      <c r="BE742" s="178"/>
      <c r="BF742" s="178"/>
      <c r="BG742" s="178"/>
      <c r="BH742" s="178"/>
      <c r="BI742" s="33"/>
      <c r="BK742" s="48">
        <f>$G742/5280*VLOOKUP($AC742,'Cost and Score'!$B$27:$O$40,6,0)</f>
        <v>1.7992424242424244E-2</v>
      </c>
      <c r="BL742" s="48">
        <f>$G742/5280*VLOOKUP($AC742,'Cost and Score'!$B$27:$O$40,7,0)</f>
        <v>3.5984848484848488E-2</v>
      </c>
      <c r="BM742" s="48">
        <f>$G742/5280*VLOOKUP($AC742,'Cost and Score'!$B$27:$O$40,8,0)</f>
        <v>0</v>
      </c>
      <c r="BN742" s="48">
        <f>$G742/5280*VLOOKUP($AC742,'Cost and Score'!$B$27:$O$40,9,0)</f>
        <v>0</v>
      </c>
      <c r="BO742" s="48">
        <f>$G742/5280*VLOOKUP($AC742,'Cost and Score'!$B$27:$O$40,10,0)</f>
        <v>179.92424242424244</v>
      </c>
      <c r="BP742" s="48">
        <f>$G742/5280*VLOOKUP($AC742,'Cost and Score'!$B$27:$O$40,11,0)</f>
        <v>0</v>
      </c>
      <c r="BQ742" s="48">
        <f>$G742/5280*VLOOKUP($AC742,'Cost and Score'!$B$27:$O$40,12,0)</f>
        <v>0</v>
      </c>
      <c r="BR742" s="48">
        <f>$G742/5280*VLOOKUP($AC742,'Cost and Score'!$B$27:$O$40,13,0)</f>
        <v>0</v>
      </c>
      <c r="BS742" s="48">
        <f>$G742/5280*VLOOKUP($AC742,'Cost and Score'!$B$27:$O$40,14,0)</f>
        <v>0</v>
      </c>
      <c r="BT742" s="220">
        <f t="shared" si="373"/>
        <v>0.17992424242424243</v>
      </c>
      <c r="CW742" s="112"/>
      <c r="CX742" s="112"/>
      <c r="CY742" s="112"/>
    </row>
    <row r="743" spans="1:103" s="2" customFormat="1" ht="14.45" customHeight="1" x14ac:dyDescent="0.25">
      <c r="A743" s="31" t="s">
        <v>2102</v>
      </c>
      <c r="B743" s="45" t="s">
        <v>1466</v>
      </c>
      <c r="C743" s="26" t="s">
        <v>1466</v>
      </c>
      <c r="D743" s="119" t="s">
        <v>2240</v>
      </c>
      <c r="E743" s="82" t="s">
        <v>1467</v>
      </c>
      <c r="F743" s="82" t="s">
        <v>1462</v>
      </c>
      <c r="G743" s="29">
        <v>2218</v>
      </c>
      <c r="H743" s="29">
        <f t="shared" si="383"/>
        <v>26</v>
      </c>
      <c r="I743" s="26" t="s">
        <v>2098</v>
      </c>
      <c r="J743" s="26" t="s">
        <v>125</v>
      </c>
      <c r="K743" s="26">
        <f t="shared" si="384"/>
        <v>0</v>
      </c>
      <c r="L743" s="42">
        <v>7</v>
      </c>
      <c r="M743" s="42">
        <v>8</v>
      </c>
      <c r="N743" s="42">
        <v>8</v>
      </c>
      <c r="O743" s="83">
        <v>8</v>
      </c>
      <c r="P743" s="83">
        <v>8</v>
      </c>
      <c r="Q743" s="83">
        <v>7</v>
      </c>
      <c r="R743" s="83">
        <v>6</v>
      </c>
      <c r="S743" s="83">
        <v>7</v>
      </c>
      <c r="T743" s="83">
        <v>7</v>
      </c>
      <c r="U743" s="83">
        <v>7</v>
      </c>
      <c r="V743" s="42"/>
      <c r="W743" s="42"/>
      <c r="X743" s="42"/>
      <c r="Y743" s="26">
        <v>50</v>
      </c>
      <c r="Z743" s="26">
        <f t="shared" si="394"/>
        <v>0</v>
      </c>
      <c r="AA743" s="82" t="s">
        <v>1466</v>
      </c>
      <c r="AB743" s="111">
        <f t="shared" si="389"/>
        <v>2</v>
      </c>
      <c r="AC743" s="85" t="s">
        <v>2086</v>
      </c>
      <c r="AD743" s="84">
        <f>VLOOKUP(AC743,Cost,2,FALSE)*G743/5280</f>
        <v>1050.189393939394</v>
      </c>
      <c r="AE743" s="140"/>
      <c r="AF743" s="113">
        <f t="shared" si="387"/>
        <v>0</v>
      </c>
      <c r="AG743" s="106">
        <v>2025</v>
      </c>
      <c r="AH743" s="26" t="str">
        <f t="shared" si="376"/>
        <v/>
      </c>
      <c r="AI743" s="26" t="str">
        <f t="shared" si="392"/>
        <v/>
      </c>
      <c r="AJ743" s="26" t="str">
        <f t="shared" ref="AJ743:AJ806" si="396">IF($AG743=AJ$1,VLOOKUP($AC743,RSL,3,FALSE),"")</f>
        <v/>
      </c>
      <c r="AK743" s="26" t="str">
        <f t="shared" si="388"/>
        <v>Fog Seal</v>
      </c>
      <c r="AL743" s="26" t="str">
        <f t="shared" si="388"/>
        <v/>
      </c>
      <c r="AM743" s="26" t="str">
        <f t="shared" si="388"/>
        <v/>
      </c>
      <c r="AN743" s="26" t="str">
        <f t="shared" si="386"/>
        <v>Fog Seal</v>
      </c>
      <c r="AO743" s="26" t="str">
        <f t="shared" ref="AO743:AO806" si="397">IF(AY743=AO$1,VLOOKUP(AZ743,RSL,3,FALSE),"")</f>
        <v/>
      </c>
      <c r="AP743" s="26" t="str">
        <f t="shared" si="395"/>
        <v/>
      </c>
      <c r="AQ743" s="68">
        <f t="shared" si="390"/>
        <v>12</v>
      </c>
      <c r="AR743" s="68">
        <f t="shared" si="391"/>
        <v>2</v>
      </c>
      <c r="AS743" s="68">
        <f t="shared" si="377"/>
        <v>1.05</v>
      </c>
      <c r="AT743" s="68">
        <f t="shared" si="378"/>
        <v>1</v>
      </c>
      <c r="AU743" s="68">
        <f t="shared" si="379"/>
        <v>1</v>
      </c>
      <c r="AV743" s="68">
        <f t="shared" si="380"/>
        <v>1</v>
      </c>
      <c r="AW743" s="68">
        <f t="shared" si="381"/>
        <v>1</v>
      </c>
      <c r="AX743" s="68">
        <f t="shared" ca="1" si="382"/>
        <v>1</v>
      </c>
      <c r="AY743" s="68">
        <v>2019</v>
      </c>
      <c r="AZ743" s="68" t="s">
        <v>2075</v>
      </c>
      <c r="BA743" s="106" t="str">
        <f t="shared" si="372"/>
        <v/>
      </c>
      <c r="BB743" s="178"/>
      <c r="BC743" s="178"/>
      <c r="BD743" s="178"/>
      <c r="BE743" s="178"/>
      <c r="BF743" s="178"/>
      <c r="BG743" s="178"/>
      <c r="BH743" s="178"/>
      <c r="BI743" s="33"/>
      <c r="BK743" s="48">
        <f>$G743/5280*VLOOKUP($AC743,'Cost and Score'!$B$27:$O$40,6,0)</f>
        <v>4.2007575757575764E-2</v>
      </c>
      <c r="BL743" s="48">
        <f>$G743/5280*VLOOKUP($AC743,'Cost and Score'!$B$27:$O$40,7,0)</f>
        <v>8.4015151515151529E-2</v>
      </c>
      <c r="BM743" s="48">
        <f>$G743/5280*VLOOKUP($AC743,'Cost and Score'!$B$27:$O$40,8,0)</f>
        <v>0</v>
      </c>
      <c r="BN743" s="48">
        <f>$G743/5280*VLOOKUP($AC743,'Cost and Score'!$B$27:$O$40,9,0)</f>
        <v>0</v>
      </c>
      <c r="BO743" s="48">
        <f>$G743/5280*VLOOKUP($AC743,'Cost and Score'!$B$27:$O$40,10,0)</f>
        <v>420.07575757575762</v>
      </c>
      <c r="BP743" s="48">
        <f>$G743/5280*VLOOKUP($AC743,'Cost and Score'!$B$27:$O$40,11,0)</f>
        <v>0</v>
      </c>
      <c r="BQ743" s="48">
        <f>$G743/5280*VLOOKUP($AC743,'Cost and Score'!$B$27:$O$40,12,0)</f>
        <v>0</v>
      </c>
      <c r="BR743" s="48">
        <f>$G743/5280*VLOOKUP($AC743,'Cost and Score'!$B$27:$O$40,13,0)</f>
        <v>0</v>
      </c>
      <c r="BS743" s="48">
        <f>$G743/5280*VLOOKUP($AC743,'Cost and Score'!$B$27:$O$40,14,0)</f>
        <v>0</v>
      </c>
      <c r="BT743" s="220">
        <f t="shared" si="373"/>
        <v>0.4200757575757576</v>
      </c>
    </row>
    <row r="744" spans="1:103" s="2" customFormat="1" ht="14.45" customHeight="1" x14ac:dyDescent="0.25">
      <c r="A744" s="31" t="s">
        <v>2102</v>
      </c>
      <c r="B744" s="120" t="s">
        <v>1590</v>
      </c>
      <c r="C744" s="106" t="s">
        <v>1590</v>
      </c>
      <c r="D744" s="116" t="s">
        <v>2232</v>
      </c>
      <c r="E744" s="106" t="s">
        <v>1580</v>
      </c>
      <c r="F744" s="106" t="s">
        <v>1553</v>
      </c>
      <c r="G744" s="109">
        <v>7128</v>
      </c>
      <c r="H744" s="109">
        <f t="shared" si="383"/>
        <v>26</v>
      </c>
      <c r="I744" s="106" t="s">
        <v>2098</v>
      </c>
      <c r="J744" s="106" t="s">
        <v>101</v>
      </c>
      <c r="K744" s="106">
        <v>0</v>
      </c>
      <c r="L744" s="110">
        <v>6</v>
      </c>
      <c r="M744" s="110">
        <v>6</v>
      </c>
      <c r="N744" s="110">
        <v>6</v>
      </c>
      <c r="O744" s="110">
        <v>6</v>
      </c>
      <c r="P744" s="110">
        <v>7</v>
      </c>
      <c r="Q744" s="110">
        <v>7</v>
      </c>
      <c r="R744" s="110">
        <v>7</v>
      </c>
      <c r="S744" s="110">
        <v>7</v>
      </c>
      <c r="T744" s="110">
        <v>7</v>
      </c>
      <c r="U744" s="110">
        <v>7</v>
      </c>
      <c r="V744" s="110"/>
      <c r="W744" s="110"/>
      <c r="X744" s="110"/>
      <c r="Y744" s="106">
        <v>50</v>
      </c>
      <c r="Z744" s="106">
        <f t="shared" si="394"/>
        <v>0</v>
      </c>
      <c r="AA744" s="106" t="s">
        <v>1590</v>
      </c>
      <c r="AB744" s="111">
        <f t="shared" si="389"/>
        <v>3</v>
      </c>
      <c r="AC744" s="106" t="s">
        <v>2086</v>
      </c>
      <c r="AD744" s="107">
        <f>VLOOKUP(AC744,Cost,2,FALSE)*G744/5280</f>
        <v>3375</v>
      </c>
      <c r="AE744" s="140"/>
      <c r="AF744" s="113">
        <f t="shared" si="387"/>
        <v>0</v>
      </c>
      <c r="AG744" s="106">
        <v>2025</v>
      </c>
      <c r="AH744" s="26" t="str">
        <f t="shared" si="376"/>
        <v/>
      </c>
      <c r="AI744" s="26" t="str">
        <f t="shared" si="392"/>
        <v/>
      </c>
      <c r="AJ744" s="26" t="str">
        <f t="shared" si="396"/>
        <v/>
      </c>
      <c r="AK744" s="26" t="str">
        <f t="shared" si="388"/>
        <v>Fog Seal</v>
      </c>
      <c r="AL744" s="26" t="str">
        <f t="shared" si="388"/>
        <v/>
      </c>
      <c r="AM744" s="26" t="str">
        <f t="shared" si="388"/>
        <v/>
      </c>
      <c r="AN744" s="26" t="str">
        <f t="shared" si="386"/>
        <v>Fog Seal</v>
      </c>
      <c r="AO744" s="26" t="str">
        <f t="shared" si="397"/>
        <v/>
      </c>
      <c r="AP744" s="26" t="str">
        <f t="shared" si="395"/>
        <v/>
      </c>
      <c r="AQ744" s="68">
        <f t="shared" si="390"/>
        <v>8</v>
      </c>
      <c r="AR744" s="68">
        <f t="shared" si="391"/>
        <v>2</v>
      </c>
      <c r="AS744" s="68">
        <f t="shared" si="377"/>
        <v>1.1000000000000001</v>
      </c>
      <c r="AT744" s="68">
        <f t="shared" si="378"/>
        <v>1.1000000000000001</v>
      </c>
      <c r="AU744" s="68">
        <f t="shared" si="379"/>
        <v>1.1000000000000001</v>
      </c>
      <c r="AV744" s="68">
        <f t="shared" si="380"/>
        <v>1.1000000000000001</v>
      </c>
      <c r="AW744" s="68">
        <f t="shared" si="381"/>
        <v>1.05</v>
      </c>
      <c r="AX744" s="68">
        <f t="shared" ca="1" si="382"/>
        <v>1.1000000000000001</v>
      </c>
      <c r="AY744" s="106">
        <v>2017</v>
      </c>
      <c r="AZ744" s="106" t="s">
        <v>2075</v>
      </c>
      <c r="BA744" s="106" t="str">
        <f t="shared" si="372"/>
        <v/>
      </c>
      <c r="BB744" s="177"/>
      <c r="BC744" s="177"/>
      <c r="BD744" s="177"/>
      <c r="BE744" s="177"/>
      <c r="BF744" s="177"/>
      <c r="BG744" s="177"/>
      <c r="BH744" s="177"/>
      <c r="BI744" s="33"/>
      <c r="BK744" s="48">
        <f>$G744/5280*VLOOKUP($AC744,'Cost and Score'!$B$27:$O$40,6,0)</f>
        <v>0.13500000000000001</v>
      </c>
      <c r="BL744" s="48">
        <f>$G744/5280*VLOOKUP($AC744,'Cost and Score'!$B$27:$O$40,7,0)</f>
        <v>0.27</v>
      </c>
      <c r="BM744" s="48">
        <f>$G744/5280*VLOOKUP($AC744,'Cost and Score'!$B$27:$O$40,8,0)</f>
        <v>0</v>
      </c>
      <c r="BN744" s="48">
        <f>$G744/5280*VLOOKUP($AC744,'Cost and Score'!$B$27:$O$40,9,0)</f>
        <v>0</v>
      </c>
      <c r="BO744" s="48">
        <f>$G744/5280*VLOOKUP($AC744,'Cost and Score'!$B$27:$O$40,10,0)</f>
        <v>1350</v>
      </c>
      <c r="BP744" s="48">
        <f>$G744/5280*VLOOKUP($AC744,'Cost and Score'!$B$27:$O$40,11,0)</f>
        <v>0</v>
      </c>
      <c r="BQ744" s="48">
        <f>$G744/5280*VLOOKUP($AC744,'Cost and Score'!$B$27:$O$40,12,0)</f>
        <v>0</v>
      </c>
      <c r="BR744" s="48">
        <f>$G744/5280*VLOOKUP($AC744,'Cost and Score'!$B$27:$O$40,13,0)</f>
        <v>0</v>
      </c>
      <c r="BS744" s="48">
        <f>$G744/5280*VLOOKUP($AC744,'Cost and Score'!$B$27:$O$40,14,0)</f>
        <v>0</v>
      </c>
      <c r="BT744" s="220">
        <f t="shared" si="373"/>
        <v>1.35</v>
      </c>
      <c r="CG744" s="112"/>
      <c r="CH744" s="112"/>
      <c r="CI744" s="112"/>
      <c r="CJ744" s="112"/>
      <c r="CK744" s="112"/>
      <c r="CL744" s="112"/>
      <c r="CM744" s="112"/>
    </row>
    <row r="745" spans="1:103" s="2" customFormat="1" ht="14.45" hidden="1" customHeight="1" x14ac:dyDescent="0.25">
      <c r="A745" s="31" t="s">
        <v>2102</v>
      </c>
      <c r="B745" s="45" t="s">
        <v>1521</v>
      </c>
      <c r="C745" s="26" t="s">
        <v>1521</v>
      </c>
      <c r="D745" s="36" t="s">
        <v>2222</v>
      </c>
      <c r="E745" s="26" t="s">
        <v>1451</v>
      </c>
      <c r="F745" s="26" t="s">
        <v>1522</v>
      </c>
      <c r="G745" s="29">
        <v>1478</v>
      </c>
      <c r="H745" s="29">
        <f t="shared" si="383"/>
        <v>26</v>
      </c>
      <c r="I745" s="26" t="s">
        <v>2098</v>
      </c>
      <c r="J745" s="26" t="s">
        <v>160</v>
      </c>
      <c r="K745" s="26">
        <f t="shared" ref="K745:K755" si="398">VLOOKUP(J745,TOWNSHIPS,2,FALSE)</f>
        <v>0</v>
      </c>
      <c r="L745" s="42">
        <v>7</v>
      </c>
      <c r="M745" s="42">
        <v>7</v>
      </c>
      <c r="N745" s="42">
        <v>7</v>
      </c>
      <c r="O745" s="42">
        <v>7</v>
      </c>
      <c r="P745" s="42">
        <v>7</v>
      </c>
      <c r="Q745" s="42">
        <v>7</v>
      </c>
      <c r="R745" s="42">
        <v>7</v>
      </c>
      <c r="S745" s="42">
        <v>7</v>
      </c>
      <c r="T745" s="42">
        <v>7</v>
      </c>
      <c r="U745" s="42">
        <v>7</v>
      </c>
      <c r="V745" s="42"/>
      <c r="W745" s="42"/>
      <c r="X745" s="42"/>
      <c r="Y745" s="26">
        <v>50</v>
      </c>
      <c r="Z745" s="26">
        <f t="shared" si="394"/>
        <v>0</v>
      </c>
      <c r="AA745" s="26" t="s">
        <v>1521</v>
      </c>
      <c r="AB745" s="111">
        <f t="shared" si="389"/>
        <v>3</v>
      </c>
      <c r="AC745" s="26" t="s">
        <v>2086</v>
      </c>
      <c r="AD745" s="47">
        <v>16652</v>
      </c>
      <c r="AE745" s="140"/>
      <c r="AF745" s="113">
        <f t="shared" si="387"/>
        <v>0</v>
      </c>
      <c r="AG745" s="26">
        <v>2024</v>
      </c>
      <c r="AH745" s="26" t="str">
        <f t="shared" si="376"/>
        <v/>
      </c>
      <c r="AI745" s="26" t="str">
        <f t="shared" si="392"/>
        <v/>
      </c>
      <c r="AJ745" s="26" t="str">
        <f t="shared" si="396"/>
        <v>Fog Seal</v>
      </c>
      <c r="AK745" s="26" t="str">
        <f t="shared" si="388"/>
        <v/>
      </c>
      <c r="AL745" s="26" t="str">
        <f t="shared" si="388"/>
        <v/>
      </c>
      <c r="AM745" s="26" t="str">
        <f t="shared" si="388"/>
        <v/>
      </c>
      <c r="AN745" s="26" t="str">
        <f t="shared" si="386"/>
        <v>Fog Seal</v>
      </c>
      <c r="AO745" s="26" t="str">
        <f t="shared" si="397"/>
        <v/>
      </c>
      <c r="AP745" s="26" t="str">
        <f t="shared" si="395"/>
        <v/>
      </c>
      <c r="AQ745" s="68">
        <f t="shared" si="390"/>
        <v>10</v>
      </c>
      <c r="AR745" s="68">
        <f t="shared" si="391"/>
        <v>2</v>
      </c>
      <c r="AS745" s="68">
        <f t="shared" si="377"/>
        <v>1.05</v>
      </c>
      <c r="AT745" s="68">
        <f t="shared" si="378"/>
        <v>1.05</v>
      </c>
      <c r="AU745" s="68">
        <f t="shared" si="379"/>
        <v>1.05</v>
      </c>
      <c r="AV745" s="68">
        <f t="shared" si="380"/>
        <v>1.05</v>
      </c>
      <c r="AW745" s="68">
        <f t="shared" si="381"/>
        <v>1.05</v>
      </c>
      <c r="AX745" s="68">
        <f t="shared" ca="1" si="382"/>
        <v>0</v>
      </c>
      <c r="AY745" s="68">
        <v>2018</v>
      </c>
      <c r="AZ745" s="68" t="s">
        <v>2371</v>
      </c>
      <c r="BA745" s="106" t="str">
        <f t="shared" si="372"/>
        <v>MICRO</v>
      </c>
      <c r="BB745" s="178"/>
      <c r="BC745" s="178"/>
      <c r="BD745" s="178"/>
      <c r="BE745" s="178"/>
      <c r="BF745" s="178"/>
      <c r="BG745" s="178"/>
      <c r="BH745" s="178"/>
      <c r="BI745" s="33"/>
      <c r="BK745" s="48">
        <f>$G745/5280*VLOOKUP($AC745,'Cost and Score'!$B$27:$O$40,6,0)</f>
        <v>2.7992424242424242E-2</v>
      </c>
      <c r="BL745" s="48">
        <f>$G745/5280*VLOOKUP($AC745,'Cost and Score'!$B$27:$O$40,7,0)</f>
        <v>5.5984848484848485E-2</v>
      </c>
      <c r="BM745" s="48">
        <f>$G745/5280*VLOOKUP($AC745,'Cost and Score'!$B$27:$O$40,8,0)</f>
        <v>0</v>
      </c>
      <c r="BN745" s="48">
        <f>$G745/5280*VLOOKUP($AC745,'Cost and Score'!$B$27:$O$40,9,0)</f>
        <v>0</v>
      </c>
      <c r="BO745" s="48">
        <f>$G745/5280*VLOOKUP($AC745,'Cost and Score'!$B$27:$O$40,10,0)</f>
        <v>279.92424242424244</v>
      </c>
      <c r="BP745" s="48">
        <f>$G745/5280*VLOOKUP($AC745,'Cost and Score'!$B$27:$O$40,11,0)</f>
        <v>0</v>
      </c>
      <c r="BQ745" s="48">
        <f>$G745/5280*VLOOKUP($AC745,'Cost and Score'!$B$27:$O$40,12,0)</f>
        <v>0</v>
      </c>
      <c r="BR745" s="48">
        <f>$G745/5280*VLOOKUP($AC745,'Cost and Score'!$B$27:$O$40,13,0)</f>
        <v>0</v>
      </c>
      <c r="BS745" s="48">
        <f>$G745/5280*VLOOKUP($AC745,'Cost and Score'!$B$27:$O$40,14,0)</f>
        <v>0</v>
      </c>
      <c r="BT745" s="220">
        <f t="shared" si="373"/>
        <v>0.27992424242424241</v>
      </c>
    </row>
    <row r="746" spans="1:103" s="2" customFormat="1" ht="14.45" hidden="1" customHeight="1" x14ac:dyDescent="0.25">
      <c r="A746" s="31" t="s">
        <v>2102</v>
      </c>
      <c r="B746" s="45" t="s">
        <v>1523</v>
      </c>
      <c r="C746" s="26" t="s">
        <v>1523</v>
      </c>
      <c r="D746" s="36" t="s">
        <v>2222</v>
      </c>
      <c r="E746" s="26" t="s">
        <v>1451</v>
      </c>
      <c r="F746" s="26" t="s">
        <v>1522</v>
      </c>
      <c r="G746" s="29">
        <v>792</v>
      </c>
      <c r="H746" s="29">
        <f t="shared" si="383"/>
        <v>26</v>
      </c>
      <c r="I746" s="26" t="s">
        <v>2098</v>
      </c>
      <c r="J746" s="26" t="s">
        <v>160</v>
      </c>
      <c r="K746" s="26">
        <f t="shared" si="398"/>
        <v>0</v>
      </c>
      <c r="L746" s="42">
        <v>7</v>
      </c>
      <c r="M746" s="42">
        <v>7</v>
      </c>
      <c r="N746" s="42">
        <v>7</v>
      </c>
      <c r="O746" s="42">
        <v>7</v>
      </c>
      <c r="P746" s="42">
        <v>7</v>
      </c>
      <c r="Q746" s="42">
        <v>7</v>
      </c>
      <c r="R746" s="42">
        <v>7</v>
      </c>
      <c r="S746" s="42">
        <v>7</v>
      </c>
      <c r="T746" s="42">
        <v>7</v>
      </c>
      <c r="U746" s="42">
        <v>7</v>
      </c>
      <c r="V746" s="42"/>
      <c r="W746" s="42"/>
      <c r="X746" s="42"/>
      <c r="Y746" s="26">
        <v>50</v>
      </c>
      <c r="Z746" s="26">
        <f t="shared" si="394"/>
        <v>0</v>
      </c>
      <c r="AA746" s="26" t="s">
        <v>1523</v>
      </c>
      <c r="AB746" s="111">
        <f t="shared" si="389"/>
        <v>3</v>
      </c>
      <c r="AC746" s="26" t="s">
        <v>2086</v>
      </c>
      <c r="AD746" s="47">
        <v>8924</v>
      </c>
      <c r="AE746" s="140"/>
      <c r="AF746" s="113">
        <f t="shared" si="387"/>
        <v>0</v>
      </c>
      <c r="AG746" s="26">
        <v>2024</v>
      </c>
      <c r="AH746" s="26" t="str">
        <f t="shared" si="376"/>
        <v/>
      </c>
      <c r="AI746" s="26" t="str">
        <f t="shared" si="392"/>
        <v/>
      </c>
      <c r="AJ746" s="26" t="str">
        <f t="shared" si="396"/>
        <v>Fog Seal</v>
      </c>
      <c r="AK746" s="26" t="str">
        <f t="shared" si="388"/>
        <v/>
      </c>
      <c r="AL746" s="26" t="str">
        <f t="shared" si="388"/>
        <v/>
      </c>
      <c r="AM746" s="26" t="str">
        <f t="shared" si="388"/>
        <v/>
      </c>
      <c r="AN746" s="26" t="str">
        <f t="shared" si="386"/>
        <v>Fog Seal</v>
      </c>
      <c r="AO746" s="26" t="str">
        <f t="shared" si="397"/>
        <v/>
      </c>
      <c r="AP746" s="26" t="str">
        <f t="shared" si="395"/>
        <v/>
      </c>
      <c r="AQ746" s="68">
        <f t="shared" si="390"/>
        <v>10</v>
      </c>
      <c r="AR746" s="68">
        <f t="shared" si="391"/>
        <v>2</v>
      </c>
      <c r="AS746" s="68">
        <f t="shared" si="377"/>
        <v>1.05</v>
      </c>
      <c r="AT746" s="68">
        <f t="shared" si="378"/>
        <v>1.05</v>
      </c>
      <c r="AU746" s="68">
        <f t="shared" si="379"/>
        <v>1.05</v>
      </c>
      <c r="AV746" s="68">
        <f t="shared" si="380"/>
        <v>1.05</v>
      </c>
      <c r="AW746" s="68">
        <f t="shared" si="381"/>
        <v>1.05</v>
      </c>
      <c r="AX746" s="68">
        <f t="shared" ca="1" si="382"/>
        <v>0</v>
      </c>
      <c r="AY746" s="68">
        <v>2018</v>
      </c>
      <c r="AZ746" s="68" t="s">
        <v>2371</v>
      </c>
      <c r="BA746" s="106" t="str">
        <f t="shared" si="372"/>
        <v>MICRO</v>
      </c>
      <c r="BB746" s="178"/>
      <c r="BC746" s="178"/>
      <c r="BD746" s="178"/>
      <c r="BE746" s="178"/>
      <c r="BF746" s="178"/>
      <c r="BG746" s="178"/>
      <c r="BH746" s="178"/>
      <c r="BI746" s="33"/>
      <c r="BK746" s="48">
        <f>$G746/5280*VLOOKUP($AC746,'Cost and Score'!$B$27:$O$40,6,0)</f>
        <v>1.4999999999999999E-2</v>
      </c>
      <c r="BL746" s="48">
        <f>$G746/5280*VLOOKUP($AC746,'Cost and Score'!$B$27:$O$40,7,0)</f>
        <v>0.03</v>
      </c>
      <c r="BM746" s="48">
        <f>$G746/5280*VLOOKUP($AC746,'Cost and Score'!$B$27:$O$40,8,0)</f>
        <v>0</v>
      </c>
      <c r="BN746" s="48">
        <f>$G746/5280*VLOOKUP($AC746,'Cost and Score'!$B$27:$O$40,9,0)</f>
        <v>0</v>
      </c>
      <c r="BO746" s="48">
        <f>$G746/5280*VLOOKUP($AC746,'Cost and Score'!$B$27:$O$40,10,0)</f>
        <v>150</v>
      </c>
      <c r="BP746" s="48">
        <f>$G746/5280*VLOOKUP($AC746,'Cost and Score'!$B$27:$O$40,11,0)</f>
        <v>0</v>
      </c>
      <c r="BQ746" s="48">
        <f>$G746/5280*VLOOKUP($AC746,'Cost and Score'!$B$27:$O$40,12,0)</f>
        <v>0</v>
      </c>
      <c r="BR746" s="48">
        <f>$G746/5280*VLOOKUP($AC746,'Cost and Score'!$B$27:$O$40,13,0)</f>
        <v>0</v>
      </c>
      <c r="BS746" s="48">
        <f>$G746/5280*VLOOKUP($AC746,'Cost and Score'!$B$27:$O$40,14,0)</f>
        <v>0</v>
      </c>
      <c r="BT746" s="220">
        <f t="shared" si="373"/>
        <v>0.15</v>
      </c>
    </row>
    <row r="747" spans="1:103" s="2" customFormat="1" hidden="1" x14ac:dyDescent="0.25">
      <c r="A747" s="31" t="s">
        <v>2102</v>
      </c>
      <c r="B747" s="227" t="s">
        <v>2325</v>
      </c>
      <c r="C747" s="106" t="s">
        <v>2325</v>
      </c>
      <c r="D747" s="116" t="s">
        <v>2223</v>
      </c>
      <c r="E747" s="106" t="s">
        <v>1451</v>
      </c>
      <c r="F747" s="106" t="s">
        <v>1502</v>
      </c>
      <c r="G747" s="109">
        <v>898</v>
      </c>
      <c r="H747" s="109">
        <f t="shared" si="383"/>
        <v>26</v>
      </c>
      <c r="I747" s="106" t="s">
        <v>2098</v>
      </c>
      <c r="J747" s="106" t="s">
        <v>160</v>
      </c>
      <c r="K747" s="106">
        <f t="shared" si="398"/>
        <v>0</v>
      </c>
      <c r="L747" s="110">
        <v>7</v>
      </c>
      <c r="M747" s="110">
        <v>7</v>
      </c>
      <c r="N747" s="110">
        <v>7</v>
      </c>
      <c r="O747" s="110">
        <v>7</v>
      </c>
      <c r="P747" s="110">
        <v>8</v>
      </c>
      <c r="Q747" s="110">
        <v>8</v>
      </c>
      <c r="R747" s="110">
        <v>8</v>
      </c>
      <c r="S747" s="110">
        <v>8</v>
      </c>
      <c r="T747" s="110">
        <v>7</v>
      </c>
      <c r="U747" s="110">
        <v>7</v>
      </c>
      <c r="V747" s="110"/>
      <c r="W747" s="110"/>
      <c r="X747" s="110"/>
      <c r="Y747" s="106">
        <v>58</v>
      </c>
      <c r="Z747" s="106">
        <f t="shared" si="394"/>
        <v>0</v>
      </c>
      <c r="AA747" s="106" t="s">
        <v>1524</v>
      </c>
      <c r="AB747" s="111">
        <f t="shared" si="389"/>
        <v>2</v>
      </c>
      <c r="AC747" s="85" t="s">
        <v>2425</v>
      </c>
      <c r="AD747" s="107">
        <f t="shared" ref="AD747:AD760" si="399">VLOOKUP(AC747,Cost,2,FALSE)*G747/5280</f>
        <v>4251.893939393939</v>
      </c>
      <c r="AE747" s="198"/>
      <c r="AF747" s="113">
        <f t="shared" si="387"/>
        <v>0</v>
      </c>
      <c r="AG747" s="85">
        <v>2026</v>
      </c>
      <c r="AH747" s="26" t="str">
        <f t="shared" si="376"/>
        <v/>
      </c>
      <c r="AI747" s="26" t="str">
        <f t="shared" si="392"/>
        <v/>
      </c>
      <c r="AJ747" s="26" t="str">
        <f t="shared" si="396"/>
        <v/>
      </c>
      <c r="AK747" s="26" t="str">
        <f t="shared" si="388"/>
        <v/>
      </c>
      <c r="AL747" s="26" t="str">
        <f t="shared" si="388"/>
        <v>Liquid Road</v>
      </c>
      <c r="AM747" s="26" t="str">
        <f t="shared" si="388"/>
        <v/>
      </c>
      <c r="AN747" s="26" t="str">
        <f t="shared" si="386"/>
        <v>Liquid Road</v>
      </c>
      <c r="AO747" s="26" t="str">
        <f t="shared" si="397"/>
        <v/>
      </c>
      <c r="AP747" s="26" t="str">
        <f t="shared" si="395"/>
        <v/>
      </c>
      <c r="AQ747" s="68">
        <f t="shared" si="390"/>
        <v>10</v>
      </c>
      <c r="AR747" s="68">
        <f t="shared" si="391"/>
        <v>10</v>
      </c>
      <c r="AS747" s="68">
        <f t="shared" si="377"/>
        <v>1.05</v>
      </c>
      <c r="AT747" s="68">
        <f t="shared" si="378"/>
        <v>1.05</v>
      </c>
      <c r="AU747" s="68">
        <f t="shared" si="379"/>
        <v>1.05</v>
      </c>
      <c r="AV747" s="68">
        <f t="shared" si="380"/>
        <v>1.05</v>
      </c>
      <c r="AW747" s="68">
        <f t="shared" si="381"/>
        <v>1</v>
      </c>
      <c r="AX747" s="68">
        <f t="shared" ca="1" si="382"/>
        <v>2.1</v>
      </c>
      <c r="AY747" s="106">
        <v>2017</v>
      </c>
      <c r="AZ747" s="68" t="s">
        <v>2425</v>
      </c>
      <c r="BA747" s="106" t="str">
        <f t="shared" si="372"/>
        <v/>
      </c>
      <c r="BB747" s="178"/>
      <c r="BC747" s="178"/>
      <c r="BD747" s="178"/>
      <c r="BE747" s="178">
        <v>2</v>
      </c>
      <c r="BF747" s="178"/>
      <c r="BG747" s="178"/>
      <c r="BH747" s="178"/>
      <c r="BI747" s="33" t="s">
        <v>2425</v>
      </c>
      <c r="BK747" s="48">
        <f>$G747/5280*VLOOKUP($AC747,'Cost and Score'!$B$27:$O$40,6,0)</f>
        <v>0.17007575757575757</v>
      </c>
      <c r="BL747" s="48">
        <f>$G747/5280*VLOOKUP($AC747,'Cost and Score'!$B$27:$O$40,7,0)</f>
        <v>2.7212121212121212</v>
      </c>
      <c r="BM747" s="48">
        <f>$G747/5280*VLOOKUP($AC747,'Cost and Score'!$B$27:$O$40,8,0)</f>
        <v>0</v>
      </c>
      <c r="BN747" s="48">
        <f>$G747/5280*VLOOKUP($AC747,'Cost and Score'!$B$27:$O$40,9,0)</f>
        <v>0</v>
      </c>
      <c r="BO747" s="48">
        <f>$G747/5280*VLOOKUP($AC747,'Cost and Score'!$B$27:$O$40,10,0)</f>
        <v>0</v>
      </c>
      <c r="BP747" s="48">
        <f>$G747/5280*VLOOKUP($AC747,'Cost and Score'!$B$27:$O$40,11,0)</f>
        <v>0</v>
      </c>
      <c r="BQ747" s="48">
        <f>$G747/5280*VLOOKUP($AC747,'Cost and Score'!$B$27:$O$40,12,0)</f>
        <v>0</v>
      </c>
      <c r="BR747" s="48">
        <f>$G747/5280*VLOOKUP($AC747,'Cost and Score'!$B$27:$O$40,13,0)</f>
        <v>0</v>
      </c>
      <c r="BS747" s="48">
        <f>$G747/5280*VLOOKUP($AC747,'Cost and Score'!$B$27:$O$40,14,0)</f>
        <v>0</v>
      </c>
      <c r="BT747" s="220">
        <f t="shared" si="373"/>
        <v>0.17007575757575757</v>
      </c>
      <c r="CF747" s="112"/>
      <c r="CR747" s="112"/>
    </row>
    <row r="748" spans="1:103" s="112" customFormat="1" ht="14.45" hidden="1" customHeight="1" x14ac:dyDescent="0.25">
      <c r="A748" s="31" t="s">
        <v>2102</v>
      </c>
      <c r="B748" s="224" t="s">
        <v>1525</v>
      </c>
      <c r="C748" s="26" t="s">
        <v>1525</v>
      </c>
      <c r="D748" s="119" t="s">
        <v>2223</v>
      </c>
      <c r="E748" s="82" t="s">
        <v>1451</v>
      </c>
      <c r="F748" s="82" t="s">
        <v>1502</v>
      </c>
      <c r="G748" s="29">
        <v>2534</v>
      </c>
      <c r="H748" s="29">
        <f t="shared" si="383"/>
        <v>26</v>
      </c>
      <c r="I748" s="26" t="s">
        <v>2098</v>
      </c>
      <c r="J748" s="26" t="s">
        <v>160</v>
      </c>
      <c r="K748" s="26">
        <f t="shared" si="398"/>
        <v>0</v>
      </c>
      <c r="L748" s="42">
        <v>7</v>
      </c>
      <c r="M748" s="42">
        <v>7</v>
      </c>
      <c r="N748" s="42">
        <v>9</v>
      </c>
      <c r="O748" s="83">
        <v>9</v>
      </c>
      <c r="P748" s="83">
        <v>8</v>
      </c>
      <c r="Q748" s="83">
        <v>8</v>
      </c>
      <c r="R748" s="83">
        <v>8</v>
      </c>
      <c r="S748" s="83">
        <v>8</v>
      </c>
      <c r="T748" s="83">
        <v>7</v>
      </c>
      <c r="U748" s="83">
        <v>7</v>
      </c>
      <c r="V748" s="42"/>
      <c r="W748" s="42"/>
      <c r="X748" s="42"/>
      <c r="Y748" s="26">
        <v>232</v>
      </c>
      <c r="Z748" s="26">
        <f t="shared" si="394"/>
        <v>0</v>
      </c>
      <c r="AA748" s="82" t="s">
        <v>1525</v>
      </c>
      <c r="AB748" s="111">
        <f t="shared" si="389"/>
        <v>2</v>
      </c>
      <c r="AC748" s="85" t="s">
        <v>2425</v>
      </c>
      <c r="AD748" s="84">
        <f t="shared" si="399"/>
        <v>11998.10606060606</v>
      </c>
      <c r="AE748" s="140"/>
      <c r="AF748" s="113">
        <f t="shared" si="387"/>
        <v>0</v>
      </c>
      <c r="AG748" s="85">
        <v>2026</v>
      </c>
      <c r="AH748" s="26" t="str">
        <f t="shared" si="376"/>
        <v/>
      </c>
      <c r="AI748" s="26" t="str">
        <f t="shared" si="392"/>
        <v/>
      </c>
      <c r="AJ748" s="26" t="str">
        <f t="shared" si="396"/>
        <v/>
      </c>
      <c r="AK748" s="26" t="str">
        <f t="shared" ref="AK748:AM767" si="400">IF($AG748=AK$1,VLOOKUP($AC748,RSL,3,FALSE),"")</f>
        <v/>
      </c>
      <c r="AL748" s="26" t="str">
        <f t="shared" si="400"/>
        <v>Liquid Road</v>
      </c>
      <c r="AM748" s="26" t="str">
        <f t="shared" si="400"/>
        <v/>
      </c>
      <c r="AN748" s="26" t="str">
        <f t="shared" si="386"/>
        <v>Liquid Road</v>
      </c>
      <c r="AO748" s="26" t="str">
        <f t="shared" si="397"/>
        <v/>
      </c>
      <c r="AP748" s="26" t="str">
        <f t="shared" si="395"/>
        <v/>
      </c>
      <c r="AQ748" s="68">
        <f t="shared" si="390"/>
        <v>14</v>
      </c>
      <c r="AR748" s="68">
        <f t="shared" si="391"/>
        <v>10</v>
      </c>
      <c r="AS748" s="68">
        <f t="shared" si="377"/>
        <v>1.05</v>
      </c>
      <c r="AT748" s="68">
        <f t="shared" si="378"/>
        <v>1.05</v>
      </c>
      <c r="AU748" s="68">
        <f t="shared" si="379"/>
        <v>1</v>
      </c>
      <c r="AV748" s="68">
        <f t="shared" si="380"/>
        <v>1</v>
      </c>
      <c r="AW748" s="68">
        <f t="shared" si="381"/>
        <v>1</v>
      </c>
      <c r="AX748" s="68">
        <f t="shared" ca="1" si="382"/>
        <v>2</v>
      </c>
      <c r="AY748" s="68">
        <v>2016</v>
      </c>
      <c r="AZ748" s="68" t="s">
        <v>2075</v>
      </c>
      <c r="BA748" s="106" t="str">
        <f t="shared" si="372"/>
        <v/>
      </c>
      <c r="BB748" s="178"/>
      <c r="BC748" s="178"/>
      <c r="BD748" s="178"/>
      <c r="BE748" s="178">
        <v>2</v>
      </c>
      <c r="BF748" s="178"/>
      <c r="BG748" s="178"/>
      <c r="BH748" s="178"/>
      <c r="BI748" s="33"/>
      <c r="BJ748" s="2"/>
      <c r="BK748" s="48">
        <f>$G748/5280*VLOOKUP($AC748,'Cost and Score'!$B$27:$O$40,6,0)</f>
        <v>0.47992424242424242</v>
      </c>
      <c r="BL748" s="48">
        <f>$G748/5280*VLOOKUP($AC748,'Cost and Score'!$B$27:$O$40,7,0)</f>
        <v>7.6787878787878787</v>
      </c>
      <c r="BM748" s="48">
        <f>$G748/5280*VLOOKUP($AC748,'Cost and Score'!$B$27:$O$40,8,0)</f>
        <v>0</v>
      </c>
      <c r="BN748" s="48">
        <f>$G748/5280*VLOOKUP($AC748,'Cost and Score'!$B$27:$O$40,9,0)</f>
        <v>0</v>
      </c>
      <c r="BO748" s="48">
        <f>$G748/5280*VLOOKUP($AC748,'Cost and Score'!$B$27:$O$40,10,0)</f>
        <v>0</v>
      </c>
      <c r="BP748" s="48">
        <f>$G748/5280*VLOOKUP($AC748,'Cost and Score'!$B$27:$O$40,11,0)</f>
        <v>0</v>
      </c>
      <c r="BQ748" s="48">
        <f>$G748/5280*VLOOKUP($AC748,'Cost and Score'!$B$27:$O$40,12,0)</f>
        <v>0</v>
      </c>
      <c r="BR748" s="48">
        <f>$G748/5280*VLOOKUP($AC748,'Cost and Score'!$B$27:$O$40,13,0)</f>
        <v>0</v>
      </c>
      <c r="BS748" s="48">
        <f>$G748/5280*VLOOKUP($AC748,'Cost and Score'!$B$27:$O$40,14,0)</f>
        <v>0</v>
      </c>
      <c r="BT748" s="220">
        <f t="shared" si="373"/>
        <v>0.47992424242424242</v>
      </c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N748" s="2"/>
      <c r="CO748" s="2"/>
      <c r="CP748" s="2"/>
      <c r="CQ748" s="2"/>
      <c r="CR748" s="2"/>
      <c r="CV748" s="2"/>
      <c r="CW748" s="2"/>
      <c r="CX748" s="2"/>
      <c r="CY748" s="2"/>
    </row>
    <row r="749" spans="1:103" s="2" customFormat="1" ht="14.45" hidden="1" customHeight="1" x14ac:dyDescent="0.25">
      <c r="A749" s="31" t="s">
        <v>2102</v>
      </c>
      <c r="B749" s="226" t="s">
        <v>1526</v>
      </c>
      <c r="C749" s="106" t="s">
        <v>1526</v>
      </c>
      <c r="D749" s="116" t="s">
        <v>2224</v>
      </c>
      <c r="E749" s="106" t="s">
        <v>1527</v>
      </c>
      <c r="F749" s="106" t="s">
        <v>1465</v>
      </c>
      <c r="G749" s="109">
        <v>1056</v>
      </c>
      <c r="H749" s="109">
        <f t="shared" si="383"/>
        <v>26</v>
      </c>
      <c r="I749" s="106" t="s">
        <v>2098</v>
      </c>
      <c r="J749" s="106" t="s">
        <v>160</v>
      </c>
      <c r="K749" s="106">
        <f t="shared" si="398"/>
        <v>0</v>
      </c>
      <c r="L749" s="110">
        <v>8</v>
      </c>
      <c r="M749" s="110">
        <v>8</v>
      </c>
      <c r="N749" s="110">
        <v>8</v>
      </c>
      <c r="O749" s="110">
        <v>8</v>
      </c>
      <c r="P749" s="110">
        <v>8</v>
      </c>
      <c r="Q749" s="110">
        <v>8</v>
      </c>
      <c r="R749" s="110">
        <v>8</v>
      </c>
      <c r="S749" s="110">
        <v>8</v>
      </c>
      <c r="T749" s="110">
        <v>7</v>
      </c>
      <c r="U749" s="110">
        <v>7</v>
      </c>
      <c r="V749" s="110"/>
      <c r="W749" s="110"/>
      <c r="X749" s="110"/>
      <c r="Y749" s="106">
        <v>325</v>
      </c>
      <c r="Z749" s="106">
        <f t="shared" si="394"/>
        <v>0</v>
      </c>
      <c r="AA749" s="106" t="s">
        <v>1526</v>
      </c>
      <c r="AB749" s="111">
        <f t="shared" si="389"/>
        <v>2</v>
      </c>
      <c r="AC749" s="106" t="s">
        <v>2425</v>
      </c>
      <c r="AD749" s="107">
        <f t="shared" si="399"/>
        <v>5000</v>
      </c>
      <c r="AE749" s="198"/>
      <c r="AF749" s="113">
        <f t="shared" si="387"/>
        <v>0</v>
      </c>
      <c r="AG749" s="85">
        <v>2026</v>
      </c>
      <c r="AH749" s="26" t="str">
        <f t="shared" si="376"/>
        <v/>
      </c>
      <c r="AI749" s="26" t="str">
        <f t="shared" si="392"/>
        <v/>
      </c>
      <c r="AJ749" s="26" t="str">
        <f t="shared" si="396"/>
        <v/>
      </c>
      <c r="AK749" s="26" t="str">
        <f t="shared" si="400"/>
        <v/>
      </c>
      <c r="AL749" s="26" t="str">
        <f t="shared" si="400"/>
        <v>Liquid Road</v>
      </c>
      <c r="AM749" s="26" t="str">
        <f t="shared" si="400"/>
        <v/>
      </c>
      <c r="AN749" s="26" t="str">
        <f t="shared" si="386"/>
        <v>Liquid Road</v>
      </c>
      <c r="AO749" s="26" t="str">
        <f t="shared" si="397"/>
        <v/>
      </c>
      <c r="AP749" s="26" t="str">
        <f t="shared" si="395"/>
        <v/>
      </c>
      <c r="AQ749" s="68">
        <f t="shared" si="390"/>
        <v>12</v>
      </c>
      <c r="AR749" s="68">
        <f t="shared" si="391"/>
        <v>10</v>
      </c>
      <c r="AS749" s="68">
        <f t="shared" si="377"/>
        <v>1</v>
      </c>
      <c r="AT749" s="68">
        <f t="shared" si="378"/>
        <v>1</v>
      </c>
      <c r="AU749" s="68">
        <f t="shared" si="379"/>
        <v>1</v>
      </c>
      <c r="AV749" s="68">
        <f t="shared" si="380"/>
        <v>1</v>
      </c>
      <c r="AW749" s="68">
        <f t="shared" si="381"/>
        <v>1</v>
      </c>
      <c r="AX749" s="68">
        <f t="shared" ca="1" si="382"/>
        <v>2</v>
      </c>
      <c r="AY749" s="106">
        <v>2017</v>
      </c>
      <c r="AZ749" s="106" t="s">
        <v>2086</v>
      </c>
      <c r="BA749" s="106" t="str">
        <f t="shared" si="372"/>
        <v/>
      </c>
      <c r="BB749" s="177"/>
      <c r="BC749" s="177"/>
      <c r="BD749" s="177"/>
      <c r="BE749" s="177">
        <v>2</v>
      </c>
      <c r="BF749" s="177"/>
      <c r="BG749" s="177"/>
      <c r="BH749" s="177"/>
      <c r="BI749" s="33"/>
      <c r="BK749" s="48">
        <f>$G749/5280*VLOOKUP($AC749,'Cost and Score'!$B$27:$O$40,6,0)</f>
        <v>0.2</v>
      </c>
      <c r="BL749" s="48">
        <f>$G749/5280*VLOOKUP($AC749,'Cost and Score'!$B$27:$O$40,7,0)</f>
        <v>3.2</v>
      </c>
      <c r="BM749" s="48">
        <f>$G749/5280*VLOOKUP($AC749,'Cost and Score'!$B$27:$O$40,8,0)</f>
        <v>0</v>
      </c>
      <c r="BN749" s="48">
        <f>$G749/5280*VLOOKUP($AC749,'Cost and Score'!$B$27:$O$40,9,0)</f>
        <v>0</v>
      </c>
      <c r="BO749" s="48">
        <f>$G749/5280*VLOOKUP($AC749,'Cost and Score'!$B$27:$O$40,10,0)</f>
        <v>0</v>
      </c>
      <c r="BP749" s="48">
        <f>$G749/5280*VLOOKUP($AC749,'Cost and Score'!$B$27:$O$40,11,0)</f>
        <v>0</v>
      </c>
      <c r="BQ749" s="48">
        <f>$G749/5280*VLOOKUP($AC749,'Cost and Score'!$B$27:$O$40,12,0)</f>
        <v>0</v>
      </c>
      <c r="BR749" s="48">
        <f>$G749/5280*VLOOKUP($AC749,'Cost and Score'!$B$27:$O$40,13,0)</f>
        <v>0</v>
      </c>
      <c r="BS749" s="48">
        <f>$G749/5280*VLOOKUP($AC749,'Cost and Score'!$B$27:$O$40,14,0)</f>
        <v>0</v>
      </c>
      <c r="BT749" s="220">
        <f t="shared" si="373"/>
        <v>0.2</v>
      </c>
      <c r="CF749" s="112"/>
      <c r="CN749" s="112"/>
      <c r="CO749" s="112"/>
      <c r="CP749" s="112"/>
      <c r="CQ749" s="112"/>
      <c r="CR749" s="112"/>
      <c r="CV749" s="112"/>
      <c r="CW749" s="112"/>
      <c r="CX749" s="112"/>
      <c r="CY749" s="112"/>
    </row>
    <row r="750" spans="1:103" s="112" customFormat="1" ht="14.45" hidden="1" customHeight="1" x14ac:dyDescent="0.25">
      <c r="A750" s="31" t="s">
        <v>2102</v>
      </c>
      <c r="B750" s="226" t="s">
        <v>1528</v>
      </c>
      <c r="C750" s="106" t="s">
        <v>1528</v>
      </c>
      <c r="D750" s="116" t="s">
        <v>2236</v>
      </c>
      <c r="E750" s="106" t="s">
        <v>1512</v>
      </c>
      <c r="F750" s="106" t="s">
        <v>1529</v>
      </c>
      <c r="G750" s="109">
        <v>422</v>
      </c>
      <c r="H750" s="109">
        <f t="shared" si="383"/>
        <v>26</v>
      </c>
      <c r="I750" s="106" t="s">
        <v>2098</v>
      </c>
      <c r="J750" s="106" t="s">
        <v>160</v>
      </c>
      <c r="K750" s="106">
        <f t="shared" si="398"/>
        <v>0</v>
      </c>
      <c r="L750" s="110">
        <v>6</v>
      </c>
      <c r="M750" s="110">
        <v>6</v>
      </c>
      <c r="N750" s="110">
        <v>6</v>
      </c>
      <c r="O750" s="110">
        <v>6</v>
      </c>
      <c r="P750" s="110">
        <v>8</v>
      </c>
      <c r="Q750" s="110">
        <v>7</v>
      </c>
      <c r="R750" s="110">
        <v>7</v>
      </c>
      <c r="S750" s="110">
        <v>7</v>
      </c>
      <c r="T750" s="110">
        <v>6</v>
      </c>
      <c r="U750" s="110">
        <v>6</v>
      </c>
      <c r="V750" s="110"/>
      <c r="W750" s="110"/>
      <c r="X750" s="110"/>
      <c r="Y750" s="106">
        <v>395</v>
      </c>
      <c r="Z750" s="106">
        <f t="shared" si="394"/>
        <v>0</v>
      </c>
      <c r="AA750" s="106" t="s">
        <v>1528</v>
      </c>
      <c r="AB750" s="111">
        <f t="shared" si="389"/>
        <v>2</v>
      </c>
      <c r="AC750" s="85" t="s">
        <v>2371</v>
      </c>
      <c r="AD750" s="107">
        <f t="shared" si="399"/>
        <v>6393.939393939394</v>
      </c>
      <c r="AE750" s="140">
        <v>1</v>
      </c>
      <c r="AF750" s="113">
        <f t="shared" si="387"/>
        <v>6393.939393939394</v>
      </c>
      <c r="AG750" s="85">
        <v>2024</v>
      </c>
      <c r="AH750" s="26" t="str">
        <f t="shared" si="376"/>
        <v/>
      </c>
      <c r="AI750" s="26" t="str">
        <f t="shared" si="392"/>
        <v/>
      </c>
      <c r="AJ750" s="26" t="str">
        <f t="shared" si="396"/>
        <v>Microsurface double</v>
      </c>
      <c r="AK750" s="26" t="str">
        <f t="shared" si="400"/>
        <v/>
      </c>
      <c r="AL750" s="26" t="str">
        <f t="shared" si="400"/>
        <v/>
      </c>
      <c r="AM750" s="26" t="str">
        <f t="shared" si="400"/>
        <v/>
      </c>
      <c r="AN750" s="26" t="str">
        <f t="shared" si="386"/>
        <v>Microsurface double</v>
      </c>
      <c r="AO750" s="26" t="str">
        <f t="shared" si="397"/>
        <v/>
      </c>
      <c r="AP750" s="26" t="str">
        <f t="shared" si="395"/>
        <v/>
      </c>
      <c r="AQ750" s="68">
        <f t="shared" si="390"/>
        <v>8</v>
      </c>
      <c r="AR750" s="68">
        <f t="shared" si="391"/>
        <v>10</v>
      </c>
      <c r="AS750" s="68">
        <f t="shared" si="377"/>
        <v>1.1000000000000001</v>
      </c>
      <c r="AT750" s="68">
        <f t="shared" si="378"/>
        <v>1.1000000000000001</v>
      </c>
      <c r="AU750" s="68">
        <f t="shared" si="379"/>
        <v>1.1000000000000001</v>
      </c>
      <c r="AV750" s="68">
        <f t="shared" si="380"/>
        <v>1.1000000000000001</v>
      </c>
      <c r="AW750" s="68">
        <f t="shared" si="381"/>
        <v>1</v>
      </c>
      <c r="AX750" s="68">
        <f t="shared" ca="1" si="382"/>
        <v>0</v>
      </c>
      <c r="AY750" s="106">
        <v>2017</v>
      </c>
      <c r="AZ750" s="68" t="s">
        <v>2371</v>
      </c>
      <c r="BA750" s="106" t="str">
        <f t="shared" si="372"/>
        <v/>
      </c>
      <c r="BB750" s="178"/>
      <c r="BC750" s="178"/>
      <c r="BD750" s="178">
        <v>1</v>
      </c>
      <c r="BE750" s="178"/>
      <c r="BF750" s="178"/>
      <c r="BG750" s="178"/>
      <c r="BH750" s="178"/>
      <c r="BI750" s="33"/>
      <c r="BJ750" s="2"/>
      <c r="BK750" s="48">
        <f>$G750/5280*VLOOKUP($AC750,'Cost and Score'!$B$27:$O$40,6,0)</f>
        <v>3.9962121212121213E-2</v>
      </c>
      <c r="BL750" s="48">
        <f>$G750/5280*VLOOKUP($AC750,'Cost and Score'!$B$27:$O$40,7,0)</f>
        <v>0</v>
      </c>
      <c r="BM750" s="48">
        <f>$G750/5280*VLOOKUP($AC750,'Cost and Score'!$B$27:$O$40,8,0)</f>
        <v>0</v>
      </c>
      <c r="BN750" s="48">
        <f>$G750/5280*VLOOKUP($AC750,'Cost and Score'!$B$27:$O$40,9,0)</f>
        <v>0</v>
      </c>
      <c r="BO750" s="48">
        <f>$G750/5280*VLOOKUP($AC750,'Cost and Score'!$B$27:$O$40,10,0)</f>
        <v>0</v>
      </c>
      <c r="BP750" s="48">
        <f>$G750/5280*VLOOKUP($AC750,'Cost and Score'!$B$27:$O$40,11,0)</f>
        <v>0</v>
      </c>
      <c r="BQ750" s="48">
        <f>$G750/5280*VLOOKUP($AC750,'Cost and Score'!$B$27:$O$40,12,0)</f>
        <v>0</v>
      </c>
      <c r="BR750" s="48">
        <f>$G750/5280*VLOOKUP($AC750,'Cost and Score'!$B$27:$O$40,13,0)</f>
        <v>0</v>
      </c>
      <c r="BS750" s="48">
        <f>$G750/5280*VLOOKUP($AC750,'Cost and Score'!$B$27:$O$40,14,0)</f>
        <v>0</v>
      </c>
      <c r="BT750" s="220">
        <f t="shared" si="373"/>
        <v>7.9924242424242425E-2</v>
      </c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N750" s="2"/>
      <c r="CO750" s="2"/>
      <c r="CP750" s="2"/>
      <c r="CQ750" s="2"/>
      <c r="CV750" s="2"/>
      <c r="CW750" s="2"/>
      <c r="CX750" s="2"/>
      <c r="CY750" s="2"/>
    </row>
    <row r="751" spans="1:103" s="112" customFormat="1" ht="14.45" hidden="1" customHeight="1" x14ac:dyDescent="0.25">
      <c r="A751" s="31" t="s">
        <v>2102</v>
      </c>
      <c r="B751" s="226" t="s">
        <v>1530</v>
      </c>
      <c r="C751" s="106" t="s">
        <v>1530</v>
      </c>
      <c r="D751" s="116" t="s">
        <v>2236</v>
      </c>
      <c r="E751" s="106" t="s">
        <v>1512</v>
      </c>
      <c r="F751" s="106" t="s">
        <v>1529</v>
      </c>
      <c r="G751" s="109">
        <v>1656</v>
      </c>
      <c r="H751" s="109">
        <f t="shared" si="383"/>
        <v>20</v>
      </c>
      <c r="I751" s="106" t="s">
        <v>101</v>
      </c>
      <c r="J751" s="106" t="s">
        <v>160</v>
      </c>
      <c r="K751" s="106">
        <f t="shared" si="398"/>
        <v>0</v>
      </c>
      <c r="L751" s="110">
        <v>6</v>
      </c>
      <c r="M751" s="110">
        <v>6</v>
      </c>
      <c r="N751" s="110">
        <v>6</v>
      </c>
      <c r="O751" s="110">
        <v>6</v>
      </c>
      <c r="P751" s="110">
        <v>8</v>
      </c>
      <c r="Q751" s="110">
        <v>7</v>
      </c>
      <c r="R751" s="110">
        <v>7</v>
      </c>
      <c r="S751" s="110">
        <v>7</v>
      </c>
      <c r="T751" s="110">
        <v>6</v>
      </c>
      <c r="U751" s="110">
        <v>6</v>
      </c>
      <c r="V751" s="110"/>
      <c r="W751" s="110"/>
      <c r="X751" s="110"/>
      <c r="Y751" s="106">
        <v>395</v>
      </c>
      <c r="Z751" s="106">
        <f t="shared" si="394"/>
        <v>0</v>
      </c>
      <c r="AA751" s="106" t="s">
        <v>1530</v>
      </c>
      <c r="AB751" s="111">
        <f t="shared" si="389"/>
        <v>2</v>
      </c>
      <c r="AC751" s="85" t="s">
        <v>2371</v>
      </c>
      <c r="AD751" s="107">
        <f t="shared" si="399"/>
        <v>25090.909090909092</v>
      </c>
      <c r="AE751" s="140">
        <v>1</v>
      </c>
      <c r="AF751" s="113">
        <f t="shared" si="387"/>
        <v>25090.909090909092</v>
      </c>
      <c r="AG751" s="85">
        <v>2024</v>
      </c>
      <c r="AH751" s="26" t="str">
        <f t="shared" si="376"/>
        <v/>
      </c>
      <c r="AI751" s="26" t="str">
        <f t="shared" si="392"/>
        <v/>
      </c>
      <c r="AJ751" s="26" t="str">
        <f t="shared" si="396"/>
        <v>Microsurface double</v>
      </c>
      <c r="AK751" s="26" t="str">
        <f t="shared" si="400"/>
        <v/>
      </c>
      <c r="AL751" s="26" t="str">
        <f t="shared" si="400"/>
        <v/>
      </c>
      <c r="AM751" s="26" t="str">
        <f t="shared" si="400"/>
        <v/>
      </c>
      <c r="AN751" s="26" t="str">
        <f t="shared" si="386"/>
        <v>Microsurface double</v>
      </c>
      <c r="AO751" s="26" t="str">
        <f t="shared" si="397"/>
        <v/>
      </c>
      <c r="AP751" s="26" t="str">
        <f t="shared" si="395"/>
        <v/>
      </c>
      <c r="AQ751" s="68">
        <f t="shared" si="390"/>
        <v>8</v>
      </c>
      <c r="AR751" s="68">
        <f t="shared" si="391"/>
        <v>10</v>
      </c>
      <c r="AS751" s="68">
        <f t="shared" si="377"/>
        <v>1.1000000000000001</v>
      </c>
      <c r="AT751" s="68">
        <f t="shared" si="378"/>
        <v>1.1000000000000001</v>
      </c>
      <c r="AU751" s="68">
        <f t="shared" si="379"/>
        <v>1.1000000000000001</v>
      </c>
      <c r="AV751" s="68">
        <f t="shared" si="380"/>
        <v>1.1000000000000001</v>
      </c>
      <c r="AW751" s="68">
        <f t="shared" si="381"/>
        <v>1</v>
      </c>
      <c r="AX751" s="68">
        <f t="shared" ca="1" si="382"/>
        <v>0</v>
      </c>
      <c r="AY751" s="106">
        <v>2017</v>
      </c>
      <c r="AZ751" s="68" t="s">
        <v>2371</v>
      </c>
      <c r="BA751" s="106" t="str">
        <f t="shared" si="372"/>
        <v/>
      </c>
      <c r="BB751" s="178"/>
      <c r="BC751" s="178"/>
      <c r="BD751" s="178">
        <v>1</v>
      </c>
      <c r="BE751" s="178"/>
      <c r="BF751" s="178"/>
      <c r="BG751" s="178"/>
      <c r="BH751" s="178"/>
      <c r="BI751" s="33"/>
      <c r="BJ751" s="2"/>
      <c r="BK751" s="48">
        <f>$G751/5280*VLOOKUP($AC751,'Cost and Score'!$B$27:$O$40,6,0)</f>
        <v>0.15681818181818183</v>
      </c>
      <c r="BL751" s="48">
        <f>$G751/5280*VLOOKUP($AC751,'Cost and Score'!$B$27:$O$40,7,0)</f>
        <v>0</v>
      </c>
      <c r="BM751" s="48">
        <f>$G751/5280*VLOOKUP($AC751,'Cost and Score'!$B$27:$O$40,8,0)</f>
        <v>0</v>
      </c>
      <c r="BN751" s="48">
        <f>$G751/5280*VLOOKUP($AC751,'Cost and Score'!$B$27:$O$40,9,0)</f>
        <v>0</v>
      </c>
      <c r="BO751" s="48">
        <f>$G751/5280*VLOOKUP($AC751,'Cost and Score'!$B$27:$O$40,10,0)</f>
        <v>0</v>
      </c>
      <c r="BP751" s="48">
        <f>$G751/5280*VLOOKUP($AC751,'Cost and Score'!$B$27:$O$40,11,0)</f>
        <v>0</v>
      </c>
      <c r="BQ751" s="48">
        <f>$G751/5280*VLOOKUP($AC751,'Cost and Score'!$B$27:$O$40,12,0)</f>
        <v>0</v>
      </c>
      <c r="BR751" s="48">
        <f>$G751/5280*VLOOKUP($AC751,'Cost and Score'!$B$27:$O$40,13,0)</f>
        <v>0</v>
      </c>
      <c r="BS751" s="48">
        <f>$G751/5280*VLOOKUP($AC751,'Cost and Score'!$B$27:$O$40,14,0)</f>
        <v>0</v>
      </c>
      <c r="BT751" s="220">
        <f t="shared" si="373"/>
        <v>0.31363636363636366</v>
      </c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</row>
    <row r="752" spans="1:103" s="112" customFormat="1" ht="14.45" hidden="1" customHeight="1" x14ac:dyDescent="0.25">
      <c r="A752" s="31" t="s">
        <v>2102</v>
      </c>
      <c r="B752" s="226" t="s">
        <v>1531</v>
      </c>
      <c r="C752" s="106" t="s">
        <v>1531</v>
      </c>
      <c r="D752" s="116" t="s">
        <v>2236</v>
      </c>
      <c r="E752" s="106" t="s">
        <v>1512</v>
      </c>
      <c r="F752" s="106" t="s">
        <v>1529</v>
      </c>
      <c r="G752" s="109">
        <v>1008</v>
      </c>
      <c r="H752" s="109">
        <f t="shared" si="383"/>
        <v>26</v>
      </c>
      <c r="I752" s="106" t="s">
        <v>2098</v>
      </c>
      <c r="J752" s="106" t="s">
        <v>160</v>
      </c>
      <c r="K752" s="106">
        <f t="shared" si="398"/>
        <v>0</v>
      </c>
      <c r="L752" s="110">
        <v>6</v>
      </c>
      <c r="M752" s="110">
        <v>6</v>
      </c>
      <c r="N752" s="110">
        <v>6</v>
      </c>
      <c r="O752" s="110">
        <v>6</v>
      </c>
      <c r="P752" s="110">
        <v>8</v>
      </c>
      <c r="Q752" s="110">
        <v>7</v>
      </c>
      <c r="R752" s="110">
        <v>7</v>
      </c>
      <c r="S752" s="110">
        <v>7</v>
      </c>
      <c r="T752" s="110">
        <v>6</v>
      </c>
      <c r="U752" s="110">
        <v>6</v>
      </c>
      <c r="V752" s="110"/>
      <c r="W752" s="110"/>
      <c r="X752" s="110"/>
      <c r="Y752" s="106">
        <v>395</v>
      </c>
      <c r="Z752" s="106">
        <f t="shared" si="394"/>
        <v>0</v>
      </c>
      <c r="AA752" s="106" t="s">
        <v>1531</v>
      </c>
      <c r="AB752" s="111">
        <f t="shared" si="389"/>
        <v>2</v>
      </c>
      <c r="AC752" s="85" t="s">
        <v>2371</v>
      </c>
      <c r="AD752" s="107">
        <f t="shared" si="399"/>
        <v>15272.727272727272</v>
      </c>
      <c r="AE752" s="140">
        <v>1</v>
      </c>
      <c r="AF752" s="113">
        <f t="shared" si="387"/>
        <v>15272.727272727272</v>
      </c>
      <c r="AG752" s="85">
        <v>2024</v>
      </c>
      <c r="AH752" s="26" t="str">
        <f t="shared" si="376"/>
        <v/>
      </c>
      <c r="AI752" s="26" t="str">
        <f t="shared" si="392"/>
        <v/>
      </c>
      <c r="AJ752" s="26" t="str">
        <f t="shared" si="396"/>
        <v>Microsurface double</v>
      </c>
      <c r="AK752" s="26" t="str">
        <f t="shared" si="400"/>
        <v/>
      </c>
      <c r="AL752" s="26" t="str">
        <f t="shared" si="400"/>
        <v/>
      </c>
      <c r="AM752" s="26" t="str">
        <f t="shared" si="400"/>
        <v/>
      </c>
      <c r="AN752" s="26" t="str">
        <f t="shared" si="386"/>
        <v>Microsurface double</v>
      </c>
      <c r="AO752" s="26" t="str">
        <f t="shared" si="397"/>
        <v/>
      </c>
      <c r="AP752" s="26" t="str">
        <f t="shared" si="395"/>
        <v/>
      </c>
      <c r="AQ752" s="68">
        <f t="shared" si="390"/>
        <v>8</v>
      </c>
      <c r="AR752" s="68">
        <f t="shared" si="391"/>
        <v>10</v>
      </c>
      <c r="AS752" s="68">
        <f t="shared" si="377"/>
        <v>1.1000000000000001</v>
      </c>
      <c r="AT752" s="68">
        <f t="shared" si="378"/>
        <v>1.1000000000000001</v>
      </c>
      <c r="AU752" s="68">
        <f t="shared" si="379"/>
        <v>1.1000000000000001</v>
      </c>
      <c r="AV752" s="68">
        <f t="shared" si="380"/>
        <v>1.1000000000000001</v>
      </c>
      <c r="AW752" s="68">
        <f t="shared" si="381"/>
        <v>1</v>
      </c>
      <c r="AX752" s="68">
        <f t="shared" ca="1" si="382"/>
        <v>0</v>
      </c>
      <c r="AY752" s="106">
        <v>2017</v>
      </c>
      <c r="AZ752" s="68" t="s">
        <v>2371</v>
      </c>
      <c r="BA752" s="106" t="str">
        <f t="shared" si="372"/>
        <v/>
      </c>
      <c r="BB752" s="178"/>
      <c r="BC752" s="178"/>
      <c r="BD752" s="178">
        <v>1</v>
      </c>
      <c r="BE752" s="178"/>
      <c r="BF752" s="178"/>
      <c r="BG752" s="178"/>
      <c r="BH752" s="178"/>
      <c r="BI752" s="33"/>
      <c r="BJ752" s="2"/>
      <c r="BK752" s="48">
        <f>$G752/5280*VLOOKUP($AC752,'Cost and Score'!$B$27:$O$40,6,0)</f>
        <v>9.5454545454545459E-2</v>
      </c>
      <c r="BL752" s="48">
        <f>$G752/5280*VLOOKUP($AC752,'Cost and Score'!$B$27:$O$40,7,0)</f>
        <v>0</v>
      </c>
      <c r="BM752" s="48">
        <f>$G752/5280*VLOOKUP($AC752,'Cost and Score'!$B$27:$O$40,8,0)</f>
        <v>0</v>
      </c>
      <c r="BN752" s="48">
        <f>$G752/5280*VLOOKUP($AC752,'Cost and Score'!$B$27:$O$40,9,0)</f>
        <v>0</v>
      </c>
      <c r="BO752" s="48">
        <f>$G752/5280*VLOOKUP($AC752,'Cost and Score'!$B$27:$O$40,10,0)</f>
        <v>0</v>
      </c>
      <c r="BP752" s="48">
        <f>$G752/5280*VLOOKUP($AC752,'Cost and Score'!$B$27:$O$40,11,0)</f>
        <v>0</v>
      </c>
      <c r="BQ752" s="48">
        <f>$G752/5280*VLOOKUP($AC752,'Cost and Score'!$B$27:$O$40,12,0)</f>
        <v>0</v>
      </c>
      <c r="BR752" s="48">
        <f>$G752/5280*VLOOKUP($AC752,'Cost and Score'!$B$27:$O$40,13,0)</f>
        <v>0</v>
      </c>
      <c r="BS752" s="48">
        <f>$G752/5280*VLOOKUP($AC752,'Cost and Score'!$B$27:$O$40,14,0)</f>
        <v>0</v>
      </c>
      <c r="BT752" s="220">
        <f t="shared" si="373"/>
        <v>0.19090909090909092</v>
      </c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W752" s="2"/>
      <c r="CX752" s="2"/>
      <c r="CY752" s="2"/>
    </row>
    <row r="753" spans="1:103" s="112" customFormat="1" ht="14.45" hidden="1" customHeight="1" x14ac:dyDescent="0.25">
      <c r="A753" s="31" t="s">
        <v>2102</v>
      </c>
      <c r="B753" s="224" t="s">
        <v>1532</v>
      </c>
      <c r="C753" s="26" t="s">
        <v>1532</v>
      </c>
      <c r="D753" s="36" t="s">
        <v>2225</v>
      </c>
      <c r="E753" s="26" t="s">
        <v>1501</v>
      </c>
      <c r="F753" s="26" t="s">
        <v>1533</v>
      </c>
      <c r="G753" s="29">
        <v>2059</v>
      </c>
      <c r="H753" s="29">
        <f t="shared" si="383"/>
        <v>26</v>
      </c>
      <c r="I753" s="26" t="s">
        <v>2098</v>
      </c>
      <c r="J753" s="26" t="s">
        <v>160</v>
      </c>
      <c r="K753" s="26">
        <f t="shared" si="398"/>
        <v>0</v>
      </c>
      <c r="L753" s="42">
        <v>4</v>
      </c>
      <c r="M753" s="42">
        <v>10</v>
      </c>
      <c r="N753" s="42">
        <v>10</v>
      </c>
      <c r="O753" s="42">
        <v>10</v>
      </c>
      <c r="P753" s="42">
        <v>9</v>
      </c>
      <c r="Q753" s="42">
        <v>8</v>
      </c>
      <c r="R753" s="42">
        <v>8</v>
      </c>
      <c r="S753" s="42">
        <v>8</v>
      </c>
      <c r="T753" s="42">
        <v>8</v>
      </c>
      <c r="U753" s="42">
        <v>8</v>
      </c>
      <c r="V753" s="42"/>
      <c r="W753" s="42"/>
      <c r="X753" s="42"/>
      <c r="Y753" s="26">
        <v>264</v>
      </c>
      <c r="Z753" s="26">
        <f t="shared" si="394"/>
        <v>0</v>
      </c>
      <c r="AA753" s="26" t="s">
        <v>1532</v>
      </c>
      <c r="AB753" s="111">
        <f t="shared" si="389"/>
        <v>1</v>
      </c>
      <c r="AC753" s="85" t="s">
        <v>2425</v>
      </c>
      <c r="AD753" s="47">
        <f t="shared" si="399"/>
        <v>9749.05303030303</v>
      </c>
      <c r="AE753" s="140"/>
      <c r="AF753" s="113">
        <f t="shared" si="387"/>
        <v>0</v>
      </c>
      <c r="AG753" s="85">
        <v>2026</v>
      </c>
      <c r="AH753" s="26" t="str">
        <f t="shared" si="376"/>
        <v/>
      </c>
      <c r="AI753" s="26" t="str">
        <f t="shared" si="392"/>
        <v/>
      </c>
      <c r="AJ753" s="26" t="str">
        <f t="shared" si="396"/>
        <v/>
      </c>
      <c r="AK753" s="26" t="str">
        <f t="shared" si="400"/>
        <v/>
      </c>
      <c r="AL753" s="26" t="str">
        <f t="shared" si="400"/>
        <v>Liquid Road</v>
      </c>
      <c r="AM753" s="26" t="str">
        <f t="shared" si="400"/>
        <v/>
      </c>
      <c r="AN753" s="26" t="str">
        <f t="shared" si="386"/>
        <v>Liquid Road</v>
      </c>
      <c r="AO753" s="26" t="str">
        <f t="shared" si="397"/>
        <v/>
      </c>
      <c r="AP753" s="26" t="str">
        <f t="shared" si="395"/>
        <v/>
      </c>
      <c r="AQ753" s="68">
        <f t="shared" si="390"/>
        <v>16</v>
      </c>
      <c r="AR753" s="68">
        <f t="shared" si="391"/>
        <v>10</v>
      </c>
      <c r="AS753" s="68">
        <f t="shared" si="377"/>
        <v>1.5</v>
      </c>
      <c r="AT753" s="68">
        <f t="shared" si="378"/>
        <v>1</v>
      </c>
      <c r="AU753" s="68">
        <f t="shared" si="379"/>
        <v>1</v>
      </c>
      <c r="AV753" s="68">
        <f t="shared" si="380"/>
        <v>1</v>
      </c>
      <c r="AW753" s="68">
        <f t="shared" si="381"/>
        <v>1</v>
      </c>
      <c r="AX753" s="68">
        <f t="shared" ca="1" si="382"/>
        <v>2</v>
      </c>
      <c r="AY753" s="68">
        <v>2014</v>
      </c>
      <c r="AZ753" s="68" t="s">
        <v>751</v>
      </c>
      <c r="BA753" s="106" t="str">
        <f t="shared" si="372"/>
        <v/>
      </c>
      <c r="BB753" s="178"/>
      <c r="BC753" s="178"/>
      <c r="BD753" s="178"/>
      <c r="BE753" s="178">
        <v>2</v>
      </c>
      <c r="BF753" s="178"/>
      <c r="BG753" s="178"/>
      <c r="BH753" s="178"/>
      <c r="BI753" s="33"/>
      <c r="BJ753" s="2"/>
      <c r="BK753" s="48">
        <f>$G753/5280*VLOOKUP($AC753,'Cost and Score'!$B$27:$O$40,6,0)</f>
        <v>0.3899621212121212</v>
      </c>
      <c r="BL753" s="48">
        <f>$G753/5280*VLOOKUP($AC753,'Cost and Score'!$B$27:$O$40,7,0)</f>
        <v>6.2393939393939393</v>
      </c>
      <c r="BM753" s="48">
        <f>$G753/5280*VLOOKUP($AC753,'Cost and Score'!$B$27:$O$40,8,0)</f>
        <v>0</v>
      </c>
      <c r="BN753" s="48">
        <f>$G753/5280*VLOOKUP($AC753,'Cost and Score'!$B$27:$O$40,9,0)</f>
        <v>0</v>
      </c>
      <c r="BO753" s="48">
        <f>$G753/5280*VLOOKUP($AC753,'Cost and Score'!$B$27:$O$40,10,0)</f>
        <v>0</v>
      </c>
      <c r="BP753" s="48">
        <f>$G753/5280*VLOOKUP($AC753,'Cost and Score'!$B$27:$O$40,11,0)</f>
        <v>0</v>
      </c>
      <c r="BQ753" s="48">
        <f>$G753/5280*VLOOKUP($AC753,'Cost and Score'!$B$27:$O$40,12,0)</f>
        <v>0</v>
      </c>
      <c r="BR753" s="48">
        <f>$G753/5280*VLOOKUP($AC753,'Cost and Score'!$B$27:$O$40,13,0)</f>
        <v>0</v>
      </c>
      <c r="BS753" s="48">
        <f>$G753/5280*VLOOKUP($AC753,'Cost and Score'!$B$27:$O$40,14,0)</f>
        <v>0</v>
      </c>
      <c r="BT753" s="220">
        <f t="shared" si="373"/>
        <v>0.3899621212121212</v>
      </c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R753" s="2"/>
      <c r="CW753" s="2"/>
      <c r="CX753" s="2"/>
      <c r="CY753" s="2"/>
    </row>
    <row r="754" spans="1:103" s="2" customFormat="1" ht="14.45" hidden="1" customHeight="1" x14ac:dyDescent="0.25">
      <c r="A754" s="31" t="s">
        <v>2102</v>
      </c>
      <c r="B754" s="224" t="s">
        <v>1534</v>
      </c>
      <c r="C754" s="26" t="s">
        <v>1534</v>
      </c>
      <c r="D754" s="36" t="s">
        <v>2259</v>
      </c>
      <c r="E754" s="26" t="s">
        <v>1458</v>
      </c>
      <c r="F754" s="26" t="s">
        <v>1535</v>
      </c>
      <c r="G754" s="29">
        <v>422</v>
      </c>
      <c r="H754" s="29">
        <f t="shared" si="383"/>
        <v>26</v>
      </c>
      <c r="I754" s="26" t="s">
        <v>2098</v>
      </c>
      <c r="J754" s="26" t="s">
        <v>160</v>
      </c>
      <c r="K754" s="26">
        <f t="shared" si="398"/>
        <v>0</v>
      </c>
      <c r="L754" s="42">
        <v>6</v>
      </c>
      <c r="M754" s="42">
        <v>8</v>
      </c>
      <c r="N754" s="42">
        <v>7</v>
      </c>
      <c r="O754" s="42">
        <v>7</v>
      </c>
      <c r="P754" s="42">
        <v>7</v>
      </c>
      <c r="Q754" s="42">
        <v>7</v>
      </c>
      <c r="R754" s="42">
        <v>7</v>
      </c>
      <c r="S754" s="42">
        <v>7</v>
      </c>
      <c r="T754" s="42">
        <v>7</v>
      </c>
      <c r="U754" s="42">
        <v>7</v>
      </c>
      <c r="V754" s="42"/>
      <c r="W754" s="42"/>
      <c r="X754" s="42"/>
      <c r="Y754" s="26">
        <v>1150</v>
      </c>
      <c r="Z754" s="26">
        <f t="shared" si="394"/>
        <v>0.5</v>
      </c>
      <c r="AA754" s="26" t="s">
        <v>1534</v>
      </c>
      <c r="AB754" s="111">
        <f t="shared" si="389"/>
        <v>3.5</v>
      </c>
      <c r="AC754" s="85" t="s">
        <v>2489</v>
      </c>
      <c r="AD754" s="47">
        <f t="shared" si="399"/>
        <v>1998.1060606060605</v>
      </c>
      <c r="AE754" s="140"/>
      <c r="AF754" s="113">
        <f t="shared" si="387"/>
        <v>0</v>
      </c>
      <c r="AG754" s="85">
        <v>2026</v>
      </c>
      <c r="AH754" s="26" t="str">
        <f t="shared" si="376"/>
        <v/>
      </c>
      <c r="AI754" s="26" t="str">
        <f t="shared" si="392"/>
        <v/>
      </c>
      <c r="AJ754" s="26" t="str">
        <f t="shared" si="396"/>
        <v/>
      </c>
      <c r="AK754" s="26" t="str">
        <f t="shared" si="400"/>
        <v/>
      </c>
      <c r="AL754" s="26" t="str">
        <f t="shared" si="400"/>
        <v>Liquid Road</v>
      </c>
      <c r="AM754" s="26" t="str">
        <f t="shared" si="400"/>
        <v/>
      </c>
      <c r="AN754" s="26" t="str">
        <f t="shared" si="386"/>
        <v>Liquid Road</v>
      </c>
      <c r="AO754" s="26" t="str">
        <f t="shared" si="397"/>
        <v/>
      </c>
      <c r="AP754" s="26" t="str">
        <f t="shared" si="395"/>
        <v/>
      </c>
      <c r="AQ754" s="68">
        <f t="shared" si="390"/>
        <v>10</v>
      </c>
      <c r="AR754" s="68">
        <f t="shared" si="391"/>
        <v>10</v>
      </c>
      <c r="AS754" s="68">
        <f t="shared" si="377"/>
        <v>1.1000000000000001</v>
      </c>
      <c r="AT754" s="68">
        <f t="shared" si="378"/>
        <v>1</v>
      </c>
      <c r="AU754" s="68">
        <f t="shared" si="379"/>
        <v>1.05</v>
      </c>
      <c r="AV754" s="68">
        <f t="shared" si="380"/>
        <v>1.05</v>
      </c>
      <c r="AW754" s="68">
        <f t="shared" si="381"/>
        <v>1.05</v>
      </c>
      <c r="AX754" s="68">
        <f t="shared" ca="1" si="382"/>
        <v>2.1</v>
      </c>
      <c r="AY754" s="68">
        <v>2016</v>
      </c>
      <c r="AZ754" s="68" t="s">
        <v>2371</v>
      </c>
      <c r="BA754" s="106" t="str">
        <f t="shared" si="372"/>
        <v/>
      </c>
      <c r="BB754" s="178"/>
      <c r="BC754" s="178"/>
      <c r="BD754" s="178"/>
      <c r="BE754" s="178"/>
      <c r="BF754" s="178">
        <v>3</v>
      </c>
      <c r="BG754" s="178"/>
      <c r="BH754" s="178"/>
      <c r="BI754" s="33"/>
      <c r="BK754" s="48">
        <f>$G754/5280*VLOOKUP($AC754,'Cost and Score'!$B$27:$O$40,6,0)</f>
        <v>7.9924242424242425E-2</v>
      </c>
      <c r="BL754" s="48">
        <f>$G754/5280*VLOOKUP($AC754,'Cost and Score'!$B$27:$O$40,7,0)</f>
        <v>1.2787878787878788</v>
      </c>
      <c r="BM754" s="48">
        <f>$G754/5280*VLOOKUP($AC754,'Cost and Score'!$B$27:$O$40,8,0)</f>
        <v>0</v>
      </c>
      <c r="BN754" s="48">
        <f>$G754/5280*VLOOKUP($AC754,'Cost and Score'!$B$27:$O$40,9,0)</f>
        <v>0</v>
      </c>
      <c r="BO754" s="48">
        <f>$G754/5280*VLOOKUP($AC754,'Cost and Score'!$B$27:$O$40,10,0)</f>
        <v>0</v>
      </c>
      <c r="BP754" s="48">
        <f>$G754/5280*VLOOKUP($AC754,'Cost and Score'!$B$27:$O$40,11,0)</f>
        <v>0</v>
      </c>
      <c r="BQ754" s="48">
        <f>$G754/5280*VLOOKUP($AC754,'Cost and Score'!$B$27:$O$40,12,0)</f>
        <v>0</v>
      </c>
      <c r="BR754" s="48">
        <f>$G754/5280*VLOOKUP($AC754,'Cost and Score'!$B$27:$O$40,13,0)</f>
        <v>0</v>
      </c>
      <c r="BS754" s="48">
        <f>$G754/5280*VLOOKUP($AC754,'Cost and Score'!$B$27:$O$40,14,0)</f>
        <v>0</v>
      </c>
      <c r="BT754" s="220">
        <f t="shared" si="373"/>
        <v>7.9924242424242425E-2</v>
      </c>
      <c r="CN754" s="112"/>
      <c r="CO754" s="112"/>
      <c r="CP754" s="112"/>
      <c r="CQ754" s="112"/>
      <c r="CV754" s="112"/>
    </row>
    <row r="755" spans="1:103" s="2" customFormat="1" ht="14.45" hidden="1" customHeight="1" x14ac:dyDescent="0.25">
      <c r="A755" s="31" t="s">
        <v>2102</v>
      </c>
      <c r="B755" s="226" t="s">
        <v>1536</v>
      </c>
      <c r="C755" s="106" t="s">
        <v>1536</v>
      </c>
      <c r="D755" s="116" t="s">
        <v>2226</v>
      </c>
      <c r="E755" s="106" t="s">
        <v>1451</v>
      </c>
      <c r="F755" s="106" t="s">
        <v>1505</v>
      </c>
      <c r="G755" s="109">
        <v>158</v>
      </c>
      <c r="H755" s="109">
        <f t="shared" si="383"/>
        <v>26</v>
      </c>
      <c r="I755" s="106" t="s">
        <v>2098</v>
      </c>
      <c r="J755" s="106" t="s">
        <v>125</v>
      </c>
      <c r="K755" s="106">
        <f t="shared" si="398"/>
        <v>0</v>
      </c>
      <c r="L755" s="110">
        <v>6</v>
      </c>
      <c r="M755" s="110">
        <v>7</v>
      </c>
      <c r="N755" s="110">
        <v>7</v>
      </c>
      <c r="O755" s="110">
        <v>7</v>
      </c>
      <c r="P755" s="110">
        <v>7</v>
      </c>
      <c r="Q755" s="110">
        <v>6</v>
      </c>
      <c r="R755" s="110">
        <v>6</v>
      </c>
      <c r="S755" s="110">
        <v>7</v>
      </c>
      <c r="T755" s="110">
        <v>7</v>
      </c>
      <c r="U755" s="110">
        <v>7</v>
      </c>
      <c r="V755" s="110"/>
      <c r="W755" s="110"/>
      <c r="X755" s="110"/>
      <c r="Y755" s="106">
        <v>50</v>
      </c>
      <c r="Z755" s="106">
        <f t="shared" si="394"/>
        <v>0</v>
      </c>
      <c r="AA755" s="106" t="s">
        <v>1536</v>
      </c>
      <c r="AB755" s="111">
        <f t="shared" si="389"/>
        <v>3</v>
      </c>
      <c r="AC755" s="85" t="s">
        <v>2425</v>
      </c>
      <c r="AD755" s="107">
        <f t="shared" si="399"/>
        <v>748.10606060606062</v>
      </c>
      <c r="AE755" s="198"/>
      <c r="AF755" s="113">
        <f t="shared" si="387"/>
        <v>0</v>
      </c>
      <c r="AG755" s="85">
        <v>2026</v>
      </c>
      <c r="AH755" s="26" t="str">
        <f t="shared" si="376"/>
        <v/>
      </c>
      <c r="AI755" s="26" t="str">
        <f t="shared" si="392"/>
        <v/>
      </c>
      <c r="AJ755" s="26" t="str">
        <f t="shared" si="396"/>
        <v/>
      </c>
      <c r="AK755" s="26" t="str">
        <f t="shared" si="400"/>
        <v/>
      </c>
      <c r="AL755" s="26" t="str">
        <f t="shared" si="400"/>
        <v>Liquid Road</v>
      </c>
      <c r="AM755" s="26" t="str">
        <f t="shared" si="400"/>
        <v/>
      </c>
      <c r="AN755" s="26" t="str">
        <f t="shared" si="386"/>
        <v>Liquid Road</v>
      </c>
      <c r="AO755" s="26" t="str">
        <f t="shared" si="397"/>
        <v/>
      </c>
      <c r="AP755" s="26" t="str">
        <f t="shared" si="395"/>
        <v/>
      </c>
      <c r="AQ755" s="68">
        <f t="shared" si="390"/>
        <v>10</v>
      </c>
      <c r="AR755" s="68">
        <f t="shared" si="391"/>
        <v>10</v>
      </c>
      <c r="AS755" s="68">
        <f t="shared" si="377"/>
        <v>1.1000000000000001</v>
      </c>
      <c r="AT755" s="68">
        <f t="shared" si="378"/>
        <v>1.05</v>
      </c>
      <c r="AU755" s="68">
        <f t="shared" si="379"/>
        <v>1.05</v>
      </c>
      <c r="AV755" s="68">
        <f t="shared" si="380"/>
        <v>1.05</v>
      </c>
      <c r="AW755" s="68">
        <f t="shared" si="381"/>
        <v>1.05</v>
      </c>
      <c r="AX755" s="68">
        <f t="shared" ca="1" si="382"/>
        <v>2.1</v>
      </c>
      <c r="AY755" s="106">
        <v>2017</v>
      </c>
      <c r="AZ755" s="68" t="s">
        <v>2371</v>
      </c>
      <c r="BA755" s="106" t="str">
        <f t="shared" si="372"/>
        <v/>
      </c>
      <c r="BB755" s="178"/>
      <c r="BC755" s="178"/>
      <c r="BD755" s="178">
        <v>1</v>
      </c>
      <c r="BE755" s="178"/>
      <c r="BF755" s="178"/>
      <c r="BG755" s="178"/>
      <c r="BH755" s="178"/>
      <c r="BI755" s="33"/>
      <c r="BK755" s="48">
        <f>$G755/5280*VLOOKUP($AC755,'Cost and Score'!$B$27:$O$40,6,0)</f>
        <v>2.9924242424242423E-2</v>
      </c>
      <c r="BL755" s="48">
        <f>$G755/5280*VLOOKUP($AC755,'Cost and Score'!$B$27:$O$40,7,0)</f>
        <v>0.47878787878787876</v>
      </c>
      <c r="BM755" s="48">
        <f>$G755/5280*VLOOKUP($AC755,'Cost and Score'!$B$27:$O$40,8,0)</f>
        <v>0</v>
      </c>
      <c r="BN755" s="48">
        <f>$G755/5280*VLOOKUP($AC755,'Cost and Score'!$B$27:$O$40,9,0)</f>
        <v>0</v>
      </c>
      <c r="BO755" s="48">
        <f>$G755/5280*VLOOKUP($AC755,'Cost and Score'!$B$27:$O$40,10,0)</f>
        <v>0</v>
      </c>
      <c r="BP755" s="48">
        <f>$G755/5280*VLOOKUP($AC755,'Cost and Score'!$B$27:$O$40,11,0)</f>
        <v>0</v>
      </c>
      <c r="BQ755" s="48">
        <f>$G755/5280*VLOOKUP($AC755,'Cost and Score'!$B$27:$O$40,12,0)</f>
        <v>0</v>
      </c>
      <c r="BR755" s="48">
        <f>$G755/5280*VLOOKUP($AC755,'Cost and Score'!$B$27:$O$40,13,0)</f>
        <v>0</v>
      </c>
      <c r="BS755" s="48">
        <f>$G755/5280*VLOOKUP($AC755,'Cost and Score'!$B$27:$O$40,14,0)</f>
        <v>0</v>
      </c>
      <c r="BT755" s="220">
        <f t="shared" si="373"/>
        <v>2.9924242424242423E-2</v>
      </c>
      <c r="CF755" s="112"/>
      <c r="CR755" s="112"/>
    </row>
    <row r="756" spans="1:103" s="112" customFormat="1" ht="14.45" hidden="1" customHeight="1" x14ac:dyDescent="0.25">
      <c r="A756" s="38"/>
      <c r="B756" s="34" t="s">
        <v>2503</v>
      </c>
      <c r="C756" s="179" t="s">
        <v>2503</v>
      </c>
      <c r="D756" s="82"/>
      <c r="E756" s="85" t="s">
        <v>217</v>
      </c>
      <c r="F756" s="85" t="s">
        <v>206</v>
      </c>
      <c r="G756" s="29">
        <v>898</v>
      </c>
      <c r="H756" s="29">
        <v>20</v>
      </c>
      <c r="I756" s="26" t="s">
        <v>8</v>
      </c>
      <c r="J756" s="26" t="s">
        <v>125</v>
      </c>
      <c r="K756" s="26">
        <v>0</v>
      </c>
      <c r="L756" s="42">
        <v>7</v>
      </c>
      <c r="M756" s="42">
        <v>9</v>
      </c>
      <c r="N756" s="42">
        <v>9</v>
      </c>
      <c r="O756" s="42">
        <v>9</v>
      </c>
      <c r="P756" s="42">
        <v>9</v>
      </c>
      <c r="Q756" s="42">
        <v>9</v>
      </c>
      <c r="R756" s="42">
        <v>8</v>
      </c>
      <c r="S756" s="42">
        <v>8</v>
      </c>
      <c r="T756" s="42">
        <v>8</v>
      </c>
      <c r="U756" s="42">
        <v>8</v>
      </c>
      <c r="V756" s="42"/>
      <c r="W756" s="42"/>
      <c r="X756" s="42" t="s">
        <v>2612</v>
      </c>
      <c r="Y756" s="26">
        <v>50</v>
      </c>
      <c r="Z756" s="26">
        <v>0</v>
      </c>
      <c r="AA756" s="179" t="s">
        <v>2503</v>
      </c>
      <c r="AB756" s="111">
        <v>6</v>
      </c>
      <c r="AC756" s="85" t="s">
        <v>13</v>
      </c>
      <c r="AD756" s="107">
        <f t="shared" si="399"/>
        <v>3571.590909090909</v>
      </c>
      <c r="AE756" s="140"/>
      <c r="AF756" s="113">
        <f t="shared" si="387"/>
        <v>0</v>
      </c>
      <c r="AG756" s="82">
        <v>2026</v>
      </c>
      <c r="AH756" s="26" t="str">
        <f t="shared" si="376"/>
        <v/>
      </c>
      <c r="AI756" s="26" t="str">
        <f t="shared" si="392"/>
        <v/>
      </c>
      <c r="AJ756" s="26" t="str">
        <f t="shared" si="396"/>
        <v/>
      </c>
      <c r="AK756" s="26" t="str">
        <f t="shared" si="400"/>
        <v/>
      </c>
      <c r="AL756" s="26" t="str">
        <f t="shared" si="400"/>
        <v>Chip Seal and Fog</v>
      </c>
      <c r="AM756" s="26" t="str">
        <f t="shared" si="400"/>
        <v/>
      </c>
      <c r="AN756" s="26" t="str">
        <f t="shared" si="386"/>
        <v>Chip Seal and Fog</v>
      </c>
      <c r="AO756" s="26" t="str">
        <f t="shared" si="397"/>
        <v/>
      </c>
      <c r="AP756" s="26" t="str">
        <f t="shared" si="395"/>
        <v/>
      </c>
      <c r="AQ756" s="68">
        <f t="shared" si="390"/>
        <v>14</v>
      </c>
      <c r="AR756" s="68">
        <f t="shared" si="391"/>
        <v>6</v>
      </c>
      <c r="AS756" s="68">
        <f t="shared" si="377"/>
        <v>1.05</v>
      </c>
      <c r="AT756" s="68">
        <f t="shared" si="378"/>
        <v>1</v>
      </c>
      <c r="AU756" s="68">
        <f t="shared" si="379"/>
        <v>1</v>
      </c>
      <c r="AV756" s="68">
        <f t="shared" si="380"/>
        <v>1</v>
      </c>
      <c r="AW756" s="68">
        <f t="shared" si="381"/>
        <v>1</v>
      </c>
      <c r="AX756" s="68">
        <v>4.5</v>
      </c>
      <c r="AY756" s="68"/>
      <c r="AZ756" s="68"/>
      <c r="BA756" s="106" t="str">
        <f t="shared" si="372"/>
        <v/>
      </c>
      <c r="BB756" s="178"/>
      <c r="BC756" s="178">
        <v>6</v>
      </c>
      <c r="BD756" s="178"/>
      <c r="BE756" s="178"/>
      <c r="BF756" s="178"/>
      <c r="BG756" s="178"/>
      <c r="BH756" s="178"/>
      <c r="BI756" s="33"/>
      <c r="BJ756" s="2"/>
      <c r="BK756" s="48"/>
      <c r="BL756" s="48"/>
      <c r="BM756" s="48"/>
      <c r="BN756" s="48"/>
      <c r="BO756" s="48"/>
      <c r="BP756" s="48"/>
      <c r="BQ756" s="48"/>
      <c r="BR756" s="48"/>
      <c r="BS756" s="48"/>
      <c r="BT756" s="220">
        <f t="shared" si="373"/>
        <v>0.17007575757575757</v>
      </c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V756" s="2"/>
    </row>
    <row r="757" spans="1:103" s="112" customFormat="1" ht="14.45" customHeight="1" x14ac:dyDescent="0.25">
      <c r="A757" s="31" t="s">
        <v>2102</v>
      </c>
      <c r="B757" s="45" t="s">
        <v>1609</v>
      </c>
      <c r="C757" s="26" t="s">
        <v>1609</v>
      </c>
      <c r="D757" s="119" t="s">
        <v>2285</v>
      </c>
      <c r="E757" s="82" t="s">
        <v>1487</v>
      </c>
      <c r="F757" s="82" t="s">
        <v>1462</v>
      </c>
      <c r="G757" s="149">
        <v>647</v>
      </c>
      <c r="H757" s="29">
        <f t="shared" ref="H757:H786" si="401">IF(I757="NC",26,20)</f>
        <v>26</v>
      </c>
      <c r="I757" s="26" t="s">
        <v>2098</v>
      </c>
      <c r="J757" s="26" t="s">
        <v>125</v>
      </c>
      <c r="K757" s="26">
        <f t="shared" ref="K757:K764" si="402">VLOOKUP(J757,TOWNSHIPS,2,FALSE)</f>
        <v>0</v>
      </c>
      <c r="L757" s="42">
        <v>7</v>
      </c>
      <c r="M757" s="42">
        <v>7</v>
      </c>
      <c r="N757" s="42">
        <v>7</v>
      </c>
      <c r="O757" s="83">
        <v>7</v>
      </c>
      <c r="P757" s="83">
        <v>7</v>
      </c>
      <c r="Q757" s="83">
        <v>7</v>
      </c>
      <c r="R757" s="83">
        <v>7</v>
      </c>
      <c r="S757" s="83">
        <v>7</v>
      </c>
      <c r="T757" s="83">
        <v>7</v>
      </c>
      <c r="U757" s="83">
        <v>7</v>
      </c>
      <c r="V757" s="42"/>
      <c r="W757" s="42"/>
      <c r="X757" s="42"/>
      <c r="Y757" s="26">
        <v>50</v>
      </c>
      <c r="Z757" s="26">
        <f t="shared" ref="Z757:Z788" si="403">VLOOKUP(Y757,AADT,2)</f>
        <v>0</v>
      </c>
      <c r="AA757" s="82" t="s">
        <v>1609</v>
      </c>
      <c r="AB757" s="111">
        <f t="shared" ref="AB757:AB820" si="404">(10-P757)+Z757+K757</f>
        <v>3</v>
      </c>
      <c r="AC757" s="85" t="s">
        <v>2086</v>
      </c>
      <c r="AD757" s="84">
        <f t="shared" si="399"/>
        <v>306.344696969697</v>
      </c>
      <c r="AE757" s="140"/>
      <c r="AF757" s="113">
        <f t="shared" si="387"/>
        <v>0</v>
      </c>
      <c r="AG757" s="106">
        <v>2025</v>
      </c>
      <c r="AH757" s="26" t="str">
        <f t="shared" si="376"/>
        <v/>
      </c>
      <c r="AI757" s="26" t="str">
        <f t="shared" si="392"/>
        <v/>
      </c>
      <c r="AJ757" s="26" t="str">
        <f t="shared" si="396"/>
        <v/>
      </c>
      <c r="AK757" s="26" t="str">
        <f t="shared" si="400"/>
        <v>Fog Seal</v>
      </c>
      <c r="AL757" s="26" t="str">
        <f t="shared" si="400"/>
        <v/>
      </c>
      <c r="AM757" s="26" t="str">
        <f t="shared" si="400"/>
        <v/>
      </c>
      <c r="AN757" s="26" t="str">
        <f t="shared" si="386"/>
        <v>Fog Seal</v>
      </c>
      <c r="AO757" s="26" t="str">
        <f t="shared" si="397"/>
        <v/>
      </c>
      <c r="AP757" s="26" t="str">
        <f t="shared" si="395"/>
        <v/>
      </c>
      <c r="AQ757" s="68">
        <f t="shared" si="390"/>
        <v>10</v>
      </c>
      <c r="AR757" s="68">
        <f t="shared" si="391"/>
        <v>2</v>
      </c>
      <c r="AS757" s="68">
        <f t="shared" si="377"/>
        <v>1.05</v>
      </c>
      <c r="AT757" s="68">
        <f t="shared" si="378"/>
        <v>1.05</v>
      </c>
      <c r="AU757" s="68">
        <f t="shared" si="379"/>
        <v>1.05</v>
      </c>
      <c r="AV757" s="68">
        <f t="shared" si="380"/>
        <v>1.05</v>
      </c>
      <c r="AW757" s="68">
        <f t="shared" si="381"/>
        <v>1.05</v>
      </c>
      <c r="AX757" s="68">
        <f t="shared" ref="AX757:AX788" ca="1" si="405">AU757*(AG757-YEAR(TODAY()))</f>
        <v>1.05</v>
      </c>
      <c r="AY757" s="68">
        <v>2019</v>
      </c>
      <c r="AZ757" s="85" t="s">
        <v>2075</v>
      </c>
      <c r="BA757" s="106" t="str">
        <f t="shared" si="372"/>
        <v/>
      </c>
      <c r="BB757" s="203"/>
      <c r="BC757" s="178"/>
      <c r="BD757" s="178"/>
      <c r="BE757" s="178"/>
      <c r="BF757" s="178"/>
      <c r="BG757" s="178"/>
      <c r="BH757" s="178"/>
      <c r="BI757" s="33"/>
      <c r="BJ757" s="2"/>
      <c r="BK757" s="48">
        <f>$G757/5280*VLOOKUP($AC757,'Cost and Score'!$B$27:$O$40,6,0)</f>
        <v>1.225378787878788E-2</v>
      </c>
      <c r="BL757" s="48">
        <f>$G757/5280*VLOOKUP($AC757,'Cost and Score'!$B$27:$O$40,7,0)</f>
        <v>2.4507575757575759E-2</v>
      </c>
      <c r="BM757" s="48">
        <f>$G757/5280*VLOOKUP($AC757,'Cost and Score'!$B$27:$O$40,8,0)</f>
        <v>0</v>
      </c>
      <c r="BN757" s="48">
        <f>$G757/5280*VLOOKUP($AC757,'Cost and Score'!$B$27:$O$40,9,0)</f>
        <v>0</v>
      </c>
      <c r="BO757" s="48">
        <f>$G757/5280*VLOOKUP($AC757,'Cost and Score'!$B$27:$O$40,10,0)</f>
        <v>122.5378787878788</v>
      </c>
      <c r="BP757" s="48">
        <f>$G757/5280*VLOOKUP($AC757,'Cost and Score'!$B$27:$O$40,11,0)</f>
        <v>0</v>
      </c>
      <c r="BQ757" s="48">
        <f>$G757/5280*VLOOKUP($AC757,'Cost and Score'!$B$27:$O$40,12,0)</f>
        <v>0</v>
      </c>
      <c r="BR757" s="48">
        <f>$G757/5280*VLOOKUP($AC757,'Cost and Score'!$B$27:$O$40,13,0)</f>
        <v>0</v>
      </c>
      <c r="BS757" s="48">
        <f>$G757/5280*VLOOKUP($AC757,'Cost and Score'!$B$27:$O$40,14,0)</f>
        <v>0</v>
      </c>
      <c r="BT757" s="220">
        <f t="shared" si="373"/>
        <v>0.12253787878787879</v>
      </c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</row>
    <row r="758" spans="1:103" s="2" customFormat="1" ht="14.45" hidden="1" customHeight="1" x14ac:dyDescent="0.25">
      <c r="A758" s="38" t="s">
        <v>1540</v>
      </c>
      <c r="B758" s="34" t="s">
        <v>1539</v>
      </c>
      <c r="C758" s="26" t="s">
        <v>1539</v>
      </c>
      <c r="D758" s="82"/>
      <c r="E758" s="82" t="s">
        <v>119</v>
      </c>
      <c r="F758" s="82" t="s">
        <v>742</v>
      </c>
      <c r="G758" s="29">
        <v>6430</v>
      </c>
      <c r="H758" s="29">
        <f t="shared" si="401"/>
        <v>20</v>
      </c>
      <c r="I758" s="26" t="s">
        <v>8</v>
      </c>
      <c r="J758" s="26" t="s">
        <v>125</v>
      </c>
      <c r="K758" s="26">
        <f t="shared" si="402"/>
        <v>0</v>
      </c>
      <c r="L758" s="42">
        <v>7</v>
      </c>
      <c r="M758" s="42">
        <v>6</v>
      </c>
      <c r="N758" s="42">
        <v>6</v>
      </c>
      <c r="O758" s="83">
        <v>5</v>
      </c>
      <c r="P758" s="83">
        <v>5</v>
      </c>
      <c r="Q758" s="83">
        <v>9</v>
      </c>
      <c r="R758" s="83">
        <v>8</v>
      </c>
      <c r="S758" s="83">
        <v>8</v>
      </c>
      <c r="T758" s="83">
        <v>8</v>
      </c>
      <c r="U758" s="83">
        <v>8</v>
      </c>
      <c r="V758" s="42">
        <v>2024</v>
      </c>
      <c r="W758" s="42">
        <v>2019</v>
      </c>
      <c r="X758" s="42" t="s">
        <v>2612</v>
      </c>
      <c r="Y758" s="26">
        <v>618</v>
      </c>
      <c r="Z758" s="26">
        <f t="shared" si="403"/>
        <v>0.5</v>
      </c>
      <c r="AA758" s="82" t="s">
        <v>1539</v>
      </c>
      <c r="AB758" s="111">
        <f t="shared" si="404"/>
        <v>5.5</v>
      </c>
      <c r="AC758" s="82" t="s">
        <v>13</v>
      </c>
      <c r="AD758" s="84">
        <f t="shared" si="399"/>
        <v>25573.863636363636</v>
      </c>
      <c r="AE758" s="140"/>
      <c r="AF758" s="113">
        <f t="shared" si="387"/>
        <v>0</v>
      </c>
      <c r="AG758" s="82">
        <v>2024</v>
      </c>
      <c r="AH758" s="26" t="str">
        <f t="shared" si="376"/>
        <v/>
      </c>
      <c r="AI758" s="26" t="str">
        <f t="shared" si="392"/>
        <v/>
      </c>
      <c r="AJ758" s="26" t="str">
        <f t="shared" si="396"/>
        <v>Chip Seal and Fog</v>
      </c>
      <c r="AK758" s="26" t="str">
        <f t="shared" si="400"/>
        <v/>
      </c>
      <c r="AL758" s="26" t="str">
        <f t="shared" si="400"/>
        <v/>
      </c>
      <c r="AM758" s="26" t="str">
        <f t="shared" si="400"/>
        <v/>
      </c>
      <c r="AN758" s="26" t="str">
        <f t="shared" si="386"/>
        <v>Chip Seal and Fog</v>
      </c>
      <c r="AO758" s="26" t="str">
        <f t="shared" si="397"/>
        <v/>
      </c>
      <c r="AP758" s="26" t="str">
        <f t="shared" si="395"/>
        <v/>
      </c>
      <c r="AQ758" s="68">
        <f t="shared" si="390"/>
        <v>6</v>
      </c>
      <c r="AR758" s="68">
        <f t="shared" si="391"/>
        <v>6</v>
      </c>
      <c r="AS758" s="68">
        <f t="shared" si="377"/>
        <v>1.05</v>
      </c>
      <c r="AT758" s="68">
        <f t="shared" si="378"/>
        <v>1.1000000000000001</v>
      </c>
      <c r="AU758" s="68">
        <f t="shared" si="379"/>
        <v>1.1000000000000001</v>
      </c>
      <c r="AV758" s="68">
        <f t="shared" si="380"/>
        <v>1.25</v>
      </c>
      <c r="AW758" s="68">
        <f t="shared" si="381"/>
        <v>1.25</v>
      </c>
      <c r="AX758" s="68">
        <f t="shared" ca="1" si="405"/>
        <v>0</v>
      </c>
      <c r="AY758" s="68">
        <v>2018</v>
      </c>
      <c r="AZ758" s="68" t="s">
        <v>13</v>
      </c>
      <c r="BA758" s="106" t="str">
        <f t="shared" si="372"/>
        <v>CS</v>
      </c>
      <c r="BB758" s="178"/>
      <c r="BC758" s="178">
        <v>6</v>
      </c>
      <c r="BD758" s="178"/>
      <c r="BE758" s="178"/>
      <c r="BF758" s="178"/>
      <c r="BG758" s="178"/>
      <c r="BH758" s="178"/>
      <c r="BI758" s="33"/>
      <c r="BK758" s="48">
        <f>$G758/5280*VLOOKUP($AC758,'Cost and Score'!$B$27:$O$40,6,0)</f>
        <v>0.24356060606060606</v>
      </c>
      <c r="BL758" s="48">
        <f>$G758/5280*VLOOKUP($AC758,'Cost and Score'!$B$27:$O$40,7,0)</f>
        <v>26.791666666666664</v>
      </c>
      <c r="BM758" s="48">
        <f>$G758/5280*VLOOKUP($AC758,'Cost and Score'!$B$27:$O$40,8,0)</f>
        <v>0</v>
      </c>
      <c r="BN758" s="48">
        <f>$G758/5280*VLOOKUP($AC758,'Cost and Score'!$B$27:$O$40,9,0)</f>
        <v>5480.113636363636</v>
      </c>
      <c r="BO758" s="48">
        <f>$G758/5280*VLOOKUP($AC758,'Cost and Score'!$B$27:$O$40,10,0)</f>
        <v>1217.8030303030303</v>
      </c>
      <c r="BP758" s="48">
        <f>$G758/5280*VLOOKUP($AC758,'Cost and Score'!$B$27:$O$40,11,0)</f>
        <v>0</v>
      </c>
      <c r="BQ758" s="48">
        <f>$G758/5280*VLOOKUP($AC758,'Cost and Score'!$B$27:$O$40,12,0)</f>
        <v>121.78030303030303</v>
      </c>
      <c r="BR758" s="48">
        <f>$G758/5280*VLOOKUP($AC758,'Cost and Score'!$B$27:$O$40,13,0)</f>
        <v>146.13636363636363</v>
      </c>
      <c r="BS758" s="48">
        <f>$G758/5280*VLOOKUP($AC758,'Cost and Score'!$B$27:$O$40,14,0)</f>
        <v>0</v>
      </c>
      <c r="BT758" s="220">
        <f t="shared" si="373"/>
        <v>1.2178030303030303</v>
      </c>
      <c r="CV758" s="112"/>
    </row>
    <row r="759" spans="1:103" s="2" customFormat="1" ht="14.45" hidden="1" customHeight="1" x14ac:dyDescent="0.25">
      <c r="A759" s="38" t="s">
        <v>1542</v>
      </c>
      <c r="B759" s="34" t="s">
        <v>1541</v>
      </c>
      <c r="C759" s="26" t="s">
        <v>1541</v>
      </c>
      <c r="D759" s="26"/>
      <c r="E759" s="26" t="s">
        <v>193</v>
      </c>
      <c r="F759" s="26" t="s">
        <v>196</v>
      </c>
      <c r="G759" s="29">
        <v>530</v>
      </c>
      <c r="H759" s="29">
        <f t="shared" si="401"/>
        <v>20</v>
      </c>
      <c r="I759" s="26" t="s">
        <v>8</v>
      </c>
      <c r="J759" s="26" t="s">
        <v>125</v>
      </c>
      <c r="K759" s="26">
        <f t="shared" si="402"/>
        <v>0</v>
      </c>
      <c r="L759" s="42">
        <v>7</v>
      </c>
      <c r="M759" s="42">
        <v>9</v>
      </c>
      <c r="N759" s="42">
        <v>9</v>
      </c>
      <c r="O759" s="42">
        <v>9</v>
      </c>
      <c r="P759" s="42">
        <v>9</v>
      </c>
      <c r="Q759" s="42">
        <v>7</v>
      </c>
      <c r="R759" s="42">
        <v>7</v>
      </c>
      <c r="S759" s="42">
        <v>7</v>
      </c>
      <c r="T759" s="42">
        <v>7</v>
      </c>
      <c r="U759" s="42">
        <v>7</v>
      </c>
      <c r="V759" s="42"/>
      <c r="W759" s="42"/>
      <c r="X759" s="42"/>
      <c r="Y759" s="26">
        <v>50</v>
      </c>
      <c r="Z759" s="26">
        <f t="shared" si="403"/>
        <v>0</v>
      </c>
      <c r="AA759" s="26" t="s">
        <v>1541</v>
      </c>
      <c r="AB759" s="111">
        <f t="shared" si="404"/>
        <v>1</v>
      </c>
      <c r="AC759" s="26" t="s">
        <v>13</v>
      </c>
      <c r="AD759" s="47">
        <f t="shared" si="399"/>
        <v>2107.9545454545455</v>
      </c>
      <c r="AE759" s="140"/>
      <c r="AF759" s="113">
        <f t="shared" si="387"/>
        <v>0</v>
      </c>
      <c r="AG759" s="26">
        <v>2023</v>
      </c>
      <c r="AH759" s="26" t="str">
        <f t="shared" si="376"/>
        <v/>
      </c>
      <c r="AI759" s="26" t="str">
        <f t="shared" si="392"/>
        <v>Chip Seal and Fog</v>
      </c>
      <c r="AJ759" s="26" t="str">
        <f t="shared" si="396"/>
        <v/>
      </c>
      <c r="AK759" s="26" t="str">
        <f t="shared" si="400"/>
        <v/>
      </c>
      <c r="AL759" s="26" t="str">
        <f t="shared" si="400"/>
        <v/>
      </c>
      <c r="AM759" s="26" t="str">
        <f t="shared" si="400"/>
        <v/>
      </c>
      <c r="AN759" s="26" t="str">
        <f t="shared" si="386"/>
        <v>Chip Seal and Fog</v>
      </c>
      <c r="AO759" s="26" t="str">
        <f t="shared" si="397"/>
        <v/>
      </c>
      <c r="AP759" s="26" t="str">
        <f t="shared" si="395"/>
        <v/>
      </c>
      <c r="AQ759" s="68">
        <f t="shared" si="390"/>
        <v>14</v>
      </c>
      <c r="AR759" s="68">
        <f t="shared" si="391"/>
        <v>6</v>
      </c>
      <c r="AS759" s="68">
        <f t="shared" si="377"/>
        <v>1.05</v>
      </c>
      <c r="AT759" s="68">
        <f t="shared" si="378"/>
        <v>1</v>
      </c>
      <c r="AU759" s="68">
        <f t="shared" si="379"/>
        <v>1</v>
      </c>
      <c r="AV759" s="68">
        <f t="shared" si="380"/>
        <v>1</v>
      </c>
      <c r="AW759" s="68">
        <f t="shared" si="381"/>
        <v>1</v>
      </c>
      <c r="AX759" s="68">
        <f t="shared" ca="1" si="405"/>
        <v>-1</v>
      </c>
      <c r="AY759" s="68"/>
      <c r="AZ759" s="68"/>
      <c r="BA759" s="106" t="str">
        <f t="shared" si="372"/>
        <v/>
      </c>
      <c r="BB759" s="178"/>
      <c r="BC759" s="178">
        <v>2</v>
      </c>
      <c r="BD759" s="178"/>
      <c r="BE759" s="178"/>
      <c r="BF759" s="178"/>
      <c r="BG759" s="178"/>
      <c r="BH759" s="178"/>
      <c r="BI759" s="33"/>
      <c r="BK759" s="48">
        <f>$G759/5280*VLOOKUP($AC759,'Cost and Score'!$B$27:$O$40,6,0)</f>
        <v>2.0075757575757577E-2</v>
      </c>
      <c r="BL759" s="48">
        <f>$G759/5280*VLOOKUP($AC759,'Cost and Score'!$B$27:$O$40,7,0)</f>
        <v>2.208333333333333</v>
      </c>
      <c r="BM759" s="48">
        <f>$G759/5280*VLOOKUP($AC759,'Cost and Score'!$B$27:$O$40,8,0)</f>
        <v>0</v>
      </c>
      <c r="BN759" s="48">
        <f>$G759/5280*VLOOKUP($AC759,'Cost and Score'!$B$27:$O$40,9,0)</f>
        <v>451.70454545454544</v>
      </c>
      <c r="BO759" s="48">
        <f>$G759/5280*VLOOKUP($AC759,'Cost and Score'!$B$27:$O$40,10,0)</f>
        <v>100.37878787878788</v>
      </c>
      <c r="BP759" s="48">
        <f>$G759/5280*VLOOKUP($AC759,'Cost and Score'!$B$27:$O$40,11,0)</f>
        <v>0</v>
      </c>
      <c r="BQ759" s="48">
        <f>$G759/5280*VLOOKUP($AC759,'Cost and Score'!$B$27:$O$40,12,0)</f>
        <v>10.037878787878787</v>
      </c>
      <c r="BR759" s="48">
        <f>$G759/5280*VLOOKUP($AC759,'Cost and Score'!$B$27:$O$40,13,0)</f>
        <v>12.045454545454545</v>
      </c>
      <c r="BS759" s="48">
        <f>$G759/5280*VLOOKUP($AC759,'Cost and Score'!$B$27:$O$40,14,0)</f>
        <v>0</v>
      </c>
      <c r="BT759" s="220">
        <f t="shared" si="373"/>
        <v>0.10037878787878787</v>
      </c>
    </row>
    <row r="760" spans="1:103" s="2" customFormat="1" ht="14.45" customHeight="1" x14ac:dyDescent="0.25">
      <c r="A760" s="31" t="s">
        <v>2102</v>
      </c>
      <c r="B760" s="45" t="s">
        <v>1626</v>
      </c>
      <c r="C760" s="26" t="s">
        <v>1626</v>
      </c>
      <c r="D760" s="119" t="s">
        <v>2240</v>
      </c>
      <c r="E760" s="82" t="s">
        <v>1467</v>
      </c>
      <c r="F760" s="82" t="s">
        <v>1462</v>
      </c>
      <c r="G760" s="29">
        <v>158</v>
      </c>
      <c r="H760" s="29">
        <f t="shared" si="401"/>
        <v>26</v>
      </c>
      <c r="I760" s="26" t="s">
        <v>2098</v>
      </c>
      <c r="J760" s="26" t="s">
        <v>125</v>
      </c>
      <c r="K760" s="26">
        <f t="shared" si="402"/>
        <v>0</v>
      </c>
      <c r="L760" s="42">
        <v>7</v>
      </c>
      <c r="M760" s="42">
        <v>8</v>
      </c>
      <c r="N760" s="42">
        <v>8</v>
      </c>
      <c r="O760" s="83">
        <v>8</v>
      </c>
      <c r="P760" s="83">
        <v>8</v>
      </c>
      <c r="Q760" s="83">
        <v>8</v>
      </c>
      <c r="R760" s="83">
        <v>7</v>
      </c>
      <c r="S760" s="83">
        <v>7</v>
      </c>
      <c r="T760" s="83">
        <v>7</v>
      </c>
      <c r="U760" s="83">
        <v>7</v>
      </c>
      <c r="V760" s="42"/>
      <c r="W760" s="42"/>
      <c r="X760" s="42"/>
      <c r="Y760" s="26">
        <v>50</v>
      </c>
      <c r="Z760" s="26">
        <f t="shared" si="403"/>
        <v>0</v>
      </c>
      <c r="AA760" s="82" t="s">
        <v>1626</v>
      </c>
      <c r="AB760" s="111">
        <f t="shared" si="404"/>
        <v>2</v>
      </c>
      <c r="AC760" s="85" t="s">
        <v>2086</v>
      </c>
      <c r="AD760" s="84">
        <f t="shared" si="399"/>
        <v>74.810606060606062</v>
      </c>
      <c r="AE760" s="140"/>
      <c r="AF760" s="113">
        <f t="shared" si="387"/>
        <v>0</v>
      </c>
      <c r="AG760" s="106">
        <v>2025</v>
      </c>
      <c r="AH760" s="26" t="str">
        <f t="shared" si="376"/>
        <v/>
      </c>
      <c r="AI760" s="26" t="str">
        <f t="shared" si="392"/>
        <v/>
      </c>
      <c r="AJ760" s="26" t="str">
        <f t="shared" si="396"/>
        <v/>
      </c>
      <c r="AK760" s="26" t="str">
        <f t="shared" si="400"/>
        <v>Fog Seal</v>
      </c>
      <c r="AL760" s="26" t="str">
        <f t="shared" si="400"/>
        <v/>
      </c>
      <c r="AM760" s="26" t="str">
        <f t="shared" si="400"/>
        <v/>
      </c>
      <c r="AN760" s="26" t="str">
        <f t="shared" si="386"/>
        <v>Fog Seal</v>
      </c>
      <c r="AO760" s="26" t="str">
        <f t="shared" si="397"/>
        <v/>
      </c>
      <c r="AP760" s="26" t="str">
        <f t="shared" si="395"/>
        <v/>
      </c>
      <c r="AQ760" s="68">
        <f t="shared" si="390"/>
        <v>12</v>
      </c>
      <c r="AR760" s="68">
        <f t="shared" si="391"/>
        <v>2</v>
      </c>
      <c r="AS760" s="68">
        <f t="shared" si="377"/>
        <v>1.05</v>
      </c>
      <c r="AT760" s="68">
        <f t="shared" si="378"/>
        <v>1</v>
      </c>
      <c r="AU760" s="68">
        <f t="shared" si="379"/>
        <v>1</v>
      </c>
      <c r="AV760" s="68">
        <f t="shared" si="380"/>
        <v>1</v>
      </c>
      <c r="AW760" s="68">
        <f t="shared" si="381"/>
        <v>1</v>
      </c>
      <c r="AX760" s="68">
        <f t="shared" ca="1" si="405"/>
        <v>1</v>
      </c>
      <c r="AY760" s="68">
        <v>2019</v>
      </c>
      <c r="AZ760" s="68" t="s">
        <v>2075</v>
      </c>
      <c r="BA760" s="106" t="str">
        <f t="shared" si="372"/>
        <v/>
      </c>
      <c r="BB760" s="178"/>
      <c r="BC760" s="178"/>
      <c r="BD760" s="178"/>
      <c r="BE760" s="178"/>
      <c r="BF760" s="178"/>
      <c r="BG760" s="178"/>
      <c r="BH760" s="178"/>
      <c r="BI760" s="33"/>
      <c r="BK760" s="48">
        <f>$G760/5280*VLOOKUP($AC760,'Cost and Score'!$B$27:$O$40,6,0)</f>
        <v>2.9924242424242426E-3</v>
      </c>
      <c r="BL760" s="48">
        <f>$G760/5280*VLOOKUP($AC760,'Cost and Score'!$B$27:$O$40,7,0)</f>
        <v>5.9848484848484852E-3</v>
      </c>
      <c r="BM760" s="48">
        <f>$G760/5280*VLOOKUP($AC760,'Cost and Score'!$B$27:$O$40,8,0)</f>
        <v>0</v>
      </c>
      <c r="BN760" s="48">
        <f>$G760/5280*VLOOKUP($AC760,'Cost and Score'!$B$27:$O$40,9,0)</f>
        <v>0</v>
      </c>
      <c r="BO760" s="48">
        <f>$G760/5280*VLOOKUP($AC760,'Cost and Score'!$B$27:$O$40,10,0)</f>
        <v>29.924242424242422</v>
      </c>
      <c r="BP760" s="48">
        <f>$G760/5280*VLOOKUP($AC760,'Cost and Score'!$B$27:$O$40,11,0)</f>
        <v>0</v>
      </c>
      <c r="BQ760" s="48">
        <f>$G760/5280*VLOOKUP($AC760,'Cost and Score'!$B$27:$O$40,12,0)</f>
        <v>0</v>
      </c>
      <c r="BR760" s="48">
        <f>$G760/5280*VLOOKUP($AC760,'Cost and Score'!$B$27:$O$40,13,0)</f>
        <v>0</v>
      </c>
      <c r="BS760" s="48">
        <f>$G760/5280*VLOOKUP($AC760,'Cost and Score'!$B$27:$O$40,14,0)</f>
        <v>0</v>
      </c>
      <c r="BT760" s="220">
        <f t="shared" si="373"/>
        <v>2.9924242424242423E-2</v>
      </c>
    </row>
    <row r="761" spans="1:103" s="2" customFormat="1" ht="14.45" hidden="1" customHeight="1" x14ac:dyDescent="0.25">
      <c r="A761" s="31" t="s">
        <v>2102</v>
      </c>
      <c r="B761" s="45" t="s">
        <v>1545</v>
      </c>
      <c r="C761" s="26" t="s">
        <v>1545</v>
      </c>
      <c r="D761" s="36" t="s">
        <v>2288</v>
      </c>
      <c r="E761" s="26" t="s">
        <v>1504</v>
      </c>
      <c r="F761" s="26" t="s">
        <v>1505</v>
      </c>
      <c r="G761" s="29">
        <v>1214</v>
      </c>
      <c r="H761" s="29">
        <f t="shared" si="401"/>
        <v>26</v>
      </c>
      <c r="I761" s="26" t="s">
        <v>2098</v>
      </c>
      <c r="J761" s="26" t="s">
        <v>125</v>
      </c>
      <c r="K761" s="26">
        <f t="shared" si="402"/>
        <v>0</v>
      </c>
      <c r="L761" s="42">
        <v>7</v>
      </c>
      <c r="M761" s="42">
        <v>7</v>
      </c>
      <c r="N761" s="42">
        <v>7</v>
      </c>
      <c r="O761" s="42">
        <v>7</v>
      </c>
      <c r="P761" s="42">
        <v>7</v>
      </c>
      <c r="Q761" s="42">
        <v>8</v>
      </c>
      <c r="R761" s="42">
        <v>8</v>
      </c>
      <c r="S761" s="42">
        <v>7</v>
      </c>
      <c r="T761" s="42">
        <v>7</v>
      </c>
      <c r="U761" s="42">
        <v>7</v>
      </c>
      <c r="V761" s="42"/>
      <c r="W761" s="42"/>
      <c r="X761" s="42"/>
      <c r="Y761" s="26">
        <v>50</v>
      </c>
      <c r="Z761" s="26">
        <f t="shared" si="403"/>
        <v>0</v>
      </c>
      <c r="AA761" s="26" t="s">
        <v>1545</v>
      </c>
      <c r="AB761" s="111">
        <f t="shared" si="404"/>
        <v>3</v>
      </c>
      <c r="AC761" s="26" t="s">
        <v>2086</v>
      </c>
      <c r="AD761" s="47">
        <v>9819.91</v>
      </c>
      <c r="AE761" s="140"/>
      <c r="AF761" s="113">
        <f t="shared" si="387"/>
        <v>0</v>
      </c>
      <c r="AG761" s="26">
        <v>2024</v>
      </c>
      <c r="AH761" s="26" t="str">
        <f t="shared" si="376"/>
        <v/>
      </c>
      <c r="AI761" s="26" t="str">
        <f t="shared" si="392"/>
        <v/>
      </c>
      <c r="AJ761" s="26" t="str">
        <f t="shared" si="396"/>
        <v>Fog Seal</v>
      </c>
      <c r="AK761" s="26" t="str">
        <f t="shared" si="400"/>
        <v/>
      </c>
      <c r="AL761" s="26" t="str">
        <f t="shared" si="400"/>
        <v/>
      </c>
      <c r="AM761" s="26" t="str">
        <f t="shared" si="400"/>
        <v/>
      </c>
      <c r="AN761" s="26" t="str">
        <f t="shared" si="386"/>
        <v>Fog Seal</v>
      </c>
      <c r="AO761" s="26" t="str">
        <f t="shared" si="397"/>
        <v/>
      </c>
      <c r="AP761" s="26" t="str">
        <f t="shared" si="395"/>
        <v/>
      </c>
      <c r="AQ761" s="68">
        <f t="shared" si="390"/>
        <v>10</v>
      </c>
      <c r="AR761" s="68">
        <f t="shared" si="391"/>
        <v>2</v>
      </c>
      <c r="AS761" s="68">
        <f t="shared" si="377"/>
        <v>1.05</v>
      </c>
      <c r="AT761" s="68">
        <f t="shared" si="378"/>
        <v>1.05</v>
      </c>
      <c r="AU761" s="68">
        <f t="shared" si="379"/>
        <v>1.05</v>
      </c>
      <c r="AV761" s="68">
        <f t="shared" si="380"/>
        <v>1.05</v>
      </c>
      <c r="AW761" s="68">
        <f t="shared" si="381"/>
        <v>1.05</v>
      </c>
      <c r="AX761" s="68">
        <f t="shared" ca="1" si="405"/>
        <v>0</v>
      </c>
      <c r="AY761" s="68">
        <v>2018</v>
      </c>
      <c r="AZ761" s="68" t="s">
        <v>2371</v>
      </c>
      <c r="BA761" s="106" t="str">
        <f t="shared" si="372"/>
        <v>MICRO</v>
      </c>
      <c r="BB761" s="178"/>
      <c r="BC761" s="178"/>
      <c r="BD761" s="178"/>
      <c r="BE761" s="178"/>
      <c r="BF761" s="178"/>
      <c r="BG761" s="178"/>
      <c r="BH761" s="178"/>
      <c r="BI761" s="33"/>
      <c r="BK761" s="48">
        <f>$G761/5280*VLOOKUP($AC761,'Cost and Score'!$B$27:$O$40,6,0)</f>
        <v>2.2992424242424245E-2</v>
      </c>
      <c r="BL761" s="48">
        <f>$G761/5280*VLOOKUP($AC761,'Cost and Score'!$B$27:$O$40,7,0)</f>
        <v>4.598484848484849E-2</v>
      </c>
      <c r="BM761" s="48">
        <f>$G761/5280*VLOOKUP($AC761,'Cost and Score'!$B$27:$O$40,8,0)</f>
        <v>0</v>
      </c>
      <c r="BN761" s="48">
        <f>$G761/5280*VLOOKUP($AC761,'Cost and Score'!$B$27:$O$40,9,0)</f>
        <v>0</v>
      </c>
      <c r="BO761" s="48">
        <f>$G761/5280*VLOOKUP($AC761,'Cost and Score'!$B$27:$O$40,10,0)</f>
        <v>229.92424242424241</v>
      </c>
      <c r="BP761" s="48">
        <f>$G761/5280*VLOOKUP($AC761,'Cost and Score'!$B$27:$O$40,11,0)</f>
        <v>0</v>
      </c>
      <c r="BQ761" s="48">
        <f>$G761/5280*VLOOKUP($AC761,'Cost and Score'!$B$27:$O$40,12,0)</f>
        <v>0</v>
      </c>
      <c r="BR761" s="48">
        <f>$G761/5280*VLOOKUP($AC761,'Cost and Score'!$B$27:$O$40,13,0)</f>
        <v>0</v>
      </c>
      <c r="BS761" s="48">
        <f>$G761/5280*VLOOKUP($AC761,'Cost and Score'!$B$27:$O$40,14,0)</f>
        <v>0</v>
      </c>
      <c r="BT761" s="220">
        <f t="shared" si="373"/>
        <v>0.22992424242424242</v>
      </c>
    </row>
    <row r="762" spans="1:103" s="2" customFormat="1" ht="14.45" hidden="1" customHeight="1" x14ac:dyDescent="0.25">
      <c r="A762" s="31"/>
      <c r="B762" s="45" t="s">
        <v>1546</v>
      </c>
      <c r="C762" s="26" t="s">
        <v>1546</v>
      </c>
      <c r="D762" s="36" t="s">
        <v>2288</v>
      </c>
      <c r="E762" s="26" t="s">
        <v>1504</v>
      </c>
      <c r="F762" s="26" t="s">
        <v>1505</v>
      </c>
      <c r="G762" s="29">
        <v>581</v>
      </c>
      <c r="H762" s="29">
        <f t="shared" si="401"/>
        <v>26</v>
      </c>
      <c r="I762" s="26" t="s">
        <v>2098</v>
      </c>
      <c r="J762" s="26" t="s">
        <v>125</v>
      </c>
      <c r="K762" s="26">
        <f t="shared" si="402"/>
        <v>0</v>
      </c>
      <c r="L762" s="42">
        <v>7</v>
      </c>
      <c r="M762" s="42">
        <v>7</v>
      </c>
      <c r="N762" s="42">
        <v>7</v>
      </c>
      <c r="O762" s="42">
        <v>7</v>
      </c>
      <c r="P762" s="42">
        <v>7</v>
      </c>
      <c r="Q762" s="42">
        <v>8</v>
      </c>
      <c r="R762" s="42">
        <v>8</v>
      </c>
      <c r="S762" s="42">
        <v>7</v>
      </c>
      <c r="T762" s="42">
        <v>7</v>
      </c>
      <c r="U762" s="42">
        <v>7</v>
      </c>
      <c r="V762" s="42"/>
      <c r="W762" s="42"/>
      <c r="X762" s="42"/>
      <c r="Y762" s="26">
        <v>50</v>
      </c>
      <c r="Z762" s="26">
        <f t="shared" si="403"/>
        <v>0</v>
      </c>
      <c r="AA762" s="26" t="s">
        <v>1546</v>
      </c>
      <c r="AB762" s="111">
        <f t="shared" si="404"/>
        <v>3</v>
      </c>
      <c r="AC762" s="26" t="s">
        <v>2086</v>
      </c>
      <c r="AD762" s="47">
        <v>4699.6499999999996</v>
      </c>
      <c r="AE762" s="140"/>
      <c r="AF762" s="113">
        <f t="shared" si="387"/>
        <v>0</v>
      </c>
      <c r="AG762" s="26">
        <v>2024</v>
      </c>
      <c r="AH762" s="26" t="str">
        <f t="shared" si="376"/>
        <v/>
      </c>
      <c r="AI762" s="26" t="str">
        <f t="shared" si="392"/>
        <v/>
      </c>
      <c r="AJ762" s="26" t="str">
        <f t="shared" si="396"/>
        <v>Fog Seal</v>
      </c>
      <c r="AK762" s="26" t="str">
        <f t="shared" si="400"/>
        <v/>
      </c>
      <c r="AL762" s="26" t="str">
        <f t="shared" si="400"/>
        <v/>
      </c>
      <c r="AM762" s="26" t="str">
        <f t="shared" si="400"/>
        <v/>
      </c>
      <c r="AN762" s="26" t="str">
        <f t="shared" si="386"/>
        <v>Fog Seal</v>
      </c>
      <c r="AO762" s="26" t="str">
        <f t="shared" si="397"/>
        <v/>
      </c>
      <c r="AP762" s="26" t="str">
        <f t="shared" si="395"/>
        <v/>
      </c>
      <c r="AQ762" s="68">
        <f t="shared" si="390"/>
        <v>10</v>
      </c>
      <c r="AR762" s="68">
        <f t="shared" si="391"/>
        <v>2</v>
      </c>
      <c r="AS762" s="68">
        <f t="shared" si="377"/>
        <v>1.05</v>
      </c>
      <c r="AT762" s="68">
        <f t="shared" si="378"/>
        <v>1.05</v>
      </c>
      <c r="AU762" s="68">
        <f t="shared" si="379"/>
        <v>1.05</v>
      </c>
      <c r="AV762" s="68">
        <f t="shared" si="380"/>
        <v>1.05</v>
      </c>
      <c r="AW762" s="68">
        <f t="shared" si="381"/>
        <v>1.05</v>
      </c>
      <c r="AX762" s="68">
        <f t="shared" ca="1" si="405"/>
        <v>0</v>
      </c>
      <c r="AY762" s="68">
        <v>2018</v>
      </c>
      <c r="AZ762" s="68" t="s">
        <v>2371</v>
      </c>
      <c r="BA762" s="106" t="str">
        <f t="shared" si="372"/>
        <v>MICRO</v>
      </c>
      <c r="BB762" s="178"/>
      <c r="BC762" s="178"/>
      <c r="BD762" s="178"/>
      <c r="BE762" s="178"/>
      <c r="BF762" s="178"/>
      <c r="BG762" s="178"/>
      <c r="BH762" s="178"/>
      <c r="BI762" s="33"/>
      <c r="BK762" s="48">
        <f>$G762/5280*VLOOKUP($AC762,'Cost and Score'!$B$27:$O$40,6,0)</f>
        <v>1.1003787878787879E-2</v>
      </c>
      <c r="BL762" s="48">
        <f>$G762/5280*VLOOKUP($AC762,'Cost and Score'!$B$27:$O$40,7,0)</f>
        <v>2.2007575757575757E-2</v>
      </c>
      <c r="BM762" s="48">
        <f>$G762/5280*VLOOKUP($AC762,'Cost and Score'!$B$27:$O$40,8,0)</f>
        <v>0</v>
      </c>
      <c r="BN762" s="48">
        <f>$G762/5280*VLOOKUP($AC762,'Cost and Score'!$B$27:$O$40,9,0)</f>
        <v>0</v>
      </c>
      <c r="BO762" s="48">
        <f>$G762/5280*VLOOKUP($AC762,'Cost and Score'!$B$27:$O$40,10,0)</f>
        <v>110.03787878787878</v>
      </c>
      <c r="BP762" s="48">
        <f>$G762/5280*VLOOKUP($AC762,'Cost and Score'!$B$27:$O$40,11,0)</f>
        <v>0</v>
      </c>
      <c r="BQ762" s="48">
        <f>$G762/5280*VLOOKUP($AC762,'Cost and Score'!$B$27:$O$40,12,0)</f>
        <v>0</v>
      </c>
      <c r="BR762" s="48">
        <f>$G762/5280*VLOOKUP($AC762,'Cost and Score'!$B$27:$O$40,13,0)</f>
        <v>0</v>
      </c>
      <c r="BS762" s="48">
        <f>$G762/5280*VLOOKUP($AC762,'Cost and Score'!$B$27:$O$40,14,0)</f>
        <v>0</v>
      </c>
      <c r="BT762" s="220">
        <f t="shared" si="373"/>
        <v>0.11003787878787878</v>
      </c>
    </row>
    <row r="763" spans="1:103" s="2" customFormat="1" hidden="1" x14ac:dyDescent="0.25">
      <c r="A763" s="31" t="s">
        <v>2102</v>
      </c>
      <c r="B763" s="226" t="s">
        <v>1547</v>
      </c>
      <c r="C763" s="106" t="s">
        <v>1547</v>
      </c>
      <c r="D763" s="116" t="s">
        <v>2237</v>
      </c>
      <c r="E763" s="106" t="s">
        <v>1548</v>
      </c>
      <c r="F763" s="106" t="s">
        <v>1416</v>
      </c>
      <c r="G763" s="109">
        <v>317</v>
      </c>
      <c r="H763" s="109">
        <f t="shared" si="401"/>
        <v>26</v>
      </c>
      <c r="I763" s="106" t="s">
        <v>2098</v>
      </c>
      <c r="J763" s="106" t="s">
        <v>160</v>
      </c>
      <c r="K763" s="106">
        <f t="shared" si="402"/>
        <v>0</v>
      </c>
      <c r="L763" s="110">
        <v>7</v>
      </c>
      <c r="M763" s="110">
        <v>6</v>
      </c>
      <c r="N763" s="110">
        <v>6</v>
      </c>
      <c r="O763" s="110">
        <v>6</v>
      </c>
      <c r="P763" s="110">
        <v>7</v>
      </c>
      <c r="Q763" s="110">
        <v>7</v>
      </c>
      <c r="R763" s="110">
        <v>7</v>
      </c>
      <c r="S763" s="110">
        <v>7</v>
      </c>
      <c r="T763" s="110">
        <v>7</v>
      </c>
      <c r="U763" s="110">
        <v>7</v>
      </c>
      <c r="V763" s="110"/>
      <c r="W763" s="110"/>
      <c r="X763" s="110"/>
      <c r="Y763" s="106">
        <v>392</v>
      </c>
      <c r="Z763" s="106">
        <f t="shared" si="403"/>
        <v>0</v>
      </c>
      <c r="AA763" s="106" t="s">
        <v>1547</v>
      </c>
      <c r="AB763" s="111">
        <f t="shared" si="404"/>
        <v>3</v>
      </c>
      <c r="AC763" s="106" t="s">
        <v>2425</v>
      </c>
      <c r="AD763" s="107">
        <f t="shared" ref="AD763:AD805" si="406">VLOOKUP(AC763,Cost,2,FALSE)*G763/5280</f>
        <v>1500.9469696969697</v>
      </c>
      <c r="AE763" s="198"/>
      <c r="AF763" s="113">
        <f t="shared" si="387"/>
        <v>0</v>
      </c>
      <c r="AG763" s="85">
        <v>2026</v>
      </c>
      <c r="AH763" s="26" t="str">
        <f t="shared" si="376"/>
        <v/>
      </c>
      <c r="AI763" s="26" t="str">
        <f t="shared" si="392"/>
        <v/>
      </c>
      <c r="AJ763" s="26" t="str">
        <f t="shared" si="396"/>
        <v/>
      </c>
      <c r="AK763" s="26" t="str">
        <f t="shared" si="400"/>
        <v/>
      </c>
      <c r="AL763" s="26" t="str">
        <f t="shared" si="400"/>
        <v>Liquid Road</v>
      </c>
      <c r="AM763" s="26" t="str">
        <f t="shared" si="400"/>
        <v/>
      </c>
      <c r="AN763" s="26" t="str">
        <f t="shared" si="386"/>
        <v>Liquid Road</v>
      </c>
      <c r="AO763" s="26" t="str">
        <f t="shared" si="397"/>
        <v/>
      </c>
      <c r="AP763" s="26" t="str">
        <f t="shared" si="395"/>
        <v/>
      </c>
      <c r="AQ763" s="68">
        <f t="shared" si="390"/>
        <v>8</v>
      </c>
      <c r="AR763" s="68">
        <f t="shared" si="391"/>
        <v>10</v>
      </c>
      <c r="AS763" s="68">
        <f t="shared" si="377"/>
        <v>1.05</v>
      </c>
      <c r="AT763" s="68">
        <f t="shared" si="378"/>
        <v>1.1000000000000001</v>
      </c>
      <c r="AU763" s="68">
        <f t="shared" si="379"/>
        <v>1.1000000000000001</v>
      </c>
      <c r="AV763" s="68">
        <f t="shared" si="380"/>
        <v>1.1000000000000001</v>
      </c>
      <c r="AW763" s="68">
        <f t="shared" si="381"/>
        <v>1.05</v>
      </c>
      <c r="AX763" s="68">
        <f t="shared" ca="1" si="405"/>
        <v>2.2000000000000002</v>
      </c>
      <c r="AY763" s="106">
        <v>2017</v>
      </c>
      <c r="AZ763" s="106" t="s">
        <v>2086</v>
      </c>
      <c r="BA763" s="106" t="str">
        <f t="shared" si="372"/>
        <v/>
      </c>
      <c r="BB763" s="177"/>
      <c r="BC763" s="177"/>
      <c r="BD763" s="177"/>
      <c r="BE763" s="177">
        <v>2</v>
      </c>
      <c r="BF763" s="177"/>
      <c r="BG763" s="177"/>
      <c r="BH763" s="177"/>
      <c r="BI763" s="33"/>
      <c r="BK763" s="48">
        <f>$G763/5280*VLOOKUP($AC763,'Cost and Score'!$B$27:$O$40,6,0)</f>
        <v>6.0037878787878786E-2</v>
      </c>
      <c r="BL763" s="48">
        <f>$G763/5280*VLOOKUP($AC763,'Cost and Score'!$B$27:$O$40,7,0)</f>
        <v>0.96060606060606057</v>
      </c>
      <c r="BM763" s="48">
        <f>$G763/5280*VLOOKUP($AC763,'Cost and Score'!$B$27:$O$40,8,0)</f>
        <v>0</v>
      </c>
      <c r="BN763" s="48">
        <f>$G763/5280*VLOOKUP($AC763,'Cost and Score'!$B$27:$O$40,9,0)</f>
        <v>0</v>
      </c>
      <c r="BO763" s="48">
        <f>$G763/5280*VLOOKUP($AC763,'Cost and Score'!$B$27:$O$40,10,0)</f>
        <v>0</v>
      </c>
      <c r="BP763" s="48">
        <f>$G763/5280*VLOOKUP($AC763,'Cost and Score'!$B$27:$O$40,11,0)</f>
        <v>0</v>
      </c>
      <c r="BQ763" s="48">
        <f>$G763/5280*VLOOKUP($AC763,'Cost and Score'!$B$27:$O$40,12,0)</f>
        <v>0</v>
      </c>
      <c r="BR763" s="48">
        <f>$G763/5280*VLOOKUP($AC763,'Cost and Score'!$B$27:$O$40,13,0)</f>
        <v>0</v>
      </c>
      <c r="BS763" s="48">
        <f>$G763/5280*VLOOKUP($AC763,'Cost and Score'!$B$27:$O$40,14,0)</f>
        <v>0</v>
      </c>
      <c r="BT763" s="220">
        <f t="shared" si="373"/>
        <v>6.0037878787878786E-2</v>
      </c>
      <c r="CF763" s="112"/>
      <c r="CR763" s="112"/>
      <c r="CW763" s="112"/>
      <c r="CX763" s="112"/>
      <c r="CY763" s="112"/>
    </row>
    <row r="764" spans="1:103" s="112" customFormat="1" ht="14.45" customHeight="1" x14ac:dyDescent="0.25">
      <c r="A764" s="37" t="s">
        <v>2108</v>
      </c>
      <c r="B764" s="34" t="s">
        <v>1755</v>
      </c>
      <c r="C764" s="26" t="s">
        <v>1755</v>
      </c>
      <c r="D764" s="26"/>
      <c r="E764" s="26" t="s">
        <v>340</v>
      </c>
      <c r="F764" s="26" t="s">
        <v>138</v>
      </c>
      <c r="G764" s="29">
        <v>7105</v>
      </c>
      <c r="H764" s="29">
        <f t="shared" si="401"/>
        <v>20</v>
      </c>
      <c r="I764" s="26" t="s">
        <v>8</v>
      </c>
      <c r="J764" s="26" t="s">
        <v>125</v>
      </c>
      <c r="K764" s="26">
        <f t="shared" si="402"/>
        <v>0</v>
      </c>
      <c r="L764" s="42">
        <v>6</v>
      </c>
      <c r="M764" s="42">
        <v>7</v>
      </c>
      <c r="N764" s="42">
        <v>8</v>
      </c>
      <c r="O764" s="42">
        <v>6</v>
      </c>
      <c r="P764" s="42">
        <v>6</v>
      </c>
      <c r="Q764" s="42">
        <v>5</v>
      </c>
      <c r="R764" s="42">
        <v>8</v>
      </c>
      <c r="S764" s="42">
        <v>7</v>
      </c>
      <c r="T764" s="42">
        <v>7</v>
      </c>
      <c r="U764" s="42">
        <v>7</v>
      </c>
      <c r="V764" s="42"/>
      <c r="W764" s="42"/>
      <c r="X764" s="42"/>
      <c r="Y764" s="26">
        <v>50</v>
      </c>
      <c r="Z764" s="26">
        <f t="shared" si="403"/>
        <v>0</v>
      </c>
      <c r="AA764" s="26" t="s">
        <v>1755</v>
      </c>
      <c r="AB764" s="111">
        <f t="shared" si="404"/>
        <v>4</v>
      </c>
      <c r="AC764" s="26" t="s">
        <v>2086</v>
      </c>
      <c r="AD764" s="47">
        <f t="shared" si="406"/>
        <v>3364.1098484848485</v>
      </c>
      <c r="AE764" s="140"/>
      <c r="AF764" s="113">
        <f t="shared" si="387"/>
        <v>0</v>
      </c>
      <c r="AG764" s="106">
        <v>2025</v>
      </c>
      <c r="AH764" s="26" t="str">
        <f t="shared" si="376"/>
        <v/>
      </c>
      <c r="AI764" s="26" t="str">
        <f t="shared" si="392"/>
        <v/>
      </c>
      <c r="AJ764" s="26" t="str">
        <f t="shared" si="396"/>
        <v/>
      </c>
      <c r="AK764" s="26" t="str">
        <f t="shared" si="400"/>
        <v>Fog Seal</v>
      </c>
      <c r="AL764" s="26" t="str">
        <f t="shared" si="400"/>
        <v/>
      </c>
      <c r="AM764" s="26" t="str">
        <f t="shared" si="400"/>
        <v/>
      </c>
      <c r="AN764" s="26" t="str">
        <f t="shared" si="386"/>
        <v>Fog Seal</v>
      </c>
      <c r="AO764" s="26" t="str">
        <f t="shared" si="397"/>
        <v/>
      </c>
      <c r="AP764" s="26" t="str">
        <f t="shared" si="395"/>
        <v/>
      </c>
      <c r="AQ764" s="68">
        <f t="shared" si="390"/>
        <v>8</v>
      </c>
      <c r="AR764" s="68">
        <f t="shared" si="391"/>
        <v>2</v>
      </c>
      <c r="AS764" s="68">
        <f t="shared" si="377"/>
        <v>1.1000000000000001</v>
      </c>
      <c r="AT764" s="68">
        <f t="shared" si="378"/>
        <v>1.05</v>
      </c>
      <c r="AU764" s="68">
        <f t="shared" si="379"/>
        <v>1</v>
      </c>
      <c r="AV764" s="68">
        <f t="shared" si="380"/>
        <v>1.1000000000000001</v>
      </c>
      <c r="AW764" s="68">
        <f t="shared" si="381"/>
        <v>1.1000000000000001</v>
      </c>
      <c r="AX764" s="68">
        <f t="shared" ca="1" si="405"/>
        <v>1</v>
      </c>
      <c r="AY764" s="68">
        <v>2019</v>
      </c>
      <c r="AZ764" s="68" t="s">
        <v>2073</v>
      </c>
      <c r="BA764" s="106" t="str">
        <f t="shared" si="372"/>
        <v/>
      </c>
      <c r="BB764" s="178"/>
      <c r="BC764" s="178">
        <v>2</v>
      </c>
      <c r="BD764" s="178"/>
      <c r="BE764" s="178"/>
      <c r="BF764" s="178"/>
      <c r="BG764" s="178"/>
      <c r="BH764" s="178"/>
      <c r="BI764" s="33" t="s">
        <v>2536</v>
      </c>
      <c r="BJ764" s="2"/>
      <c r="BK764" s="48">
        <f>$G764/5280*VLOOKUP($AC764,'Cost and Score'!$B$27:$O$40,6,0)</f>
        <v>0.13456439393939396</v>
      </c>
      <c r="BL764" s="48">
        <f>$G764/5280*VLOOKUP($AC764,'Cost and Score'!$B$27:$O$40,7,0)</f>
        <v>0.26912878787878791</v>
      </c>
      <c r="BM764" s="48">
        <f>$G764/5280*VLOOKUP($AC764,'Cost and Score'!$B$27:$O$40,8,0)</f>
        <v>0</v>
      </c>
      <c r="BN764" s="48">
        <f>$G764/5280*VLOOKUP($AC764,'Cost and Score'!$B$27:$O$40,9,0)</f>
        <v>0</v>
      </c>
      <c r="BO764" s="48">
        <f>$G764/5280*VLOOKUP($AC764,'Cost and Score'!$B$27:$O$40,10,0)</f>
        <v>1345.6439393939395</v>
      </c>
      <c r="BP764" s="48">
        <f>$G764/5280*VLOOKUP($AC764,'Cost and Score'!$B$27:$O$40,11,0)</f>
        <v>0</v>
      </c>
      <c r="BQ764" s="48">
        <f>$G764/5280*VLOOKUP($AC764,'Cost and Score'!$B$27:$O$40,12,0)</f>
        <v>0</v>
      </c>
      <c r="BR764" s="48">
        <f>$G764/5280*VLOOKUP($AC764,'Cost and Score'!$B$27:$O$40,13,0)</f>
        <v>0</v>
      </c>
      <c r="BS764" s="48">
        <f>$G764/5280*VLOOKUP($AC764,'Cost and Score'!$B$27:$O$40,14,0)</f>
        <v>0</v>
      </c>
      <c r="BT764" s="220">
        <f t="shared" si="373"/>
        <v>1.3456439393939394</v>
      </c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R764" s="2"/>
      <c r="CS764" s="2"/>
      <c r="CT764" s="2"/>
      <c r="CU764" s="2"/>
    </row>
    <row r="765" spans="1:103" s="2" customFormat="1" hidden="1" x14ac:dyDescent="0.25">
      <c r="A765" s="31" t="s">
        <v>2102</v>
      </c>
      <c r="B765" s="226" t="s">
        <v>2332</v>
      </c>
      <c r="C765" s="106" t="s">
        <v>2332</v>
      </c>
      <c r="D765" s="116" t="s">
        <v>2299</v>
      </c>
      <c r="E765" s="106" t="s">
        <v>4</v>
      </c>
      <c r="F765" s="106" t="s">
        <v>1405</v>
      </c>
      <c r="G765" s="109">
        <v>370</v>
      </c>
      <c r="H765" s="109">
        <f t="shared" si="401"/>
        <v>26</v>
      </c>
      <c r="I765" s="106" t="s">
        <v>2098</v>
      </c>
      <c r="J765" s="106" t="s">
        <v>101</v>
      </c>
      <c r="K765" s="106">
        <v>0</v>
      </c>
      <c r="L765" s="110">
        <v>7</v>
      </c>
      <c r="M765" s="110">
        <v>8</v>
      </c>
      <c r="N765" s="110">
        <v>8</v>
      </c>
      <c r="O765" s="110">
        <v>8</v>
      </c>
      <c r="P765" s="110">
        <v>9</v>
      </c>
      <c r="Q765" s="110">
        <v>8</v>
      </c>
      <c r="R765" s="110">
        <v>8</v>
      </c>
      <c r="S765" s="110">
        <v>7</v>
      </c>
      <c r="T765" s="110">
        <v>6</v>
      </c>
      <c r="U765" s="110">
        <v>6</v>
      </c>
      <c r="V765" s="110"/>
      <c r="W765" s="110"/>
      <c r="X765" s="110"/>
      <c r="Y765" s="106">
        <v>50</v>
      </c>
      <c r="Z765" s="106">
        <f t="shared" si="403"/>
        <v>0</v>
      </c>
      <c r="AA765" s="106" t="s">
        <v>1549</v>
      </c>
      <c r="AB765" s="111">
        <f t="shared" si="404"/>
        <v>1</v>
      </c>
      <c r="AC765" s="85" t="s">
        <v>2371</v>
      </c>
      <c r="AD765" s="107">
        <f t="shared" si="406"/>
        <v>5606.060606060606</v>
      </c>
      <c r="AE765" s="140">
        <v>1</v>
      </c>
      <c r="AF765" s="113">
        <f t="shared" si="387"/>
        <v>5606.060606060606</v>
      </c>
      <c r="AG765" s="106">
        <v>2024</v>
      </c>
      <c r="AH765" s="26" t="str">
        <f t="shared" si="376"/>
        <v/>
      </c>
      <c r="AI765" s="26" t="str">
        <f t="shared" si="392"/>
        <v/>
      </c>
      <c r="AJ765" s="26" t="str">
        <f t="shared" si="396"/>
        <v>Microsurface double</v>
      </c>
      <c r="AK765" s="26" t="str">
        <f t="shared" si="400"/>
        <v/>
      </c>
      <c r="AL765" s="26" t="str">
        <f t="shared" si="400"/>
        <v/>
      </c>
      <c r="AM765" s="26" t="str">
        <f t="shared" si="400"/>
        <v/>
      </c>
      <c r="AN765" s="26" t="str">
        <f t="shared" si="386"/>
        <v>Microsurface double</v>
      </c>
      <c r="AO765" s="26" t="str">
        <f t="shared" si="397"/>
        <v/>
      </c>
      <c r="AP765" s="26" t="str">
        <f t="shared" si="395"/>
        <v/>
      </c>
      <c r="AQ765" s="68">
        <f t="shared" si="390"/>
        <v>12</v>
      </c>
      <c r="AR765" s="68">
        <f t="shared" si="391"/>
        <v>10</v>
      </c>
      <c r="AS765" s="68">
        <f t="shared" si="377"/>
        <v>1.05</v>
      </c>
      <c r="AT765" s="68">
        <f t="shared" si="378"/>
        <v>1</v>
      </c>
      <c r="AU765" s="68">
        <f t="shared" si="379"/>
        <v>1</v>
      </c>
      <c r="AV765" s="68">
        <f t="shared" si="380"/>
        <v>1</v>
      </c>
      <c r="AW765" s="68">
        <f t="shared" si="381"/>
        <v>1</v>
      </c>
      <c r="AX765" s="68">
        <f t="shared" ca="1" si="405"/>
        <v>0</v>
      </c>
      <c r="AY765" s="106">
        <v>2017</v>
      </c>
      <c r="AZ765" s="68" t="s">
        <v>2425</v>
      </c>
      <c r="BA765" s="106" t="str">
        <f t="shared" si="372"/>
        <v/>
      </c>
      <c r="BB765" s="178"/>
      <c r="BC765" s="178"/>
      <c r="BD765" s="178"/>
      <c r="BE765" s="178"/>
      <c r="BF765" s="178"/>
      <c r="BG765" s="178"/>
      <c r="BH765" s="178">
        <v>5</v>
      </c>
      <c r="BI765" s="33" t="s">
        <v>2623</v>
      </c>
      <c r="BK765" s="48">
        <f>$G765/5280*VLOOKUP($AC765,'Cost and Score'!$B$27:$O$40,6,0)</f>
        <v>3.5037878787878785E-2</v>
      </c>
      <c r="BL765" s="48">
        <f>$G765/5280*VLOOKUP($AC765,'Cost and Score'!$B$27:$O$40,7,0)</f>
        <v>0</v>
      </c>
      <c r="BM765" s="48">
        <f>$G765/5280*VLOOKUP($AC765,'Cost and Score'!$B$27:$O$40,8,0)</f>
        <v>0</v>
      </c>
      <c r="BN765" s="48">
        <f>$G765/5280*VLOOKUP($AC765,'Cost and Score'!$B$27:$O$40,9,0)</f>
        <v>0</v>
      </c>
      <c r="BO765" s="48">
        <f>$G765/5280*VLOOKUP($AC765,'Cost and Score'!$B$27:$O$40,10,0)</f>
        <v>0</v>
      </c>
      <c r="BP765" s="48">
        <f>$G765/5280*VLOOKUP($AC765,'Cost and Score'!$B$27:$O$40,11,0)</f>
        <v>0</v>
      </c>
      <c r="BQ765" s="48">
        <f>$G765/5280*VLOOKUP($AC765,'Cost and Score'!$B$27:$O$40,12,0)</f>
        <v>0</v>
      </c>
      <c r="BR765" s="48">
        <f>$G765/5280*VLOOKUP($AC765,'Cost and Score'!$B$27:$O$40,13,0)</f>
        <v>0</v>
      </c>
      <c r="BS765" s="48">
        <f>$G765/5280*VLOOKUP($AC765,'Cost and Score'!$B$27:$O$40,14,0)</f>
        <v>0</v>
      </c>
      <c r="BT765" s="220">
        <f t="shared" si="373"/>
        <v>7.0075757575757569E-2</v>
      </c>
      <c r="CF765" s="112"/>
      <c r="CN765" s="112"/>
      <c r="CO765" s="112"/>
      <c r="CP765" s="112"/>
      <c r="CQ765" s="112"/>
      <c r="CR765" s="112"/>
      <c r="CV765" s="112"/>
    </row>
    <row r="766" spans="1:103" s="112" customFormat="1" hidden="1" x14ac:dyDescent="0.25">
      <c r="A766" s="31" t="s">
        <v>2102</v>
      </c>
      <c r="B766" s="224" t="s">
        <v>1551</v>
      </c>
      <c r="C766" s="26" t="s">
        <v>1551</v>
      </c>
      <c r="D766" s="119" t="s">
        <v>2244</v>
      </c>
      <c r="E766" s="82" t="s">
        <v>1458</v>
      </c>
      <c r="F766" s="82" t="s">
        <v>1529</v>
      </c>
      <c r="G766" s="29">
        <v>1531</v>
      </c>
      <c r="H766" s="29">
        <f t="shared" si="401"/>
        <v>26</v>
      </c>
      <c r="I766" s="26" t="s">
        <v>2098</v>
      </c>
      <c r="J766" s="26" t="s">
        <v>160</v>
      </c>
      <c r="K766" s="26">
        <f>VLOOKUP(J766,TOWNSHIPS,2,FALSE)</f>
        <v>0</v>
      </c>
      <c r="L766" s="42">
        <v>7</v>
      </c>
      <c r="M766" s="42">
        <v>8</v>
      </c>
      <c r="N766" s="42">
        <v>8</v>
      </c>
      <c r="O766" s="83">
        <v>8</v>
      </c>
      <c r="P766" s="83">
        <v>8</v>
      </c>
      <c r="Q766" s="83">
        <v>7</v>
      </c>
      <c r="R766" s="83">
        <v>7</v>
      </c>
      <c r="S766" s="83">
        <v>7</v>
      </c>
      <c r="T766" s="83">
        <v>7</v>
      </c>
      <c r="U766" s="83">
        <v>7</v>
      </c>
      <c r="V766" s="42"/>
      <c r="W766" s="42"/>
      <c r="X766" s="42"/>
      <c r="Y766" s="26">
        <v>302</v>
      </c>
      <c r="Z766" s="26">
        <f t="shared" si="403"/>
        <v>0</v>
      </c>
      <c r="AA766" s="82" t="s">
        <v>1551</v>
      </c>
      <c r="AB766" s="111">
        <f t="shared" si="404"/>
        <v>2</v>
      </c>
      <c r="AC766" s="85" t="s">
        <v>2371</v>
      </c>
      <c r="AD766" s="84">
        <f t="shared" si="406"/>
        <v>23196.969696969696</v>
      </c>
      <c r="AE766" s="140"/>
      <c r="AF766" s="113">
        <f t="shared" si="387"/>
        <v>0</v>
      </c>
      <c r="AG766" s="85">
        <v>2028</v>
      </c>
      <c r="AH766" s="26" t="str">
        <f t="shared" si="376"/>
        <v/>
      </c>
      <c r="AI766" s="26" t="str">
        <f t="shared" si="392"/>
        <v/>
      </c>
      <c r="AJ766" s="26" t="str">
        <f t="shared" si="396"/>
        <v/>
      </c>
      <c r="AK766" s="26" t="str">
        <f t="shared" si="400"/>
        <v/>
      </c>
      <c r="AL766" s="26" t="str">
        <f t="shared" si="400"/>
        <v/>
      </c>
      <c r="AM766" s="26" t="str">
        <f t="shared" si="400"/>
        <v/>
      </c>
      <c r="AN766" s="26" t="str">
        <f t="shared" si="386"/>
        <v>Microsurface double</v>
      </c>
      <c r="AO766" s="26" t="str">
        <f t="shared" si="397"/>
        <v/>
      </c>
      <c r="AP766" s="26" t="str">
        <f t="shared" si="395"/>
        <v/>
      </c>
      <c r="AQ766" s="68">
        <f t="shared" si="390"/>
        <v>12</v>
      </c>
      <c r="AR766" s="68">
        <f t="shared" si="391"/>
        <v>10</v>
      </c>
      <c r="AS766" s="68">
        <f t="shared" si="377"/>
        <v>1.05</v>
      </c>
      <c r="AT766" s="68">
        <f t="shared" si="378"/>
        <v>1</v>
      </c>
      <c r="AU766" s="68">
        <f t="shared" si="379"/>
        <v>1</v>
      </c>
      <c r="AV766" s="68">
        <f t="shared" si="380"/>
        <v>1</v>
      </c>
      <c r="AW766" s="68">
        <f t="shared" si="381"/>
        <v>1</v>
      </c>
      <c r="AX766" s="68">
        <f t="shared" ca="1" si="405"/>
        <v>4</v>
      </c>
      <c r="AY766" s="68">
        <v>2020</v>
      </c>
      <c r="AZ766" s="68" t="s">
        <v>2075</v>
      </c>
      <c r="BA766" s="106" t="str">
        <f t="shared" si="372"/>
        <v/>
      </c>
      <c r="BB766" s="178"/>
      <c r="BC766" s="178"/>
      <c r="BD766" s="178"/>
      <c r="BE766" s="178"/>
      <c r="BF766" s="178"/>
      <c r="BG766" s="178"/>
      <c r="BH766" s="178"/>
      <c r="BI766" s="33"/>
      <c r="BJ766" s="2"/>
      <c r="BK766" s="48">
        <f>$G766/5280*VLOOKUP($AC766,'Cost and Score'!$B$27:$O$40,6,0)</f>
        <v>0.14498106060606061</v>
      </c>
      <c r="BL766" s="48">
        <f>$G766/5280*VLOOKUP($AC766,'Cost and Score'!$B$27:$O$40,7,0)</f>
        <v>0</v>
      </c>
      <c r="BM766" s="48">
        <f>$G766/5280*VLOOKUP($AC766,'Cost and Score'!$B$27:$O$40,8,0)</f>
        <v>0</v>
      </c>
      <c r="BN766" s="48">
        <f>$G766/5280*VLOOKUP($AC766,'Cost and Score'!$B$27:$O$40,9,0)</f>
        <v>0</v>
      </c>
      <c r="BO766" s="48">
        <f>$G766/5280*VLOOKUP($AC766,'Cost and Score'!$B$27:$O$40,10,0)</f>
        <v>0</v>
      </c>
      <c r="BP766" s="48">
        <f>$G766/5280*VLOOKUP($AC766,'Cost and Score'!$B$27:$O$40,11,0)</f>
        <v>0</v>
      </c>
      <c r="BQ766" s="48">
        <f>$G766/5280*VLOOKUP($AC766,'Cost and Score'!$B$27:$O$40,12,0)</f>
        <v>0</v>
      </c>
      <c r="BR766" s="48">
        <f>$G766/5280*VLOOKUP($AC766,'Cost and Score'!$B$27:$O$40,13,0)</f>
        <v>0</v>
      </c>
      <c r="BS766" s="48">
        <f>$G766/5280*VLOOKUP($AC766,'Cost and Score'!$B$27:$O$40,14,0)</f>
        <v>0</v>
      </c>
      <c r="BT766" s="220">
        <f t="shared" si="373"/>
        <v>0.28996212121212123</v>
      </c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N766" s="2"/>
      <c r="CO766" s="2"/>
      <c r="CP766" s="2"/>
      <c r="CQ766" s="2"/>
      <c r="CR766" s="2"/>
      <c r="CV766" s="2"/>
    </row>
    <row r="767" spans="1:103" s="2" customFormat="1" ht="14.45" hidden="1" customHeight="1" x14ac:dyDescent="0.25">
      <c r="A767" s="31" t="s">
        <v>2102</v>
      </c>
      <c r="B767" s="120" t="s">
        <v>1552</v>
      </c>
      <c r="C767" s="106" t="s">
        <v>1552</v>
      </c>
      <c r="D767" s="116" t="s">
        <v>2232</v>
      </c>
      <c r="E767" s="106" t="s">
        <v>4</v>
      </c>
      <c r="F767" s="106" t="s">
        <v>1553</v>
      </c>
      <c r="G767" s="109">
        <v>422</v>
      </c>
      <c r="H767" s="109">
        <f t="shared" si="401"/>
        <v>26</v>
      </c>
      <c r="I767" s="106" t="s">
        <v>2098</v>
      </c>
      <c r="J767" s="106" t="s">
        <v>101</v>
      </c>
      <c r="K767" s="106">
        <v>0</v>
      </c>
      <c r="L767" s="110">
        <v>7</v>
      </c>
      <c r="M767" s="110">
        <v>7</v>
      </c>
      <c r="N767" s="110">
        <v>7</v>
      </c>
      <c r="O767" s="110">
        <v>7</v>
      </c>
      <c r="P767" s="110">
        <v>7</v>
      </c>
      <c r="Q767" s="110">
        <v>7</v>
      </c>
      <c r="R767" s="110">
        <v>7</v>
      </c>
      <c r="S767" s="110">
        <v>7</v>
      </c>
      <c r="T767" s="110">
        <v>7</v>
      </c>
      <c r="U767" s="110">
        <v>7</v>
      </c>
      <c r="V767" s="110"/>
      <c r="W767" s="110"/>
      <c r="X767" s="110"/>
      <c r="Y767" s="106">
        <v>50</v>
      </c>
      <c r="Z767" s="106">
        <f t="shared" si="403"/>
        <v>0</v>
      </c>
      <c r="AA767" s="106" t="s">
        <v>1552</v>
      </c>
      <c r="AB767" s="111">
        <f t="shared" si="404"/>
        <v>3</v>
      </c>
      <c r="AC767" s="85" t="s">
        <v>13</v>
      </c>
      <c r="AD767" s="107">
        <f t="shared" si="406"/>
        <v>1678.409090909091</v>
      </c>
      <c r="AE767" s="140"/>
      <c r="AF767" s="113">
        <f t="shared" si="387"/>
        <v>0</v>
      </c>
      <c r="AG767" s="85">
        <v>2024</v>
      </c>
      <c r="AH767" s="26" t="str">
        <f t="shared" si="376"/>
        <v/>
      </c>
      <c r="AI767" s="26" t="str">
        <f t="shared" si="392"/>
        <v/>
      </c>
      <c r="AJ767" s="26" t="str">
        <f t="shared" si="396"/>
        <v>Chip Seal and Fog</v>
      </c>
      <c r="AK767" s="26" t="str">
        <f t="shared" si="400"/>
        <v/>
      </c>
      <c r="AL767" s="26" t="str">
        <f t="shared" si="400"/>
        <v/>
      </c>
      <c r="AM767" s="26" t="str">
        <f t="shared" si="400"/>
        <v/>
      </c>
      <c r="AN767" s="26" t="str">
        <f t="shared" si="386"/>
        <v>Chip Seal and Fog</v>
      </c>
      <c r="AO767" s="26" t="str">
        <f t="shared" si="397"/>
        <v/>
      </c>
      <c r="AP767" s="26" t="str">
        <f t="shared" si="395"/>
        <v/>
      </c>
      <c r="AQ767" s="68">
        <f t="shared" si="390"/>
        <v>10</v>
      </c>
      <c r="AR767" s="68">
        <f t="shared" si="391"/>
        <v>6</v>
      </c>
      <c r="AS767" s="68">
        <f t="shared" si="377"/>
        <v>1.05</v>
      </c>
      <c r="AT767" s="68">
        <f t="shared" si="378"/>
        <v>1.05</v>
      </c>
      <c r="AU767" s="68">
        <f t="shared" si="379"/>
        <v>1.05</v>
      </c>
      <c r="AV767" s="68">
        <f t="shared" si="380"/>
        <v>1.05</v>
      </c>
      <c r="AW767" s="68">
        <f t="shared" si="381"/>
        <v>1.05</v>
      </c>
      <c r="AX767" s="68">
        <f t="shared" ca="1" si="405"/>
        <v>0</v>
      </c>
      <c r="AY767" s="106">
        <v>2018</v>
      </c>
      <c r="AZ767" s="106" t="s">
        <v>2075</v>
      </c>
      <c r="BA767" s="106" t="str">
        <f t="shared" si="372"/>
        <v>CRACK</v>
      </c>
      <c r="BB767" s="177"/>
      <c r="BC767" s="177"/>
      <c r="BD767" s="177"/>
      <c r="BE767" s="177"/>
      <c r="BF767" s="177"/>
      <c r="BG767" s="177"/>
      <c r="BH767" s="177"/>
      <c r="BI767" s="33"/>
      <c r="BK767" s="48">
        <f>$G767/5280*VLOOKUP($AC767,'Cost and Score'!$B$27:$O$40,6,0)</f>
        <v>1.5984848484848487E-2</v>
      </c>
      <c r="BL767" s="48">
        <f>$G767/5280*VLOOKUP($AC767,'Cost and Score'!$B$27:$O$40,7,0)</f>
        <v>1.7583333333333333</v>
      </c>
      <c r="BM767" s="48">
        <f>$G767/5280*VLOOKUP($AC767,'Cost and Score'!$B$27:$O$40,8,0)</f>
        <v>0</v>
      </c>
      <c r="BN767" s="48">
        <f>$G767/5280*VLOOKUP($AC767,'Cost and Score'!$B$27:$O$40,9,0)</f>
        <v>359.65909090909093</v>
      </c>
      <c r="BO767" s="48">
        <f>$G767/5280*VLOOKUP($AC767,'Cost and Score'!$B$27:$O$40,10,0)</f>
        <v>79.924242424242422</v>
      </c>
      <c r="BP767" s="48">
        <f>$G767/5280*VLOOKUP($AC767,'Cost and Score'!$B$27:$O$40,11,0)</f>
        <v>0</v>
      </c>
      <c r="BQ767" s="48">
        <f>$G767/5280*VLOOKUP($AC767,'Cost and Score'!$B$27:$O$40,12,0)</f>
        <v>7.9924242424242422</v>
      </c>
      <c r="BR767" s="48">
        <f>$G767/5280*VLOOKUP($AC767,'Cost and Score'!$B$27:$O$40,13,0)</f>
        <v>9.5909090909090917</v>
      </c>
      <c r="BS767" s="48">
        <f>$G767/5280*VLOOKUP($AC767,'Cost and Score'!$B$27:$O$40,14,0)</f>
        <v>0</v>
      </c>
      <c r="BT767" s="220">
        <f t="shared" si="373"/>
        <v>7.9924242424242425E-2</v>
      </c>
      <c r="CF767" s="112"/>
      <c r="CN767" s="112"/>
      <c r="CO767" s="112"/>
      <c r="CP767" s="112"/>
      <c r="CQ767" s="112"/>
      <c r="CR767" s="112"/>
      <c r="CV767" s="112"/>
      <c r="CW767" s="112"/>
      <c r="CX767" s="112"/>
      <c r="CY767" s="112"/>
    </row>
    <row r="768" spans="1:103" s="112" customFormat="1" ht="14.45" hidden="1" customHeight="1" x14ac:dyDescent="0.25">
      <c r="A768" s="31" t="s">
        <v>2102</v>
      </c>
      <c r="B768" s="224" t="s">
        <v>1554</v>
      </c>
      <c r="C768" s="26" t="s">
        <v>1554</v>
      </c>
      <c r="D768" s="36" t="s">
        <v>2235</v>
      </c>
      <c r="E768" s="26" t="s">
        <v>1512</v>
      </c>
      <c r="F768" s="26" t="s">
        <v>1555</v>
      </c>
      <c r="G768" s="29">
        <v>264</v>
      </c>
      <c r="H768" s="29">
        <f t="shared" si="401"/>
        <v>26</v>
      </c>
      <c r="I768" s="26" t="s">
        <v>2098</v>
      </c>
      <c r="J768" s="26" t="s">
        <v>160</v>
      </c>
      <c r="K768" s="26">
        <f>VLOOKUP(J768,TOWNSHIPS,2,FALSE)</f>
        <v>0</v>
      </c>
      <c r="L768" s="42">
        <v>5</v>
      </c>
      <c r="M768" s="42">
        <v>5</v>
      </c>
      <c r="N768" s="42">
        <v>10</v>
      </c>
      <c r="O768" s="42">
        <v>9</v>
      </c>
      <c r="P768" s="42">
        <v>8</v>
      </c>
      <c r="Q768" s="42">
        <v>7</v>
      </c>
      <c r="R768" s="42">
        <v>7</v>
      </c>
      <c r="S768" s="42">
        <v>7</v>
      </c>
      <c r="T768" s="42">
        <v>7</v>
      </c>
      <c r="U768" s="42">
        <v>7</v>
      </c>
      <c r="V768" s="42"/>
      <c r="W768" s="42"/>
      <c r="X768" s="42"/>
      <c r="Y768" s="26">
        <v>629</v>
      </c>
      <c r="Z768" s="26">
        <f t="shared" si="403"/>
        <v>0.5</v>
      </c>
      <c r="AA768" s="26" t="s">
        <v>1605</v>
      </c>
      <c r="AB768" s="111">
        <f t="shared" si="404"/>
        <v>2.5</v>
      </c>
      <c r="AC768" s="85" t="s">
        <v>2425</v>
      </c>
      <c r="AD768" s="47">
        <f t="shared" si="406"/>
        <v>1250</v>
      </c>
      <c r="AE768" s="140"/>
      <c r="AF768" s="113">
        <f t="shared" si="387"/>
        <v>0</v>
      </c>
      <c r="AG768" s="85">
        <v>2026</v>
      </c>
      <c r="AH768" s="26" t="str">
        <f t="shared" si="376"/>
        <v/>
      </c>
      <c r="AI768" s="26" t="str">
        <f t="shared" si="392"/>
        <v/>
      </c>
      <c r="AJ768" s="26" t="str">
        <f t="shared" si="396"/>
        <v/>
      </c>
      <c r="AK768" s="26" t="str">
        <f t="shared" ref="AK768:AM787" si="407">IF($AG768=AK$1,VLOOKUP($AC768,RSL,3,FALSE),"")</f>
        <v/>
      </c>
      <c r="AL768" s="26" t="str">
        <f t="shared" si="407"/>
        <v>Liquid Road</v>
      </c>
      <c r="AM768" s="26" t="str">
        <f t="shared" si="407"/>
        <v/>
      </c>
      <c r="AN768" s="26" t="str">
        <f t="shared" si="386"/>
        <v>Liquid Road</v>
      </c>
      <c r="AO768" s="26" t="str">
        <f t="shared" si="397"/>
        <v/>
      </c>
      <c r="AP768" s="26" t="str">
        <f t="shared" si="395"/>
        <v/>
      </c>
      <c r="AQ768" s="68">
        <f t="shared" si="390"/>
        <v>14</v>
      </c>
      <c r="AR768" s="68">
        <f t="shared" si="391"/>
        <v>10</v>
      </c>
      <c r="AS768" s="68">
        <f t="shared" si="377"/>
        <v>1.25</v>
      </c>
      <c r="AT768" s="68">
        <f t="shared" si="378"/>
        <v>1.25</v>
      </c>
      <c r="AU768" s="68">
        <f t="shared" si="379"/>
        <v>1</v>
      </c>
      <c r="AV768" s="68">
        <f t="shared" si="380"/>
        <v>1</v>
      </c>
      <c r="AW768" s="68">
        <f t="shared" si="381"/>
        <v>1</v>
      </c>
      <c r="AX768" s="68">
        <f t="shared" ca="1" si="405"/>
        <v>2</v>
      </c>
      <c r="AY768" s="68">
        <v>2016</v>
      </c>
      <c r="AZ768" s="68" t="s">
        <v>2371</v>
      </c>
      <c r="BA768" s="106" t="str">
        <f t="shared" si="372"/>
        <v/>
      </c>
      <c r="BB768" s="178"/>
      <c r="BC768" s="178"/>
      <c r="BD768" s="178">
        <v>1</v>
      </c>
      <c r="BE768" s="178"/>
      <c r="BF768" s="178"/>
      <c r="BG768" s="178"/>
      <c r="BH768" s="178"/>
      <c r="BI768" s="33"/>
      <c r="BJ768" s="2"/>
      <c r="BK768" s="48">
        <f>$G768/5280*VLOOKUP($AC768,'Cost and Score'!$B$27:$O$40,6,0)</f>
        <v>0.05</v>
      </c>
      <c r="BL768" s="48">
        <f>$G768/5280*VLOOKUP($AC768,'Cost and Score'!$B$27:$O$40,7,0)</f>
        <v>0.8</v>
      </c>
      <c r="BM768" s="48">
        <f>$G768/5280*VLOOKUP($AC768,'Cost and Score'!$B$27:$O$40,8,0)</f>
        <v>0</v>
      </c>
      <c r="BN768" s="48">
        <f>$G768/5280*VLOOKUP($AC768,'Cost and Score'!$B$27:$O$40,9,0)</f>
        <v>0</v>
      </c>
      <c r="BO768" s="48">
        <f>$G768/5280*VLOOKUP($AC768,'Cost and Score'!$B$27:$O$40,10,0)</f>
        <v>0</v>
      </c>
      <c r="BP768" s="48">
        <f>$G768/5280*VLOOKUP($AC768,'Cost and Score'!$B$27:$O$40,11,0)</f>
        <v>0</v>
      </c>
      <c r="BQ768" s="48">
        <f>$G768/5280*VLOOKUP($AC768,'Cost and Score'!$B$27:$O$40,12,0)</f>
        <v>0</v>
      </c>
      <c r="BR768" s="48">
        <f>$G768/5280*VLOOKUP($AC768,'Cost and Score'!$B$27:$O$40,13,0)</f>
        <v>0</v>
      </c>
      <c r="BS768" s="48">
        <f>$G768/5280*VLOOKUP($AC768,'Cost and Score'!$B$27:$O$40,14,0)</f>
        <v>0</v>
      </c>
      <c r="BT768" s="220">
        <f t="shared" si="373"/>
        <v>0.05</v>
      </c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N768" s="2"/>
      <c r="CO768" s="2"/>
      <c r="CP768" s="2"/>
      <c r="CQ768" s="2"/>
      <c r="CR768" s="2"/>
      <c r="CV768" s="2"/>
      <c r="CW768" s="2"/>
      <c r="CX768" s="2"/>
      <c r="CY768" s="2"/>
    </row>
    <row r="769" spans="1:103" s="2" customFormat="1" ht="14.45" hidden="1" customHeight="1" x14ac:dyDescent="0.25">
      <c r="A769" s="31" t="s">
        <v>2102</v>
      </c>
      <c r="B769" s="224" t="s">
        <v>1556</v>
      </c>
      <c r="C769" s="26" t="s">
        <v>1556</v>
      </c>
      <c r="D769" s="36" t="s">
        <v>2283</v>
      </c>
      <c r="E769" s="26" t="s">
        <v>1458</v>
      </c>
      <c r="F769" s="26" t="s">
        <v>1498</v>
      </c>
      <c r="G769" s="29">
        <v>317</v>
      </c>
      <c r="H769" s="29">
        <f t="shared" si="401"/>
        <v>26</v>
      </c>
      <c r="I769" s="26" t="s">
        <v>2098</v>
      </c>
      <c r="J769" s="26" t="s">
        <v>160</v>
      </c>
      <c r="K769" s="26">
        <f>VLOOKUP(J769,TOWNSHIPS,2,FALSE)</f>
        <v>0</v>
      </c>
      <c r="L769" s="42">
        <v>7</v>
      </c>
      <c r="M769" s="42">
        <v>5</v>
      </c>
      <c r="N769" s="42">
        <v>4</v>
      </c>
      <c r="O769" s="42">
        <v>8</v>
      </c>
      <c r="P769" s="42">
        <v>8</v>
      </c>
      <c r="Q769" s="42">
        <v>7</v>
      </c>
      <c r="R769" s="42">
        <v>7</v>
      </c>
      <c r="S769" s="42">
        <v>7</v>
      </c>
      <c r="T769" s="42">
        <v>7</v>
      </c>
      <c r="U769" s="42">
        <v>7</v>
      </c>
      <c r="V769" s="42"/>
      <c r="W769" s="42"/>
      <c r="X769" s="42"/>
      <c r="Y769" s="26">
        <v>50</v>
      </c>
      <c r="Z769" s="26">
        <f t="shared" si="403"/>
        <v>0</v>
      </c>
      <c r="AA769" s="26" t="s">
        <v>1556</v>
      </c>
      <c r="AB769" s="111">
        <f t="shared" si="404"/>
        <v>2</v>
      </c>
      <c r="AC769" s="85" t="s">
        <v>2489</v>
      </c>
      <c r="AD769" s="47">
        <f t="shared" si="406"/>
        <v>1500.9469696969697</v>
      </c>
      <c r="AE769" s="140"/>
      <c r="AF769" s="113">
        <f t="shared" si="387"/>
        <v>0</v>
      </c>
      <c r="AG769" s="85">
        <v>2026</v>
      </c>
      <c r="AH769" s="26" t="str">
        <f t="shared" si="376"/>
        <v/>
      </c>
      <c r="AI769" s="26" t="str">
        <f t="shared" si="392"/>
        <v/>
      </c>
      <c r="AJ769" s="26" t="str">
        <f t="shared" si="396"/>
        <v/>
      </c>
      <c r="AK769" s="26" t="str">
        <f t="shared" si="407"/>
        <v/>
      </c>
      <c r="AL769" s="26" t="str">
        <f t="shared" si="407"/>
        <v>Liquid Road</v>
      </c>
      <c r="AM769" s="26" t="str">
        <f t="shared" si="407"/>
        <v/>
      </c>
      <c r="AN769" s="26" t="str">
        <f t="shared" si="386"/>
        <v>Liquid Road</v>
      </c>
      <c r="AO769" s="26" t="str">
        <f t="shared" si="397"/>
        <v/>
      </c>
      <c r="AP769" s="26" t="str">
        <f t="shared" si="395"/>
        <v/>
      </c>
      <c r="AQ769" s="68">
        <f t="shared" si="390"/>
        <v>12</v>
      </c>
      <c r="AR769" s="68">
        <f t="shared" si="391"/>
        <v>10</v>
      </c>
      <c r="AS769" s="68">
        <f t="shared" si="377"/>
        <v>1.05</v>
      </c>
      <c r="AT769" s="68">
        <f t="shared" si="378"/>
        <v>1.25</v>
      </c>
      <c r="AU769" s="68">
        <f t="shared" si="379"/>
        <v>1.5</v>
      </c>
      <c r="AV769" s="68">
        <f t="shared" si="380"/>
        <v>1</v>
      </c>
      <c r="AW769" s="68">
        <f t="shared" si="381"/>
        <v>1</v>
      </c>
      <c r="AX769" s="68">
        <f t="shared" ca="1" si="405"/>
        <v>3</v>
      </c>
      <c r="AY769" s="68">
        <v>2016</v>
      </c>
      <c r="AZ769" s="68" t="s">
        <v>751</v>
      </c>
      <c r="BA769" s="106" t="str">
        <f t="shared" si="372"/>
        <v/>
      </c>
      <c r="BB769" s="178"/>
      <c r="BC769" s="178"/>
      <c r="BD769" s="178"/>
      <c r="BE769" s="178"/>
      <c r="BF769" s="178"/>
      <c r="BG769" s="178">
        <v>4</v>
      </c>
      <c r="BH769" s="178"/>
      <c r="BI769" s="33"/>
      <c r="BK769" s="48">
        <f>$G769/5280*VLOOKUP($AC769,'Cost and Score'!$B$27:$O$40,6,0)</f>
        <v>6.0037878787878786E-2</v>
      </c>
      <c r="BL769" s="48">
        <f>$G769/5280*VLOOKUP($AC769,'Cost and Score'!$B$27:$O$40,7,0)</f>
        <v>0.96060606060606057</v>
      </c>
      <c r="BM769" s="48">
        <f>$G769/5280*VLOOKUP($AC769,'Cost and Score'!$B$27:$O$40,8,0)</f>
        <v>0</v>
      </c>
      <c r="BN769" s="48">
        <f>$G769/5280*VLOOKUP($AC769,'Cost and Score'!$B$27:$O$40,9,0)</f>
        <v>0</v>
      </c>
      <c r="BO769" s="48">
        <f>$G769/5280*VLOOKUP($AC769,'Cost and Score'!$B$27:$O$40,10,0)</f>
        <v>0</v>
      </c>
      <c r="BP769" s="48">
        <f>$G769/5280*VLOOKUP($AC769,'Cost and Score'!$B$27:$O$40,11,0)</f>
        <v>0</v>
      </c>
      <c r="BQ769" s="48">
        <f>$G769/5280*VLOOKUP($AC769,'Cost and Score'!$B$27:$O$40,12,0)</f>
        <v>0</v>
      </c>
      <c r="BR769" s="48">
        <f>$G769/5280*VLOOKUP($AC769,'Cost and Score'!$B$27:$O$40,13,0)</f>
        <v>0</v>
      </c>
      <c r="BS769" s="48">
        <f>$G769/5280*VLOOKUP($AC769,'Cost and Score'!$B$27:$O$40,14,0)</f>
        <v>0</v>
      </c>
      <c r="BT769" s="220">
        <f t="shared" si="373"/>
        <v>6.0037878787878786E-2</v>
      </c>
      <c r="CN769" s="112"/>
      <c r="CO769" s="112"/>
      <c r="CP769" s="112"/>
      <c r="CQ769" s="112"/>
      <c r="CV769" s="112"/>
    </row>
    <row r="770" spans="1:103" s="2" customFormat="1" ht="14.45" hidden="1" customHeight="1" x14ac:dyDescent="0.25">
      <c r="A770" s="31" t="s">
        <v>2102</v>
      </c>
      <c r="B770" s="224" t="s">
        <v>1557</v>
      </c>
      <c r="C770" s="26" t="s">
        <v>1557</v>
      </c>
      <c r="D770" s="36" t="s">
        <v>2279</v>
      </c>
      <c r="E770" s="26" t="s">
        <v>1451</v>
      </c>
      <c r="F770" s="26" t="s">
        <v>1452</v>
      </c>
      <c r="G770" s="29">
        <v>2904</v>
      </c>
      <c r="H770" s="29">
        <f t="shared" si="401"/>
        <v>26</v>
      </c>
      <c r="I770" s="26" t="s">
        <v>2098</v>
      </c>
      <c r="J770" s="26" t="s">
        <v>160</v>
      </c>
      <c r="K770" s="26">
        <f>VLOOKUP(J770,TOWNSHIPS,2,FALSE)</f>
        <v>0</v>
      </c>
      <c r="L770" s="42">
        <v>6</v>
      </c>
      <c r="M770" s="42">
        <v>6</v>
      </c>
      <c r="N770" s="42">
        <v>10</v>
      </c>
      <c r="O770" s="42">
        <v>9</v>
      </c>
      <c r="P770" s="42">
        <v>9</v>
      </c>
      <c r="Q770" s="42">
        <v>8</v>
      </c>
      <c r="R770" s="42">
        <v>7</v>
      </c>
      <c r="S770" s="42">
        <v>8</v>
      </c>
      <c r="T770" s="42">
        <v>6</v>
      </c>
      <c r="U770" s="42">
        <v>6</v>
      </c>
      <c r="V770" s="42"/>
      <c r="W770" s="42"/>
      <c r="X770" s="42"/>
      <c r="Y770" s="26">
        <v>277</v>
      </c>
      <c r="Z770" s="26">
        <f t="shared" si="403"/>
        <v>0</v>
      </c>
      <c r="AA770" s="26" t="s">
        <v>1557</v>
      </c>
      <c r="AB770" s="111">
        <f t="shared" si="404"/>
        <v>1</v>
      </c>
      <c r="AC770" s="85" t="s">
        <v>2489</v>
      </c>
      <c r="AD770" s="47">
        <f t="shared" si="406"/>
        <v>13750</v>
      </c>
      <c r="AE770" s="140"/>
      <c r="AF770" s="113">
        <f t="shared" si="387"/>
        <v>0</v>
      </c>
      <c r="AG770" s="85">
        <v>2026</v>
      </c>
      <c r="AH770" s="26" t="str">
        <f t="shared" si="376"/>
        <v/>
      </c>
      <c r="AI770" s="26" t="str">
        <f t="shared" si="392"/>
        <v/>
      </c>
      <c r="AJ770" s="26" t="str">
        <f t="shared" si="396"/>
        <v/>
      </c>
      <c r="AK770" s="26" t="str">
        <f t="shared" si="407"/>
        <v/>
      </c>
      <c r="AL770" s="26" t="str">
        <f t="shared" si="407"/>
        <v>Liquid Road</v>
      </c>
      <c r="AM770" s="26" t="str">
        <f t="shared" si="407"/>
        <v/>
      </c>
      <c r="AN770" s="26" t="str">
        <f t="shared" si="386"/>
        <v>Liquid Road</v>
      </c>
      <c r="AO770" s="26" t="str">
        <f t="shared" si="397"/>
        <v/>
      </c>
      <c r="AP770" s="26" t="str">
        <f t="shared" si="395"/>
        <v/>
      </c>
      <c r="AQ770" s="68">
        <f t="shared" si="390"/>
        <v>14</v>
      </c>
      <c r="AR770" s="68">
        <f t="shared" si="391"/>
        <v>10</v>
      </c>
      <c r="AS770" s="68">
        <f t="shared" si="377"/>
        <v>1.1000000000000001</v>
      </c>
      <c r="AT770" s="68">
        <f t="shared" si="378"/>
        <v>1.1000000000000001</v>
      </c>
      <c r="AU770" s="68">
        <f t="shared" si="379"/>
        <v>1</v>
      </c>
      <c r="AV770" s="68">
        <f t="shared" si="380"/>
        <v>1</v>
      </c>
      <c r="AW770" s="68">
        <f t="shared" si="381"/>
        <v>1</v>
      </c>
      <c r="AX770" s="68">
        <f t="shared" ca="1" si="405"/>
        <v>2</v>
      </c>
      <c r="AY770" s="68">
        <v>2016</v>
      </c>
      <c r="AZ770" s="68" t="s">
        <v>2371</v>
      </c>
      <c r="BA770" s="106" t="str">
        <f t="shared" ref="BA770:BA833" si="408">IF(AY770=2018,AZ770,"")</f>
        <v/>
      </c>
      <c r="BB770" s="178"/>
      <c r="BC770" s="178"/>
      <c r="BD770" s="178"/>
      <c r="BE770" s="178"/>
      <c r="BF770" s="178"/>
      <c r="BG770" s="178">
        <v>4</v>
      </c>
      <c r="BH770" s="178"/>
      <c r="BI770" s="33"/>
      <c r="BK770" s="48">
        <f>$G770/5280*VLOOKUP($AC770,'Cost and Score'!$B$27:$O$40,6,0)</f>
        <v>0.55000000000000004</v>
      </c>
      <c r="BL770" s="48">
        <f>$G770/5280*VLOOKUP($AC770,'Cost and Score'!$B$27:$O$40,7,0)</f>
        <v>8.8000000000000007</v>
      </c>
      <c r="BM770" s="48">
        <f>$G770/5280*VLOOKUP($AC770,'Cost and Score'!$B$27:$O$40,8,0)</f>
        <v>0</v>
      </c>
      <c r="BN770" s="48">
        <f>$G770/5280*VLOOKUP($AC770,'Cost and Score'!$B$27:$O$40,9,0)</f>
        <v>0</v>
      </c>
      <c r="BO770" s="48">
        <f>$G770/5280*VLOOKUP($AC770,'Cost and Score'!$B$27:$O$40,10,0)</f>
        <v>0</v>
      </c>
      <c r="BP770" s="48">
        <f>$G770/5280*VLOOKUP($AC770,'Cost and Score'!$B$27:$O$40,11,0)</f>
        <v>0</v>
      </c>
      <c r="BQ770" s="48">
        <f>$G770/5280*VLOOKUP($AC770,'Cost and Score'!$B$27:$O$40,12,0)</f>
        <v>0</v>
      </c>
      <c r="BR770" s="48">
        <f>$G770/5280*VLOOKUP($AC770,'Cost and Score'!$B$27:$O$40,13,0)</f>
        <v>0</v>
      </c>
      <c r="BS770" s="48">
        <f>$G770/5280*VLOOKUP($AC770,'Cost and Score'!$B$27:$O$40,14,0)</f>
        <v>0</v>
      </c>
      <c r="BT770" s="220">
        <f t="shared" ref="BT770:BT833" si="409">G770/5280</f>
        <v>0.55000000000000004</v>
      </c>
    </row>
    <row r="771" spans="1:103" s="2" customFormat="1" ht="14.45" hidden="1" customHeight="1" x14ac:dyDescent="0.25">
      <c r="A771" s="38" t="s">
        <v>2102</v>
      </c>
      <c r="B771" s="34" t="s">
        <v>1558</v>
      </c>
      <c r="C771" s="26" t="s">
        <v>1558</v>
      </c>
      <c r="D771" s="26"/>
      <c r="E771" s="26" t="s">
        <v>307</v>
      </c>
      <c r="F771" s="26" t="s">
        <v>113</v>
      </c>
      <c r="G771" s="29">
        <v>1774</v>
      </c>
      <c r="H771" s="29">
        <f t="shared" si="401"/>
        <v>20</v>
      </c>
      <c r="I771" s="26" t="s">
        <v>8</v>
      </c>
      <c r="J771" s="26" t="s">
        <v>26</v>
      </c>
      <c r="K771" s="26">
        <f>VLOOKUP(J771,TOWNSHIPS,2,FALSE)</f>
        <v>0</v>
      </c>
      <c r="L771" s="42">
        <v>6</v>
      </c>
      <c r="M771" s="42">
        <v>4</v>
      </c>
      <c r="N771" s="42">
        <v>4</v>
      </c>
      <c r="O771" s="42">
        <v>9</v>
      </c>
      <c r="P771" s="42">
        <v>8</v>
      </c>
      <c r="Q771" s="42">
        <v>8</v>
      </c>
      <c r="R771" s="42">
        <v>7</v>
      </c>
      <c r="S771" s="42">
        <v>7</v>
      </c>
      <c r="T771" s="42">
        <v>7</v>
      </c>
      <c r="U771" s="42">
        <v>7</v>
      </c>
      <c r="V771" s="42"/>
      <c r="W771" s="42"/>
      <c r="X771" s="42"/>
      <c r="Y771" s="26">
        <v>50</v>
      </c>
      <c r="Z771" s="26">
        <f t="shared" si="403"/>
        <v>0</v>
      </c>
      <c r="AA771" s="26" t="s">
        <v>1558</v>
      </c>
      <c r="AB771" s="111">
        <f t="shared" si="404"/>
        <v>2</v>
      </c>
      <c r="AC771" s="85" t="s">
        <v>2073</v>
      </c>
      <c r="AD771" s="47">
        <f t="shared" si="406"/>
        <v>10751.515151515152</v>
      </c>
      <c r="AE771" s="140"/>
      <c r="AF771" s="113">
        <f t="shared" si="387"/>
        <v>0</v>
      </c>
      <c r="AG771" s="26">
        <v>2027</v>
      </c>
      <c r="AH771" s="26" t="str">
        <f t="shared" si="376"/>
        <v/>
      </c>
      <c r="AI771" s="26" t="str">
        <f t="shared" si="392"/>
        <v/>
      </c>
      <c r="AJ771" s="26" t="str">
        <f t="shared" si="396"/>
        <v/>
      </c>
      <c r="AK771" s="26" t="str">
        <f t="shared" si="407"/>
        <v/>
      </c>
      <c r="AL771" s="26" t="str">
        <f t="shared" si="407"/>
        <v/>
      </c>
      <c r="AM771" s="26" t="str">
        <f t="shared" si="407"/>
        <v>Chip Seal - Double and Fog</v>
      </c>
      <c r="AN771" s="26" t="str">
        <f t="shared" si="386"/>
        <v>Chip Seal - Double and Fog</v>
      </c>
      <c r="AO771" s="26" t="str">
        <f t="shared" si="397"/>
        <v>Crack Seal</v>
      </c>
      <c r="AP771" s="26" t="str">
        <f t="shared" si="395"/>
        <v/>
      </c>
      <c r="AQ771" s="68">
        <f t="shared" si="390"/>
        <v>14</v>
      </c>
      <c r="AR771" s="68">
        <f t="shared" si="391"/>
        <v>6</v>
      </c>
      <c r="AS771" s="68">
        <f t="shared" si="377"/>
        <v>1.1000000000000001</v>
      </c>
      <c r="AT771" s="68">
        <f t="shared" si="378"/>
        <v>1.5</v>
      </c>
      <c r="AU771" s="68">
        <f t="shared" si="379"/>
        <v>1.5</v>
      </c>
      <c r="AV771" s="68">
        <f t="shared" si="380"/>
        <v>1</v>
      </c>
      <c r="AW771" s="68">
        <f t="shared" si="381"/>
        <v>1</v>
      </c>
      <c r="AX771" s="68">
        <f t="shared" ca="1" si="405"/>
        <v>4.5</v>
      </c>
      <c r="AY771" s="68">
        <v>2021</v>
      </c>
      <c r="AZ771" s="68" t="s">
        <v>2075</v>
      </c>
      <c r="BA771" s="106" t="str">
        <f t="shared" si="408"/>
        <v/>
      </c>
      <c r="BB771" s="178"/>
      <c r="BC771" s="178">
        <v>7</v>
      </c>
      <c r="BD771" s="178"/>
      <c r="BE771" s="178"/>
      <c r="BF771" s="178"/>
      <c r="BG771" s="178"/>
      <c r="BH771" s="178"/>
      <c r="BI771" s="33"/>
      <c r="BK771" s="48">
        <f>$G771/5280*VLOOKUP($AC771,'Cost and Score'!$B$27:$O$40,6,0)</f>
        <v>0.16799242424242425</v>
      </c>
      <c r="BL771" s="48">
        <f>$G771/5280*VLOOKUP($AC771,'Cost and Score'!$B$27:$O$40,7,0)</f>
        <v>16.799242424242426</v>
      </c>
      <c r="BM771" s="48">
        <f>$G771/5280*VLOOKUP($AC771,'Cost and Score'!$B$27:$O$40,8,0)</f>
        <v>0</v>
      </c>
      <c r="BN771" s="48">
        <f>$G771/5280*VLOOKUP($AC771,'Cost and Score'!$B$27:$O$40,9,0)</f>
        <v>3191.8560606060605</v>
      </c>
      <c r="BO771" s="48">
        <f>$G771/5280*VLOOKUP($AC771,'Cost and Score'!$B$27:$O$40,10,0)</f>
        <v>335.9848484848485</v>
      </c>
      <c r="BP771" s="48">
        <f>$G771/5280*VLOOKUP($AC771,'Cost and Score'!$B$27:$O$40,11,0)</f>
        <v>0</v>
      </c>
      <c r="BQ771" s="48">
        <f>$G771/5280*VLOOKUP($AC771,'Cost and Score'!$B$27:$O$40,12,0)</f>
        <v>67.196969696969703</v>
      </c>
      <c r="BR771" s="48">
        <f>$G771/5280*VLOOKUP($AC771,'Cost and Score'!$B$27:$O$40,13,0)</f>
        <v>60.477272727272727</v>
      </c>
      <c r="BS771" s="48">
        <f>$G771/5280*VLOOKUP($AC771,'Cost and Score'!$B$27:$O$40,14,0)</f>
        <v>80.63636363636364</v>
      </c>
      <c r="BT771" s="220">
        <f t="shared" si="409"/>
        <v>0.3359848484848485</v>
      </c>
    </row>
    <row r="772" spans="1:103" s="2" customFormat="1" ht="14.45" hidden="1" customHeight="1" x14ac:dyDescent="0.25">
      <c r="A772" s="31" t="s">
        <v>2102</v>
      </c>
      <c r="B772" s="120" t="s">
        <v>1559</v>
      </c>
      <c r="C772" s="106" t="s">
        <v>1559</v>
      </c>
      <c r="D772" s="116" t="s">
        <v>2232</v>
      </c>
      <c r="E772" s="106" t="s">
        <v>4</v>
      </c>
      <c r="F772" s="106" t="s">
        <v>1553</v>
      </c>
      <c r="G772" s="109">
        <v>2693</v>
      </c>
      <c r="H772" s="109">
        <f t="shared" si="401"/>
        <v>26</v>
      </c>
      <c r="I772" s="106" t="s">
        <v>2098</v>
      </c>
      <c r="J772" s="106" t="s">
        <v>101</v>
      </c>
      <c r="K772" s="106">
        <v>0</v>
      </c>
      <c r="L772" s="110">
        <v>7</v>
      </c>
      <c r="M772" s="110">
        <v>7</v>
      </c>
      <c r="N772" s="110">
        <v>7</v>
      </c>
      <c r="O772" s="110">
        <v>7</v>
      </c>
      <c r="P772" s="110">
        <v>7</v>
      </c>
      <c r="Q772" s="110">
        <v>7</v>
      </c>
      <c r="R772" s="110">
        <v>6</v>
      </c>
      <c r="S772" s="110">
        <v>6</v>
      </c>
      <c r="T772" s="110">
        <v>7</v>
      </c>
      <c r="U772" s="110">
        <v>7</v>
      </c>
      <c r="V772" s="110"/>
      <c r="W772" s="110"/>
      <c r="X772" s="110"/>
      <c r="Y772" s="106">
        <v>50</v>
      </c>
      <c r="Z772" s="106">
        <f t="shared" si="403"/>
        <v>0</v>
      </c>
      <c r="AA772" s="106" t="s">
        <v>1559</v>
      </c>
      <c r="AB772" s="111">
        <f t="shared" si="404"/>
        <v>3</v>
      </c>
      <c r="AC772" s="82" t="s">
        <v>2072</v>
      </c>
      <c r="AD772" s="107">
        <f t="shared" si="406"/>
        <v>23461.742424242424</v>
      </c>
      <c r="AE772" s="140"/>
      <c r="AF772" s="113">
        <f t="shared" si="387"/>
        <v>0</v>
      </c>
      <c r="AG772" s="85">
        <v>2023</v>
      </c>
      <c r="AH772" s="26" t="str">
        <f t="shared" si="376"/>
        <v/>
      </c>
      <c r="AI772" s="26" t="str">
        <f t="shared" si="392"/>
        <v>Chip Seal - Triple</v>
      </c>
      <c r="AJ772" s="26" t="str">
        <f t="shared" si="396"/>
        <v/>
      </c>
      <c r="AK772" s="26" t="str">
        <f t="shared" si="407"/>
        <v/>
      </c>
      <c r="AL772" s="26" t="str">
        <f t="shared" si="407"/>
        <v/>
      </c>
      <c r="AM772" s="26" t="str">
        <f t="shared" si="407"/>
        <v/>
      </c>
      <c r="AN772" s="26" t="str">
        <f t="shared" si="386"/>
        <v>Chip Seal - Triple</v>
      </c>
      <c r="AO772" s="26" t="str">
        <f t="shared" si="397"/>
        <v/>
      </c>
      <c r="AP772" s="26" t="str">
        <f t="shared" si="395"/>
        <v/>
      </c>
      <c r="AQ772" s="68">
        <f t="shared" si="390"/>
        <v>10</v>
      </c>
      <c r="AR772" s="68">
        <f t="shared" si="391"/>
        <v>8</v>
      </c>
      <c r="AS772" s="68">
        <f t="shared" si="377"/>
        <v>1.05</v>
      </c>
      <c r="AT772" s="68">
        <f t="shared" si="378"/>
        <v>1.05</v>
      </c>
      <c r="AU772" s="68">
        <f t="shared" si="379"/>
        <v>1.05</v>
      </c>
      <c r="AV772" s="68">
        <f t="shared" si="380"/>
        <v>1.05</v>
      </c>
      <c r="AW772" s="68">
        <f t="shared" si="381"/>
        <v>1.05</v>
      </c>
      <c r="AX772" s="68">
        <f t="shared" ca="1" si="405"/>
        <v>-1.05</v>
      </c>
      <c r="AY772" s="106">
        <v>2018</v>
      </c>
      <c r="AZ772" s="106" t="s">
        <v>2075</v>
      </c>
      <c r="BA772" s="106" t="str">
        <f t="shared" si="408"/>
        <v>CRACK</v>
      </c>
      <c r="BB772" s="177"/>
      <c r="BC772" s="177"/>
      <c r="BD772" s="177"/>
      <c r="BE772" s="177"/>
      <c r="BF772" s="177"/>
      <c r="BG772" s="177"/>
      <c r="BH772" s="177"/>
      <c r="BI772" s="33"/>
      <c r="BK772" s="48">
        <f>$G772/5280*VLOOKUP($AC772,'Cost and Score'!$B$27:$O$40,6,0)</f>
        <v>0.30602272727272722</v>
      </c>
      <c r="BL772" s="48">
        <f>$G772/5280*VLOOKUP($AC772,'Cost and Score'!$B$27:$O$40,7,0)</f>
        <v>63.754734848484844</v>
      </c>
      <c r="BM772" s="48">
        <f>$G772/5280*VLOOKUP($AC772,'Cost and Score'!$B$27:$O$40,8,0)</f>
        <v>102.00757575757575</v>
      </c>
      <c r="BN772" s="48">
        <f>$G772/5280*VLOOKUP($AC772,'Cost and Score'!$B$27:$O$40,9,0)</f>
        <v>1020.0757575757575</v>
      </c>
      <c r="BO772" s="48">
        <f>$G772/5280*VLOOKUP($AC772,'Cost and Score'!$B$27:$O$40,10,0)</f>
        <v>255.01893939393938</v>
      </c>
      <c r="BP772" s="48">
        <f>$G772/5280*VLOOKUP($AC772,'Cost and Score'!$B$27:$O$40,11,0)</f>
        <v>51.003787878787875</v>
      </c>
      <c r="BQ772" s="48">
        <f>$G772/5280*VLOOKUP($AC772,'Cost and Score'!$B$27:$O$40,12,0)</f>
        <v>408.030303030303</v>
      </c>
      <c r="BR772" s="48">
        <f>$G772/5280*VLOOKUP($AC772,'Cost and Score'!$B$27:$O$40,13,0)</f>
        <v>40.803030303030297</v>
      </c>
      <c r="BS772" s="48">
        <f>$G772/5280*VLOOKUP($AC772,'Cost and Score'!$B$27:$O$40,14,0)</f>
        <v>0</v>
      </c>
      <c r="BT772" s="220">
        <f t="shared" si="409"/>
        <v>0.51003787878787876</v>
      </c>
      <c r="CF772" s="112"/>
      <c r="CR772" s="112"/>
      <c r="CW772" s="112"/>
      <c r="CX772" s="112"/>
      <c r="CY772" s="112"/>
    </row>
    <row r="773" spans="1:103" s="112" customFormat="1" ht="14.45" hidden="1" customHeight="1" x14ac:dyDescent="0.25">
      <c r="A773" s="31" t="s">
        <v>2102</v>
      </c>
      <c r="B773" s="226" t="s">
        <v>1560</v>
      </c>
      <c r="C773" s="106" t="s">
        <v>1560</v>
      </c>
      <c r="D773" s="116" t="s">
        <v>2227</v>
      </c>
      <c r="E773" s="106" t="s">
        <v>1561</v>
      </c>
      <c r="F773" s="106" t="s">
        <v>1502</v>
      </c>
      <c r="G773" s="109">
        <v>686</v>
      </c>
      <c r="H773" s="109">
        <f t="shared" si="401"/>
        <v>26</v>
      </c>
      <c r="I773" s="106" t="s">
        <v>2098</v>
      </c>
      <c r="J773" s="106" t="s">
        <v>160</v>
      </c>
      <c r="K773" s="106">
        <f>VLOOKUP(J773,TOWNSHIPS,2,FALSE)</f>
        <v>0</v>
      </c>
      <c r="L773" s="110">
        <v>7</v>
      </c>
      <c r="M773" s="110">
        <v>7</v>
      </c>
      <c r="N773" s="110">
        <v>7</v>
      </c>
      <c r="O773" s="110">
        <v>7</v>
      </c>
      <c r="P773" s="110">
        <v>7</v>
      </c>
      <c r="Q773" s="110">
        <v>7</v>
      </c>
      <c r="R773" s="110">
        <v>7</v>
      </c>
      <c r="S773" s="110">
        <v>8</v>
      </c>
      <c r="T773" s="110">
        <v>8</v>
      </c>
      <c r="U773" s="110">
        <v>8</v>
      </c>
      <c r="V773" s="110"/>
      <c r="W773" s="110"/>
      <c r="X773" s="110"/>
      <c r="Y773" s="106">
        <v>90</v>
      </c>
      <c r="Z773" s="106">
        <f t="shared" si="403"/>
        <v>0</v>
      </c>
      <c r="AA773" s="106" t="s">
        <v>1560</v>
      </c>
      <c r="AB773" s="111">
        <f t="shared" si="404"/>
        <v>3</v>
      </c>
      <c r="AC773" s="85" t="s">
        <v>2425</v>
      </c>
      <c r="AD773" s="107">
        <f t="shared" si="406"/>
        <v>3248.1060606060605</v>
      </c>
      <c r="AE773" s="198"/>
      <c r="AF773" s="113">
        <f t="shared" si="387"/>
        <v>0</v>
      </c>
      <c r="AG773" s="85">
        <v>2026</v>
      </c>
      <c r="AH773" s="26" t="str">
        <f t="shared" si="376"/>
        <v/>
      </c>
      <c r="AI773" s="26" t="str">
        <f t="shared" si="392"/>
        <v/>
      </c>
      <c r="AJ773" s="26" t="str">
        <f t="shared" si="396"/>
        <v/>
      </c>
      <c r="AK773" s="26" t="str">
        <f t="shared" si="407"/>
        <v/>
      </c>
      <c r="AL773" s="26" t="str">
        <f t="shared" si="407"/>
        <v>Liquid Road</v>
      </c>
      <c r="AM773" s="26" t="str">
        <f t="shared" si="407"/>
        <v/>
      </c>
      <c r="AN773" s="26" t="str">
        <f t="shared" si="386"/>
        <v>Liquid Road</v>
      </c>
      <c r="AO773" s="26" t="str">
        <f t="shared" si="397"/>
        <v/>
      </c>
      <c r="AP773" s="26" t="str">
        <f t="shared" si="395"/>
        <v/>
      </c>
      <c r="AQ773" s="68">
        <f t="shared" si="390"/>
        <v>10</v>
      </c>
      <c r="AR773" s="68">
        <f t="shared" si="391"/>
        <v>10</v>
      </c>
      <c r="AS773" s="68">
        <f t="shared" si="377"/>
        <v>1.05</v>
      </c>
      <c r="AT773" s="68">
        <f t="shared" si="378"/>
        <v>1.05</v>
      </c>
      <c r="AU773" s="68">
        <f t="shared" si="379"/>
        <v>1.05</v>
      </c>
      <c r="AV773" s="68">
        <f t="shared" si="380"/>
        <v>1.05</v>
      </c>
      <c r="AW773" s="68">
        <f t="shared" si="381"/>
        <v>1.05</v>
      </c>
      <c r="AX773" s="68">
        <f t="shared" ca="1" si="405"/>
        <v>2.1</v>
      </c>
      <c r="AY773" s="106">
        <v>2017</v>
      </c>
      <c r="AZ773" s="106" t="s">
        <v>2075</v>
      </c>
      <c r="BA773" s="106" t="str">
        <f t="shared" si="408"/>
        <v/>
      </c>
      <c r="BB773" s="177"/>
      <c r="BC773" s="177"/>
      <c r="BD773" s="177">
        <v>1</v>
      </c>
      <c r="BE773" s="177"/>
      <c r="BF773" s="177"/>
      <c r="BG773" s="177"/>
      <c r="BH773" s="177"/>
      <c r="BI773" s="33"/>
      <c r="BJ773" s="2"/>
      <c r="BK773" s="48">
        <f>$G773/5280*VLOOKUP($AC773,'Cost and Score'!$B$27:$O$40,6,0)</f>
        <v>0.12992424242424241</v>
      </c>
      <c r="BL773" s="48">
        <f>$G773/5280*VLOOKUP($AC773,'Cost and Score'!$B$27:$O$40,7,0)</f>
        <v>2.0787878787878786</v>
      </c>
      <c r="BM773" s="48">
        <f>$G773/5280*VLOOKUP($AC773,'Cost and Score'!$B$27:$O$40,8,0)</f>
        <v>0</v>
      </c>
      <c r="BN773" s="48">
        <f>$G773/5280*VLOOKUP($AC773,'Cost and Score'!$B$27:$O$40,9,0)</f>
        <v>0</v>
      </c>
      <c r="BO773" s="48">
        <f>$G773/5280*VLOOKUP($AC773,'Cost and Score'!$B$27:$O$40,10,0)</f>
        <v>0</v>
      </c>
      <c r="BP773" s="48">
        <f>$G773/5280*VLOOKUP($AC773,'Cost and Score'!$B$27:$O$40,11,0)</f>
        <v>0</v>
      </c>
      <c r="BQ773" s="48">
        <f>$G773/5280*VLOOKUP($AC773,'Cost and Score'!$B$27:$O$40,12,0)</f>
        <v>0</v>
      </c>
      <c r="BR773" s="48">
        <f>$G773/5280*VLOOKUP($AC773,'Cost and Score'!$B$27:$O$40,13,0)</f>
        <v>0</v>
      </c>
      <c r="BS773" s="48">
        <f>$G773/5280*VLOOKUP($AC773,'Cost and Score'!$B$27:$O$40,14,0)</f>
        <v>0</v>
      </c>
      <c r="BT773" s="220">
        <f t="shared" si="409"/>
        <v>0.12992424242424241</v>
      </c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N773" s="2"/>
      <c r="CO773" s="2"/>
      <c r="CP773" s="2"/>
      <c r="CQ773" s="2"/>
      <c r="CV773" s="2"/>
      <c r="CW773" s="2"/>
      <c r="CX773" s="2"/>
      <c r="CY773" s="2"/>
    </row>
    <row r="774" spans="1:103" s="112" customFormat="1" ht="14.45" hidden="1" customHeight="1" x14ac:dyDescent="0.25">
      <c r="A774" s="31" t="s">
        <v>2102</v>
      </c>
      <c r="B774" s="226" t="s">
        <v>1562</v>
      </c>
      <c r="C774" s="106" t="s">
        <v>1562</v>
      </c>
      <c r="D774" s="116" t="s">
        <v>2227</v>
      </c>
      <c r="E774" s="106" t="s">
        <v>1561</v>
      </c>
      <c r="F774" s="106" t="s">
        <v>1502</v>
      </c>
      <c r="G774" s="109">
        <v>792</v>
      </c>
      <c r="H774" s="109">
        <f t="shared" si="401"/>
        <v>26</v>
      </c>
      <c r="I774" s="106" t="s">
        <v>2098</v>
      </c>
      <c r="J774" s="106" t="s">
        <v>160</v>
      </c>
      <c r="K774" s="106">
        <f>VLOOKUP(J774,TOWNSHIPS,2,FALSE)</f>
        <v>0</v>
      </c>
      <c r="L774" s="110">
        <v>7</v>
      </c>
      <c r="M774" s="110">
        <v>7</v>
      </c>
      <c r="N774" s="110">
        <v>7</v>
      </c>
      <c r="O774" s="110">
        <v>7</v>
      </c>
      <c r="P774" s="110">
        <v>7</v>
      </c>
      <c r="Q774" s="110">
        <v>7</v>
      </c>
      <c r="R774" s="110">
        <v>7</v>
      </c>
      <c r="S774" s="110">
        <v>8</v>
      </c>
      <c r="T774" s="110">
        <v>8</v>
      </c>
      <c r="U774" s="110">
        <v>8</v>
      </c>
      <c r="V774" s="110"/>
      <c r="W774" s="110"/>
      <c r="X774" s="110"/>
      <c r="Y774" s="106">
        <v>100</v>
      </c>
      <c r="Z774" s="106">
        <f t="shared" si="403"/>
        <v>0</v>
      </c>
      <c r="AA774" s="106" t="s">
        <v>1562</v>
      </c>
      <c r="AB774" s="111">
        <f t="shared" si="404"/>
        <v>3</v>
      </c>
      <c r="AC774" s="85" t="s">
        <v>2425</v>
      </c>
      <c r="AD774" s="107">
        <f t="shared" si="406"/>
        <v>3750</v>
      </c>
      <c r="AE774" s="198"/>
      <c r="AF774" s="113">
        <f t="shared" si="387"/>
        <v>0</v>
      </c>
      <c r="AG774" s="85">
        <v>2026</v>
      </c>
      <c r="AH774" s="26" t="str">
        <f t="shared" si="376"/>
        <v/>
      </c>
      <c r="AI774" s="26" t="str">
        <f t="shared" si="392"/>
        <v/>
      </c>
      <c r="AJ774" s="26" t="str">
        <f t="shared" si="396"/>
        <v/>
      </c>
      <c r="AK774" s="26" t="str">
        <f t="shared" si="407"/>
        <v/>
      </c>
      <c r="AL774" s="26" t="str">
        <f t="shared" si="407"/>
        <v>Liquid Road</v>
      </c>
      <c r="AM774" s="26" t="str">
        <f t="shared" si="407"/>
        <v/>
      </c>
      <c r="AN774" s="26" t="str">
        <f t="shared" si="386"/>
        <v>Liquid Road</v>
      </c>
      <c r="AO774" s="26" t="str">
        <f t="shared" si="397"/>
        <v/>
      </c>
      <c r="AP774" s="26" t="str">
        <f t="shared" si="395"/>
        <v/>
      </c>
      <c r="AQ774" s="68">
        <f t="shared" si="390"/>
        <v>10</v>
      </c>
      <c r="AR774" s="68">
        <f t="shared" si="391"/>
        <v>10</v>
      </c>
      <c r="AS774" s="68">
        <f t="shared" si="377"/>
        <v>1.05</v>
      </c>
      <c r="AT774" s="68">
        <f t="shared" si="378"/>
        <v>1.05</v>
      </c>
      <c r="AU774" s="68">
        <f t="shared" si="379"/>
        <v>1.05</v>
      </c>
      <c r="AV774" s="68">
        <f t="shared" si="380"/>
        <v>1.05</v>
      </c>
      <c r="AW774" s="68">
        <f t="shared" si="381"/>
        <v>1.05</v>
      </c>
      <c r="AX774" s="68">
        <f t="shared" ca="1" si="405"/>
        <v>2.1</v>
      </c>
      <c r="AY774" s="106">
        <v>2017</v>
      </c>
      <c r="AZ774" s="106" t="s">
        <v>2075</v>
      </c>
      <c r="BA774" s="106" t="str">
        <f t="shared" si="408"/>
        <v/>
      </c>
      <c r="BB774" s="177"/>
      <c r="BC774" s="177"/>
      <c r="BD774" s="177">
        <v>1</v>
      </c>
      <c r="BE774" s="177"/>
      <c r="BF774" s="177"/>
      <c r="BG774" s="177"/>
      <c r="BH774" s="177"/>
      <c r="BI774" s="33"/>
      <c r="BJ774" s="2"/>
      <c r="BK774" s="48">
        <f>$G774/5280*VLOOKUP($AC774,'Cost and Score'!$B$27:$O$40,6,0)</f>
        <v>0.15</v>
      </c>
      <c r="BL774" s="48">
        <f>$G774/5280*VLOOKUP($AC774,'Cost and Score'!$B$27:$O$40,7,0)</f>
        <v>2.4</v>
      </c>
      <c r="BM774" s="48">
        <f>$G774/5280*VLOOKUP($AC774,'Cost and Score'!$B$27:$O$40,8,0)</f>
        <v>0</v>
      </c>
      <c r="BN774" s="48">
        <f>$G774/5280*VLOOKUP($AC774,'Cost and Score'!$B$27:$O$40,9,0)</f>
        <v>0</v>
      </c>
      <c r="BO774" s="48">
        <f>$G774/5280*VLOOKUP($AC774,'Cost and Score'!$B$27:$O$40,10,0)</f>
        <v>0</v>
      </c>
      <c r="BP774" s="48">
        <f>$G774/5280*VLOOKUP($AC774,'Cost and Score'!$B$27:$O$40,11,0)</f>
        <v>0</v>
      </c>
      <c r="BQ774" s="48">
        <f>$G774/5280*VLOOKUP($AC774,'Cost and Score'!$B$27:$O$40,12,0)</f>
        <v>0</v>
      </c>
      <c r="BR774" s="48">
        <f>$G774/5280*VLOOKUP($AC774,'Cost and Score'!$B$27:$O$40,13,0)</f>
        <v>0</v>
      </c>
      <c r="BS774" s="48">
        <f>$G774/5280*VLOOKUP($AC774,'Cost and Score'!$B$27:$O$40,14,0)</f>
        <v>0</v>
      </c>
      <c r="BT774" s="220">
        <f t="shared" si="409"/>
        <v>0.15</v>
      </c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W774" s="2"/>
      <c r="CX774" s="2"/>
      <c r="CY774" s="2"/>
    </row>
    <row r="775" spans="1:103" s="112" customFormat="1" ht="14.45" hidden="1" customHeight="1" x14ac:dyDescent="0.25">
      <c r="A775" s="31" t="s">
        <v>2102</v>
      </c>
      <c r="B775" s="226" t="s">
        <v>1563</v>
      </c>
      <c r="C775" s="106" t="s">
        <v>1563</v>
      </c>
      <c r="D775" s="116" t="s">
        <v>2227</v>
      </c>
      <c r="E775" s="106" t="s">
        <v>1561</v>
      </c>
      <c r="F775" s="106" t="s">
        <v>1502</v>
      </c>
      <c r="G775" s="109">
        <v>528</v>
      </c>
      <c r="H775" s="109">
        <f t="shared" si="401"/>
        <v>26</v>
      </c>
      <c r="I775" s="106" t="s">
        <v>2098</v>
      </c>
      <c r="J775" s="106" t="s">
        <v>160</v>
      </c>
      <c r="K775" s="106">
        <f>VLOOKUP(J775,TOWNSHIPS,2,FALSE)</f>
        <v>0</v>
      </c>
      <c r="L775" s="110">
        <v>7</v>
      </c>
      <c r="M775" s="110">
        <v>7</v>
      </c>
      <c r="N775" s="110">
        <v>7</v>
      </c>
      <c r="O775" s="110">
        <v>7</v>
      </c>
      <c r="P775" s="110">
        <v>7</v>
      </c>
      <c r="Q775" s="110">
        <v>7</v>
      </c>
      <c r="R775" s="110">
        <v>7</v>
      </c>
      <c r="S775" s="110">
        <v>8</v>
      </c>
      <c r="T775" s="110">
        <v>8</v>
      </c>
      <c r="U775" s="110">
        <v>8</v>
      </c>
      <c r="V775" s="110"/>
      <c r="W775" s="110"/>
      <c r="X775" s="110"/>
      <c r="Y775" s="106">
        <v>100</v>
      </c>
      <c r="Z775" s="106">
        <f t="shared" si="403"/>
        <v>0</v>
      </c>
      <c r="AA775" s="106" t="s">
        <v>1563</v>
      </c>
      <c r="AB775" s="111">
        <f t="shared" si="404"/>
        <v>3</v>
      </c>
      <c r="AC775" s="85" t="s">
        <v>2425</v>
      </c>
      <c r="AD775" s="107">
        <f t="shared" si="406"/>
        <v>2500</v>
      </c>
      <c r="AE775" s="198"/>
      <c r="AF775" s="113">
        <f t="shared" si="387"/>
        <v>0</v>
      </c>
      <c r="AG775" s="85">
        <v>2026</v>
      </c>
      <c r="AH775" s="26" t="str">
        <f t="shared" si="376"/>
        <v/>
      </c>
      <c r="AI775" s="26" t="str">
        <f t="shared" si="392"/>
        <v/>
      </c>
      <c r="AJ775" s="26" t="str">
        <f t="shared" si="396"/>
        <v/>
      </c>
      <c r="AK775" s="26" t="str">
        <f t="shared" si="407"/>
        <v/>
      </c>
      <c r="AL775" s="26" t="str">
        <f t="shared" si="407"/>
        <v>Liquid Road</v>
      </c>
      <c r="AM775" s="26" t="str">
        <f t="shared" si="407"/>
        <v/>
      </c>
      <c r="AN775" s="26" t="str">
        <f t="shared" si="386"/>
        <v>Liquid Road</v>
      </c>
      <c r="AO775" s="26" t="str">
        <f t="shared" si="397"/>
        <v/>
      </c>
      <c r="AP775" s="26" t="str">
        <f t="shared" si="395"/>
        <v/>
      </c>
      <c r="AQ775" s="68">
        <f t="shared" si="390"/>
        <v>10</v>
      </c>
      <c r="AR775" s="68">
        <f t="shared" si="391"/>
        <v>10</v>
      </c>
      <c r="AS775" s="68">
        <f t="shared" si="377"/>
        <v>1.05</v>
      </c>
      <c r="AT775" s="68">
        <f t="shared" si="378"/>
        <v>1.05</v>
      </c>
      <c r="AU775" s="68">
        <f t="shared" si="379"/>
        <v>1.05</v>
      </c>
      <c r="AV775" s="68">
        <f t="shared" si="380"/>
        <v>1.05</v>
      </c>
      <c r="AW775" s="68">
        <f t="shared" si="381"/>
        <v>1.05</v>
      </c>
      <c r="AX775" s="68">
        <f t="shared" ca="1" si="405"/>
        <v>2.1</v>
      </c>
      <c r="AY775" s="106">
        <v>2017</v>
      </c>
      <c r="AZ775" s="106" t="s">
        <v>2075</v>
      </c>
      <c r="BA775" s="106" t="str">
        <f t="shared" si="408"/>
        <v/>
      </c>
      <c r="BB775" s="177"/>
      <c r="BC775" s="177"/>
      <c r="BD775" s="177">
        <v>1</v>
      </c>
      <c r="BE775" s="177"/>
      <c r="BF775" s="177"/>
      <c r="BG775" s="177"/>
      <c r="BH775" s="177"/>
      <c r="BI775" s="33"/>
      <c r="BJ775" s="2"/>
      <c r="BK775" s="48">
        <f>$G775/5280*VLOOKUP($AC775,'Cost and Score'!$B$27:$O$40,6,0)</f>
        <v>0.1</v>
      </c>
      <c r="BL775" s="48">
        <f>$G775/5280*VLOOKUP($AC775,'Cost and Score'!$B$27:$O$40,7,0)</f>
        <v>1.6</v>
      </c>
      <c r="BM775" s="48">
        <f>$G775/5280*VLOOKUP($AC775,'Cost and Score'!$B$27:$O$40,8,0)</f>
        <v>0</v>
      </c>
      <c r="BN775" s="48">
        <f>$G775/5280*VLOOKUP($AC775,'Cost and Score'!$B$27:$O$40,9,0)</f>
        <v>0</v>
      </c>
      <c r="BO775" s="48">
        <f>$G775/5280*VLOOKUP($AC775,'Cost and Score'!$B$27:$O$40,10,0)</f>
        <v>0</v>
      </c>
      <c r="BP775" s="48">
        <f>$G775/5280*VLOOKUP($AC775,'Cost and Score'!$B$27:$O$40,11,0)</f>
        <v>0</v>
      </c>
      <c r="BQ775" s="48">
        <f>$G775/5280*VLOOKUP($AC775,'Cost and Score'!$B$27:$O$40,12,0)</f>
        <v>0</v>
      </c>
      <c r="BR775" s="48">
        <f>$G775/5280*VLOOKUP($AC775,'Cost and Score'!$B$27:$O$40,13,0)</f>
        <v>0</v>
      </c>
      <c r="BS775" s="48">
        <f>$G775/5280*VLOOKUP($AC775,'Cost and Score'!$B$27:$O$40,14,0)</f>
        <v>0</v>
      </c>
      <c r="BT775" s="220">
        <f t="shared" si="409"/>
        <v>0.1</v>
      </c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W775" s="2"/>
      <c r="CX775" s="2"/>
      <c r="CY775" s="2"/>
    </row>
    <row r="776" spans="1:103" s="112" customFormat="1" ht="14.45" hidden="1" customHeight="1" x14ac:dyDescent="0.25">
      <c r="A776" s="38" t="s">
        <v>2102</v>
      </c>
      <c r="B776" s="34" t="s">
        <v>1564</v>
      </c>
      <c r="C776" s="26" t="s">
        <v>1564</v>
      </c>
      <c r="D776" s="26"/>
      <c r="E776" s="26" t="s">
        <v>1433</v>
      </c>
      <c r="F776" s="26" t="s">
        <v>116</v>
      </c>
      <c r="G776" s="29">
        <v>898</v>
      </c>
      <c r="H776" s="29">
        <f t="shared" si="401"/>
        <v>20</v>
      </c>
      <c r="I776" s="26" t="s">
        <v>8</v>
      </c>
      <c r="J776" s="26" t="s">
        <v>6</v>
      </c>
      <c r="K776" s="26">
        <f>VLOOKUP(J776,TOWNSHIPS,2,FALSE)</f>
        <v>0</v>
      </c>
      <c r="L776" s="42">
        <v>7</v>
      </c>
      <c r="M776" s="42">
        <v>7</v>
      </c>
      <c r="N776" s="42">
        <v>7</v>
      </c>
      <c r="O776" s="42">
        <v>7</v>
      </c>
      <c r="P776" s="42">
        <v>7</v>
      </c>
      <c r="Q776" s="42">
        <v>7</v>
      </c>
      <c r="R776" s="42">
        <v>6</v>
      </c>
      <c r="S776" s="42">
        <v>6</v>
      </c>
      <c r="T776" s="42">
        <v>6</v>
      </c>
      <c r="U776" s="42">
        <v>6</v>
      </c>
      <c r="V776" s="42"/>
      <c r="W776" s="42"/>
      <c r="X776" s="42"/>
      <c r="Y776" s="26">
        <v>35</v>
      </c>
      <c r="Z776" s="26">
        <f t="shared" si="403"/>
        <v>0</v>
      </c>
      <c r="AA776" s="26" t="s">
        <v>1564</v>
      </c>
      <c r="AB776" s="111">
        <f t="shared" si="404"/>
        <v>3</v>
      </c>
      <c r="AC776" s="26" t="s">
        <v>13</v>
      </c>
      <c r="AD776" s="47">
        <f t="shared" si="406"/>
        <v>3571.590909090909</v>
      </c>
      <c r="AE776" s="140"/>
      <c r="AF776" s="113">
        <f t="shared" si="387"/>
        <v>0</v>
      </c>
      <c r="AG776" s="26">
        <v>2022</v>
      </c>
      <c r="AH776" s="26" t="str">
        <f t="shared" si="376"/>
        <v>Chip Seal and Fog</v>
      </c>
      <c r="AI776" s="26" t="str">
        <f t="shared" si="392"/>
        <v/>
      </c>
      <c r="AJ776" s="26" t="str">
        <f t="shared" si="396"/>
        <v/>
      </c>
      <c r="AK776" s="26" t="str">
        <f t="shared" si="407"/>
        <v/>
      </c>
      <c r="AL776" s="26" t="str">
        <f t="shared" si="407"/>
        <v/>
      </c>
      <c r="AM776" s="26" t="str">
        <f t="shared" si="407"/>
        <v/>
      </c>
      <c r="AN776" s="26" t="str">
        <f t="shared" si="386"/>
        <v>Chip Seal and Fog</v>
      </c>
      <c r="AO776" s="26" t="str">
        <f t="shared" si="397"/>
        <v/>
      </c>
      <c r="AP776" s="26" t="str">
        <f t="shared" si="395"/>
        <v/>
      </c>
      <c r="AQ776" s="68">
        <f t="shared" si="390"/>
        <v>10</v>
      </c>
      <c r="AR776" s="68">
        <f t="shared" si="391"/>
        <v>6</v>
      </c>
      <c r="AS776" s="68">
        <f t="shared" si="377"/>
        <v>1.05</v>
      </c>
      <c r="AT776" s="68">
        <f t="shared" si="378"/>
        <v>1.05</v>
      </c>
      <c r="AU776" s="68">
        <f t="shared" si="379"/>
        <v>1.05</v>
      </c>
      <c r="AV776" s="68">
        <f t="shared" si="380"/>
        <v>1.05</v>
      </c>
      <c r="AW776" s="68">
        <f t="shared" si="381"/>
        <v>1.05</v>
      </c>
      <c r="AX776" s="68">
        <f t="shared" ca="1" si="405"/>
        <v>-2.1</v>
      </c>
      <c r="AY776" s="68"/>
      <c r="AZ776" s="68"/>
      <c r="BA776" s="106" t="str">
        <f t="shared" si="408"/>
        <v/>
      </c>
      <c r="BB776" s="178"/>
      <c r="BC776" s="178"/>
      <c r="BD776" s="178"/>
      <c r="BE776" s="178"/>
      <c r="BF776" s="178"/>
      <c r="BG776" s="178"/>
      <c r="BH776" s="178"/>
      <c r="BI776" s="33"/>
      <c r="BJ776" s="2"/>
      <c r="BK776" s="48">
        <f>$G776/5280*VLOOKUP($AC776,'Cost and Score'!$B$27:$O$40,6,0)</f>
        <v>3.4015151515151519E-2</v>
      </c>
      <c r="BL776" s="48">
        <f>$G776/5280*VLOOKUP($AC776,'Cost and Score'!$B$27:$O$40,7,0)</f>
        <v>3.7416666666666667</v>
      </c>
      <c r="BM776" s="48">
        <f>$G776/5280*VLOOKUP($AC776,'Cost and Score'!$B$27:$O$40,8,0)</f>
        <v>0</v>
      </c>
      <c r="BN776" s="48">
        <f>$G776/5280*VLOOKUP($AC776,'Cost and Score'!$B$27:$O$40,9,0)</f>
        <v>765.34090909090912</v>
      </c>
      <c r="BO776" s="48">
        <f>$G776/5280*VLOOKUP($AC776,'Cost and Score'!$B$27:$O$40,10,0)</f>
        <v>170.07575757575756</v>
      </c>
      <c r="BP776" s="48">
        <f>$G776/5280*VLOOKUP($AC776,'Cost and Score'!$B$27:$O$40,11,0)</f>
        <v>0</v>
      </c>
      <c r="BQ776" s="48">
        <f>$G776/5280*VLOOKUP($AC776,'Cost and Score'!$B$27:$O$40,12,0)</f>
        <v>17.007575757575758</v>
      </c>
      <c r="BR776" s="48">
        <f>$G776/5280*VLOOKUP($AC776,'Cost and Score'!$B$27:$O$40,13,0)</f>
        <v>20.40909090909091</v>
      </c>
      <c r="BS776" s="48">
        <f>$G776/5280*VLOOKUP($AC776,'Cost and Score'!$B$27:$O$40,14,0)</f>
        <v>0</v>
      </c>
      <c r="BT776" s="220">
        <f t="shared" si="409"/>
        <v>0.17007575757575757</v>
      </c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R776" s="2"/>
      <c r="CS776" s="2"/>
      <c r="CT776" s="2"/>
      <c r="CU776" s="2"/>
      <c r="CW776" s="2"/>
      <c r="CX776" s="2"/>
      <c r="CY776" s="2"/>
    </row>
    <row r="777" spans="1:103" s="2" customFormat="1" ht="14.45" hidden="1" customHeight="1" x14ac:dyDescent="0.25">
      <c r="A777" s="38" t="s">
        <v>2102</v>
      </c>
      <c r="B777" s="34" t="s">
        <v>1565</v>
      </c>
      <c r="C777" s="26" t="s">
        <v>1565</v>
      </c>
      <c r="D777" s="26"/>
      <c r="E777" s="26" t="s">
        <v>1566</v>
      </c>
      <c r="F777" s="26" t="s">
        <v>1440</v>
      </c>
      <c r="G777" s="29">
        <v>720</v>
      </c>
      <c r="H777" s="29">
        <f t="shared" si="401"/>
        <v>20</v>
      </c>
      <c r="I777" s="26" t="s">
        <v>13</v>
      </c>
      <c r="J777" s="26" t="s">
        <v>101</v>
      </c>
      <c r="K777" s="26">
        <v>0</v>
      </c>
      <c r="L777" s="42">
        <v>7</v>
      </c>
      <c r="M777" s="42">
        <v>6</v>
      </c>
      <c r="N777" s="42">
        <v>6</v>
      </c>
      <c r="O777" s="42">
        <v>6</v>
      </c>
      <c r="P777" s="42">
        <v>8</v>
      </c>
      <c r="Q777" s="42">
        <v>7</v>
      </c>
      <c r="R777" s="42">
        <v>7</v>
      </c>
      <c r="S777" s="42">
        <v>6</v>
      </c>
      <c r="T777" s="42">
        <v>6</v>
      </c>
      <c r="U777" s="42">
        <v>6</v>
      </c>
      <c r="V777" s="42"/>
      <c r="W777" s="42"/>
      <c r="X777" s="42"/>
      <c r="Y777" s="26">
        <v>50</v>
      </c>
      <c r="Z777" s="26">
        <f t="shared" si="403"/>
        <v>0</v>
      </c>
      <c r="AA777" s="26" t="s">
        <v>1565</v>
      </c>
      <c r="AB777" s="111">
        <f t="shared" si="404"/>
        <v>2</v>
      </c>
      <c r="AC777" s="26" t="s">
        <v>2073</v>
      </c>
      <c r="AD777" s="47">
        <f t="shared" si="406"/>
        <v>4363.636363636364</v>
      </c>
      <c r="AE777" s="140"/>
      <c r="AF777" s="113">
        <f t="shared" si="387"/>
        <v>0</v>
      </c>
      <c r="AG777" s="26">
        <v>2022</v>
      </c>
      <c r="AH777" s="26" t="str">
        <f t="shared" si="376"/>
        <v>Chip Seal - Double and Fog</v>
      </c>
      <c r="AI777" s="26" t="str">
        <f t="shared" si="392"/>
        <v/>
      </c>
      <c r="AJ777" s="26" t="str">
        <f t="shared" si="396"/>
        <v/>
      </c>
      <c r="AK777" s="26" t="str">
        <f t="shared" si="407"/>
        <v/>
      </c>
      <c r="AL777" s="26" t="str">
        <f t="shared" si="407"/>
        <v/>
      </c>
      <c r="AM777" s="26" t="str">
        <f t="shared" si="407"/>
        <v/>
      </c>
      <c r="AN777" s="26" t="str">
        <f t="shared" si="386"/>
        <v>Chip Seal - Double and Fog</v>
      </c>
      <c r="AO777" s="26" t="str">
        <f t="shared" si="397"/>
        <v/>
      </c>
      <c r="AP777" s="26" t="str">
        <f t="shared" si="395"/>
        <v/>
      </c>
      <c r="AQ777" s="68">
        <f t="shared" si="390"/>
        <v>8</v>
      </c>
      <c r="AR777" s="68">
        <f t="shared" si="391"/>
        <v>6</v>
      </c>
      <c r="AS777" s="68">
        <f t="shared" si="377"/>
        <v>1.05</v>
      </c>
      <c r="AT777" s="68">
        <f t="shared" si="378"/>
        <v>1.1000000000000001</v>
      </c>
      <c r="AU777" s="68">
        <f t="shared" si="379"/>
        <v>1.1000000000000001</v>
      </c>
      <c r="AV777" s="68">
        <f t="shared" si="380"/>
        <v>1.1000000000000001</v>
      </c>
      <c r="AW777" s="68">
        <f t="shared" si="381"/>
        <v>1</v>
      </c>
      <c r="AX777" s="68">
        <f t="shared" ca="1" si="405"/>
        <v>-2.2000000000000002</v>
      </c>
      <c r="AY777" s="68"/>
      <c r="AZ777" s="68"/>
      <c r="BA777" s="106" t="str">
        <f t="shared" si="408"/>
        <v/>
      </c>
      <c r="BB777" s="178"/>
      <c r="BC777" s="178"/>
      <c r="BD777" s="178"/>
      <c r="BE777" s="178"/>
      <c r="BF777" s="178"/>
      <c r="BG777" s="178"/>
      <c r="BH777" s="178"/>
      <c r="BI777" s="33"/>
      <c r="BK777" s="48">
        <f>$G777/5280*VLOOKUP($AC777,'Cost and Score'!$B$27:$O$40,6,0)</f>
        <v>6.8181818181818177E-2</v>
      </c>
      <c r="BL777" s="48">
        <f>$G777/5280*VLOOKUP($AC777,'Cost and Score'!$B$27:$O$40,7,0)</f>
        <v>6.8181818181818175</v>
      </c>
      <c r="BM777" s="48">
        <f>$G777/5280*VLOOKUP($AC777,'Cost and Score'!$B$27:$O$40,8,0)</f>
        <v>0</v>
      </c>
      <c r="BN777" s="48">
        <f>$G777/5280*VLOOKUP($AC777,'Cost and Score'!$B$27:$O$40,9,0)</f>
        <v>1295.4545454545453</v>
      </c>
      <c r="BO777" s="48">
        <f>$G777/5280*VLOOKUP($AC777,'Cost and Score'!$B$27:$O$40,10,0)</f>
        <v>136.36363636363635</v>
      </c>
      <c r="BP777" s="48">
        <f>$G777/5280*VLOOKUP($AC777,'Cost and Score'!$B$27:$O$40,11,0)</f>
        <v>0</v>
      </c>
      <c r="BQ777" s="48">
        <f>$G777/5280*VLOOKUP($AC777,'Cost and Score'!$B$27:$O$40,12,0)</f>
        <v>27.27272727272727</v>
      </c>
      <c r="BR777" s="48">
        <f>$G777/5280*VLOOKUP($AC777,'Cost and Score'!$B$27:$O$40,13,0)</f>
        <v>24.545454545454543</v>
      </c>
      <c r="BS777" s="48">
        <f>$G777/5280*VLOOKUP($AC777,'Cost and Score'!$B$27:$O$40,14,0)</f>
        <v>32.727272727272727</v>
      </c>
      <c r="BT777" s="220">
        <f t="shared" si="409"/>
        <v>0.13636363636363635</v>
      </c>
      <c r="CN777" s="112"/>
      <c r="CO777" s="112"/>
      <c r="CP777" s="112"/>
      <c r="CQ777" s="112"/>
      <c r="CV777" s="112"/>
    </row>
    <row r="778" spans="1:103" s="2" customFormat="1" ht="14.45" customHeight="1" x14ac:dyDescent="0.25">
      <c r="A778" s="31" t="s">
        <v>2102</v>
      </c>
      <c r="B778" s="45" t="s">
        <v>1486</v>
      </c>
      <c r="C778" s="26" t="s">
        <v>1486</v>
      </c>
      <c r="D778" s="119" t="s">
        <v>2285</v>
      </c>
      <c r="E778" s="82" t="s">
        <v>1487</v>
      </c>
      <c r="F778" s="82" t="s">
        <v>1462</v>
      </c>
      <c r="G778" s="146">
        <v>1119</v>
      </c>
      <c r="H778" s="29">
        <f t="shared" si="401"/>
        <v>26</v>
      </c>
      <c r="I778" s="26" t="s">
        <v>2098</v>
      </c>
      <c r="J778" s="26" t="s">
        <v>125</v>
      </c>
      <c r="K778" s="26">
        <v>0</v>
      </c>
      <c r="L778" s="42">
        <v>7</v>
      </c>
      <c r="M778" s="42">
        <v>8</v>
      </c>
      <c r="N778" s="42">
        <v>8</v>
      </c>
      <c r="O778" s="83">
        <v>8</v>
      </c>
      <c r="P778" s="83">
        <v>8</v>
      </c>
      <c r="Q778" s="83">
        <v>8</v>
      </c>
      <c r="R778" s="83">
        <v>9</v>
      </c>
      <c r="S778" s="83">
        <v>8</v>
      </c>
      <c r="T778" s="83">
        <v>8</v>
      </c>
      <c r="U778" s="83">
        <v>8</v>
      </c>
      <c r="V778" s="42"/>
      <c r="W778" s="42"/>
      <c r="X778" s="42"/>
      <c r="Y778" s="26">
        <v>50</v>
      </c>
      <c r="Z778" s="26">
        <f t="shared" si="403"/>
        <v>0</v>
      </c>
      <c r="AA778" s="82" t="s">
        <v>1486</v>
      </c>
      <c r="AB778" s="111">
        <f t="shared" si="404"/>
        <v>2</v>
      </c>
      <c r="AC778" s="85" t="s">
        <v>2425</v>
      </c>
      <c r="AD778" s="84">
        <f t="shared" si="406"/>
        <v>5298.295454545455</v>
      </c>
      <c r="AE778" s="140"/>
      <c r="AF778" s="113">
        <f t="shared" si="387"/>
        <v>0</v>
      </c>
      <c r="AG778" s="106">
        <v>2025</v>
      </c>
      <c r="AH778" s="26" t="str">
        <f t="shared" si="376"/>
        <v/>
      </c>
      <c r="AI778" s="26" t="str">
        <f t="shared" si="392"/>
        <v/>
      </c>
      <c r="AJ778" s="26" t="str">
        <f t="shared" si="396"/>
        <v/>
      </c>
      <c r="AK778" s="26" t="str">
        <f t="shared" si="407"/>
        <v>Liquid Road</v>
      </c>
      <c r="AL778" s="26" t="str">
        <f t="shared" si="407"/>
        <v/>
      </c>
      <c r="AM778" s="26" t="str">
        <f t="shared" si="407"/>
        <v/>
      </c>
      <c r="AN778" s="26" t="str">
        <f t="shared" si="386"/>
        <v>Liquid Road</v>
      </c>
      <c r="AO778" s="26" t="str">
        <f t="shared" si="397"/>
        <v/>
      </c>
      <c r="AP778" s="26" t="str">
        <f t="shared" si="395"/>
        <v/>
      </c>
      <c r="AQ778" s="68">
        <f t="shared" si="390"/>
        <v>12</v>
      </c>
      <c r="AR778" s="68">
        <f t="shared" si="391"/>
        <v>10</v>
      </c>
      <c r="AS778" s="68">
        <f t="shared" si="377"/>
        <v>1.05</v>
      </c>
      <c r="AT778" s="68">
        <f t="shared" si="378"/>
        <v>1</v>
      </c>
      <c r="AU778" s="68">
        <f t="shared" si="379"/>
        <v>1</v>
      </c>
      <c r="AV778" s="68">
        <f t="shared" si="380"/>
        <v>1</v>
      </c>
      <c r="AW778" s="68">
        <f t="shared" si="381"/>
        <v>1</v>
      </c>
      <c r="AX778" s="68">
        <f t="shared" ca="1" si="405"/>
        <v>1</v>
      </c>
      <c r="AY778" s="68">
        <v>2019</v>
      </c>
      <c r="AZ778" s="85" t="s">
        <v>2075</v>
      </c>
      <c r="BA778" s="106" t="str">
        <f t="shared" si="408"/>
        <v/>
      </c>
      <c r="BB778" s="203"/>
      <c r="BC778" s="178"/>
      <c r="BD778" s="178"/>
      <c r="BE778" s="178"/>
      <c r="BF778" s="178"/>
      <c r="BG778" s="178"/>
      <c r="BH778" s="178"/>
      <c r="BI778" s="33"/>
      <c r="BK778" s="48">
        <f>$G778/5280*VLOOKUP($AC778,'Cost and Score'!$B$27:$O$40,6,0)</f>
        <v>0.21193181818181819</v>
      </c>
      <c r="BL778" s="48">
        <f>$G778/5280*VLOOKUP($AC778,'Cost and Score'!$B$27:$O$40,7,0)</f>
        <v>3.3909090909090911</v>
      </c>
      <c r="BM778" s="48">
        <f>$G778/5280*VLOOKUP($AC778,'Cost and Score'!$B$27:$O$40,8,0)</f>
        <v>0</v>
      </c>
      <c r="BN778" s="48">
        <f>$G778/5280*VLOOKUP($AC778,'Cost and Score'!$B$27:$O$40,9,0)</f>
        <v>0</v>
      </c>
      <c r="BO778" s="48">
        <f>$G778/5280*VLOOKUP($AC778,'Cost and Score'!$B$27:$O$40,10,0)</f>
        <v>0</v>
      </c>
      <c r="BP778" s="48">
        <f>$G778/5280*VLOOKUP($AC778,'Cost and Score'!$B$27:$O$40,11,0)</f>
        <v>0</v>
      </c>
      <c r="BQ778" s="48">
        <f>$G778/5280*VLOOKUP($AC778,'Cost and Score'!$B$27:$O$40,12,0)</f>
        <v>0</v>
      </c>
      <c r="BR778" s="48">
        <f>$G778/5280*VLOOKUP($AC778,'Cost and Score'!$B$27:$O$40,13,0)</f>
        <v>0</v>
      </c>
      <c r="BS778" s="48">
        <f>$G778/5280*VLOOKUP($AC778,'Cost and Score'!$B$27:$O$40,14,0)</f>
        <v>0</v>
      </c>
      <c r="BT778" s="220">
        <f t="shared" si="409"/>
        <v>0.21193181818181819</v>
      </c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S778" s="112"/>
      <c r="CT778" s="112"/>
      <c r="CU778" s="112"/>
      <c r="CV778" s="112"/>
      <c r="CW778" s="112"/>
      <c r="CX778" s="112"/>
      <c r="CY778" s="112"/>
    </row>
    <row r="779" spans="1:103" s="2" customFormat="1" ht="14.45" hidden="1" customHeight="1" x14ac:dyDescent="0.25">
      <c r="A779" s="31" t="s">
        <v>2102</v>
      </c>
      <c r="B779" s="45" t="s">
        <v>1569</v>
      </c>
      <c r="C779" s="26" t="s">
        <v>1569</v>
      </c>
      <c r="D779" s="119" t="s">
        <v>2239</v>
      </c>
      <c r="E779" s="82" t="s">
        <v>1469</v>
      </c>
      <c r="F779" s="82" t="s">
        <v>15</v>
      </c>
      <c r="G779" s="29">
        <v>370</v>
      </c>
      <c r="H779" s="29">
        <f t="shared" si="401"/>
        <v>26</v>
      </c>
      <c r="I779" s="26" t="s">
        <v>2098</v>
      </c>
      <c r="J779" s="26" t="s">
        <v>11</v>
      </c>
      <c r="K779" s="26">
        <f>VLOOKUP(J779,TOWNSHIPS,2,FALSE)</f>
        <v>0</v>
      </c>
      <c r="L779" s="42">
        <v>7</v>
      </c>
      <c r="M779" s="42">
        <v>6</v>
      </c>
      <c r="N779" s="42">
        <v>6</v>
      </c>
      <c r="O779" s="83">
        <v>6</v>
      </c>
      <c r="P779" s="83">
        <v>6</v>
      </c>
      <c r="Q779" s="83">
        <v>9</v>
      </c>
      <c r="R779" s="83">
        <v>8</v>
      </c>
      <c r="S779" s="83">
        <v>7</v>
      </c>
      <c r="T779" s="83">
        <v>7</v>
      </c>
      <c r="U779" s="83">
        <v>7</v>
      </c>
      <c r="V779" s="42"/>
      <c r="W779" s="42"/>
      <c r="X779" s="42"/>
      <c r="Y779" s="26">
        <v>50</v>
      </c>
      <c r="Z779" s="26">
        <f t="shared" si="403"/>
        <v>0</v>
      </c>
      <c r="AA779" s="82" t="s">
        <v>1569</v>
      </c>
      <c r="AB779" s="111">
        <f t="shared" si="404"/>
        <v>4</v>
      </c>
      <c r="AC779" s="85" t="s">
        <v>13</v>
      </c>
      <c r="AD779" s="84">
        <f t="shared" si="406"/>
        <v>1471.590909090909</v>
      </c>
      <c r="AE779" s="140"/>
      <c r="AF779" s="113">
        <f t="shared" si="387"/>
        <v>0</v>
      </c>
      <c r="AG779" s="26">
        <v>2024</v>
      </c>
      <c r="AH779" s="26" t="str">
        <f t="shared" si="376"/>
        <v/>
      </c>
      <c r="AI779" s="26" t="str">
        <f t="shared" si="392"/>
        <v/>
      </c>
      <c r="AJ779" s="26" t="str">
        <f t="shared" si="396"/>
        <v>Chip Seal and Fog</v>
      </c>
      <c r="AK779" s="26" t="str">
        <f t="shared" si="407"/>
        <v/>
      </c>
      <c r="AL779" s="26" t="str">
        <f t="shared" si="407"/>
        <v/>
      </c>
      <c r="AM779" s="26" t="str">
        <f t="shared" si="407"/>
        <v/>
      </c>
      <c r="AN779" s="26" t="str">
        <f t="shared" si="386"/>
        <v>Chip Seal and Fog</v>
      </c>
      <c r="AO779" s="26" t="str">
        <f t="shared" si="397"/>
        <v/>
      </c>
      <c r="AP779" s="26" t="str">
        <f t="shared" si="395"/>
        <v/>
      </c>
      <c r="AQ779" s="68">
        <f t="shared" si="390"/>
        <v>8</v>
      </c>
      <c r="AR779" s="68">
        <f t="shared" si="391"/>
        <v>6</v>
      </c>
      <c r="AS779" s="68">
        <f t="shared" si="377"/>
        <v>1.05</v>
      </c>
      <c r="AT779" s="68">
        <f t="shared" si="378"/>
        <v>1.1000000000000001</v>
      </c>
      <c r="AU779" s="68">
        <f t="shared" si="379"/>
        <v>1.1000000000000001</v>
      </c>
      <c r="AV779" s="68">
        <f t="shared" si="380"/>
        <v>1.1000000000000001</v>
      </c>
      <c r="AW779" s="68">
        <f t="shared" si="381"/>
        <v>1.1000000000000001</v>
      </c>
      <c r="AX779" s="68">
        <f t="shared" ca="1" si="405"/>
        <v>0</v>
      </c>
      <c r="AY779" s="68">
        <v>2018</v>
      </c>
      <c r="AZ779" s="68" t="s">
        <v>751</v>
      </c>
      <c r="BA779" s="106" t="str">
        <f t="shared" si="408"/>
        <v>P</v>
      </c>
      <c r="BB779" s="178"/>
      <c r="BC779" s="178"/>
      <c r="BD779" s="178"/>
      <c r="BE779" s="178"/>
      <c r="BF779" s="178"/>
      <c r="BG779" s="178"/>
      <c r="BH779" s="178"/>
      <c r="BI779" s="33"/>
      <c r="BK779" s="48">
        <f>$G779/5280*VLOOKUP($AC779,'Cost and Score'!$B$27:$O$40,6,0)</f>
        <v>1.4015151515151515E-2</v>
      </c>
      <c r="BL779" s="48">
        <f>$G779/5280*VLOOKUP($AC779,'Cost and Score'!$B$27:$O$40,7,0)</f>
        <v>1.5416666666666665</v>
      </c>
      <c r="BM779" s="48">
        <f>$G779/5280*VLOOKUP($AC779,'Cost and Score'!$B$27:$O$40,8,0)</f>
        <v>0</v>
      </c>
      <c r="BN779" s="48">
        <f>$G779/5280*VLOOKUP($AC779,'Cost and Score'!$B$27:$O$40,9,0)</f>
        <v>315.34090909090907</v>
      </c>
      <c r="BO779" s="48">
        <f>$G779/5280*VLOOKUP($AC779,'Cost and Score'!$B$27:$O$40,10,0)</f>
        <v>70.075757575757564</v>
      </c>
      <c r="BP779" s="48">
        <f>$G779/5280*VLOOKUP($AC779,'Cost and Score'!$B$27:$O$40,11,0)</f>
        <v>0</v>
      </c>
      <c r="BQ779" s="48">
        <f>$G779/5280*VLOOKUP($AC779,'Cost and Score'!$B$27:$O$40,12,0)</f>
        <v>7.0075757575757569</v>
      </c>
      <c r="BR779" s="48">
        <f>$G779/5280*VLOOKUP($AC779,'Cost and Score'!$B$27:$O$40,13,0)</f>
        <v>8.4090909090909083</v>
      </c>
      <c r="BS779" s="48">
        <f>$G779/5280*VLOOKUP($AC779,'Cost and Score'!$B$27:$O$40,14,0)</f>
        <v>0</v>
      </c>
      <c r="BT779" s="220">
        <f t="shared" si="409"/>
        <v>7.0075757575757569E-2</v>
      </c>
      <c r="CR779" s="112"/>
      <c r="CW779" s="112"/>
      <c r="CX779" s="112"/>
      <c r="CY779" s="112"/>
    </row>
    <row r="780" spans="1:103" s="2" customFormat="1" ht="14.45" customHeight="1" x14ac:dyDescent="0.25">
      <c r="A780" s="31" t="s">
        <v>2102</v>
      </c>
      <c r="B780" s="45" t="s">
        <v>1550</v>
      </c>
      <c r="C780" s="26" t="s">
        <v>1550</v>
      </c>
      <c r="D780" s="119" t="s">
        <v>2285</v>
      </c>
      <c r="E780" s="82" t="s">
        <v>1487</v>
      </c>
      <c r="F780" s="82" t="s">
        <v>1462</v>
      </c>
      <c r="G780" s="148">
        <v>909</v>
      </c>
      <c r="H780" s="29">
        <f t="shared" si="401"/>
        <v>26</v>
      </c>
      <c r="I780" s="26" t="s">
        <v>2098</v>
      </c>
      <c r="J780" s="26" t="s">
        <v>125</v>
      </c>
      <c r="K780" s="26">
        <f>VLOOKUP(J780,TOWNSHIPS,2,FALSE)</f>
        <v>0</v>
      </c>
      <c r="L780" s="42">
        <v>8</v>
      </c>
      <c r="M780" s="42">
        <v>8</v>
      </c>
      <c r="N780" s="42">
        <v>8</v>
      </c>
      <c r="O780" s="83">
        <v>8</v>
      </c>
      <c r="P780" s="83">
        <v>8</v>
      </c>
      <c r="Q780" s="83">
        <v>8</v>
      </c>
      <c r="R780" s="83">
        <v>8</v>
      </c>
      <c r="S780" s="83">
        <v>8</v>
      </c>
      <c r="T780" s="83">
        <v>8</v>
      </c>
      <c r="U780" s="83">
        <v>8</v>
      </c>
      <c r="V780" s="42"/>
      <c r="W780" s="42"/>
      <c r="X780" s="42"/>
      <c r="Y780" s="26">
        <v>50</v>
      </c>
      <c r="Z780" s="26">
        <f t="shared" si="403"/>
        <v>0</v>
      </c>
      <c r="AA780" s="82" t="s">
        <v>1550</v>
      </c>
      <c r="AB780" s="111">
        <f t="shared" si="404"/>
        <v>2</v>
      </c>
      <c r="AC780" s="85" t="s">
        <v>2425</v>
      </c>
      <c r="AD780" s="84">
        <f t="shared" si="406"/>
        <v>4303.977272727273</v>
      </c>
      <c r="AE780" s="140"/>
      <c r="AF780" s="113">
        <f t="shared" si="387"/>
        <v>0</v>
      </c>
      <c r="AG780" s="106">
        <v>2025</v>
      </c>
      <c r="AH780" s="26" t="str">
        <f t="shared" si="376"/>
        <v/>
      </c>
      <c r="AI780" s="26" t="str">
        <f t="shared" si="392"/>
        <v/>
      </c>
      <c r="AJ780" s="26" t="str">
        <f t="shared" si="396"/>
        <v/>
      </c>
      <c r="AK780" s="26" t="str">
        <f t="shared" si="407"/>
        <v>Liquid Road</v>
      </c>
      <c r="AL780" s="26" t="str">
        <f t="shared" si="407"/>
        <v/>
      </c>
      <c r="AM780" s="26" t="str">
        <f t="shared" si="407"/>
        <v/>
      </c>
      <c r="AN780" s="26" t="str">
        <f t="shared" si="386"/>
        <v>Liquid Road</v>
      </c>
      <c r="AO780" s="26" t="str">
        <f t="shared" si="397"/>
        <v/>
      </c>
      <c r="AP780" s="26" t="str">
        <f t="shared" si="395"/>
        <v/>
      </c>
      <c r="AQ780" s="68">
        <f t="shared" si="390"/>
        <v>12</v>
      </c>
      <c r="AR780" s="68">
        <f t="shared" si="391"/>
        <v>10</v>
      </c>
      <c r="AS780" s="68">
        <f t="shared" si="377"/>
        <v>1</v>
      </c>
      <c r="AT780" s="68">
        <f t="shared" si="378"/>
        <v>1</v>
      </c>
      <c r="AU780" s="68">
        <f t="shared" si="379"/>
        <v>1</v>
      </c>
      <c r="AV780" s="68">
        <f t="shared" si="380"/>
        <v>1</v>
      </c>
      <c r="AW780" s="68">
        <f t="shared" si="381"/>
        <v>1</v>
      </c>
      <c r="AX780" s="68">
        <f t="shared" ca="1" si="405"/>
        <v>1</v>
      </c>
      <c r="AY780" s="68">
        <v>2019</v>
      </c>
      <c r="AZ780" s="85" t="s">
        <v>2075</v>
      </c>
      <c r="BA780" s="106" t="str">
        <f t="shared" si="408"/>
        <v/>
      </c>
      <c r="BB780" s="203"/>
      <c r="BC780" s="178"/>
      <c r="BD780" s="178"/>
      <c r="BE780" s="178"/>
      <c r="BF780" s="178"/>
      <c r="BG780" s="178"/>
      <c r="BH780" s="178"/>
      <c r="BI780" s="33"/>
      <c r="BK780" s="48">
        <f>$G780/5280*VLOOKUP($AC780,'Cost and Score'!$B$27:$O$40,6,0)</f>
        <v>0.1721590909090909</v>
      </c>
      <c r="BL780" s="48">
        <f>$G780/5280*VLOOKUP($AC780,'Cost and Score'!$B$27:$O$40,7,0)</f>
        <v>2.7545454545454544</v>
      </c>
      <c r="BM780" s="48">
        <f>$G780/5280*VLOOKUP($AC780,'Cost and Score'!$B$27:$O$40,8,0)</f>
        <v>0</v>
      </c>
      <c r="BN780" s="48">
        <f>$G780/5280*VLOOKUP($AC780,'Cost and Score'!$B$27:$O$40,9,0)</f>
        <v>0</v>
      </c>
      <c r="BO780" s="48">
        <f>$G780/5280*VLOOKUP($AC780,'Cost and Score'!$B$27:$O$40,10,0)</f>
        <v>0</v>
      </c>
      <c r="BP780" s="48">
        <f>$G780/5280*VLOOKUP($AC780,'Cost and Score'!$B$27:$O$40,11,0)</f>
        <v>0</v>
      </c>
      <c r="BQ780" s="48">
        <f>$G780/5280*VLOOKUP($AC780,'Cost and Score'!$B$27:$O$40,12,0)</f>
        <v>0</v>
      </c>
      <c r="BR780" s="48">
        <f>$G780/5280*VLOOKUP($AC780,'Cost and Score'!$B$27:$O$40,13,0)</f>
        <v>0</v>
      </c>
      <c r="BS780" s="48">
        <f>$G780/5280*VLOOKUP($AC780,'Cost and Score'!$B$27:$O$40,14,0)</f>
        <v>0</v>
      </c>
      <c r="BT780" s="220">
        <f t="shared" si="409"/>
        <v>0.1721590909090909</v>
      </c>
      <c r="CG780" s="112"/>
      <c r="CH780" s="112"/>
      <c r="CI780" s="112"/>
      <c r="CJ780" s="112"/>
      <c r="CK780" s="112"/>
      <c r="CL780" s="112"/>
      <c r="CM780" s="112"/>
      <c r="CS780" s="112"/>
      <c r="CT780" s="112"/>
      <c r="CU780" s="112"/>
      <c r="CW780" s="112"/>
      <c r="CX780" s="112"/>
      <c r="CY780" s="112"/>
    </row>
    <row r="781" spans="1:103" s="2" customFormat="1" ht="14.45" hidden="1" customHeight="1" x14ac:dyDescent="0.25">
      <c r="A781" s="31" t="s">
        <v>2102</v>
      </c>
      <c r="B781" s="226" t="s">
        <v>1571</v>
      </c>
      <c r="C781" s="106" t="s">
        <v>1571</v>
      </c>
      <c r="D781" s="116" t="s">
        <v>2299</v>
      </c>
      <c r="E781" s="106" t="s">
        <v>4</v>
      </c>
      <c r="F781" s="106" t="s">
        <v>1405</v>
      </c>
      <c r="G781" s="109">
        <v>264</v>
      </c>
      <c r="H781" s="109">
        <f t="shared" si="401"/>
        <v>26</v>
      </c>
      <c r="I781" s="106" t="s">
        <v>2098</v>
      </c>
      <c r="J781" s="106" t="s">
        <v>101</v>
      </c>
      <c r="K781" s="106">
        <v>0</v>
      </c>
      <c r="L781" s="110">
        <v>7</v>
      </c>
      <c r="M781" s="110">
        <v>8</v>
      </c>
      <c r="N781" s="110">
        <v>8</v>
      </c>
      <c r="O781" s="110">
        <v>8</v>
      </c>
      <c r="P781" s="110">
        <v>9</v>
      </c>
      <c r="Q781" s="110">
        <v>8</v>
      </c>
      <c r="R781" s="110">
        <v>8</v>
      </c>
      <c r="S781" s="110">
        <v>7</v>
      </c>
      <c r="T781" s="110">
        <v>6</v>
      </c>
      <c r="U781" s="110">
        <v>6</v>
      </c>
      <c r="V781" s="110"/>
      <c r="W781" s="110"/>
      <c r="X781" s="110"/>
      <c r="Y781" s="106">
        <v>50</v>
      </c>
      <c r="Z781" s="106">
        <f t="shared" si="403"/>
        <v>0</v>
      </c>
      <c r="AA781" s="106" t="s">
        <v>1571</v>
      </c>
      <c r="AB781" s="111">
        <f t="shared" si="404"/>
        <v>1</v>
      </c>
      <c r="AC781" s="85" t="s">
        <v>2371</v>
      </c>
      <c r="AD781" s="107">
        <f t="shared" si="406"/>
        <v>4000</v>
      </c>
      <c r="AE781" s="140">
        <v>1</v>
      </c>
      <c r="AF781" s="113">
        <f t="shared" si="387"/>
        <v>4000</v>
      </c>
      <c r="AG781" s="106">
        <v>2024</v>
      </c>
      <c r="AH781" s="26" t="str">
        <f t="shared" ref="AH781:AH844" si="410">IF($AG781=AH$1,VLOOKUP($AC781,RSL,3,FALSE),"")</f>
        <v/>
      </c>
      <c r="AI781" s="26" t="str">
        <f t="shared" si="392"/>
        <v/>
      </c>
      <c r="AJ781" s="26" t="str">
        <f t="shared" si="396"/>
        <v>Microsurface double</v>
      </c>
      <c r="AK781" s="26" t="str">
        <f t="shared" si="407"/>
        <v/>
      </c>
      <c r="AL781" s="26" t="str">
        <f t="shared" si="407"/>
        <v/>
      </c>
      <c r="AM781" s="26" t="str">
        <f t="shared" si="407"/>
        <v/>
      </c>
      <c r="AN781" s="26" t="str">
        <f t="shared" si="386"/>
        <v>Microsurface double</v>
      </c>
      <c r="AO781" s="26" t="str">
        <f t="shared" si="397"/>
        <v/>
      </c>
      <c r="AP781" s="26" t="str">
        <f t="shared" si="395"/>
        <v/>
      </c>
      <c r="AQ781" s="68">
        <f t="shared" si="390"/>
        <v>12</v>
      </c>
      <c r="AR781" s="68">
        <f t="shared" si="391"/>
        <v>10</v>
      </c>
      <c r="AS781" s="68">
        <f t="shared" si="377"/>
        <v>1.05</v>
      </c>
      <c r="AT781" s="68">
        <f t="shared" si="378"/>
        <v>1</v>
      </c>
      <c r="AU781" s="68">
        <f t="shared" si="379"/>
        <v>1</v>
      </c>
      <c r="AV781" s="68">
        <f t="shared" si="380"/>
        <v>1</v>
      </c>
      <c r="AW781" s="68">
        <f t="shared" si="381"/>
        <v>1</v>
      </c>
      <c r="AX781" s="68">
        <f t="shared" ca="1" si="405"/>
        <v>0</v>
      </c>
      <c r="AY781" s="106">
        <v>2017</v>
      </c>
      <c r="AZ781" s="68" t="s">
        <v>2425</v>
      </c>
      <c r="BA781" s="106" t="str">
        <f t="shared" si="408"/>
        <v/>
      </c>
      <c r="BB781" s="178"/>
      <c r="BC781" s="178"/>
      <c r="BD781" s="178"/>
      <c r="BE781" s="178"/>
      <c r="BF781" s="178"/>
      <c r="BG781" s="178"/>
      <c r="BH781" s="178">
        <v>5</v>
      </c>
      <c r="BI781" s="33" t="s">
        <v>2623</v>
      </c>
      <c r="BK781" s="48">
        <f>$G781/5280*VLOOKUP($AC781,'Cost and Score'!$B$27:$O$40,6,0)</f>
        <v>2.5000000000000001E-2</v>
      </c>
      <c r="BL781" s="48">
        <f>$G781/5280*VLOOKUP($AC781,'Cost and Score'!$B$27:$O$40,7,0)</f>
        <v>0</v>
      </c>
      <c r="BM781" s="48">
        <f>$G781/5280*VLOOKUP($AC781,'Cost and Score'!$B$27:$O$40,8,0)</f>
        <v>0</v>
      </c>
      <c r="BN781" s="48">
        <f>$G781/5280*VLOOKUP($AC781,'Cost and Score'!$B$27:$O$40,9,0)</f>
        <v>0</v>
      </c>
      <c r="BO781" s="48">
        <f>$G781/5280*VLOOKUP($AC781,'Cost and Score'!$B$27:$O$40,10,0)</f>
        <v>0</v>
      </c>
      <c r="BP781" s="48">
        <f>$G781/5280*VLOOKUP($AC781,'Cost and Score'!$B$27:$O$40,11,0)</f>
        <v>0</v>
      </c>
      <c r="BQ781" s="48">
        <f>$G781/5280*VLOOKUP($AC781,'Cost and Score'!$B$27:$O$40,12,0)</f>
        <v>0</v>
      </c>
      <c r="BR781" s="48">
        <f>$G781/5280*VLOOKUP($AC781,'Cost and Score'!$B$27:$O$40,13,0)</f>
        <v>0</v>
      </c>
      <c r="BS781" s="48">
        <f>$G781/5280*VLOOKUP($AC781,'Cost and Score'!$B$27:$O$40,14,0)</f>
        <v>0</v>
      </c>
      <c r="BT781" s="220">
        <f t="shared" si="409"/>
        <v>0.05</v>
      </c>
      <c r="CG781" s="112"/>
      <c r="CH781" s="112"/>
      <c r="CI781" s="112"/>
      <c r="CJ781" s="112"/>
      <c r="CK781" s="112"/>
      <c r="CL781" s="112"/>
      <c r="CM781" s="112"/>
      <c r="CS781" s="112"/>
      <c r="CT781" s="112"/>
      <c r="CU781" s="112"/>
    </row>
    <row r="782" spans="1:103" s="112" customFormat="1" ht="14.45" hidden="1" customHeight="1" x14ac:dyDescent="0.25">
      <c r="A782" s="38" t="s">
        <v>2102</v>
      </c>
      <c r="B782" s="34" t="s">
        <v>1572</v>
      </c>
      <c r="C782" s="26" t="s">
        <v>1572</v>
      </c>
      <c r="D782" s="26"/>
      <c r="E782" s="26" t="s">
        <v>25</v>
      </c>
      <c r="F782" s="26" t="s">
        <v>10</v>
      </c>
      <c r="G782" s="29">
        <v>588</v>
      </c>
      <c r="H782" s="29">
        <f t="shared" si="401"/>
        <v>20</v>
      </c>
      <c r="I782" s="26" t="s">
        <v>8</v>
      </c>
      <c r="J782" s="26" t="s">
        <v>101</v>
      </c>
      <c r="K782" s="26">
        <v>0</v>
      </c>
      <c r="L782" s="42">
        <v>6</v>
      </c>
      <c r="M782" s="42">
        <v>4</v>
      </c>
      <c r="N782" s="42">
        <v>4</v>
      </c>
      <c r="O782" s="42">
        <v>8</v>
      </c>
      <c r="P782" s="42">
        <v>8</v>
      </c>
      <c r="Q782" s="42">
        <v>8</v>
      </c>
      <c r="R782" s="42">
        <v>8</v>
      </c>
      <c r="S782" s="42">
        <v>8</v>
      </c>
      <c r="T782" s="42">
        <v>7</v>
      </c>
      <c r="U782" s="42">
        <v>7</v>
      </c>
      <c r="V782" s="42"/>
      <c r="W782" s="42"/>
      <c r="X782" s="42"/>
      <c r="Y782" s="26">
        <v>50</v>
      </c>
      <c r="Z782" s="26">
        <f t="shared" si="403"/>
        <v>0</v>
      </c>
      <c r="AA782" s="26" t="s">
        <v>1572</v>
      </c>
      <c r="AB782" s="111">
        <f t="shared" si="404"/>
        <v>2</v>
      </c>
      <c r="AC782" s="85" t="s">
        <v>13</v>
      </c>
      <c r="AD782" s="47">
        <f t="shared" si="406"/>
        <v>2338.6363636363635</v>
      </c>
      <c r="AE782" s="140"/>
      <c r="AF782" s="113">
        <f t="shared" si="387"/>
        <v>0</v>
      </c>
      <c r="AG782" s="26">
        <v>2027</v>
      </c>
      <c r="AH782" s="26" t="str">
        <f t="shared" si="410"/>
        <v/>
      </c>
      <c r="AI782" s="26" t="str">
        <f t="shared" si="392"/>
        <v/>
      </c>
      <c r="AJ782" s="26" t="str">
        <f t="shared" si="396"/>
        <v/>
      </c>
      <c r="AK782" s="26" t="str">
        <f t="shared" si="407"/>
        <v/>
      </c>
      <c r="AL782" s="26" t="str">
        <f t="shared" si="407"/>
        <v/>
      </c>
      <c r="AM782" s="26" t="str">
        <f t="shared" si="407"/>
        <v>Chip Seal and Fog</v>
      </c>
      <c r="AN782" s="26" t="str">
        <f t="shared" si="386"/>
        <v>Chip Seal and Fog</v>
      </c>
      <c r="AO782" s="26" t="str">
        <f t="shared" si="397"/>
        <v>Crack Seal</v>
      </c>
      <c r="AP782" s="26" t="str">
        <f t="shared" si="395"/>
        <v/>
      </c>
      <c r="AQ782" s="68">
        <f t="shared" si="390"/>
        <v>12</v>
      </c>
      <c r="AR782" s="68">
        <f t="shared" si="391"/>
        <v>6</v>
      </c>
      <c r="AS782" s="68">
        <f t="shared" si="377"/>
        <v>1.1000000000000001</v>
      </c>
      <c r="AT782" s="68">
        <f t="shared" si="378"/>
        <v>1.5</v>
      </c>
      <c r="AU782" s="68">
        <f t="shared" si="379"/>
        <v>1.5</v>
      </c>
      <c r="AV782" s="68">
        <f t="shared" si="380"/>
        <v>1</v>
      </c>
      <c r="AW782" s="68">
        <f t="shared" si="381"/>
        <v>1</v>
      </c>
      <c r="AX782" s="68">
        <f t="shared" ca="1" si="405"/>
        <v>4.5</v>
      </c>
      <c r="AY782" s="68">
        <v>2021</v>
      </c>
      <c r="AZ782" s="68" t="s">
        <v>2075</v>
      </c>
      <c r="BA782" s="106" t="str">
        <f t="shared" si="408"/>
        <v/>
      </c>
      <c r="BB782" s="178"/>
      <c r="BC782" s="178"/>
      <c r="BD782" s="178"/>
      <c r="BE782" s="178"/>
      <c r="BF782" s="178"/>
      <c r="BG782" s="178"/>
      <c r="BH782" s="178"/>
      <c r="BI782" s="33" t="s">
        <v>2192</v>
      </c>
      <c r="BJ782" s="2"/>
      <c r="BK782" s="48">
        <f>$G782/5280*VLOOKUP($AC782,'Cost and Score'!$B$27:$O$40,6,0)</f>
        <v>2.2272727272727274E-2</v>
      </c>
      <c r="BL782" s="48">
        <f>$G782/5280*VLOOKUP($AC782,'Cost and Score'!$B$27:$O$40,7,0)</f>
        <v>2.4499999999999997</v>
      </c>
      <c r="BM782" s="48">
        <f>$G782/5280*VLOOKUP($AC782,'Cost and Score'!$B$27:$O$40,8,0)</f>
        <v>0</v>
      </c>
      <c r="BN782" s="48">
        <f>$G782/5280*VLOOKUP($AC782,'Cost and Score'!$B$27:$O$40,9,0)</f>
        <v>501.13636363636363</v>
      </c>
      <c r="BO782" s="48">
        <f>$G782/5280*VLOOKUP($AC782,'Cost and Score'!$B$27:$O$40,10,0)</f>
        <v>111.36363636363636</v>
      </c>
      <c r="BP782" s="48">
        <f>$G782/5280*VLOOKUP($AC782,'Cost and Score'!$B$27:$O$40,11,0)</f>
        <v>0</v>
      </c>
      <c r="BQ782" s="48">
        <f>$G782/5280*VLOOKUP($AC782,'Cost and Score'!$B$27:$O$40,12,0)</f>
        <v>11.136363636363637</v>
      </c>
      <c r="BR782" s="48">
        <f>$G782/5280*VLOOKUP($AC782,'Cost and Score'!$B$27:$O$40,13,0)</f>
        <v>13.363636363636363</v>
      </c>
      <c r="BS782" s="48">
        <f>$G782/5280*VLOOKUP($AC782,'Cost and Score'!$B$27:$O$40,14,0)</f>
        <v>0</v>
      </c>
      <c r="BT782" s="220">
        <f t="shared" si="409"/>
        <v>0.11136363636363636</v>
      </c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S782" s="2"/>
      <c r="CT782" s="2"/>
      <c r="CU782" s="2"/>
      <c r="CV782" s="2"/>
      <c r="CW782" s="2"/>
      <c r="CX782" s="2"/>
      <c r="CY782" s="2"/>
    </row>
    <row r="783" spans="1:103" s="2" customFormat="1" ht="14.45" hidden="1" customHeight="1" x14ac:dyDescent="0.25">
      <c r="A783" s="31" t="s">
        <v>2102</v>
      </c>
      <c r="B783" s="224" t="s">
        <v>1573</v>
      </c>
      <c r="C783" s="26" t="s">
        <v>1573</v>
      </c>
      <c r="D783" s="36" t="s">
        <v>2279</v>
      </c>
      <c r="E783" s="26" t="s">
        <v>1451</v>
      </c>
      <c r="F783" s="26" t="s">
        <v>1452</v>
      </c>
      <c r="G783" s="29">
        <v>1584</v>
      </c>
      <c r="H783" s="29">
        <f t="shared" si="401"/>
        <v>26</v>
      </c>
      <c r="I783" s="26" t="s">
        <v>2098</v>
      </c>
      <c r="J783" s="26" t="s">
        <v>160</v>
      </c>
      <c r="K783" s="26">
        <v>0</v>
      </c>
      <c r="L783" s="42">
        <v>6</v>
      </c>
      <c r="M783" s="42">
        <v>6</v>
      </c>
      <c r="N783" s="42">
        <v>10</v>
      </c>
      <c r="O783" s="42">
        <v>9</v>
      </c>
      <c r="P783" s="42">
        <v>9</v>
      </c>
      <c r="Q783" s="42">
        <v>8</v>
      </c>
      <c r="R783" s="42">
        <v>7</v>
      </c>
      <c r="S783" s="42">
        <v>8</v>
      </c>
      <c r="T783" s="42">
        <v>7</v>
      </c>
      <c r="U783" s="42">
        <v>7</v>
      </c>
      <c r="V783" s="42"/>
      <c r="W783" s="42"/>
      <c r="X783" s="42"/>
      <c r="Y783" s="26">
        <v>277</v>
      </c>
      <c r="Z783" s="26">
        <f t="shared" si="403"/>
        <v>0</v>
      </c>
      <c r="AA783" s="26" t="s">
        <v>1573</v>
      </c>
      <c r="AB783" s="111">
        <f t="shared" si="404"/>
        <v>1</v>
      </c>
      <c r="AC783" s="85" t="s">
        <v>2489</v>
      </c>
      <c r="AD783" s="47">
        <f t="shared" si="406"/>
        <v>7500</v>
      </c>
      <c r="AE783" s="140"/>
      <c r="AF783" s="113">
        <f t="shared" si="387"/>
        <v>0</v>
      </c>
      <c r="AG783" s="85">
        <v>2026</v>
      </c>
      <c r="AH783" s="26" t="str">
        <f t="shared" si="410"/>
        <v/>
      </c>
      <c r="AI783" s="26" t="str">
        <f t="shared" si="392"/>
        <v/>
      </c>
      <c r="AJ783" s="26" t="str">
        <f t="shared" si="396"/>
        <v/>
      </c>
      <c r="AK783" s="26" t="str">
        <f t="shared" si="407"/>
        <v/>
      </c>
      <c r="AL783" s="26" t="str">
        <f t="shared" si="407"/>
        <v>Liquid Road</v>
      </c>
      <c r="AM783" s="26" t="str">
        <f t="shared" si="407"/>
        <v/>
      </c>
      <c r="AN783" s="26" t="str">
        <f t="shared" si="386"/>
        <v>Liquid Road</v>
      </c>
      <c r="AO783" s="26" t="str">
        <f t="shared" si="397"/>
        <v/>
      </c>
      <c r="AP783" s="26" t="str">
        <f t="shared" si="395"/>
        <v/>
      </c>
      <c r="AQ783" s="68">
        <f t="shared" si="390"/>
        <v>14</v>
      </c>
      <c r="AR783" s="68">
        <f t="shared" si="391"/>
        <v>10</v>
      </c>
      <c r="AS783" s="68">
        <f t="shared" si="377"/>
        <v>1.1000000000000001</v>
      </c>
      <c r="AT783" s="68">
        <f t="shared" si="378"/>
        <v>1.1000000000000001</v>
      </c>
      <c r="AU783" s="68">
        <f t="shared" si="379"/>
        <v>1</v>
      </c>
      <c r="AV783" s="68">
        <f t="shared" si="380"/>
        <v>1</v>
      </c>
      <c r="AW783" s="68">
        <f t="shared" si="381"/>
        <v>1</v>
      </c>
      <c r="AX783" s="68">
        <f t="shared" ca="1" si="405"/>
        <v>2</v>
      </c>
      <c r="AY783" s="68">
        <v>2016</v>
      </c>
      <c r="AZ783" s="68" t="s">
        <v>2371</v>
      </c>
      <c r="BA783" s="106" t="str">
        <f t="shared" si="408"/>
        <v/>
      </c>
      <c r="BB783" s="178"/>
      <c r="BC783" s="178"/>
      <c r="BD783" s="178"/>
      <c r="BE783" s="178"/>
      <c r="BF783" s="178"/>
      <c r="BG783" s="178">
        <v>4</v>
      </c>
      <c r="BH783" s="178"/>
      <c r="BI783" s="33"/>
      <c r="BK783" s="48">
        <f>$G783/5280*VLOOKUP($AC783,'Cost and Score'!$B$27:$O$40,6,0)</f>
        <v>0.3</v>
      </c>
      <c r="BL783" s="48">
        <f>$G783/5280*VLOOKUP($AC783,'Cost and Score'!$B$27:$O$40,7,0)</f>
        <v>4.8</v>
      </c>
      <c r="BM783" s="48">
        <f>$G783/5280*VLOOKUP($AC783,'Cost and Score'!$B$27:$O$40,8,0)</f>
        <v>0</v>
      </c>
      <c r="BN783" s="48">
        <f>$G783/5280*VLOOKUP($AC783,'Cost and Score'!$B$27:$O$40,9,0)</f>
        <v>0</v>
      </c>
      <c r="BO783" s="48">
        <f>$G783/5280*VLOOKUP($AC783,'Cost and Score'!$B$27:$O$40,10,0)</f>
        <v>0</v>
      </c>
      <c r="BP783" s="48">
        <f>$G783/5280*VLOOKUP($AC783,'Cost and Score'!$B$27:$O$40,11,0)</f>
        <v>0</v>
      </c>
      <c r="BQ783" s="48">
        <f>$G783/5280*VLOOKUP($AC783,'Cost and Score'!$B$27:$O$40,12,0)</f>
        <v>0</v>
      </c>
      <c r="BR783" s="48">
        <f>$G783/5280*VLOOKUP($AC783,'Cost and Score'!$B$27:$O$40,13,0)</f>
        <v>0</v>
      </c>
      <c r="BS783" s="48">
        <f>$G783/5280*VLOOKUP($AC783,'Cost and Score'!$B$27:$O$40,14,0)</f>
        <v>0</v>
      </c>
      <c r="BT783" s="220">
        <f t="shared" si="409"/>
        <v>0.3</v>
      </c>
      <c r="CF783" s="112"/>
      <c r="CN783" s="112"/>
      <c r="CO783" s="112"/>
      <c r="CP783" s="112"/>
      <c r="CQ783" s="112"/>
      <c r="CV783" s="112"/>
    </row>
    <row r="784" spans="1:103" s="2" customFormat="1" ht="14.45" hidden="1" customHeight="1" x14ac:dyDescent="0.25">
      <c r="A784" s="31" t="s">
        <v>2102</v>
      </c>
      <c r="B784" s="226" t="s">
        <v>1574</v>
      </c>
      <c r="C784" s="106" t="s">
        <v>1574</v>
      </c>
      <c r="D784" s="116" t="s">
        <v>2217</v>
      </c>
      <c r="E784" s="106" t="s">
        <v>1461</v>
      </c>
      <c r="F784" s="106" t="s">
        <v>1462</v>
      </c>
      <c r="G784" s="109">
        <v>686</v>
      </c>
      <c r="H784" s="109">
        <f t="shared" si="401"/>
        <v>26</v>
      </c>
      <c r="I784" s="106" t="s">
        <v>2098</v>
      </c>
      <c r="J784" s="106" t="s">
        <v>101</v>
      </c>
      <c r="K784" s="106">
        <v>0</v>
      </c>
      <c r="L784" s="110">
        <v>7</v>
      </c>
      <c r="M784" s="110">
        <v>7</v>
      </c>
      <c r="N784" s="110">
        <v>7</v>
      </c>
      <c r="O784" s="110"/>
      <c r="P784" s="110">
        <v>7</v>
      </c>
      <c r="Q784" s="110">
        <v>7</v>
      </c>
      <c r="R784" s="110">
        <v>7</v>
      </c>
      <c r="S784" s="110">
        <v>6</v>
      </c>
      <c r="T784" s="110">
        <v>7</v>
      </c>
      <c r="U784" s="110">
        <v>7</v>
      </c>
      <c r="V784" s="110"/>
      <c r="W784" s="110"/>
      <c r="X784" s="110"/>
      <c r="Y784" s="106">
        <v>50</v>
      </c>
      <c r="Z784" s="106">
        <f t="shared" si="403"/>
        <v>0</v>
      </c>
      <c r="AA784" s="106" t="s">
        <v>1574</v>
      </c>
      <c r="AB784" s="111">
        <f t="shared" si="404"/>
        <v>3</v>
      </c>
      <c r="AC784" s="106" t="s">
        <v>2425</v>
      </c>
      <c r="AD784" s="107">
        <f t="shared" si="406"/>
        <v>3248.1060606060605</v>
      </c>
      <c r="AE784" s="198"/>
      <c r="AF784" s="113">
        <f t="shared" si="387"/>
        <v>0</v>
      </c>
      <c r="AG784" s="85">
        <v>2026</v>
      </c>
      <c r="AH784" s="26" t="str">
        <f t="shared" si="410"/>
        <v/>
      </c>
      <c r="AI784" s="26" t="str">
        <f t="shared" si="392"/>
        <v/>
      </c>
      <c r="AJ784" s="26" t="str">
        <f t="shared" si="396"/>
        <v/>
      </c>
      <c r="AK784" s="26" t="str">
        <f t="shared" si="407"/>
        <v/>
      </c>
      <c r="AL784" s="26" t="str">
        <f t="shared" si="407"/>
        <v>Liquid Road</v>
      </c>
      <c r="AM784" s="26" t="str">
        <f t="shared" si="407"/>
        <v/>
      </c>
      <c r="AN784" s="26" t="str">
        <f t="shared" si="386"/>
        <v>Liquid Road</v>
      </c>
      <c r="AO784" s="26" t="str">
        <f t="shared" si="397"/>
        <v/>
      </c>
      <c r="AP784" s="26" t="str">
        <f t="shared" si="395"/>
        <v/>
      </c>
      <c r="AQ784" s="68" t="e">
        <f t="shared" si="390"/>
        <v>#N/A</v>
      </c>
      <c r="AR784" s="68">
        <f t="shared" si="391"/>
        <v>10</v>
      </c>
      <c r="AS784" s="68">
        <f t="shared" ref="AS784:AS847" si="411">IF(L784 &lt;&gt; "",VLOOKUP(L784,RSLloss,3,FALSE),0)</f>
        <v>1.05</v>
      </c>
      <c r="AT784" s="68">
        <f t="shared" ref="AT784:AT847" si="412">IF(M784 &lt;&gt; "",VLOOKUP(M784,RSLloss,3,FALSE),0)</f>
        <v>1.05</v>
      </c>
      <c r="AU784" s="68">
        <f t="shared" ref="AU784:AU847" si="413">IF(N784 &lt;&gt; "",VLOOKUP(N784,RSLloss,3,FALSE),0)</f>
        <v>1.05</v>
      </c>
      <c r="AV784" s="68">
        <f t="shared" ref="AV784:AV847" si="414">IF(O784 &lt;&gt; "",VLOOKUP(O784,RSLloss,3,FALSE),0)</f>
        <v>0</v>
      </c>
      <c r="AW784" s="68">
        <f t="shared" ref="AW784:AW847" si="415">IF(P784 &lt;&gt; "",VLOOKUP(P784,RSLloss,3,FALSE),0)</f>
        <v>1.05</v>
      </c>
      <c r="AX784" s="68">
        <f t="shared" ca="1" si="405"/>
        <v>2.1</v>
      </c>
      <c r="AY784" s="106">
        <v>2017</v>
      </c>
      <c r="AZ784" s="106" t="s">
        <v>2075</v>
      </c>
      <c r="BA784" s="106" t="str">
        <f t="shared" si="408"/>
        <v/>
      </c>
      <c r="BB784" s="177"/>
      <c r="BC784" s="177"/>
      <c r="BD784" s="177"/>
      <c r="BE784" s="177">
        <v>2</v>
      </c>
      <c r="BF784" s="177"/>
      <c r="BG784" s="177"/>
      <c r="BH784" s="177"/>
      <c r="BI784" s="33"/>
      <c r="BK784" s="48">
        <f>$G784/5280*VLOOKUP($AC784,'Cost and Score'!$B$27:$O$40,6,0)</f>
        <v>0.12992424242424241</v>
      </c>
      <c r="BL784" s="48">
        <f>$G784/5280*VLOOKUP($AC784,'Cost and Score'!$B$27:$O$40,7,0)</f>
        <v>2.0787878787878786</v>
      </c>
      <c r="BM784" s="48">
        <f>$G784/5280*VLOOKUP($AC784,'Cost and Score'!$B$27:$O$40,8,0)</f>
        <v>0</v>
      </c>
      <c r="BN784" s="48">
        <f>$G784/5280*VLOOKUP($AC784,'Cost and Score'!$B$27:$O$40,9,0)</f>
        <v>0</v>
      </c>
      <c r="BO784" s="48">
        <f>$G784/5280*VLOOKUP($AC784,'Cost and Score'!$B$27:$O$40,10,0)</f>
        <v>0</v>
      </c>
      <c r="BP784" s="48">
        <f>$G784/5280*VLOOKUP($AC784,'Cost and Score'!$B$27:$O$40,11,0)</f>
        <v>0</v>
      </c>
      <c r="BQ784" s="48">
        <f>$G784/5280*VLOOKUP($AC784,'Cost and Score'!$B$27:$O$40,12,0)</f>
        <v>0</v>
      </c>
      <c r="BR784" s="48">
        <f>$G784/5280*VLOOKUP($AC784,'Cost and Score'!$B$27:$O$40,13,0)</f>
        <v>0</v>
      </c>
      <c r="BS784" s="48">
        <f>$G784/5280*VLOOKUP($AC784,'Cost and Score'!$B$27:$O$40,14,0)</f>
        <v>0</v>
      </c>
      <c r="BT784" s="220">
        <f t="shared" si="409"/>
        <v>0.12992424242424241</v>
      </c>
      <c r="CG784" s="112"/>
      <c r="CH784" s="112"/>
      <c r="CI784" s="112"/>
      <c r="CJ784" s="112"/>
      <c r="CK784" s="112"/>
      <c r="CL784" s="112"/>
      <c r="CM784" s="112"/>
      <c r="CR784" s="112"/>
      <c r="CS784" s="112"/>
      <c r="CT784" s="112"/>
      <c r="CU784" s="112"/>
    </row>
    <row r="785" spans="1:103" s="112" customFormat="1" ht="14.45" hidden="1" customHeight="1" x14ac:dyDescent="0.25">
      <c r="A785" s="31" t="s">
        <v>2102</v>
      </c>
      <c r="B785" s="224" t="s">
        <v>1575</v>
      </c>
      <c r="C785" s="26" t="s">
        <v>1575</v>
      </c>
      <c r="D785" s="36" t="s">
        <v>2228</v>
      </c>
      <c r="E785" s="26" t="s">
        <v>1451</v>
      </c>
      <c r="F785" s="26" t="s">
        <v>1408</v>
      </c>
      <c r="G785" s="29">
        <v>1531</v>
      </c>
      <c r="H785" s="29">
        <f t="shared" si="401"/>
        <v>26</v>
      </c>
      <c r="I785" s="26" t="s">
        <v>2098</v>
      </c>
      <c r="J785" s="26" t="s">
        <v>125</v>
      </c>
      <c r="K785" s="26">
        <f t="shared" ref="K785:K790" si="416">VLOOKUP(J785,TOWNSHIPS,2,FALSE)</f>
        <v>0</v>
      </c>
      <c r="L785" s="42">
        <v>4</v>
      </c>
      <c r="M785" s="42">
        <v>4</v>
      </c>
      <c r="N785" s="42">
        <v>10</v>
      </c>
      <c r="O785" s="42">
        <v>9</v>
      </c>
      <c r="P785" s="42">
        <v>8</v>
      </c>
      <c r="Q785" s="42">
        <v>7</v>
      </c>
      <c r="R785" s="42">
        <v>6</v>
      </c>
      <c r="S785" s="42">
        <v>7</v>
      </c>
      <c r="T785" s="42">
        <v>7</v>
      </c>
      <c r="U785" s="42">
        <v>7</v>
      </c>
      <c r="V785" s="42"/>
      <c r="W785" s="42"/>
      <c r="X785" s="42"/>
      <c r="Y785" s="26">
        <v>50</v>
      </c>
      <c r="Z785" s="26">
        <f t="shared" si="403"/>
        <v>0</v>
      </c>
      <c r="AA785" s="26" t="s">
        <v>1575</v>
      </c>
      <c r="AB785" s="111">
        <f t="shared" si="404"/>
        <v>2</v>
      </c>
      <c r="AC785" s="85" t="s">
        <v>2425</v>
      </c>
      <c r="AD785" s="47">
        <f t="shared" si="406"/>
        <v>7249.05303030303</v>
      </c>
      <c r="AE785" s="140"/>
      <c r="AF785" s="113">
        <f t="shared" si="387"/>
        <v>0</v>
      </c>
      <c r="AG785" s="85">
        <v>2026</v>
      </c>
      <c r="AH785" s="26" t="str">
        <f t="shared" si="410"/>
        <v/>
      </c>
      <c r="AI785" s="26" t="str">
        <f t="shared" si="392"/>
        <v/>
      </c>
      <c r="AJ785" s="26" t="str">
        <f t="shared" si="396"/>
        <v/>
      </c>
      <c r="AK785" s="26" t="str">
        <f t="shared" si="407"/>
        <v/>
      </c>
      <c r="AL785" s="26" t="str">
        <f t="shared" si="407"/>
        <v>Liquid Road</v>
      </c>
      <c r="AM785" s="26" t="str">
        <f t="shared" si="407"/>
        <v/>
      </c>
      <c r="AN785" s="26" t="str">
        <f t="shared" si="386"/>
        <v>Liquid Road</v>
      </c>
      <c r="AO785" s="26" t="str">
        <f t="shared" si="397"/>
        <v/>
      </c>
      <c r="AP785" s="26" t="str">
        <f t="shared" si="395"/>
        <v/>
      </c>
      <c r="AQ785" s="68">
        <f t="shared" si="390"/>
        <v>14</v>
      </c>
      <c r="AR785" s="68">
        <f t="shared" si="391"/>
        <v>10</v>
      </c>
      <c r="AS785" s="68">
        <f t="shared" si="411"/>
        <v>1.5</v>
      </c>
      <c r="AT785" s="68">
        <f t="shared" si="412"/>
        <v>1.5</v>
      </c>
      <c r="AU785" s="68">
        <f t="shared" si="413"/>
        <v>1</v>
      </c>
      <c r="AV785" s="68">
        <f t="shared" si="414"/>
        <v>1</v>
      </c>
      <c r="AW785" s="68">
        <f t="shared" si="415"/>
        <v>1</v>
      </c>
      <c r="AX785" s="68">
        <f t="shared" ca="1" si="405"/>
        <v>2</v>
      </c>
      <c r="AY785" s="68">
        <v>2016</v>
      </c>
      <c r="AZ785" s="68" t="s">
        <v>751</v>
      </c>
      <c r="BA785" s="106" t="str">
        <f t="shared" si="408"/>
        <v/>
      </c>
      <c r="BB785" s="178"/>
      <c r="BC785" s="178"/>
      <c r="BD785" s="178">
        <v>1</v>
      </c>
      <c r="BE785" s="178"/>
      <c r="BF785" s="178"/>
      <c r="BG785" s="178"/>
      <c r="BH785" s="178"/>
      <c r="BI785" s="33"/>
      <c r="BJ785" s="2"/>
      <c r="BK785" s="48">
        <f>$G785/5280*VLOOKUP($AC785,'Cost and Score'!$B$27:$O$40,6,0)</f>
        <v>0.28996212121212123</v>
      </c>
      <c r="BL785" s="48">
        <f>$G785/5280*VLOOKUP($AC785,'Cost and Score'!$B$27:$O$40,7,0)</f>
        <v>4.6393939393939396</v>
      </c>
      <c r="BM785" s="48">
        <f>$G785/5280*VLOOKUP($AC785,'Cost and Score'!$B$27:$O$40,8,0)</f>
        <v>0</v>
      </c>
      <c r="BN785" s="48">
        <f>$G785/5280*VLOOKUP($AC785,'Cost and Score'!$B$27:$O$40,9,0)</f>
        <v>0</v>
      </c>
      <c r="BO785" s="48">
        <f>$G785/5280*VLOOKUP($AC785,'Cost and Score'!$B$27:$O$40,10,0)</f>
        <v>0</v>
      </c>
      <c r="BP785" s="48">
        <f>$G785/5280*VLOOKUP($AC785,'Cost and Score'!$B$27:$O$40,11,0)</f>
        <v>0</v>
      </c>
      <c r="BQ785" s="48">
        <f>$G785/5280*VLOOKUP($AC785,'Cost and Score'!$B$27:$O$40,12,0)</f>
        <v>0</v>
      </c>
      <c r="BR785" s="48">
        <f>$G785/5280*VLOOKUP($AC785,'Cost and Score'!$B$27:$O$40,13,0)</f>
        <v>0</v>
      </c>
      <c r="BS785" s="48">
        <f>$G785/5280*VLOOKUP($AC785,'Cost and Score'!$B$27:$O$40,14,0)</f>
        <v>0</v>
      </c>
      <c r="BT785" s="220">
        <f t="shared" si="409"/>
        <v>0.28996212121212123</v>
      </c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S785" s="2"/>
      <c r="CT785" s="2"/>
      <c r="CU785" s="2"/>
      <c r="CV785" s="2"/>
      <c r="CW785" s="2"/>
      <c r="CX785" s="2"/>
      <c r="CY785" s="2"/>
    </row>
    <row r="786" spans="1:103" s="2" customFormat="1" ht="14.45" hidden="1" customHeight="1" x14ac:dyDescent="0.25">
      <c r="A786" s="31"/>
      <c r="B786" s="226" t="s">
        <v>2204</v>
      </c>
      <c r="C786" s="106" t="s">
        <v>2204</v>
      </c>
      <c r="D786" s="116" t="s">
        <v>2303</v>
      </c>
      <c r="E786" s="106"/>
      <c r="F786" s="106"/>
      <c r="G786" s="109">
        <v>159</v>
      </c>
      <c r="H786" s="109">
        <f t="shared" si="401"/>
        <v>26</v>
      </c>
      <c r="I786" s="106" t="s">
        <v>2098</v>
      </c>
      <c r="J786" s="106" t="s">
        <v>160</v>
      </c>
      <c r="K786" s="106">
        <f t="shared" si="416"/>
        <v>0</v>
      </c>
      <c r="L786" s="110"/>
      <c r="M786" s="110">
        <v>9</v>
      </c>
      <c r="N786" s="110">
        <v>9</v>
      </c>
      <c r="O786" s="110">
        <v>8</v>
      </c>
      <c r="P786" s="110">
        <v>8</v>
      </c>
      <c r="Q786" s="110">
        <v>8</v>
      </c>
      <c r="R786" s="110">
        <v>8</v>
      </c>
      <c r="S786" s="110">
        <v>8</v>
      </c>
      <c r="T786" s="110">
        <v>8</v>
      </c>
      <c r="U786" s="110">
        <v>8</v>
      </c>
      <c r="V786" s="110"/>
      <c r="W786" s="110"/>
      <c r="X786" s="110"/>
      <c r="Y786" s="106">
        <v>740</v>
      </c>
      <c r="Z786" s="106">
        <f t="shared" si="403"/>
        <v>0.5</v>
      </c>
      <c r="AA786" s="106" t="s">
        <v>2204</v>
      </c>
      <c r="AB786" s="111">
        <f t="shared" si="404"/>
        <v>2.5</v>
      </c>
      <c r="AC786" s="106" t="s">
        <v>2425</v>
      </c>
      <c r="AD786" s="107">
        <f t="shared" si="406"/>
        <v>752.84090909090912</v>
      </c>
      <c r="AE786" s="198"/>
      <c r="AF786" s="113">
        <f t="shared" si="387"/>
        <v>0</v>
      </c>
      <c r="AG786" s="85">
        <v>2026</v>
      </c>
      <c r="AH786" s="26" t="str">
        <f t="shared" si="410"/>
        <v/>
      </c>
      <c r="AI786" s="26" t="str">
        <f t="shared" si="392"/>
        <v/>
      </c>
      <c r="AJ786" s="26" t="str">
        <f t="shared" si="396"/>
        <v/>
      </c>
      <c r="AK786" s="26" t="str">
        <f t="shared" si="407"/>
        <v/>
      </c>
      <c r="AL786" s="26" t="str">
        <f t="shared" si="407"/>
        <v>Liquid Road</v>
      </c>
      <c r="AM786" s="26" t="str">
        <f t="shared" si="407"/>
        <v/>
      </c>
      <c r="AN786" s="26" t="str">
        <f t="shared" si="386"/>
        <v>Liquid Road</v>
      </c>
      <c r="AO786" s="26" t="str">
        <f t="shared" si="397"/>
        <v/>
      </c>
      <c r="AP786" s="26" t="str">
        <f t="shared" si="395"/>
        <v/>
      </c>
      <c r="AQ786" s="68">
        <f t="shared" si="390"/>
        <v>12</v>
      </c>
      <c r="AR786" s="68">
        <f t="shared" si="391"/>
        <v>10</v>
      </c>
      <c r="AS786" s="68">
        <f t="shared" si="411"/>
        <v>0</v>
      </c>
      <c r="AT786" s="68">
        <f t="shared" si="412"/>
        <v>1</v>
      </c>
      <c r="AU786" s="68">
        <f t="shared" si="413"/>
        <v>1</v>
      </c>
      <c r="AV786" s="68">
        <f t="shared" si="414"/>
        <v>1</v>
      </c>
      <c r="AW786" s="68">
        <f t="shared" si="415"/>
        <v>1</v>
      </c>
      <c r="AX786" s="68">
        <f t="shared" ca="1" si="405"/>
        <v>2</v>
      </c>
      <c r="AY786" s="106">
        <v>2017</v>
      </c>
      <c r="AZ786" s="106" t="s">
        <v>2086</v>
      </c>
      <c r="BA786" s="106" t="str">
        <f t="shared" si="408"/>
        <v/>
      </c>
      <c r="BB786" s="177"/>
      <c r="BC786" s="177"/>
      <c r="BD786" s="177"/>
      <c r="BE786" s="177"/>
      <c r="BF786" s="177"/>
      <c r="BG786" s="177"/>
      <c r="BH786" s="177">
        <v>5</v>
      </c>
      <c r="BI786" s="33"/>
      <c r="BK786" s="48">
        <f>$G786/5280*VLOOKUP($AC786,'Cost and Score'!$B$27:$O$40,6,0)</f>
        <v>3.0113636363636363E-2</v>
      </c>
      <c r="BL786" s="48">
        <f>$G786/5280*VLOOKUP($AC786,'Cost and Score'!$B$27:$O$40,7,0)</f>
        <v>0.48181818181818181</v>
      </c>
      <c r="BM786" s="48">
        <f>$G786/5280*VLOOKUP($AC786,'Cost and Score'!$B$27:$O$40,8,0)</f>
        <v>0</v>
      </c>
      <c r="BN786" s="48">
        <f>$G786/5280*VLOOKUP($AC786,'Cost and Score'!$B$27:$O$40,9,0)</f>
        <v>0</v>
      </c>
      <c r="BO786" s="48">
        <f>$G786/5280*VLOOKUP($AC786,'Cost and Score'!$B$27:$O$40,10,0)</f>
        <v>0</v>
      </c>
      <c r="BP786" s="48">
        <f>$G786/5280*VLOOKUP($AC786,'Cost and Score'!$B$27:$O$40,11,0)</f>
        <v>0</v>
      </c>
      <c r="BQ786" s="48">
        <f>$G786/5280*VLOOKUP($AC786,'Cost and Score'!$B$27:$O$40,12,0)</f>
        <v>0</v>
      </c>
      <c r="BR786" s="48">
        <f>$G786/5280*VLOOKUP($AC786,'Cost and Score'!$B$27:$O$40,13,0)</f>
        <v>0</v>
      </c>
      <c r="BS786" s="48">
        <f>$G786/5280*VLOOKUP($AC786,'Cost and Score'!$B$27:$O$40,14,0)</f>
        <v>0</v>
      </c>
      <c r="BT786" s="220">
        <f t="shared" si="409"/>
        <v>3.0113636363636363E-2</v>
      </c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S786" s="112"/>
      <c r="CT786" s="112"/>
      <c r="CU786" s="112"/>
      <c r="CV786" s="112"/>
    </row>
    <row r="787" spans="1:103" s="112" customFormat="1" ht="14.45" hidden="1" customHeight="1" x14ac:dyDescent="0.25">
      <c r="A787" s="31"/>
      <c r="B787" s="226" t="s">
        <v>2205</v>
      </c>
      <c r="C787" s="106" t="s">
        <v>2205</v>
      </c>
      <c r="D787" s="116" t="s">
        <v>2303</v>
      </c>
      <c r="E787" s="106"/>
      <c r="F787" s="106"/>
      <c r="G787" s="109">
        <v>1246</v>
      </c>
      <c r="H787" s="109"/>
      <c r="I787" s="106" t="s">
        <v>2098</v>
      </c>
      <c r="J787" s="106" t="s">
        <v>160</v>
      </c>
      <c r="K787" s="106">
        <f t="shared" si="416"/>
        <v>0</v>
      </c>
      <c r="L787" s="110"/>
      <c r="M787" s="110">
        <v>9</v>
      </c>
      <c r="N787" s="110">
        <v>9</v>
      </c>
      <c r="O787" s="110">
        <v>8</v>
      </c>
      <c r="P787" s="110">
        <v>8</v>
      </c>
      <c r="Q787" s="110">
        <v>8</v>
      </c>
      <c r="R787" s="110">
        <v>8</v>
      </c>
      <c r="S787" s="110">
        <v>8</v>
      </c>
      <c r="T787" s="110">
        <v>8</v>
      </c>
      <c r="U787" s="110">
        <v>8</v>
      </c>
      <c r="V787" s="110"/>
      <c r="W787" s="110"/>
      <c r="X787" s="110"/>
      <c r="Y787" s="106">
        <v>740</v>
      </c>
      <c r="Z787" s="106">
        <f t="shared" si="403"/>
        <v>0.5</v>
      </c>
      <c r="AA787" s="106" t="s">
        <v>2205</v>
      </c>
      <c r="AB787" s="111">
        <f t="shared" si="404"/>
        <v>2.5</v>
      </c>
      <c r="AC787" s="106" t="s">
        <v>2425</v>
      </c>
      <c r="AD787" s="107">
        <f t="shared" si="406"/>
        <v>5899.621212121212</v>
      </c>
      <c r="AE787" s="198"/>
      <c r="AF787" s="113">
        <f t="shared" si="387"/>
        <v>0</v>
      </c>
      <c r="AG787" s="85">
        <v>2026</v>
      </c>
      <c r="AH787" s="26" t="str">
        <f t="shared" si="410"/>
        <v/>
      </c>
      <c r="AI787" s="26" t="str">
        <f t="shared" si="392"/>
        <v/>
      </c>
      <c r="AJ787" s="26" t="str">
        <f t="shared" si="396"/>
        <v/>
      </c>
      <c r="AK787" s="26" t="str">
        <f t="shared" si="407"/>
        <v/>
      </c>
      <c r="AL787" s="26" t="str">
        <f t="shared" si="407"/>
        <v>Liquid Road</v>
      </c>
      <c r="AM787" s="26" t="str">
        <f t="shared" si="407"/>
        <v/>
      </c>
      <c r="AN787" s="26" t="str">
        <f t="shared" si="386"/>
        <v>Liquid Road</v>
      </c>
      <c r="AO787" s="26" t="str">
        <f t="shared" si="397"/>
        <v/>
      </c>
      <c r="AP787" s="26" t="str">
        <f t="shared" si="395"/>
        <v/>
      </c>
      <c r="AQ787" s="68">
        <f t="shared" si="390"/>
        <v>12</v>
      </c>
      <c r="AR787" s="68">
        <f t="shared" si="391"/>
        <v>10</v>
      </c>
      <c r="AS787" s="68">
        <f t="shared" si="411"/>
        <v>0</v>
      </c>
      <c r="AT787" s="68">
        <f t="shared" si="412"/>
        <v>1</v>
      </c>
      <c r="AU787" s="68">
        <f t="shared" si="413"/>
        <v>1</v>
      </c>
      <c r="AV787" s="68">
        <f t="shared" si="414"/>
        <v>1</v>
      </c>
      <c r="AW787" s="68">
        <f t="shared" si="415"/>
        <v>1</v>
      </c>
      <c r="AX787" s="68">
        <f t="shared" ca="1" si="405"/>
        <v>2</v>
      </c>
      <c r="AY787" s="106">
        <v>2017</v>
      </c>
      <c r="AZ787" s="106" t="s">
        <v>2086</v>
      </c>
      <c r="BA787" s="106" t="str">
        <f t="shared" si="408"/>
        <v/>
      </c>
      <c r="BB787" s="177"/>
      <c r="BC787" s="177"/>
      <c r="BD787" s="177"/>
      <c r="BE787" s="177"/>
      <c r="BF787" s="177"/>
      <c r="BG787" s="177"/>
      <c r="BH787" s="177">
        <v>5</v>
      </c>
      <c r="BI787" s="33"/>
      <c r="BJ787" s="2"/>
      <c r="BK787" s="48">
        <f>$G787/5280*VLOOKUP($AC787,'Cost and Score'!$B$27:$O$40,6,0)</f>
        <v>0.23598484848484849</v>
      </c>
      <c r="BL787" s="48">
        <f>$G787/5280*VLOOKUP($AC787,'Cost and Score'!$B$27:$O$40,7,0)</f>
        <v>3.7757575757575759</v>
      </c>
      <c r="BM787" s="48">
        <f>$G787/5280*VLOOKUP($AC787,'Cost and Score'!$B$27:$O$40,8,0)</f>
        <v>0</v>
      </c>
      <c r="BN787" s="48">
        <f>$G787/5280*VLOOKUP($AC787,'Cost and Score'!$B$27:$O$40,9,0)</f>
        <v>0</v>
      </c>
      <c r="BO787" s="48">
        <f>$G787/5280*VLOOKUP($AC787,'Cost and Score'!$B$27:$O$40,10,0)</f>
        <v>0</v>
      </c>
      <c r="BP787" s="48">
        <f>$G787/5280*VLOOKUP($AC787,'Cost and Score'!$B$27:$O$40,11,0)</f>
        <v>0</v>
      </c>
      <c r="BQ787" s="48">
        <f>$G787/5280*VLOOKUP($AC787,'Cost and Score'!$B$27:$O$40,12,0)</f>
        <v>0</v>
      </c>
      <c r="BR787" s="48">
        <f>$G787/5280*VLOOKUP($AC787,'Cost and Score'!$B$27:$O$40,13,0)</f>
        <v>0</v>
      </c>
      <c r="BS787" s="48">
        <f>$G787/5280*VLOOKUP($AC787,'Cost and Score'!$B$27:$O$40,14,0)</f>
        <v>0</v>
      </c>
      <c r="BT787" s="220">
        <f t="shared" si="409"/>
        <v>0.23598484848484849</v>
      </c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N787" s="2"/>
      <c r="CO787" s="2"/>
      <c r="CP787" s="2"/>
      <c r="CQ787" s="2"/>
      <c r="CV787" s="2"/>
      <c r="CW787" s="2"/>
      <c r="CX787" s="2"/>
      <c r="CY787" s="2"/>
    </row>
    <row r="788" spans="1:103" s="112" customFormat="1" ht="14.45" hidden="1" customHeight="1" x14ac:dyDescent="0.25">
      <c r="A788" s="31" t="s">
        <v>2102</v>
      </c>
      <c r="B788" s="224" t="s">
        <v>2455</v>
      </c>
      <c r="C788" s="45" t="s">
        <v>2455</v>
      </c>
      <c r="D788" s="86" t="s">
        <v>2264</v>
      </c>
      <c r="E788" s="85" t="s">
        <v>1576</v>
      </c>
      <c r="F788" s="85" t="s">
        <v>1577</v>
      </c>
      <c r="G788" s="29">
        <v>845</v>
      </c>
      <c r="H788" s="29">
        <f>IF(I788="NC",26,20)</f>
        <v>26</v>
      </c>
      <c r="I788" s="124" t="s">
        <v>2098</v>
      </c>
      <c r="J788" s="85" t="s">
        <v>125</v>
      </c>
      <c r="K788" s="85">
        <f t="shared" si="416"/>
        <v>0</v>
      </c>
      <c r="L788" s="74">
        <v>8</v>
      </c>
      <c r="M788" s="74">
        <v>7</v>
      </c>
      <c r="N788" s="74">
        <v>7</v>
      </c>
      <c r="O788" s="74">
        <v>7</v>
      </c>
      <c r="P788" s="74">
        <v>7</v>
      </c>
      <c r="Q788" s="74">
        <v>7</v>
      </c>
      <c r="R788" s="74">
        <v>7</v>
      </c>
      <c r="S788" s="74">
        <v>8</v>
      </c>
      <c r="T788" s="74">
        <v>7</v>
      </c>
      <c r="U788" s="74">
        <v>7</v>
      </c>
      <c r="V788" s="74"/>
      <c r="W788" s="74"/>
      <c r="X788" s="74"/>
      <c r="Y788" s="85">
        <v>50</v>
      </c>
      <c r="Z788" s="85">
        <f t="shared" si="403"/>
        <v>0</v>
      </c>
      <c r="AA788" s="34" t="s">
        <v>2455</v>
      </c>
      <c r="AB788" s="111">
        <f t="shared" si="404"/>
        <v>3</v>
      </c>
      <c r="AC788" s="85" t="s">
        <v>2425</v>
      </c>
      <c r="AD788" s="47">
        <f t="shared" si="406"/>
        <v>4000.9469696969695</v>
      </c>
      <c r="AE788" s="140"/>
      <c r="AF788" s="113">
        <f t="shared" si="387"/>
        <v>0</v>
      </c>
      <c r="AG788" s="85">
        <v>2026</v>
      </c>
      <c r="AH788" s="26" t="str">
        <f t="shared" si="410"/>
        <v/>
      </c>
      <c r="AI788" s="26" t="str">
        <f t="shared" si="392"/>
        <v/>
      </c>
      <c r="AJ788" s="26" t="str">
        <f t="shared" si="396"/>
        <v/>
      </c>
      <c r="AK788" s="26" t="str">
        <f t="shared" ref="AK788:AM807" si="417">IF($AG788=AK$1,VLOOKUP($AC788,RSL,3,FALSE),"")</f>
        <v/>
      </c>
      <c r="AL788" s="26" t="str">
        <f t="shared" si="417"/>
        <v>Liquid Road</v>
      </c>
      <c r="AM788" s="26" t="str">
        <f t="shared" si="417"/>
        <v/>
      </c>
      <c r="AN788" s="26" t="str">
        <f t="shared" si="386"/>
        <v>Liquid Road</v>
      </c>
      <c r="AO788" s="26" t="str">
        <f t="shared" si="397"/>
        <v/>
      </c>
      <c r="AP788" s="26" t="str">
        <f t="shared" si="395"/>
        <v/>
      </c>
      <c r="AQ788" s="68">
        <f t="shared" si="390"/>
        <v>10</v>
      </c>
      <c r="AR788" s="68">
        <f t="shared" si="391"/>
        <v>10</v>
      </c>
      <c r="AS788" s="68">
        <f t="shared" si="411"/>
        <v>1</v>
      </c>
      <c r="AT788" s="68">
        <f t="shared" si="412"/>
        <v>1.05</v>
      </c>
      <c r="AU788" s="68">
        <f t="shared" si="413"/>
        <v>1.05</v>
      </c>
      <c r="AV788" s="68">
        <f t="shared" si="414"/>
        <v>1.05</v>
      </c>
      <c r="AW788" s="68">
        <f t="shared" si="415"/>
        <v>1.05</v>
      </c>
      <c r="AX788" s="68">
        <f t="shared" ca="1" si="405"/>
        <v>2.1</v>
      </c>
      <c r="AY788" s="68">
        <v>2018</v>
      </c>
      <c r="AZ788" s="68" t="s">
        <v>2075</v>
      </c>
      <c r="BA788" s="106" t="str">
        <f t="shared" si="408"/>
        <v>CRACK</v>
      </c>
      <c r="BB788" s="178"/>
      <c r="BC788" s="178"/>
      <c r="BD788" s="178"/>
      <c r="BE788" s="178"/>
      <c r="BF788" s="178">
        <v>3</v>
      </c>
      <c r="BG788" s="178"/>
      <c r="BH788" s="178"/>
      <c r="BI788" s="33"/>
      <c r="BJ788" s="2"/>
      <c r="BK788" s="48">
        <f>$G788/5280*VLOOKUP($AC788,'Cost and Score'!$B$27:$O$40,6,0)</f>
        <v>0.16003787878787878</v>
      </c>
      <c r="BL788" s="48">
        <f>$G788/5280*VLOOKUP($AC788,'Cost and Score'!$B$27:$O$40,7,0)</f>
        <v>2.5606060606060606</v>
      </c>
      <c r="BM788" s="48">
        <f>$G788/5280*VLOOKUP($AC788,'Cost and Score'!$B$27:$O$40,8,0)</f>
        <v>0</v>
      </c>
      <c r="BN788" s="48">
        <f>$G788/5280*VLOOKUP($AC788,'Cost and Score'!$B$27:$O$40,9,0)</f>
        <v>0</v>
      </c>
      <c r="BO788" s="48">
        <f>$G788/5280*VLOOKUP($AC788,'Cost and Score'!$B$27:$O$40,10,0)</f>
        <v>0</v>
      </c>
      <c r="BP788" s="48">
        <f>$G788/5280*VLOOKUP($AC788,'Cost and Score'!$B$27:$O$40,11,0)</f>
        <v>0</v>
      </c>
      <c r="BQ788" s="48">
        <f>$G788/5280*VLOOKUP($AC788,'Cost and Score'!$B$27:$O$40,12,0)</f>
        <v>0</v>
      </c>
      <c r="BR788" s="48">
        <f>$G788/5280*VLOOKUP($AC788,'Cost and Score'!$B$27:$O$40,13,0)</f>
        <v>0</v>
      </c>
      <c r="BS788" s="48">
        <f>$G788/5280*VLOOKUP($AC788,'Cost and Score'!$B$27:$O$40,14,0)</f>
        <v>0</v>
      </c>
      <c r="BT788" s="220">
        <f t="shared" si="409"/>
        <v>0.16003787878787878</v>
      </c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G788" s="2"/>
      <c r="CH788" s="2"/>
      <c r="CI788" s="2"/>
      <c r="CJ788" s="2"/>
      <c r="CK788" s="2"/>
      <c r="CL788" s="2"/>
      <c r="CM788" s="2"/>
      <c r="CR788" s="2"/>
      <c r="CS788" s="2"/>
      <c r="CT788" s="2"/>
      <c r="CU788" s="2"/>
    </row>
    <row r="789" spans="1:103" s="2" customFormat="1" ht="14.45" hidden="1" customHeight="1" x14ac:dyDescent="0.25">
      <c r="A789" s="31" t="s">
        <v>2102</v>
      </c>
      <c r="B789" s="226" t="s">
        <v>1578</v>
      </c>
      <c r="C789" s="106" t="s">
        <v>1578</v>
      </c>
      <c r="D789" s="116" t="s">
        <v>2229</v>
      </c>
      <c r="E789" s="106" t="s">
        <v>1456</v>
      </c>
      <c r="F789" s="106" t="s">
        <v>1452</v>
      </c>
      <c r="G789" s="109">
        <v>898</v>
      </c>
      <c r="H789" s="109">
        <f>IF(I789="NC",26,20)</f>
        <v>26</v>
      </c>
      <c r="I789" s="106" t="s">
        <v>2098</v>
      </c>
      <c r="J789" s="106" t="s">
        <v>160</v>
      </c>
      <c r="K789" s="106">
        <f t="shared" si="416"/>
        <v>0</v>
      </c>
      <c r="L789" s="110">
        <v>7</v>
      </c>
      <c r="M789" s="110">
        <v>8</v>
      </c>
      <c r="N789" s="110">
        <v>8</v>
      </c>
      <c r="O789" s="110">
        <v>8</v>
      </c>
      <c r="P789" s="110">
        <v>8</v>
      </c>
      <c r="Q789" s="110">
        <v>7</v>
      </c>
      <c r="R789" s="110">
        <v>7</v>
      </c>
      <c r="S789" s="110">
        <v>7</v>
      </c>
      <c r="T789" s="110">
        <v>7</v>
      </c>
      <c r="U789" s="110">
        <v>7</v>
      </c>
      <c r="V789" s="110"/>
      <c r="W789" s="110"/>
      <c r="X789" s="110"/>
      <c r="Y789" s="106">
        <v>50</v>
      </c>
      <c r="Z789" s="106">
        <f t="shared" ref="Z789:Z820" si="418">VLOOKUP(Y789,AADT,2)</f>
        <v>0</v>
      </c>
      <c r="AA789" s="106" t="s">
        <v>1570</v>
      </c>
      <c r="AB789" s="111">
        <f t="shared" si="404"/>
        <v>2</v>
      </c>
      <c r="AC789" s="85" t="s">
        <v>2425</v>
      </c>
      <c r="AD789" s="107">
        <f t="shared" si="406"/>
        <v>4251.893939393939</v>
      </c>
      <c r="AE789" s="198"/>
      <c r="AF789" s="113">
        <f t="shared" si="387"/>
        <v>0</v>
      </c>
      <c r="AG789" s="85">
        <v>2026</v>
      </c>
      <c r="AH789" s="26" t="str">
        <f t="shared" si="410"/>
        <v/>
      </c>
      <c r="AI789" s="26" t="str">
        <f t="shared" si="392"/>
        <v/>
      </c>
      <c r="AJ789" s="26" t="str">
        <f t="shared" si="396"/>
        <v/>
      </c>
      <c r="AK789" s="26" t="str">
        <f t="shared" si="417"/>
        <v/>
      </c>
      <c r="AL789" s="26" t="str">
        <f t="shared" si="417"/>
        <v>Liquid Road</v>
      </c>
      <c r="AM789" s="26" t="str">
        <f t="shared" si="417"/>
        <v/>
      </c>
      <c r="AN789" s="26" t="str">
        <f t="shared" ref="AN789:AN852" si="419">VLOOKUP($AC789,RSL,3,FALSE)</f>
        <v>Liquid Road</v>
      </c>
      <c r="AO789" s="26" t="str">
        <f t="shared" si="397"/>
        <v/>
      </c>
      <c r="AP789" s="26" t="str">
        <f t="shared" si="395"/>
        <v/>
      </c>
      <c r="AQ789" s="68">
        <f t="shared" si="390"/>
        <v>12</v>
      </c>
      <c r="AR789" s="68">
        <f t="shared" si="391"/>
        <v>10</v>
      </c>
      <c r="AS789" s="68">
        <f t="shared" si="411"/>
        <v>1.05</v>
      </c>
      <c r="AT789" s="68">
        <f t="shared" si="412"/>
        <v>1</v>
      </c>
      <c r="AU789" s="68">
        <f t="shared" si="413"/>
        <v>1</v>
      </c>
      <c r="AV789" s="68">
        <f t="shared" si="414"/>
        <v>1</v>
      </c>
      <c r="AW789" s="68">
        <f t="shared" si="415"/>
        <v>1</v>
      </c>
      <c r="AX789" s="68">
        <f t="shared" ref="AX789:AX820" ca="1" si="420">AU789*(AG789-YEAR(TODAY()))</f>
        <v>2</v>
      </c>
      <c r="AY789" s="106">
        <v>2017</v>
      </c>
      <c r="AZ789" s="106" t="s">
        <v>2086</v>
      </c>
      <c r="BA789" s="106" t="str">
        <f t="shared" si="408"/>
        <v/>
      </c>
      <c r="BB789" s="177"/>
      <c r="BC789" s="177"/>
      <c r="BD789" s="177">
        <v>1</v>
      </c>
      <c r="BE789" s="177"/>
      <c r="BF789" s="177"/>
      <c r="BG789" s="177"/>
      <c r="BH789" s="177"/>
      <c r="BI789" s="33"/>
      <c r="BK789" s="48">
        <f>$G789/5280*VLOOKUP($AC789,'Cost and Score'!$B$27:$O$40,6,0)</f>
        <v>0.17007575757575757</v>
      </c>
      <c r="BL789" s="48">
        <f>$G789/5280*VLOOKUP($AC789,'Cost and Score'!$B$27:$O$40,7,0)</f>
        <v>2.7212121212121212</v>
      </c>
      <c r="BM789" s="48">
        <f>$G789/5280*VLOOKUP($AC789,'Cost and Score'!$B$27:$O$40,8,0)</f>
        <v>0</v>
      </c>
      <c r="BN789" s="48">
        <f>$G789/5280*VLOOKUP($AC789,'Cost and Score'!$B$27:$O$40,9,0)</f>
        <v>0</v>
      </c>
      <c r="BO789" s="48">
        <f>$G789/5280*VLOOKUP($AC789,'Cost and Score'!$B$27:$O$40,10,0)</f>
        <v>0</v>
      </c>
      <c r="BP789" s="48">
        <f>$G789/5280*VLOOKUP($AC789,'Cost and Score'!$B$27:$O$40,11,0)</f>
        <v>0</v>
      </c>
      <c r="BQ789" s="48">
        <f>$G789/5280*VLOOKUP($AC789,'Cost and Score'!$B$27:$O$40,12,0)</f>
        <v>0</v>
      </c>
      <c r="BR789" s="48">
        <f>$G789/5280*VLOOKUP($AC789,'Cost and Score'!$B$27:$O$40,13,0)</f>
        <v>0</v>
      </c>
      <c r="BS789" s="48">
        <f>$G789/5280*VLOOKUP($AC789,'Cost and Score'!$B$27:$O$40,14,0)</f>
        <v>0</v>
      </c>
      <c r="BT789" s="220">
        <f t="shared" si="409"/>
        <v>0.17007575757575757</v>
      </c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S789" s="112"/>
      <c r="CT789" s="112"/>
      <c r="CU789" s="112"/>
      <c r="CV789" s="112"/>
    </row>
    <row r="790" spans="1:103" s="112" customFormat="1" ht="14.45" customHeight="1" x14ac:dyDescent="0.25">
      <c r="A790" s="31" t="s">
        <v>2102</v>
      </c>
      <c r="B790" s="45" t="s">
        <v>1570</v>
      </c>
      <c r="C790" s="26" t="s">
        <v>1570</v>
      </c>
      <c r="D790" s="119" t="s">
        <v>2285</v>
      </c>
      <c r="E790" s="82" t="s">
        <v>1487</v>
      </c>
      <c r="F790" s="82" t="s">
        <v>1462</v>
      </c>
      <c r="G790" s="146">
        <v>686</v>
      </c>
      <c r="H790" s="29">
        <f>IF(I790="NC",26,20)</f>
        <v>26</v>
      </c>
      <c r="I790" s="26" t="s">
        <v>2098</v>
      </c>
      <c r="J790" s="26" t="s">
        <v>125</v>
      </c>
      <c r="K790" s="26">
        <f t="shared" si="416"/>
        <v>0</v>
      </c>
      <c r="L790" s="42">
        <v>7</v>
      </c>
      <c r="M790" s="42">
        <v>8</v>
      </c>
      <c r="N790" s="42">
        <v>8</v>
      </c>
      <c r="O790" s="83">
        <v>8</v>
      </c>
      <c r="P790" s="83">
        <v>8</v>
      </c>
      <c r="Q790" s="83">
        <v>8</v>
      </c>
      <c r="R790" s="83">
        <v>8</v>
      </c>
      <c r="S790" s="83">
        <v>8</v>
      </c>
      <c r="T790" s="83">
        <v>8</v>
      </c>
      <c r="U790" s="83">
        <v>8</v>
      </c>
      <c r="V790" s="42"/>
      <c r="W790" s="42"/>
      <c r="X790" s="42"/>
      <c r="Y790" s="26">
        <v>50</v>
      </c>
      <c r="Z790" s="26">
        <f t="shared" si="418"/>
        <v>0</v>
      </c>
      <c r="AA790" s="82" t="s">
        <v>1570</v>
      </c>
      <c r="AB790" s="111">
        <f t="shared" si="404"/>
        <v>2</v>
      </c>
      <c r="AC790" s="85" t="s">
        <v>2425</v>
      </c>
      <c r="AD790" s="84">
        <f t="shared" si="406"/>
        <v>3248.1060606060605</v>
      </c>
      <c r="AE790" s="140"/>
      <c r="AF790" s="113">
        <f t="shared" si="387"/>
        <v>0</v>
      </c>
      <c r="AG790" s="106">
        <v>2025</v>
      </c>
      <c r="AH790" s="26" t="str">
        <f t="shared" si="410"/>
        <v/>
      </c>
      <c r="AI790" s="26" t="str">
        <f t="shared" si="392"/>
        <v/>
      </c>
      <c r="AJ790" s="26" t="str">
        <f t="shared" si="396"/>
        <v/>
      </c>
      <c r="AK790" s="26" t="str">
        <f t="shared" si="417"/>
        <v>Liquid Road</v>
      </c>
      <c r="AL790" s="26" t="str">
        <f t="shared" si="417"/>
        <v/>
      </c>
      <c r="AM790" s="26" t="str">
        <f t="shared" si="417"/>
        <v/>
      </c>
      <c r="AN790" s="26" t="str">
        <f t="shared" si="419"/>
        <v>Liquid Road</v>
      </c>
      <c r="AO790" s="26" t="str">
        <f t="shared" si="397"/>
        <v/>
      </c>
      <c r="AP790" s="26" t="str">
        <f t="shared" si="395"/>
        <v/>
      </c>
      <c r="AQ790" s="68">
        <f t="shared" si="390"/>
        <v>12</v>
      </c>
      <c r="AR790" s="68">
        <f t="shared" si="391"/>
        <v>10</v>
      </c>
      <c r="AS790" s="68">
        <f t="shared" si="411"/>
        <v>1.05</v>
      </c>
      <c r="AT790" s="68">
        <f t="shared" si="412"/>
        <v>1</v>
      </c>
      <c r="AU790" s="68">
        <f t="shared" si="413"/>
        <v>1</v>
      </c>
      <c r="AV790" s="68">
        <f t="shared" si="414"/>
        <v>1</v>
      </c>
      <c r="AW790" s="68">
        <f t="shared" si="415"/>
        <v>1</v>
      </c>
      <c r="AX790" s="68">
        <f t="shared" ca="1" si="420"/>
        <v>1</v>
      </c>
      <c r="AY790" s="68">
        <v>2019</v>
      </c>
      <c r="AZ790" s="85" t="s">
        <v>2075</v>
      </c>
      <c r="BA790" s="106" t="str">
        <f t="shared" si="408"/>
        <v/>
      </c>
      <c r="BB790" s="203"/>
      <c r="BC790" s="178"/>
      <c r="BD790" s="178"/>
      <c r="BE790" s="178"/>
      <c r="BF790" s="178"/>
      <c r="BG790" s="178"/>
      <c r="BH790" s="178"/>
      <c r="BI790" s="33"/>
      <c r="BJ790" s="2"/>
      <c r="BK790" s="48">
        <f>$G790/5280*VLOOKUP($AC790,'Cost and Score'!$B$27:$O$40,6,0)</f>
        <v>0.12992424242424241</v>
      </c>
      <c r="BL790" s="48">
        <f>$G790/5280*VLOOKUP($AC790,'Cost and Score'!$B$27:$O$40,7,0)</f>
        <v>2.0787878787878786</v>
      </c>
      <c r="BM790" s="48">
        <f>$G790/5280*VLOOKUP($AC790,'Cost and Score'!$B$27:$O$40,8,0)</f>
        <v>0</v>
      </c>
      <c r="BN790" s="48">
        <f>$G790/5280*VLOOKUP($AC790,'Cost and Score'!$B$27:$O$40,9,0)</f>
        <v>0</v>
      </c>
      <c r="BO790" s="48">
        <f>$G790/5280*VLOOKUP($AC790,'Cost and Score'!$B$27:$O$40,10,0)</f>
        <v>0</v>
      </c>
      <c r="BP790" s="48">
        <f>$G790/5280*VLOOKUP($AC790,'Cost and Score'!$B$27:$O$40,11,0)</f>
        <v>0</v>
      </c>
      <c r="BQ790" s="48">
        <f>$G790/5280*VLOOKUP($AC790,'Cost and Score'!$B$27:$O$40,12,0)</f>
        <v>0</v>
      </c>
      <c r="BR790" s="48">
        <f>$G790/5280*VLOOKUP($AC790,'Cost and Score'!$B$27:$O$40,13,0)</f>
        <v>0</v>
      </c>
      <c r="BS790" s="48">
        <f>$G790/5280*VLOOKUP($AC790,'Cost and Score'!$B$27:$O$40,14,0)</f>
        <v>0</v>
      </c>
      <c r="BT790" s="220">
        <f t="shared" si="409"/>
        <v>0.12992424242424241</v>
      </c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</row>
    <row r="791" spans="1:103" s="112" customFormat="1" ht="14.45" hidden="1" customHeight="1" x14ac:dyDescent="0.25">
      <c r="A791" s="31"/>
      <c r="B791" s="225" t="s">
        <v>2339</v>
      </c>
      <c r="C791" s="26" t="s">
        <v>2339</v>
      </c>
      <c r="D791" s="36" t="s">
        <v>2330</v>
      </c>
      <c r="E791" s="26" t="s">
        <v>1580</v>
      </c>
      <c r="F791" s="26" t="s">
        <v>1581</v>
      </c>
      <c r="G791" s="29">
        <v>518.79999999999995</v>
      </c>
      <c r="H791" s="29"/>
      <c r="I791" s="26" t="s">
        <v>2098</v>
      </c>
      <c r="J791" s="26" t="s">
        <v>101</v>
      </c>
      <c r="K791" s="26">
        <v>0</v>
      </c>
      <c r="L791" s="42"/>
      <c r="M791" s="42">
        <v>6</v>
      </c>
      <c r="N791" s="42">
        <v>10</v>
      </c>
      <c r="O791" s="42">
        <v>9</v>
      </c>
      <c r="P791" s="42">
        <v>8</v>
      </c>
      <c r="Q791" s="42">
        <v>7</v>
      </c>
      <c r="R791" s="42">
        <v>7</v>
      </c>
      <c r="S791" s="42">
        <v>7</v>
      </c>
      <c r="T791" s="42">
        <v>7</v>
      </c>
      <c r="U791" s="42">
        <v>7</v>
      </c>
      <c r="V791" s="42"/>
      <c r="W791" s="42"/>
      <c r="X791" s="42"/>
      <c r="Y791" s="26">
        <v>50</v>
      </c>
      <c r="Z791" s="26">
        <f t="shared" si="418"/>
        <v>0</v>
      </c>
      <c r="AA791" s="2" t="s">
        <v>1579</v>
      </c>
      <c r="AB791" s="111">
        <f t="shared" si="404"/>
        <v>2</v>
      </c>
      <c r="AC791" s="85" t="s">
        <v>2371</v>
      </c>
      <c r="AD791" s="47">
        <f t="shared" si="406"/>
        <v>7860.606060606061</v>
      </c>
      <c r="AE791" s="140"/>
      <c r="AF791" s="113">
        <f t="shared" si="387"/>
        <v>0</v>
      </c>
      <c r="AG791" s="26">
        <v>2027</v>
      </c>
      <c r="AH791" s="26" t="str">
        <f t="shared" si="410"/>
        <v/>
      </c>
      <c r="AI791" s="26" t="str">
        <f t="shared" si="392"/>
        <v/>
      </c>
      <c r="AJ791" s="26" t="str">
        <f t="shared" si="396"/>
        <v/>
      </c>
      <c r="AK791" s="26" t="str">
        <f t="shared" si="417"/>
        <v/>
      </c>
      <c r="AL791" s="26" t="str">
        <f t="shared" si="417"/>
        <v/>
      </c>
      <c r="AM791" s="26" t="str">
        <f t="shared" si="417"/>
        <v>Microsurface double</v>
      </c>
      <c r="AN791" s="26" t="str">
        <f t="shared" si="419"/>
        <v>Microsurface double</v>
      </c>
      <c r="AO791" s="26" t="str">
        <f t="shared" si="397"/>
        <v>Liquid Road</v>
      </c>
      <c r="AP791" s="26" t="str">
        <f t="shared" si="395"/>
        <v/>
      </c>
      <c r="AQ791" s="68">
        <f t="shared" si="390"/>
        <v>14</v>
      </c>
      <c r="AR791" s="68">
        <f t="shared" si="391"/>
        <v>10</v>
      </c>
      <c r="AS791" s="68">
        <f t="shared" si="411"/>
        <v>0</v>
      </c>
      <c r="AT791" s="68">
        <f t="shared" si="412"/>
        <v>1.1000000000000001</v>
      </c>
      <c r="AU791" s="68">
        <f t="shared" si="413"/>
        <v>1</v>
      </c>
      <c r="AV791" s="68">
        <f t="shared" si="414"/>
        <v>1</v>
      </c>
      <c r="AW791" s="68">
        <f t="shared" si="415"/>
        <v>1</v>
      </c>
      <c r="AX791" s="68">
        <f t="shared" ca="1" si="420"/>
        <v>3</v>
      </c>
      <c r="AY791" s="68">
        <v>2021</v>
      </c>
      <c r="AZ791" s="68" t="s">
        <v>2425</v>
      </c>
      <c r="BA791" s="106" t="str">
        <f t="shared" si="408"/>
        <v/>
      </c>
      <c r="BB791" s="178"/>
      <c r="BC791" s="178"/>
      <c r="BD791" s="178"/>
      <c r="BE791" s="178">
        <v>2</v>
      </c>
      <c r="BF791" s="178"/>
      <c r="BG791" s="178"/>
      <c r="BH791" s="178"/>
      <c r="BI791" s="43"/>
      <c r="BJ791" s="26"/>
      <c r="BK791" s="48">
        <f>$G791/5280*VLOOKUP($AC791,'Cost and Score'!$B$27:$O$40,6,0)</f>
        <v>4.9128787878787876E-2</v>
      </c>
      <c r="BL791" s="48">
        <f>$G791/5280*VLOOKUP($AC791,'Cost and Score'!$B$27:$O$40,7,0)</f>
        <v>0</v>
      </c>
      <c r="BM791" s="48">
        <f>$G791/5280*VLOOKUP($AC791,'Cost and Score'!$B$27:$O$40,8,0)</f>
        <v>0</v>
      </c>
      <c r="BN791" s="48">
        <f>$G791/5280*VLOOKUP($AC791,'Cost and Score'!$B$27:$O$40,9,0)</f>
        <v>0</v>
      </c>
      <c r="BO791" s="48">
        <f>$G791/5280*VLOOKUP($AC791,'Cost and Score'!$B$27:$O$40,10,0)</f>
        <v>0</v>
      </c>
      <c r="BP791" s="48">
        <f>$G791/5280*VLOOKUP($AC791,'Cost and Score'!$B$27:$O$40,11,0)</f>
        <v>0</v>
      </c>
      <c r="BQ791" s="48">
        <f>$G791/5280*VLOOKUP($AC791,'Cost and Score'!$B$27:$O$40,12,0)</f>
        <v>0</v>
      </c>
      <c r="BR791" s="48">
        <f>$G791/5280*VLOOKUP($AC791,'Cost and Score'!$B$27:$O$40,13,0)</f>
        <v>0</v>
      </c>
      <c r="BS791" s="48">
        <f>$G791/5280*VLOOKUP($AC791,'Cost and Score'!$B$27:$O$40,14,0)</f>
        <v>0</v>
      </c>
      <c r="BT791" s="220">
        <f t="shared" si="409"/>
        <v>9.8257575757575752E-2</v>
      </c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S791" s="2"/>
      <c r="CT791" s="2"/>
      <c r="CU791" s="2"/>
    </row>
    <row r="792" spans="1:103" s="2" customFormat="1" hidden="1" x14ac:dyDescent="0.25">
      <c r="A792" s="31" t="s">
        <v>2102</v>
      </c>
      <c r="B792" s="224" t="s">
        <v>2452</v>
      </c>
      <c r="C792" s="26" t="s">
        <v>2452</v>
      </c>
      <c r="D792" s="86" t="s">
        <v>2453</v>
      </c>
      <c r="E792" s="82" t="s">
        <v>1407</v>
      </c>
      <c r="F792" s="82" t="s">
        <v>628</v>
      </c>
      <c r="G792" s="29">
        <v>1267</v>
      </c>
      <c r="H792" s="29">
        <f>IF(I792="NC",26,20)</f>
        <v>26</v>
      </c>
      <c r="I792" s="26" t="s">
        <v>2098</v>
      </c>
      <c r="J792" s="26" t="s">
        <v>101</v>
      </c>
      <c r="K792" s="26">
        <v>0</v>
      </c>
      <c r="L792" s="42">
        <v>7</v>
      </c>
      <c r="M792" s="42">
        <v>7</v>
      </c>
      <c r="N792" s="42">
        <v>10</v>
      </c>
      <c r="O792" s="83">
        <v>9</v>
      </c>
      <c r="P792" s="83">
        <v>8</v>
      </c>
      <c r="Q792" s="83">
        <v>7</v>
      </c>
      <c r="R792" s="83">
        <v>7</v>
      </c>
      <c r="S792" s="83">
        <v>7</v>
      </c>
      <c r="T792" s="83">
        <v>7</v>
      </c>
      <c r="U792" s="83">
        <v>7</v>
      </c>
      <c r="V792" s="42"/>
      <c r="W792" s="42"/>
      <c r="X792" s="42"/>
      <c r="Y792" s="26">
        <v>50</v>
      </c>
      <c r="Z792" s="26">
        <f t="shared" si="418"/>
        <v>0</v>
      </c>
      <c r="AA792" s="82" t="s">
        <v>1582</v>
      </c>
      <c r="AB792" s="111">
        <f t="shared" si="404"/>
        <v>2</v>
      </c>
      <c r="AC792" s="85" t="s">
        <v>2425</v>
      </c>
      <c r="AD792" s="84">
        <f t="shared" si="406"/>
        <v>5999.05303030303</v>
      </c>
      <c r="AE792" s="140"/>
      <c r="AF792" s="113">
        <f t="shared" ref="AF792:AF855" si="421">AD792*AE792</f>
        <v>0</v>
      </c>
      <c r="AG792" s="85">
        <v>2026</v>
      </c>
      <c r="AH792" s="26" t="str">
        <f t="shared" si="410"/>
        <v/>
      </c>
      <c r="AI792" s="26" t="str">
        <f t="shared" si="392"/>
        <v/>
      </c>
      <c r="AJ792" s="26" t="str">
        <f t="shared" si="396"/>
        <v/>
      </c>
      <c r="AK792" s="26" t="str">
        <f t="shared" si="417"/>
        <v/>
      </c>
      <c r="AL792" s="26" t="str">
        <f t="shared" si="417"/>
        <v>Liquid Road</v>
      </c>
      <c r="AM792" s="26" t="str">
        <f t="shared" si="417"/>
        <v/>
      </c>
      <c r="AN792" s="26" t="str">
        <f t="shared" si="419"/>
        <v>Liquid Road</v>
      </c>
      <c r="AO792" s="26" t="str">
        <f t="shared" si="397"/>
        <v/>
      </c>
      <c r="AP792" s="26" t="str">
        <f t="shared" si="395"/>
        <v/>
      </c>
      <c r="AQ792" s="68">
        <f t="shared" si="390"/>
        <v>14</v>
      </c>
      <c r="AR792" s="68">
        <f t="shared" si="391"/>
        <v>10</v>
      </c>
      <c r="AS792" s="68">
        <f t="shared" si="411"/>
        <v>1.05</v>
      </c>
      <c r="AT792" s="68">
        <f t="shared" si="412"/>
        <v>1.05</v>
      </c>
      <c r="AU792" s="68">
        <f t="shared" si="413"/>
        <v>1</v>
      </c>
      <c r="AV792" s="68">
        <f t="shared" si="414"/>
        <v>1</v>
      </c>
      <c r="AW792" s="68">
        <f t="shared" si="415"/>
        <v>1</v>
      </c>
      <c r="AX792" s="68">
        <f t="shared" ca="1" si="420"/>
        <v>2</v>
      </c>
      <c r="AY792" s="68">
        <v>2020</v>
      </c>
      <c r="AZ792" s="68" t="s">
        <v>2075</v>
      </c>
      <c r="BA792" s="106" t="str">
        <f t="shared" si="408"/>
        <v/>
      </c>
      <c r="BB792" s="178"/>
      <c r="BC792" s="178"/>
      <c r="BD792" s="178"/>
      <c r="BE792" s="178"/>
      <c r="BF792" s="178"/>
      <c r="BG792" s="178"/>
      <c r="BH792" s="178"/>
      <c r="BI792" s="33"/>
      <c r="BK792" s="48">
        <f>$G792/5280*VLOOKUP($AC792,'Cost and Score'!$B$27:$O$40,6,0)</f>
        <v>0.23996212121212121</v>
      </c>
      <c r="BL792" s="48">
        <f>$G792/5280*VLOOKUP($AC792,'Cost and Score'!$B$27:$O$40,7,0)</f>
        <v>3.8393939393939394</v>
      </c>
      <c r="BM792" s="48">
        <f>$G792/5280*VLOOKUP($AC792,'Cost and Score'!$B$27:$O$40,8,0)</f>
        <v>0</v>
      </c>
      <c r="BN792" s="48">
        <f>$G792/5280*VLOOKUP($AC792,'Cost and Score'!$B$27:$O$40,9,0)</f>
        <v>0</v>
      </c>
      <c r="BO792" s="48">
        <f>$G792/5280*VLOOKUP($AC792,'Cost and Score'!$B$27:$O$40,10,0)</f>
        <v>0</v>
      </c>
      <c r="BP792" s="48">
        <f>$G792/5280*VLOOKUP($AC792,'Cost and Score'!$B$27:$O$40,11,0)</f>
        <v>0</v>
      </c>
      <c r="BQ792" s="48">
        <f>$G792/5280*VLOOKUP($AC792,'Cost and Score'!$B$27:$O$40,12,0)</f>
        <v>0</v>
      </c>
      <c r="BR792" s="48">
        <f>$G792/5280*VLOOKUP($AC792,'Cost and Score'!$B$27:$O$40,13,0)</f>
        <v>0</v>
      </c>
      <c r="BS792" s="48">
        <f>$G792/5280*VLOOKUP($AC792,'Cost and Score'!$B$27:$O$40,14,0)</f>
        <v>0</v>
      </c>
      <c r="BT792" s="220">
        <f t="shared" si="409"/>
        <v>0.23996212121212121</v>
      </c>
      <c r="CN792" s="112"/>
      <c r="CO792" s="112"/>
      <c r="CP792" s="112"/>
      <c r="CQ792" s="112"/>
      <c r="CV792" s="112"/>
    </row>
    <row r="793" spans="1:103" s="2" customFormat="1" ht="14.45" hidden="1" customHeight="1" x14ac:dyDescent="0.25">
      <c r="A793" s="31"/>
      <c r="B793" s="225" t="s">
        <v>1582</v>
      </c>
      <c r="C793" s="26" t="s">
        <v>1582</v>
      </c>
      <c r="D793" s="36" t="s">
        <v>2281</v>
      </c>
      <c r="E793" s="26" t="s">
        <v>100</v>
      </c>
      <c r="F793" s="26" t="s">
        <v>129</v>
      </c>
      <c r="G793" s="29">
        <v>1011</v>
      </c>
      <c r="H793" s="29">
        <v>26</v>
      </c>
      <c r="I793" s="26" t="s">
        <v>2111</v>
      </c>
      <c r="J793" s="26" t="s">
        <v>160</v>
      </c>
      <c r="K793" s="26">
        <v>0</v>
      </c>
      <c r="L793" s="42"/>
      <c r="M793" s="42">
        <v>6</v>
      </c>
      <c r="N793" s="42">
        <v>10</v>
      </c>
      <c r="O793" s="42">
        <v>9</v>
      </c>
      <c r="P793" s="42">
        <v>9</v>
      </c>
      <c r="Q793" s="42">
        <v>9</v>
      </c>
      <c r="R793" s="42">
        <v>8</v>
      </c>
      <c r="S793" s="42">
        <v>8</v>
      </c>
      <c r="T793" s="42">
        <v>8</v>
      </c>
      <c r="U793" s="42">
        <v>7</v>
      </c>
      <c r="V793" s="42"/>
      <c r="W793" s="42"/>
      <c r="X793" s="42"/>
      <c r="Y793" s="26">
        <v>189</v>
      </c>
      <c r="Z793" s="26">
        <f t="shared" si="418"/>
        <v>0</v>
      </c>
      <c r="AA793" s="26" t="s">
        <v>2452</v>
      </c>
      <c r="AB793" s="111">
        <f t="shared" si="404"/>
        <v>1</v>
      </c>
      <c r="AC793" s="26" t="s">
        <v>2489</v>
      </c>
      <c r="AD793" s="47">
        <f t="shared" si="406"/>
        <v>4786.931818181818</v>
      </c>
      <c r="AE793" s="140"/>
      <c r="AF793" s="113">
        <f t="shared" si="421"/>
        <v>0</v>
      </c>
      <c r="AG793" s="85">
        <v>2026</v>
      </c>
      <c r="AH793" s="26" t="str">
        <f t="shared" si="410"/>
        <v/>
      </c>
      <c r="AI793" s="26" t="str">
        <f t="shared" si="392"/>
        <v/>
      </c>
      <c r="AJ793" s="26" t="str">
        <f t="shared" si="396"/>
        <v/>
      </c>
      <c r="AK793" s="26" t="str">
        <f t="shared" si="417"/>
        <v/>
      </c>
      <c r="AL793" s="26" t="str">
        <f t="shared" si="417"/>
        <v>Liquid Road</v>
      </c>
      <c r="AM793" s="26" t="str">
        <f t="shared" si="417"/>
        <v/>
      </c>
      <c r="AN793" s="26" t="str">
        <f t="shared" si="419"/>
        <v>Liquid Road</v>
      </c>
      <c r="AO793" s="26" t="str">
        <f t="shared" si="397"/>
        <v/>
      </c>
      <c r="AP793" s="26" t="str">
        <f t="shared" si="395"/>
        <v/>
      </c>
      <c r="AQ793" s="68">
        <f t="shared" si="390"/>
        <v>14</v>
      </c>
      <c r="AR793" s="68">
        <f t="shared" si="391"/>
        <v>10</v>
      </c>
      <c r="AS793" s="68">
        <f t="shared" si="411"/>
        <v>0</v>
      </c>
      <c r="AT793" s="68">
        <f t="shared" si="412"/>
        <v>1.1000000000000001</v>
      </c>
      <c r="AU793" s="68">
        <f t="shared" si="413"/>
        <v>1</v>
      </c>
      <c r="AV793" s="68">
        <f t="shared" si="414"/>
        <v>1</v>
      </c>
      <c r="AW793" s="68">
        <f t="shared" si="415"/>
        <v>1</v>
      </c>
      <c r="AX793" s="68">
        <f t="shared" ca="1" si="420"/>
        <v>2</v>
      </c>
      <c r="AY793" s="68">
        <v>2016</v>
      </c>
      <c r="AZ793" s="68" t="s">
        <v>2075</v>
      </c>
      <c r="BA793" s="106" t="str">
        <f t="shared" si="408"/>
        <v/>
      </c>
      <c r="BB793" s="178"/>
      <c r="BC793" s="178"/>
      <c r="BD793" s="178"/>
      <c r="BE793" s="178"/>
      <c r="BF793" s="178"/>
      <c r="BG793" s="178">
        <v>4</v>
      </c>
      <c r="BH793" s="178"/>
      <c r="BI793" s="43"/>
      <c r="BJ793" s="26"/>
      <c r="BK793" s="48"/>
      <c r="BL793" s="48"/>
      <c r="BM793" s="48"/>
      <c r="BN793" s="48"/>
      <c r="BO793" s="48"/>
      <c r="BP793" s="48"/>
      <c r="BQ793" s="48"/>
      <c r="BR793" s="48"/>
      <c r="BS793" s="48"/>
      <c r="BT793" s="220">
        <f t="shared" si="409"/>
        <v>0.19147727272727272</v>
      </c>
      <c r="CF793" s="112"/>
      <c r="CS793" s="112"/>
      <c r="CT793" s="112"/>
      <c r="CU793" s="112"/>
    </row>
    <row r="794" spans="1:103" s="2" customFormat="1" ht="14.45" hidden="1" customHeight="1" x14ac:dyDescent="0.25">
      <c r="A794" s="31" t="s">
        <v>2102</v>
      </c>
      <c r="B794" s="226" t="s">
        <v>1584</v>
      </c>
      <c r="C794" s="106" t="s">
        <v>1584</v>
      </c>
      <c r="D794" s="116" t="s">
        <v>2230</v>
      </c>
      <c r="E794" s="106" t="s">
        <v>4</v>
      </c>
      <c r="F794" s="106" t="s">
        <v>1585</v>
      </c>
      <c r="G794" s="109">
        <v>950</v>
      </c>
      <c r="H794" s="109">
        <f t="shared" ref="H794:H799" si="422">IF(I794="NC",26,20)</f>
        <v>26</v>
      </c>
      <c r="I794" s="106" t="s">
        <v>2098</v>
      </c>
      <c r="J794" s="106" t="s">
        <v>101</v>
      </c>
      <c r="K794" s="106">
        <v>0</v>
      </c>
      <c r="L794" s="110">
        <v>7</v>
      </c>
      <c r="M794" s="110">
        <v>8</v>
      </c>
      <c r="N794" s="110">
        <v>8</v>
      </c>
      <c r="O794" s="110">
        <v>7</v>
      </c>
      <c r="P794" s="110">
        <v>7</v>
      </c>
      <c r="Q794" s="110">
        <v>7</v>
      </c>
      <c r="R794" s="110">
        <v>6</v>
      </c>
      <c r="S794" s="110">
        <v>6</v>
      </c>
      <c r="T794" s="110">
        <v>6</v>
      </c>
      <c r="U794" s="110">
        <v>6</v>
      </c>
      <c r="V794" s="110"/>
      <c r="W794" s="110"/>
      <c r="X794" s="110"/>
      <c r="Y794" s="106">
        <v>50</v>
      </c>
      <c r="Z794" s="106">
        <f t="shared" si="418"/>
        <v>0</v>
      </c>
      <c r="AA794" s="106" t="s">
        <v>1584</v>
      </c>
      <c r="AB794" s="111">
        <f t="shared" si="404"/>
        <v>3</v>
      </c>
      <c r="AC794" s="85" t="s">
        <v>2371</v>
      </c>
      <c r="AD794" s="107">
        <f t="shared" si="406"/>
        <v>14393.939393939394</v>
      </c>
      <c r="AE794" s="140">
        <v>1</v>
      </c>
      <c r="AF794" s="113">
        <f t="shared" si="421"/>
        <v>14393.939393939394</v>
      </c>
      <c r="AG794" s="85">
        <v>2024</v>
      </c>
      <c r="AH794" s="26" t="str">
        <f t="shared" si="410"/>
        <v/>
      </c>
      <c r="AI794" s="26" t="str">
        <f t="shared" si="392"/>
        <v/>
      </c>
      <c r="AJ794" s="26" t="str">
        <f t="shared" si="396"/>
        <v>Microsurface double</v>
      </c>
      <c r="AK794" s="26" t="str">
        <f t="shared" si="417"/>
        <v/>
      </c>
      <c r="AL794" s="26" t="str">
        <f t="shared" si="417"/>
        <v/>
      </c>
      <c r="AM794" s="26" t="str">
        <f t="shared" si="417"/>
        <v/>
      </c>
      <c r="AN794" s="26" t="str">
        <f t="shared" si="419"/>
        <v>Microsurface double</v>
      </c>
      <c r="AO794" s="26" t="str">
        <f t="shared" si="397"/>
        <v/>
      </c>
      <c r="AP794" s="26" t="str">
        <f t="shared" si="395"/>
        <v/>
      </c>
      <c r="AQ794" s="68">
        <f t="shared" ref="AQ794:AQ857" si="423">VLOOKUP(O794,RSLrem,2,FALSE)</f>
        <v>10</v>
      </c>
      <c r="AR794" s="68">
        <f t="shared" ref="AR794:AR857" si="424">VLOOKUP(AC794,RSL,5,FALSE)</f>
        <v>10</v>
      </c>
      <c r="AS794" s="68">
        <f t="shared" si="411"/>
        <v>1.05</v>
      </c>
      <c r="AT794" s="68">
        <f t="shared" si="412"/>
        <v>1</v>
      </c>
      <c r="AU794" s="68">
        <f t="shared" si="413"/>
        <v>1</v>
      </c>
      <c r="AV794" s="68">
        <f t="shared" si="414"/>
        <v>1.05</v>
      </c>
      <c r="AW794" s="68">
        <f t="shared" si="415"/>
        <v>1.05</v>
      </c>
      <c r="AX794" s="68">
        <f t="shared" ca="1" si="420"/>
        <v>0</v>
      </c>
      <c r="AY794" s="106">
        <v>2017</v>
      </c>
      <c r="AZ794" s="68" t="s">
        <v>2371</v>
      </c>
      <c r="BA794" s="106" t="str">
        <f t="shared" si="408"/>
        <v/>
      </c>
      <c r="BB794" s="178"/>
      <c r="BC794" s="178"/>
      <c r="BD794" s="178">
        <v>1</v>
      </c>
      <c r="BE794" s="178"/>
      <c r="BF794" s="178"/>
      <c r="BG794" s="178"/>
      <c r="BH794" s="178"/>
      <c r="BI794" s="33" t="s">
        <v>2623</v>
      </c>
      <c r="BK794" s="48">
        <f>$G794/5280*VLOOKUP($AC794,'Cost and Score'!$B$27:$O$40,6,0)</f>
        <v>8.9962121212121215E-2</v>
      </c>
      <c r="BL794" s="48">
        <f>$G794/5280*VLOOKUP($AC794,'Cost and Score'!$B$27:$O$40,7,0)</f>
        <v>0</v>
      </c>
      <c r="BM794" s="48">
        <f>$G794/5280*VLOOKUP($AC794,'Cost and Score'!$B$27:$O$40,8,0)</f>
        <v>0</v>
      </c>
      <c r="BN794" s="48">
        <f>$G794/5280*VLOOKUP($AC794,'Cost and Score'!$B$27:$O$40,9,0)</f>
        <v>0</v>
      </c>
      <c r="BO794" s="48">
        <f>$G794/5280*VLOOKUP($AC794,'Cost and Score'!$B$27:$O$40,10,0)</f>
        <v>0</v>
      </c>
      <c r="BP794" s="48">
        <f>$G794/5280*VLOOKUP($AC794,'Cost and Score'!$B$27:$O$40,11,0)</f>
        <v>0</v>
      </c>
      <c r="BQ794" s="48">
        <f>$G794/5280*VLOOKUP($AC794,'Cost and Score'!$B$27:$O$40,12,0)</f>
        <v>0</v>
      </c>
      <c r="BR794" s="48">
        <f>$G794/5280*VLOOKUP($AC794,'Cost and Score'!$B$27:$O$40,13,0)</f>
        <v>0</v>
      </c>
      <c r="BS794" s="48">
        <f>$G794/5280*VLOOKUP($AC794,'Cost and Score'!$B$27:$O$40,14,0)</f>
        <v>0</v>
      </c>
      <c r="BT794" s="220">
        <f t="shared" si="409"/>
        <v>0.17992424242424243</v>
      </c>
      <c r="CF794" s="112"/>
      <c r="CG794" s="112"/>
      <c r="CH794" s="112"/>
      <c r="CI794" s="112"/>
      <c r="CJ794" s="112"/>
      <c r="CK794" s="112"/>
      <c r="CL794" s="112"/>
      <c r="CM794" s="112"/>
      <c r="CS794" s="112"/>
      <c r="CT794" s="112"/>
      <c r="CU794" s="112"/>
    </row>
    <row r="795" spans="1:103" s="112" customFormat="1" ht="14.45" customHeight="1" x14ac:dyDescent="0.25">
      <c r="A795" s="31" t="s">
        <v>2102</v>
      </c>
      <c r="B795" s="45" t="s">
        <v>1612</v>
      </c>
      <c r="C795" s="26" t="s">
        <v>1612</v>
      </c>
      <c r="D795" s="119" t="s">
        <v>2285</v>
      </c>
      <c r="E795" s="82" t="s">
        <v>1487</v>
      </c>
      <c r="F795" s="82" t="s">
        <v>1462</v>
      </c>
      <c r="G795" s="148">
        <v>950</v>
      </c>
      <c r="H795" s="29">
        <f t="shared" si="422"/>
        <v>26</v>
      </c>
      <c r="I795" s="26" t="s">
        <v>2098</v>
      </c>
      <c r="J795" s="26" t="s">
        <v>125</v>
      </c>
      <c r="K795" s="26">
        <f>VLOOKUP(J795,TOWNSHIPS,2,FALSE)</f>
        <v>0</v>
      </c>
      <c r="L795" s="42">
        <v>7</v>
      </c>
      <c r="M795" s="42">
        <v>8</v>
      </c>
      <c r="N795" s="42">
        <v>8</v>
      </c>
      <c r="O795" s="83">
        <v>8</v>
      </c>
      <c r="P795" s="83">
        <v>8</v>
      </c>
      <c r="Q795" s="83">
        <v>8</v>
      </c>
      <c r="R795" s="83">
        <v>8</v>
      </c>
      <c r="S795" s="83">
        <v>8</v>
      </c>
      <c r="T795" s="83">
        <v>8</v>
      </c>
      <c r="U795" s="83">
        <v>8</v>
      </c>
      <c r="V795" s="42"/>
      <c r="W795" s="42"/>
      <c r="X795" s="42"/>
      <c r="Y795" s="26">
        <v>50</v>
      </c>
      <c r="Z795" s="26">
        <f t="shared" si="418"/>
        <v>0</v>
      </c>
      <c r="AA795" s="82" t="s">
        <v>1612</v>
      </c>
      <c r="AB795" s="111">
        <f t="shared" si="404"/>
        <v>2</v>
      </c>
      <c r="AC795" s="85" t="s">
        <v>2425</v>
      </c>
      <c r="AD795" s="84">
        <f t="shared" si="406"/>
        <v>4498.106060606061</v>
      </c>
      <c r="AE795" s="140"/>
      <c r="AF795" s="113">
        <f t="shared" si="421"/>
        <v>0</v>
      </c>
      <c r="AG795" s="106">
        <v>2025</v>
      </c>
      <c r="AH795" s="26" t="str">
        <f t="shared" si="410"/>
        <v/>
      </c>
      <c r="AI795" s="26" t="str">
        <f t="shared" si="392"/>
        <v/>
      </c>
      <c r="AJ795" s="26" t="str">
        <f t="shared" si="396"/>
        <v/>
      </c>
      <c r="AK795" s="26" t="str">
        <f t="shared" si="417"/>
        <v>Liquid Road</v>
      </c>
      <c r="AL795" s="26" t="str">
        <f t="shared" si="417"/>
        <v/>
      </c>
      <c r="AM795" s="26" t="str">
        <f t="shared" si="417"/>
        <v/>
      </c>
      <c r="AN795" s="26" t="str">
        <f t="shared" si="419"/>
        <v>Liquid Road</v>
      </c>
      <c r="AO795" s="26" t="str">
        <f t="shared" si="397"/>
        <v/>
      </c>
      <c r="AP795" s="26" t="str">
        <f t="shared" si="395"/>
        <v/>
      </c>
      <c r="AQ795" s="68">
        <f t="shared" si="423"/>
        <v>12</v>
      </c>
      <c r="AR795" s="68">
        <f t="shared" si="424"/>
        <v>10</v>
      </c>
      <c r="AS795" s="68">
        <f t="shared" si="411"/>
        <v>1.05</v>
      </c>
      <c r="AT795" s="68">
        <f t="shared" si="412"/>
        <v>1</v>
      </c>
      <c r="AU795" s="68">
        <f t="shared" si="413"/>
        <v>1</v>
      </c>
      <c r="AV795" s="68">
        <f t="shared" si="414"/>
        <v>1</v>
      </c>
      <c r="AW795" s="68">
        <f t="shared" si="415"/>
        <v>1</v>
      </c>
      <c r="AX795" s="68">
        <f t="shared" ca="1" si="420"/>
        <v>1</v>
      </c>
      <c r="AY795" s="68">
        <v>2019</v>
      </c>
      <c r="AZ795" s="85" t="s">
        <v>2075</v>
      </c>
      <c r="BA795" s="106" t="str">
        <f t="shared" si="408"/>
        <v/>
      </c>
      <c r="BB795" s="203"/>
      <c r="BC795" s="178"/>
      <c r="BD795" s="178"/>
      <c r="BE795" s="178"/>
      <c r="BF795" s="178"/>
      <c r="BG795" s="178"/>
      <c r="BH795" s="178"/>
      <c r="BI795" s="33"/>
      <c r="BJ795" s="2"/>
      <c r="BK795" s="48">
        <f>$G795/5280*VLOOKUP($AC795,'Cost and Score'!$B$27:$O$40,6,0)</f>
        <v>0.17992424242424243</v>
      </c>
      <c r="BL795" s="48">
        <f>$G795/5280*VLOOKUP($AC795,'Cost and Score'!$B$27:$O$40,7,0)</f>
        <v>2.8787878787878789</v>
      </c>
      <c r="BM795" s="48">
        <f>$G795/5280*VLOOKUP($AC795,'Cost and Score'!$B$27:$O$40,8,0)</f>
        <v>0</v>
      </c>
      <c r="BN795" s="48">
        <f>$G795/5280*VLOOKUP($AC795,'Cost and Score'!$B$27:$O$40,9,0)</f>
        <v>0</v>
      </c>
      <c r="BO795" s="48">
        <f>$G795/5280*VLOOKUP($AC795,'Cost and Score'!$B$27:$O$40,10,0)</f>
        <v>0</v>
      </c>
      <c r="BP795" s="48">
        <f>$G795/5280*VLOOKUP($AC795,'Cost and Score'!$B$27:$O$40,11,0)</f>
        <v>0</v>
      </c>
      <c r="BQ795" s="48">
        <f>$G795/5280*VLOOKUP($AC795,'Cost and Score'!$B$27:$O$40,12,0)</f>
        <v>0</v>
      </c>
      <c r="BR795" s="48">
        <f>$G795/5280*VLOOKUP($AC795,'Cost and Score'!$B$27:$O$40,13,0)</f>
        <v>0</v>
      </c>
      <c r="BS795" s="48">
        <f>$G795/5280*VLOOKUP($AC795,'Cost and Score'!$B$27:$O$40,14,0)</f>
        <v>0</v>
      </c>
      <c r="BT795" s="220">
        <f t="shared" si="409"/>
        <v>0.17992424242424243</v>
      </c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</row>
    <row r="796" spans="1:103" s="112" customFormat="1" ht="14.45" hidden="1" customHeight="1" x14ac:dyDescent="0.25">
      <c r="A796" s="31" t="s">
        <v>2102</v>
      </c>
      <c r="B796" s="45" t="s">
        <v>1587</v>
      </c>
      <c r="C796" s="26" t="s">
        <v>1587</v>
      </c>
      <c r="D796" s="36" t="s">
        <v>2231</v>
      </c>
      <c r="E796" s="26" t="s">
        <v>1458</v>
      </c>
      <c r="F796" s="26" t="s">
        <v>1459</v>
      </c>
      <c r="G796" s="29">
        <v>1584</v>
      </c>
      <c r="H796" s="29">
        <f t="shared" si="422"/>
        <v>26</v>
      </c>
      <c r="I796" s="26" t="s">
        <v>2098</v>
      </c>
      <c r="J796" s="26" t="s">
        <v>160</v>
      </c>
      <c r="K796" s="26">
        <f>VLOOKUP(J796,TOWNSHIPS,2,FALSE)</f>
        <v>0</v>
      </c>
      <c r="L796" s="42">
        <v>6</v>
      </c>
      <c r="M796" s="42">
        <v>8</v>
      </c>
      <c r="N796" s="42">
        <v>7</v>
      </c>
      <c r="O796" s="42">
        <v>6</v>
      </c>
      <c r="P796" s="42">
        <v>6</v>
      </c>
      <c r="Q796" s="42">
        <v>8</v>
      </c>
      <c r="R796" s="42">
        <v>8</v>
      </c>
      <c r="S796" s="42">
        <v>7</v>
      </c>
      <c r="T796" s="42">
        <v>7</v>
      </c>
      <c r="U796" s="42">
        <v>7</v>
      </c>
      <c r="V796" s="42"/>
      <c r="W796" s="42"/>
      <c r="X796" s="42"/>
      <c r="Y796" s="26">
        <v>184</v>
      </c>
      <c r="Z796" s="26">
        <f t="shared" si="418"/>
        <v>0</v>
      </c>
      <c r="AA796" s="26" t="s">
        <v>1587</v>
      </c>
      <c r="AB796" s="111">
        <f t="shared" si="404"/>
        <v>4</v>
      </c>
      <c r="AC796" s="26" t="s">
        <v>2086</v>
      </c>
      <c r="AD796" s="47">
        <f t="shared" si="406"/>
        <v>750</v>
      </c>
      <c r="AE796" s="198"/>
      <c r="AF796" s="113">
        <f t="shared" si="421"/>
        <v>0</v>
      </c>
      <c r="AG796" s="26">
        <v>2024</v>
      </c>
      <c r="AH796" s="26" t="str">
        <f t="shared" si="410"/>
        <v/>
      </c>
      <c r="AI796" s="26" t="str">
        <f t="shared" si="392"/>
        <v/>
      </c>
      <c r="AJ796" s="26" t="str">
        <f t="shared" si="396"/>
        <v>Fog Seal</v>
      </c>
      <c r="AK796" s="26" t="str">
        <f t="shared" si="417"/>
        <v/>
      </c>
      <c r="AL796" s="26" t="str">
        <f t="shared" si="417"/>
        <v/>
      </c>
      <c r="AM796" s="26" t="str">
        <f t="shared" si="417"/>
        <v/>
      </c>
      <c r="AN796" s="26" t="str">
        <f t="shared" si="419"/>
        <v>Fog Seal</v>
      </c>
      <c r="AO796" s="26" t="str">
        <f t="shared" si="397"/>
        <v/>
      </c>
      <c r="AP796" s="26" t="str">
        <f t="shared" si="395"/>
        <v/>
      </c>
      <c r="AQ796" s="68">
        <f t="shared" si="423"/>
        <v>8</v>
      </c>
      <c r="AR796" s="68">
        <f t="shared" si="424"/>
        <v>2</v>
      </c>
      <c r="AS796" s="68">
        <f t="shared" si="411"/>
        <v>1.1000000000000001</v>
      </c>
      <c r="AT796" s="68">
        <f t="shared" si="412"/>
        <v>1</v>
      </c>
      <c r="AU796" s="68">
        <f t="shared" si="413"/>
        <v>1.05</v>
      </c>
      <c r="AV796" s="68">
        <f t="shared" si="414"/>
        <v>1.1000000000000001</v>
      </c>
      <c r="AW796" s="68">
        <f t="shared" si="415"/>
        <v>1.1000000000000001</v>
      </c>
      <c r="AX796" s="68">
        <f t="shared" ca="1" si="420"/>
        <v>0</v>
      </c>
      <c r="AY796" s="68">
        <v>2018</v>
      </c>
      <c r="AZ796" s="68" t="s">
        <v>2425</v>
      </c>
      <c r="BA796" s="106" t="str">
        <f t="shared" si="408"/>
        <v>MICROSEAL</v>
      </c>
      <c r="BB796" s="178"/>
      <c r="BC796" s="178"/>
      <c r="BD796" s="178"/>
      <c r="BE796" s="178"/>
      <c r="BF796" s="178"/>
      <c r="BG796" s="178"/>
      <c r="BH796" s="178"/>
      <c r="BI796" s="33"/>
      <c r="BJ796" s="2"/>
      <c r="BK796" s="48">
        <f>$G796/5280*VLOOKUP($AC796,'Cost and Score'!$B$27:$O$40,6,0)</f>
        <v>0.03</v>
      </c>
      <c r="BL796" s="48">
        <f>$G796/5280*VLOOKUP($AC796,'Cost and Score'!$B$27:$O$40,7,0)</f>
        <v>0.06</v>
      </c>
      <c r="BM796" s="48">
        <f>$G796/5280*VLOOKUP($AC796,'Cost and Score'!$B$27:$O$40,8,0)</f>
        <v>0</v>
      </c>
      <c r="BN796" s="48">
        <f>$G796/5280*VLOOKUP($AC796,'Cost and Score'!$B$27:$O$40,9,0)</f>
        <v>0</v>
      </c>
      <c r="BO796" s="48">
        <f>$G796/5280*VLOOKUP($AC796,'Cost and Score'!$B$27:$O$40,10,0)</f>
        <v>300</v>
      </c>
      <c r="BP796" s="48">
        <f>$G796/5280*VLOOKUP($AC796,'Cost and Score'!$B$27:$O$40,11,0)</f>
        <v>0</v>
      </c>
      <c r="BQ796" s="48">
        <f>$G796/5280*VLOOKUP($AC796,'Cost and Score'!$B$27:$O$40,12,0)</f>
        <v>0</v>
      </c>
      <c r="BR796" s="48">
        <f>$G796/5280*VLOOKUP($AC796,'Cost and Score'!$B$27:$O$40,13,0)</f>
        <v>0</v>
      </c>
      <c r="BS796" s="48">
        <f>$G796/5280*VLOOKUP($AC796,'Cost and Score'!$B$27:$O$40,14,0)</f>
        <v>0</v>
      </c>
      <c r="BT796" s="220">
        <f t="shared" si="409"/>
        <v>0.3</v>
      </c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R796" s="2"/>
      <c r="CS796" s="2"/>
      <c r="CT796" s="2"/>
      <c r="CU796" s="2"/>
      <c r="CW796" s="2"/>
      <c r="CX796" s="2"/>
      <c r="CY796" s="2"/>
    </row>
    <row r="797" spans="1:103" s="2" customFormat="1" ht="14.45" hidden="1" customHeight="1" x14ac:dyDescent="0.25">
      <c r="A797" s="31" t="s">
        <v>2102</v>
      </c>
      <c r="B797" s="45" t="s">
        <v>1588</v>
      </c>
      <c r="C797" s="26" t="s">
        <v>1588</v>
      </c>
      <c r="D797" s="36" t="s">
        <v>2231</v>
      </c>
      <c r="E797" s="26" t="s">
        <v>1458</v>
      </c>
      <c r="F797" s="26" t="s">
        <v>1459</v>
      </c>
      <c r="G797" s="29">
        <v>686</v>
      </c>
      <c r="H797" s="29">
        <f t="shared" si="422"/>
        <v>26</v>
      </c>
      <c r="I797" s="26" t="s">
        <v>2098</v>
      </c>
      <c r="J797" s="26" t="s">
        <v>160</v>
      </c>
      <c r="K797" s="26">
        <f>VLOOKUP(J797,TOWNSHIPS,2,FALSE)</f>
        <v>0</v>
      </c>
      <c r="L797" s="42">
        <v>6</v>
      </c>
      <c r="M797" s="42">
        <v>8</v>
      </c>
      <c r="N797" s="42">
        <v>7</v>
      </c>
      <c r="O797" s="42">
        <v>7</v>
      </c>
      <c r="P797" s="42">
        <v>7</v>
      </c>
      <c r="Q797" s="42">
        <v>7</v>
      </c>
      <c r="R797" s="42">
        <v>8</v>
      </c>
      <c r="S797" s="42">
        <v>7</v>
      </c>
      <c r="T797" s="42">
        <v>7</v>
      </c>
      <c r="U797" s="42">
        <v>7</v>
      </c>
      <c r="V797" s="42"/>
      <c r="W797" s="42"/>
      <c r="X797" s="42"/>
      <c r="Y797" s="26">
        <v>184</v>
      </c>
      <c r="Z797" s="26">
        <f t="shared" si="418"/>
        <v>0</v>
      </c>
      <c r="AA797" s="26" t="s">
        <v>1588</v>
      </c>
      <c r="AB797" s="111">
        <f t="shared" si="404"/>
        <v>3</v>
      </c>
      <c r="AC797" s="26" t="s">
        <v>2086</v>
      </c>
      <c r="AD797" s="47">
        <f t="shared" si="406"/>
        <v>324.81060606060606</v>
      </c>
      <c r="AE797" s="198"/>
      <c r="AF797" s="113">
        <f t="shared" si="421"/>
        <v>0</v>
      </c>
      <c r="AG797" s="26">
        <v>2024</v>
      </c>
      <c r="AH797" s="26" t="str">
        <f t="shared" si="410"/>
        <v/>
      </c>
      <c r="AI797" s="26" t="str">
        <f t="shared" si="392"/>
        <v/>
      </c>
      <c r="AJ797" s="26" t="str">
        <f t="shared" si="396"/>
        <v>Fog Seal</v>
      </c>
      <c r="AK797" s="26" t="str">
        <f t="shared" si="417"/>
        <v/>
      </c>
      <c r="AL797" s="26" t="str">
        <f t="shared" si="417"/>
        <v/>
      </c>
      <c r="AM797" s="26" t="str">
        <f t="shared" si="417"/>
        <v/>
      </c>
      <c r="AN797" s="26" t="str">
        <f t="shared" si="419"/>
        <v>Fog Seal</v>
      </c>
      <c r="AO797" s="26" t="str">
        <f t="shared" si="397"/>
        <v/>
      </c>
      <c r="AP797" s="26" t="str">
        <f t="shared" si="395"/>
        <v/>
      </c>
      <c r="AQ797" s="68">
        <f t="shared" si="423"/>
        <v>10</v>
      </c>
      <c r="AR797" s="68">
        <f t="shared" si="424"/>
        <v>2</v>
      </c>
      <c r="AS797" s="68">
        <f t="shared" si="411"/>
        <v>1.1000000000000001</v>
      </c>
      <c r="AT797" s="68">
        <f t="shared" si="412"/>
        <v>1</v>
      </c>
      <c r="AU797" s="68">
        <f t="shared" si="413"/>
        <v>1.05</v>
      </c>
      <c r="AV797" s="68">
        <f t="shared" si="414"/>
        <v>1.05</v>
      </c>
      <c r="AW797" s="68">
        <f t="shared" si="415"/>
        <v>1.05</v>
      </c>
      <c r="AX797" s="68">
        <f t="shared" ca="1" si="420"/>
        <v>0</v>
      </c>
      <c r="AY797" s="68">
        <v>2018</v>
      </c>
      <c r="AZ797" s="68" t="s">
        <v>2425</v>
      </c>
      <c r="BA797" s="106" t="str">
        <f t="shared" si="408"/>
        <v>MICROSEAL</v>
      </c>
      <c r="BB797" s="178"/>
      <c r="BC797" s="178"/>
      <c r="BD797" s="178"/>
      <c r="BE797" s="178"/>
      <c r="BF797" s="178"/>
      <c r="BG797" s="178"/>
      <c r="BH797" s="178"/>
      <c r="BI797" s="33"/>
      <c r="BK797" s="48">
        <f>$G797/5280*VLOOKUP($AC797,'Cost and Score'!$B$27:$O$40,6,0)</f>
        <v>1.2992424242424243E-2</v>
      </c>
      <c r="BL797" s="48">
        <f>$G797/5280*VLOOKUP($AC797,'Cost and Score'!$B$27:$O$40,7,0)</f>
        <v>2.5984848484848486E-2</v>
      </c>
      <c r="BM797" s="48">
        <f>$G797/5280*VLOOKUP($AC797,'Cost and Score'!$B$27:$O$40,8,0)</f>
        <v>0</v>
      </c>
      <c r="BN797" s="48">
        <f>$G797/5280*VLOOKUP($AC797,'Cost and Score'!$B$27:$O$40,9,0)</f>
        <v>0</v>
      </c>
      <c r="BO797" s="48">
        <f>$G797/5280*VLOOKUP($AC797,'Cost and Score'!$B$27:$O$40,10,0)</f>
        <v>129.92424242424241</v>
      </c>
      <c r="BP797" s="48">
        <f>$G797/5280*VLOOKUP($AC797,'Cost and Score'!$B$27:$O$40,11,0)</f>
        <v>0</v>
      </c>
      <c r="BQ797" s="48">
        <f>$G797/5280*VLOOKUP($AC797,'Cost and Score'!$B$27:$O$40,12,0)</f>
        <v>0</v>
      </c>
      <c r="BR797" s="48">
        <f>$G797/5280*VLOOKUP($AC797,'Cost and Score'!$B$27:$O$40,13,0)</f>
        <v>0</v>
      </c>
      <c r="BS797" s="48">
        <f>$G797/5280*VLOOKUP($AC797,'Cost and Score'!$B$27:$O$40,14,0)</f>
        <v>0</v>
      </c>
      <c r="BT797" s="220">
        <f t="shared" si="409"/>
        <v>0.12992424242424241</v>
      </c>
      <c r="CN797" s="112"/>
      <c r="CO797" s="112"/>
      <c r="CP797" s="112"/>
      <c r="CQ797" s="112"/>
      <c r="CV797" s="112"/>
    </row>
    <row r="798" spans="1:103" s="2" customFormat="1" hidden="1" x14ac:dyDescent="0.25">
      <c r="A798" s="31" t="s">
        <v>2102</v>
      </c>
      <c r="B798" s="45" t="s">
        <v>1589</v>
      </c>
      <c r="C798" s="26" t="s">
        <v>1589</v>
      </c>
      <c r="D798" s="36" t="s">
        <v>2231</v>
      </c>
      <c r="E798" s="26" t="s">
        <v>1458</v>
      </c>
      <c r="F798" s="26" t="s">
        <v>1459</v>
      </c>
      <c r="G798" s="29">
        <v>1162</v>
      </c>
      <c r="H798" s="29">
        <f t="shared" si="422"/>
        <v>26</v>
      </c>
      <c r="I798" s="26" t="s">
        <v>2098</v>
      </c>
      <c r="J798" s="26" t="s">
        <v>160</v>
      </c>
      <c r="K798" s="26">
        <f>VLOOKUP(J798,TOWNSHIPS,2,FALSE)</f>
        <v>0</v>
      </c>
      <c r="L798" s="42">
        <v>6</v>
      </c>
      <c r="M798" s="42">
        <v>8</v>
      </c>
      <c r="N798" s="42">
        <v>7</v>
      </c>
      <c r="O798" s="42">
        <v>7</v>
      </c>
      <c r="P798" s="42">
        <v>7</v>
      </c>
      <c r="Q798" s="42">
        <v>8</v>
      </c>
      <c r="R798" s="42">
        <v>8</v>
      </c>
      <c r="S798" s="42">
        <v>7</v>
      </c>
      <c r="T798" s="42">
        <v>7</v>
      </c>
      <c r="U798" s="42">
        <v>7</v>
      </c>
      <c r="V798" s="42"/>
      <c r="W798" s="42"/>
      <c r="X798" s="42"/>
      <c r="Y798" s="26">
        <v>889</v>
      </c>
      <c r="Z798" s="26">
        <f t="shared" si="418"/>
        <v>0.5</v>
      </c>
      <c r="AA798" s="26" t="s">
        <v>1589</v>
      </c>
      <c r="AB798" s="111">
        <f t="shared" si="404"/>
        <v>3.5</v>
      </c>
      <c r="AC798" s="26" t="s">
        <v>2086</v>
      </c>
      <c r="AD798" s="47">
        <f t="shared" si="406"/>
        <v>550.18939393939399</v>
      </c>
      <c r="AE798" s="198"/>
      <c r="AF798" s="113">
        <f t="shared" si="421"/>
        <v>0</v>
      </c>
      <c r="AG798" s="26">
        <v>2024</v>
      </c>
      <c r="AH798" s="26" t="str">
        <f t="shared" si="410"/>
        <v/>
      </c>
      <c r="AI798" s="26" t="str">
        <f t="shared" ref="AI798:AI861" si="425">IF($AG798=AI$1,VLOOKUP($AC798,RSL,3,FALSE),"")</f>
        <v/>
      </c>
      <c r="AJ798" s="26" t="str">
        <f t="shared" si="396"/>
        <v>Fog Seal</v>
      </c>
      <c r="AK798" s="26" t="str">
        <f t="shared" si="417"/>
        <v/>
      </c>
      <c r="AL798" s="26" t="str">
        <f t="shared" si="417"/>
        <v/>
      </c>
      <c r="AM798" s="26" t="str">
        <f t="shared" si="417"/>
        <v/>
      </c>
      <c r="AN798" s="26" t="str">
        <f t="shared" si="419"/>
        <v>Fog Seal</v>
      </c>
      <c r="AO798" s="26" t="str">
        <f t="shared" si="397"/>
        <v/>
      </c>
      <c r="AP798" s="26" t="str">
        <f t="shared" si="395"/>
        <v/>
      </c>
      <c r="AQ798" s="68">
        <f t="shared" si="423"/>
        <v>10</v>
      </c>
      <c r="AR798" s="68">
        <f t="shared" si="424"/>
        <v>2</v>
      </c>
      <c r="AS798" s="68">
        <f t="shared" si="411"/>
        <v>1.1000000000000001</v>
      </c>
      <c r="AT798" s="68">
        <f t="shared" si="412"/>
        <v>1</v>
      </c>
      <c r="AU798" s="68">
        <f t="shared" si="413"/>
        <v>1.05</v>
      </c>
      <c r="AV798" s="68">
        <f t="shared" si="414"/>
        <v>1.05</v>
      </c>
      <c r="AW798" s="68">
        <f t="shared" si="415"/>
        <v>1.05</v>
      </c>
      <c r="AX798" s="68">
        <f t="shared" ca="1" si="420"/>
        <v>0</v>
      </c>
      <c r="AY798" s="68">
        <v>2018</v>
      </c>
      <c r="AZ798" s="68" t="s">
        <v>2425</v>
      </c>
      <c r="BA798" s="106" t="str">
        <f t="shared" si="408"/>
        <v>MICROSEAL</v>
      </c>
      <c r="BB798" s="178"/>
      <c r="BC798" s="178"/>
      <c r="BD798" s="178"/>
      <c r="BE798" s="178"/>
      <c r="BF798" s="178"/>
      <c r="BG798" s="178"/>
      <c r="BH798" s="178"/>
      <c r="BI798" s="33"/>
      <c r="BK798" s="48">
        <f>$G798/5280*VLOOKUP($AC798,'Cost and Score'!$B$27:$O$40,6,0)</f>
        <v>2.2007575757575757E-2</v>
      </c>
      <c r="BL798" s="48">
        <f>$G798/5280*VLOOKUP($AC798,'Cost and Score'!$B$27:$O$40,7,0)</f>
        <v>4.4015151515151514E-2</v>
      </c>
      <c r="BM798" s="48">
        <f>$G798/5280*VLOOKUP($AC798,'Cost and Score'!$B$27:$O$40,8,0)</f>
        <v>0</v>
      </c>
      <c r="BN798" s="48">
        <f>$G798/5280*VLOOKUP($AC798,'Cost and Score'!$B$27:$O$40,9,0)</f>
        <v>0</v>
      </c>
      <c r="BO798" s="48">
        <f>$G798/5280*VLOOKUP($AC798,'Cost and Score'!$B$27:$O$40,10,0)</f>
        <v>220.07575757575756</v>
      </c>
      <c r="BP798" s="48">
        <f>$G798/5280*VLOOKUP($AC798,'Cost and Score'!$B$27:$O$40,11,0)</f>
        <v>0</v>
      </c>
      <c r="BQ798" s="48">
        <f>$G798/5280*VLOOKUP($AC798,'Cost and Score'!$B$27:$O$40,12,0)</f>
        <v>0</v>
      </c>
      <c r="BR798" s="48">
        <f>$G798/5280*VLOOKUP($AC798,'Cost and Score'!$B$27:$O$40,13,0)</f>
        <v>0</v>
      </c>
      <c r="BS798" s="48">
        <f>$G798/5280*VLOOKUP($AC798,'Cost and Score'!$B$27:$O$40,14,0)</f>
        <v>0</v>
      </c>
      <c r="BT798" s="220">
        <f t="shared" si="409"/>
        <v>0.22007575757575756</v>
      </c>
      <c r="CF798" s="112"/>
      <c r="CS798" s="112"/>
      <c r="CT798" s="112"/>
      <c r="CU798" s="112"/>
    </row>
    <row r="799" spans="1:103" s="2" customFormat="1" ht="14.45" customHeight="1" x14ac:dyDescent="0.25">
      <c r="A799" s="31" t="s">
        <v>2102</v>
      </c>
      <c r="B799" s="45" t="s">
        <v>1730</v>
      </c>
      <c r="C799" s="26" t="s">
        <v>1730</v>
      </c>
      <c r="D799" s="119" t="s">
        <v>2285</v>
      </c>
      <c r="E799" s="82" t="s">
        <v>1487</v>
      </c>
      <c r="F799" s="82" t="s">
        <v>1462</v>
      </c>
      <c r="G799" s="146">
        <v>911</v>
      </c>
      <c r="H799" s="29">
        <f t="shared" si="422"/>
        <v>26</v>
      </c>
      <c r="I799" s="26" t="s">
        <v>2098</v>
      </c>
      <c r="J799" s="26" t="s">
        <v>125</v>
      </c>
      <c r="K799" s="26">
        <f>VLOOKUP(J799,TOWNSHIPS,2,FALSE)</f>
        <v>0</v>
      </c>
      <c r="L799" s="42">
        <v>8</v>
      </c>
      <c r="M799" s="42">
        <v>8</v>
      </c>
      <c r="N799" s="42">
        <v>8</v>
      </c>
      <c r="O799" s="83">
        <v>8</v>
      </c>
      <c r="P799" s="83">
        <v>8</v>
      </c>
      <c r="Q799" s="83">
        <v>8</v>
      </c>
      <c r="R799" s="83">
        <v>8</v>
      </c>
      <c r="S799" s="83">
        <v>8</v>
      </c>
      <c r="T799" s="83">
        <v>8</v>
      </c>
      <c r="U799" s="83">
        <v>8</v>
      </c>
      <c r="V799" s="42"/>
      <c r="W799" s="42"/>
      <c r="X799" s="42"/>
      <c r="Y799" s="26">
        <v>50</v>
      </c>
      <c r="Z799" s="26">
        <f t="shared" si="418"/>
        <v>0</v>
      </c>
      <c r="AA799" s="82" t="s">
        <v>1730</v>
      </c>
      <c r="AB799" s="111">
        <f t="shared" si="404"/>
        <v>2</v>
      </c>
      <c r="AC799" s="85" t="s">
        <v>2425</v>
      </c>
      <c r="AD799" s="84">
        <f t="shared" si="406"/>
        <v>4313.44696969697</v>
      </c>
      <c r="AE799" s="140"/>
      <c r="AF799" s="113">
        <f t="shared" si="421"/>
        <v>0</v>
      </c>
      <c r="AG799" s="106">
        <v>2025</v>
      </c>
      <c r="AH799" s="26" t="str">
        <f t="shared" si="410"/>
        <v/>
      </c>
      <c r="AI799" s="26" t="str">
        <f t="shared" si="425"/>
        <v/>
      </c>
      <c r="AJ799" s="26" t="str">
        <f t="shared" si="396"/>
        <v/>
      </c>
      <c r="AK799" s="26" t="str">
        <f t="shared" si="417"/>
        <v>Liquid Road</v>
      </c>
      <c r="AL799" s="26" t="str">
        <f t="shared" si="417"/>
        <v/>
      </c>
      <c r="AM799" s="26" t="str">
        <f t="shared" si="417"/>
        <v/>
      </c>
      <c r="AN799" s="26" t="str">
        <f t="shared" si="419"/>
        <v>Liquid Road</v>
      </c>
      <c r="AO799" s="26" t="str">
        <f t="shared" si="397"/>
        <v/>
      </c>
      <c r="AP799" s="26" t="str">
        <f t="shared" si="395"/>
        <v/>
      </c>
      <c r="AQ799" s="68">
        <f t="shared" si="423"/>
        <v>12</v>
      </c>
      <c r="AR799" s="68">
        <f t="shared" si="424"/>
        <v>10</v>
      </c>
      <c r="AS799" s="68">
        <f t="shared" si="411"/>
        <v>1</v>
      </c>
      <c r="AT799" s="68">
        <f t="shared" si="412"/>
        <v>1</v>
      </c>
      <c r="AU799" s="68">
        <f t="shared" si="413"/>
        <v>1</v>
      </c>
      <c r="AV799" s="68">
        <f t="shared" si="414"/>
        <v>1</v>
      </c>
      <c r="AW799" s="68">
        <f t="shared" si="415"/>
        <v>1</v>
      </c>
      <c r="AX799" s="68">
        <f t="shared" ca="1" si="420"/>
        <v>1</v>
      </c>
      <c r="AY799" s="68">
        <v>2019</v>
      </c>
      <c r="AZ799" s="85" t="s">
        <v>2075</v>
      </c>
      <c r="BA799" s="106" t="str">
        <f t="shared" si="408"/>
        <v/>
      </c>
      <c r="BB799" s="203"/>
      <c r="BC799" s="178"/>
      <c r="BD799" s="178"/>
      <c r="BE799" s="178"/>
      <c r="BF799" s="178"/>
      <c r="BG799" s="178"/>
      <c r="BH799" s="178"/>
      <c r="BI799" s="33"/>
      <c r="BK799" s="48">
        <f>$G799/5280*VLOOKUP($AC799,'Cost and Score'!$B$27:$O$40,6,0)</f>
        <v>0.1725378787878788</v>
      </c>
      <c r="BL799" s="48">
        <f>$G799/5280*VLOOKUP($AC799,'Cost and Score'!$B$27:$O$40,7,0)</f>
        <v>2.7606060606060607</v>
      </c>
      <c r="BM799" s="48">
        <f>$G799/5280*VLOOKUP($AC799,'Cost and Score'!$B$27:$O$40,8,0)</f>
        <v>0</v>
      </c>
      <c r="BN799" s="48">
        <f>$G799/5280*VLOOKUP($AC799,'Cost and Score'!$B$27:$O$40,9,0)</f>
        <v>0</v>
      </c>
      <c r="BO799" s="48">
        <f>$G799/5280*VLOOKUP($AC799,'Cost and Score'!$B$27:$O$40,10,0)</f>
        <v>0</v>
      </c>
      <c r="BP799" s="48">
        <f>$G799/5280*VLOOKUP($AC799,'Cost and Score'!$B$27:$O$40,11,0)</f>
        <v>0</v>
      </c>
      <c r="BQ799" s="48">
        <f>$G799/5280*VLOOKUP($AC799,'Cost and Score'!$B$27:$O$40,12,0)</f>
        <v>0</v>
      </c>
      <c r="BR799" s="48">
        <f>$G799/5280*VLOOKUP($AC799,'Cost and Score'!$B$27:$O$40,13,0)</f>
        <v>0</v>
      </c>
      <c r="BS799" s="48">
        <f>$G799/5280*VLOOKUP($AC799,'Cost and Score'!$B$27:$O$40,14,0)</f>
        <v>0</v>
      </c>
      <c r="BT799" s="220">
        <f t="shared" si="409"/>
        <v>0.1725378787878788</v>
      </c>
      <c r="CW799" s="112"/>
      <c r="CX799" s="112"/>
      <c r="CY799" s="112"/>
    </row>
    <row r="800" spans="1:103" s="112" customFormat="1" ht="14.45" hidden="1" customHeight="1" x14ac:dyDescent="0.25">
      <c r="A800" s="31"/>
      <c r="B800" s="225" t="s">
        <v>2334</v>
      </c>
      <c r="C800" s="26" t="s">
        <v>2334</v>
      </c>
      <c r="D800" s="36" t="s">
        <v>2233</v>
      </c>
      <c r="E800" s="26" t="s">
        <v>1580</v>
      </c>
      <c r="F800" s="26" t="s">
        <v>1592</v>
      </c>
      <c r="G800" s="29">
        <v>1040</v>
      </c>
      <c r="H800" s="29">
        <v>26</v>
      </c>
      <c r="I800" s="26" t="s">
        <v>2098</v>
      </c>
      <c r="J800" s="26" t="s">
        <v>6</v>
      </c>
      <c r="K800" s="26">
        <v>0</v>
      </c>
      <c r="L800" s="42"/>
      <c r="M800" s="42">
        <v>6</v>
      </c>
      <c r="N800" s="42">
        <v>6</v>
      </c>
      <c r="O800" s="42">
        <v>8</v>
      </c>
      <c r="P800" s="42">
        <v>8</v>
      </c>
      <c r="Q800" s="42">
        <v>8</v>
      </c>
      <c r="R800" s="42">
        <v>7</v>
      </c>
      <c r="S800" s="42">
        <v>7</v>
      </c>
      <c r="T800" s="42">
        <v>7</v>
      </c>
      <c r="U800" s="42">
        <v>7</v>
      </c>
      <c r="V800" s="42"/>
      <c r="W800" s="42"/>
      <c r="X800" s="42"/>
      <c r="Y800" s="26">
        <v>208</v>
      </c>
      <c r="Z800" s="26">
        <f t="shared" si="418"/>
        <v>0</v>
      </c>
      <c r="AA800" s="26"/>
      <c r="AB800" s="111">
        <f t="shared" si="404"/>
        <v>2</v>
      </c>
      <c r="AC800" s="85" t="s">
        <v>2425</v>
      </c>
      <c r="AD800" s="47">
        <f t="shared" si="406"/>
        <v>4924.242424242424</v>
      </c>
      <c r="AE800" s="140"/>
      <c r="AF800" s="113">
        <f t="shared" si="421"/>
        <v>0</v>
      </c>
      <c r="AG800" s="85">
        <v>2026</v>
      </c>
      <c r="AH800" s="26" t="str">
        <f t="shared" si="410"/>
        <v/>
      </c>
      <c r="AI800" s="26" t="str">
        <f t="shared" si="425"/>
        <v/>
      </c>
      <c r="AJ800" s="26" t="str">
        <f t="shared" si="396"/>
        <v/>
      </c>
      <c r="AK800" s="26" t="str">
        <f t="shared" si="417"/>
        <v/>
      </c>
      <c r="AL800" s="26" t="str">
        <f t="shared" si="417"/>
        <v>Liquid Road</v>
      </c>
      <c r="AM800" s="26" t="str">
        <f t="shared" si="417"/>
        <v/>
      </c>
      <c r="AN800" s="26" t="str">
        <f t="shared" si="419"/>
        <v>Liquid Road</v>
      </c>
      <c r="AO800" s="26" t="str">
        <f t="shared" si="397"/>
        <v/>
      </c>
      <c r="AP800" s="26" t="str">
        <f t="shared" si="395"/>
        <v/>
      </c>
      <c r="AQ800" s="68">
        <f t="shared" si="423"/>
        <v>12</v>
      </c>
      <c r="AR800" s="68">
        <f t="shared" si="424"/>
        <v>10</v>
      </c>
      <c r="AS800" s="68">
        <f t="shared" si="411"/>
        <v>0</v>
      </c>
      <c r="AT800" s="68">
        <f t="shared" si="412"/>
        <v>1.1000000000000001</v>
      </c>
      <c r="AU800" s="68">
        <f t="shared" si="413"/>
        <v>1.1000000000000001</v>
      </c>
      <c r="AV800" s="68">
        <f t="shared" si="414"/>
        <v>1</v>
      </c>
      <c r="AW800" s="68">
        <f t="shared" si="415"/>
        <v>1</v>
      </c>
      <c r="AX800" s="68">
        <f t="shared" ca="1" si="420"/>
        <v>2.2000000000000002</v>
      </c>
      <c r="AY800" s="68"/>
      <c r="AZ800" s="68"/>
      <c r="BA800" s="106" t="str">
        <f t="shared" si="408"/>
        <v/>
      </c>
      <c r="BB800" s="178"/>
      <c r="BC800" s="178"/>
      <c r="BD800" s="178"/>
      <c r="BE800" s="178"/>
      <c r="BF800" s="178"/>
      <c r="BG800" s="178"/>
      <c r="BH800" s="178"/>
      <c r="BI800" s="43"/>
      <c r="BJ800" s="26"/>
      <c r="BK800" s="48">
        <f>$G800/5280*VLOOKUP($AC800,'Cost and Score'!$B$27:$O$40,6,0)</f>
        <v>0.19696969696969696</v>
      </c>
      <c r="BL800" s="48">
        <f>$G800/5280*VLOOKUP($AC800,'Cost and Score'!$B$27:$O$40,7,0)</f>
        <v>3.1515151515151514</v>
      </c>
      <c r="BM800" s="48">
        <f>$G800/5280*VLOOKUP($AC800,'Cost and Score'!$B$27:$O$40,8,0)</f>
        <v>0</v>
      </c>
      <c r="BN800" s="48">
        <f>$G800/5280*VLOOKUP($AC800,'Cost and Score'!$B$27:$O$40,9,0)</f>
        <v>0</v>
      </c>
      <c r="BO800" s="48">
        <f>$G800/5280*VLOOKUP($AC800,'Cost and Score'!$B$27:$O$40,10,0)</f>
        <v>0</v>
      </c>
      <c r="BP800" s="48">
        <f>$G800/5280*VLOOKUP($AC800,'Cost and Score'!$B$27:$O$40,11,0)</f>
        <v>0</v>
      </c>
      <c r="BQ800" s="48">
        <f>$G800/5280*VLOOKUP($AC800,'Cost and Score'!$B$27:$O$40,12,0)</f>
        <v>0</v>
      </c>
      <c r="BR800" s="48">
        <f>$G800/5280*VLOOKUP($AC800,'Cost and Score'!$B$27:$O$40,13,0)</f>
        <v>0</v>
      </c>
      <c r="BS800" s="48">
        <f>$G800/5280*VLOOKUP($AC800,'Cost and Score'!$B$27:$O$40,14,0)</f>
        <v>0</v>
      </c>
      <c r="BT800" s="220">
        <f t="shared" si="409"/>
        <v>0.19696969696969696</v>
      </c>
      <c r="BU800" s="2"/>
      <c r="BV800" s="26"/>
      <c r="BW800" s="26"/>
      <c r="BX800" s="26"/>
      <c r="BY800" s="26"/>
      <c r="BZ800" s="26"/>
      <c r="CA800" s="26"/>
      <c r="CB800" s="26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</row>
    <row r="801" spans="1:103" s="2" customFormat="1" ht="14.45" hidden="1" customHeight="1" x14ac:dyDescent="0.25">
      <c r="A801" s="31" t="s">
        <v>2102</v>
      </c>
      <c r="B801" s="45" t="s">
        <v>1591</v>
      </c>
      <c r="C801" s="26" t="s">
        <v>1591</v>
      </c>
      <c r="D801" s="36" t="s">
        <v>2233</v>
      </c>
      <c r="E801" s="26" t="s">
        <v>1469</v>
      </c>
      <c r="F801" s="26" t="s">
        <v>1592</v>
      </c>
      <c r="G801" s="29">
        <v>1056</v>
      </c>
      <c r="H801" s="29">
        <f>IF(I801="NC",26,20)</f>
        <v>26</v>
      </c>
      <c r="I801" s="26" t="s">
        <v>2098</v>
      </c>
      <c r="J801" s="26" t="s">
        <v>6</v>
      </c>
      <c r="K801" s="26">
        <f t="shared" ref="K801:K819" si="426">VLOOKUP(J801,TOWNSHIPS,2,FALSE)</f>
        <v>0</v>
      </c>
      <c r="L801" s="42">
        <v>7</v>
      </c>
      <c r="M801" s="42">
        <v>9</v>
      </c>
      <c r="N801" s="42">
        <v>9</v>
      </c>
      <c r="O801" s="42">
        <v>9</v>
      </c>
      <c r="P801" s="42">
        <v>9</v>
      </c>
      <c r="Q801" s="42">
        <v>8</v>
      </c>
      <c r="R801" s="42">
        <v>7</v>
      </c>
      <c r="S801" s="42">
        <v>7</v>
      </c>
      <c r="T801" s="42">
        <v>7</v>
      </c>
      <c r="U801" s="42">
        <v>7</v>
      </c>
      <c r="V801" s="42"/>
      <c r="W801" s="42"/>
      <c r="X801" s="42"/>
      <c r="Y801" s="26">
        <v>112</v>
      </c>
      <c r="Z801" s="26">
        <f t="shared" si="418"/>
        <v>0</v>
      </c>
      <c r="AA801" s="26" t="s">
        <v>1591</v>
      </c>
      <c r="AB801" s="111">
        <f t="shared" si="404"/>
        <v>1</v>
      </c>
      <c r="AC801" s="85" t="s">
        <v>13</v>
      </c>
      <c r="AD801" s="47">
        <f t="shared" si="406"/>
        <v>4200</v>
      </c>
      <c r="AE801" s="140"/>
      <c r="AF801" s="113">
        <f t="shared" si="421"/>
        <v>0</v>
      </c>
      <c r="AG801" s="85">
        <v>2024</v>
      </c>
      <c r="AH801" s="26" t="str">
        <f t="shared" si="410"/>
        <v/>
      </c>
      <c r="AI801" s="26" t="str">
        <f t="shared" si="425"/>
        <v/>
      </c>
      <c r="AJ801" s="26" t="str">
        <f t="shared" si="396"/>
        <v>Chip Seal and Fog</v>
      </c>
      <c r="AK801" s="26" t="str">
        <f t="shared" si="417"/>
        <v/>
      </c>
      <c r="AL801" s="26" t="str">
        <f t="shared" si="417"/>
        <v/>
      </c>
      <c r="AM801" s="26" t="str">
        <f t="shared" si="417"/>
        <v/>
      </c>
      <c r="AN801" s="26" t="str">
        <f t="shared" si="419"/>
        <v>Chip Seal and Fog</v>
      </c>
      <c r="AO801" s="26" t="str">
        <f t="shared" si="397"/>
        <v/>
      </c>
      <c r="AP801" s="26" t="str">
        <f t="shared" si="395"/>
        <v/>
      </c>
      <c r="AQ801" s="68">
        <f t="shared" si="423"/>
        <v>14</v>
      </c>
      <c r="AR801" s="68">
        <f t="shared" si="424"/>
        <v>6</v>
      </c>
      <c r="AS801" s="68">
        <f t="shared" si="411"/>
        <v>1.05</v>
      </c>
      <c r="AT801" s="68">
        <f t="shared" si="412"/>
        <v>1</v>
      </c>
      <c r="AU801" s="68">
        <f t="shared" si="413"/>
        <v>1</v>
      </c>
      <c r="AV801" s="68">
        <f t="shared" si="414"/>
        <v>1</v>
      </c>
      <c r="AW801" s="68">
        <f t="shared" si="415"/>
        <v>1</v>
      </c>
      <c r="AX801" s="68">
        <f t="shared" ca="1" si="420"/>
        <v>0</v>
      </c>
      <c r="AY801" s="68">
        <v>2016</v>
      </c>
      <c r="AZ801" s="68" t="s">
        <v>2371</v>
      </c>
      <c r="BA801" s="106" t="str">
        <f t="shared" si="408"/>
        <v/>
      </c>
      <c r="BB801" s="178"/>
      <c r="BC801" s="178"/>
      <c r="BD801" s="178"/>
      <c r="BE801" s="178"/>
      <c r="BF801" s="178"/>
      <c r="BG801" s="178"/>
      <c r="BH801" s="178"/>
      <c r="BI801" s="33"/>
      <c r="BK801" s="48">
        <f>$G801/5280*VLOOKUP($AC801,'Cost and Score'!$B$27:$O$40,6,0)</f>
        <v>4.0000000000000008E-2</v>
      </c>
      <c r="BL801" s="48">
        <f>$G801/5280*VLOOKUP($AC801,'Cost and Score'!$B$27:$O$40,7,0)</f>
        <v>4.4000000000000004</v>
      </c>
      <c r="BM801" s="48">
        <f>$G801/5280*VLOOKUP($AC801,'Cost and Score'!$B$27:$O$40,8,0)</f>
        <v>0</v>
      </c>
      <c r="BN801" s="48">
        <f>$G801/5280*VLOOKUP($AC801,'Cost and Score'!$B$27:$O$40,9,0)</f>
        <v>900</v>
      </c>
      <c r="BO801" s="48">
        <f>$G801/5280*VLOOKUP($AC801,'Cost and Score'!$B$27:$O$40,10,0)</f>
        <v>200</v>
      </c>
      <c r="BP801" s="48">
        <f>$G801/5280*VLOOKUP($AC801,'Cost and Score'!$B$27:$O$40,11,0)</f>
        <v>0</v>
      </c>
      <c r="BQ801" s="48">
        <f>$G801/5280*VLOOKUP($AC801,'Cost and Score'!$B$27:$O$40,12,0)</f>
        <v>20</v>
      </c>
      <c r="BR801" s="48">
        <f>$G801/5280*VLOOKUP($AC801,'Cost and Score'!$B$27:$O$40,13,0)</f>
        <v>24</v>
      </c>
      <c r="BS801" s="48">
        <f>$G801/5280*VLOOKUP($AC801,'Cost and Score'!$B$27:$O$40,14,0)</f>
        <v>0</v>
      </c>
      <c r="BT801" s="220">
        <f t="shared" si="409"/>
        <v>0.2</v>
      </c>
      <c r="BU801" s="26"/>
      <c r="CN801" s="112"/>
      <c r="CO801" s="112"/>
      <c r="CP801" s="112"/>
      <c r="CQ801" s="112"/>
      <c r="CV801" s="112"/>
    </row>
    <row r="802" spans="1:103" s="2" customFormat="1" ht="14.45" hidden="1" customHeight="1" x14ac:dyDescent="0.25">
      <c r="A802" s="31" t="s">
        <v>2102</v>
      </c>
      <c r="B802" s="224" t="s">
        <v>1593</v>
      </c>
      <c r="C802" s="26" t="s">
        <v>1593</v>
      </c>
      <c r="D802" s="36" t="s">
        <v>2279</v>
      </c>
      <c r="E802" s="26" t="s">
        <v>1451</v>
      </c>
      <c r="F802" s="26" t="s">
        <v>1452</v>
      </c>
      <c r="G802" s="29">
        <v>422</v>
      </c>
      <c r="H802" s="29">
        <f>IF(I802="NC",26,20)</f>
        <v>26</v>
      </c>
      <c r="I802" s="26" t="s">
        <v>2098</v>
      </c>
      <c r="J802" s="26" t="s">
        <v>160</v>
      </c>
      <c r="K802" s="26">
        <f t="shared" si="426"/>
        <v>0</v>
      </c>
      <c r="L802" s="42">
        <v>7</v>
      </c>
      <c r="M802" s="42">
        <v>7</v>
      </c>
      <c r="N802" s="42">
        <v>10</v>
      </c>
      <c r="O802" s="42">
        <v>9</v>
      </c>
      <c r="P802" s="42">
        <v>8</v>
      </c>
      <c r="Q802" s="42">
        <v>7</v>
      </c>
      <c r="R802" s="42">
        <v>7</v>
      </c>
      <c r="S802" s="42">
        <v>8</v>
      </c>
      <c r="T802" s="42">
        <v>7</v>
      </c>
      <c r="U802" s="42">
        <v>7</v>
      </c>
      <c r="V802" s="42"/>
      <c r="W802" s="42"/>
      <c r="X802" s="42"/>
      <c r="Y802" s="26">
        <v>668</v>
      </c>
      <c r="Z802" s="26">
        <f t="shared" si="418"/>
        <v>0.5</v>
      </c>
      <c r="AA802" s="26" t="s">
        <v>1593</v>
      </c>
      <c r="AB802" s="111">
        <f t="shared" si="404"/>
        <v>2.5</v>
      </c>
      <c r="AC802" s="85" t="s">
        <v>2489</v>
      </c>
      <c r="AD802" s="47">
        <f t="shared" si="406"/>
        <v>1998.1060606060605</v>
      </c>
      <c r="AE802" s="140"/>
      <c r="AF802" s="113">
        <f t="shared" si="421"/>
        <v>0</v>
      </c>
      <c r="AG802" s="85">
        <v>2026</v>
      </c>
      <c r="AH802" s="26" t="str">
        <f t="shared" si="410"/>
        <v/>
      </c>
      <c r="AI802" s="26" t="str">
        <f t="shared" si="425"/>
        <v/>
      </c>
      <c r="AJ802" s="26" t="str">
        <f t="shared" si="396"/>
        <v/>
      </c>
      <c r="AK802" s="26" t="str">
        <f t="shared" si="417"/>
        <v/>
      </c>
      <c r="AL802" s="26" t="str">
        <f t="shared" si="417"/>
        <v>Liquid Road</v>
      </c>
      <c r="AM802" s="26" t="str">
        <f t="shared" si="417"/>
        <v/>
      </c>
      <c r="AN802" s="26" t="str">
        <f t="shared" si="419"/>
        <v>Liquid Road</v>
      </c>
      <c r="AO802" s="26" t="str">
        <f t="shared" si="397"/>
        <v/>
      </c>
      <c r="AP802" s="26" t="str">
        <f t="shared" si="395"/>
        <v/>
      </c>
      <c r="AQ802" s="68">
        <f t="shared" si="423"/>
        <v>14</v>
      </c>
      <c r="AR802" s="68">
        <f t="shared" si="424"/>
        <v>10</v>
      </c>
      <c r="AS802" s="68">
        <f t="shared" si="411"/>
        <v>1.05</v>
      </c>
      <c r="AT802" s="68">
        <f t="shared" si="412"/>
        <v>1.05</v>
      </c>
      <c r="AU802" s="68">
        <f t="shared" si="413"/>
        <v>1</v>
      </c>
      <c r="AV802" s="68">
        <f t="shared" si="414"/>
        <v>1</v>
      </c>
      <c r="AW802" s="68">
        <f t="shared" si="415"/>
        <v>1</v>
      </c>
      <c r="AX802" s="68">
        <f t="shared" ca="1" si="420"/>
        <v>2</v>
      </c>
      <c r="AY802" s="68">
        <v>2016</v>
      </c>
      <c r="AZ802" s="68" t="s">
        <v>751</v>
      </c>
      <c r="BA802" s="106" t="str">
        <f t="shared" si="408"/>
        <v/>
      </c>
      <c r="BB802" s="178"/>
      <c r="BC802" s="178"/>
      <c r="BD802" s="178"/>
      <c r="BE802" s="178"/>
      <c r="BF802" s="178"/>
      <c r="BG802" s="178">
        <v>4</v>
      </c>
      <c r="BH802" s="178"/>
      <c r="BI802" s="33"/>
      <c r="BK802" s="48">
        <f>$G802/5280*VLOOKUP($AC802,'Cost and Score'!$B$27:$O$40,6,0)</f>
        <v>7.9924242424242425E-2</v>
      </c>
      <c r="BL802" s="48">
        <f>$G802/5280*VLOOKUP($AC802,'Cost and Score'!$B$27:$O$40,7,0)</f>
        <v>1.2787878787878788</v>
      </c>
      <c r="BM802" s="48">
        <f>$G802/5280*VLOOKUP($AC802,'Cost and Score'!$B$27:$O$40,8,0)</f>
        <v>0</v>
      </c>
      <c r="BN802" s="48">
        <f>$G802/5280*VLOOKUP($AC802,'Cost and Score'!$B$27:$O$40,9,0)</f>
        <v>0</v>
      </c>
      <c r="BO802" s="48">
        <f>$G802/5280*VLOOKUP($AC802,'Cost and Score'!$B$27:$O$40,10,0)</f>
        <v>0</v>
      </c>
      <c r="BP802" s="48">
        <f>$G802/5280*VLOOKUP($AC802,'Cost and Score'!$B$27:$O$40,11,0)</f>
        <v>0</v>
      </c>
      <c r="BQ802" s="48">
        <f>$G802/5280*VLOOKUP($AC802,'Cost and Score'!$B$27:$O$40,12,0)</f>
        <v>0</v>
      </c>
      <c r="BR802" s="48">
        <f>$G802/5280*VLOOKUP($AC802,'Cost and Score'!$B$27:$O$40,13,0)</f>
        <v>0</v>
      </c>
      <c r="BS802" s="48">
        <f>$G802/5280*VLOOKUP($AC802,'Cost and Score'!$B$27:$O$40,14,0)</f>
        <v>0</v>
      </c>
      <c r="BT802" s="220">
        <f t="shared" si="409"/>
        <v>7.9924242424242425E-2</v>
      </c>
    </row>
    <row r="803" spans="1:103" s="2" customFormat="1" ht="14.45" hidden="1" customHeight="1" x14ac:dyDescent="0.25">
      <c r="A803" s="31" t="s">
        <v>2102</v>
      </c>
      <c r="B803" s="224" t="s">
        <v>1594</v>
      </c>
      <c r="C803" s="26" t="s">
        <v>1594</v>
      </c>
      <c r="D803" s="36" t="s">
        <v>2279</v>
      </c>
      <c r="E803" s="26" t="s">
        <v>1504</v>
      </c>
      <c r="F803" s="26" t="s">
        <v>1505</v>
      </c>
      <c r="G803" s="29">
        <v>422</v>
      </c>
      <c r="H803" s="29">
        <f>IF(I803="NC",26,20)</f>
        <v>26</v>
      </c>
      <c r="I803" s="26" t="s">
        <v>2098</v>
      </c>
      <c r="J803" s="26" t="s">
        <v>160</v>
      </c>
      <c r="K803" s="26">
        <f t="shared" si="426"/>
        <v>0</v>
      </c>
      <c r="L803" s="42">
        <v>7</v>
      </c>
      <c r="M803" s="42">
        <v>7</v>
      </c>
      <c r="N803" s="42">
        <v>7</v>
      </c>
      <c r="O803" s="42">
        <v>7</v>
      </c>
      <c r="P803" s="42">
        <v>8</v>
      </c>
      <c r="Q803" s="42">
        <v>8</v>
      </c>
      <c r="R803" s="42">
        <v>7</v>
      </c>
      <c r="S803" s="42">
        <v>8</v>
      </c>
      <c r="T803" s="42">
        <v>7</v>
      </c>
      <c r="U803" s="42">
        <v>7</v>
      </c>
      <c r="V803" s="42"/>
      <c r="W803" s="42"/>
      <c r="X803" s="42"/>
      <c r="Y803" s="26">
        <v>668</v>
      </c>
      <c r="Z803" s="26">
        <f t="shared" si="418"/>
        <v>0.5</v>
      </c>
      <c r="AA803" s="26" t="s">
        <v>1594</v>
      </c>
      <c r="AB803" s="111">
        <f t="shared" si="404"/>
        <v>2.5</v>
      </c>
      <c r="AC803" s="85" t="s">
        <v>2489</v>
      </c>
      <c r="AD803" s="47">
        <f t="shared" si="406"/>
        <v>1998.1060606060605</v>
      </c>
      <c r="AE803" s="140"/>
      <c r="AF803" s="113">
        <f t="shared" si="421"/>
        <v>0</v>
      </c>
      <c r="AG803" s="85">
        <v>2026</v>
      </c>
      <c r="AH803" s="26" t="str">
        <f t="shared" si="410"/>
        <v/>
      </c>
      <c r="AI803" s="26" t="str">
        <f t="shared" si="425"/>
        <v/>
      </c>
      <c r="AJ803" s="26" t="str">
        <f t="shared" si="396"/>
        <v/>
      </c>
      <c r="AK803" s="26" t="str">
        <f t="shared" si="417"/>
        <v/>
      </c>
      <c r="AL803" s="26" t="str">
        <f t="shared" si="417"/>
        <v>Liquid Road</v>
      </c>
      <c r="AM803" s="26" t="str">
        <f t="shared" si="417"/>
        <v/>
      </c>
      <c r="AN803" s="26" t="str">
        <f t="shared" si="419"/>
        <v>Liquid Road</v>
      </c>
      <c r="AO803" s="26" t="str">
        <f t="shared" si="397"/>
        <v/>
      </c>
      <c r="AP803" s="26" t="str">
        <f t="shared" si="395"/>
        <v/>
      </c>
      <c r="AQ803" s="68">
        <f t="shared" si="423"/>
        <v>10</v>
      </c>
      <c r="AR803" s="68">
        <f t="shared" si="424"/>
        <v>10</v>
      </c>
      <c r="AS803" s="68">
        <f t="shared" si="411"/>
        <v>1.05</v>
      </c>
      <c r="AT803" s="68">
        <f t="shared" si="412"/>
        <v>1.05</v>
      </c>
      <c r="AU803" s="68">
        <f t="shared" si="413"/>
        <v>1.05</v>
      </c>
      <c r="AV803" s="68">
        <f t="shared" si="414"/>
        <v>1.05</v>
      </c>
      <c r="AW803" s="68">
        <f t="shared" si="415"/>
        <v>1</v>
      </c>
      <c r="AX803" s="68">
        <f t="shared" ca="1" si="420"/>
        <v>2.1</v>
      </c>
      <c r="AY803" s="68">
        <v>2016</v>
      </c>
      <c r="AZ803" s="68" t="s">
        <v>2371</v>
      </c>
      <c r="BA803" s="106" t="str">
        <f t="shared" si="408"/>
        <v/>
      </c>
      <c r="BB803" s="178"/>
      <c r="BC803" s="178"/>
      <c r="BD803" s="178"/>
      <c r="BE803" s="178"/>
      <c r="BF803" s="178"/>
      <c r="BG803" s="178">
        <v>4</v>
      </c>
      <c r="BH803" s="178"/>
      <c r="BI803" s="33"/>
      <c r="BK803" s="48">
        <f>$G803/5280*VLOOKUP($AC803,'Cost and Score'!$B$27:$O$40,6,0)</f>
        <v>7.9924242424242425E-2</v>
      </c>
      <c r="BL803" s="48">
        <f>$G803/5280*VLOOKUP($AC803,'Cost and Score'!$B$27:$O$40,7,0)</f>
        <v>1.2787878787878788</v>
      </c>
      <c r="BM803" s="48">
        <f>$G803/5280*VLOOKUP($AC803,'Cost and Score'!$B$27:$O$40,8,0)</f>
        <v>0</v>
      </c>
      <c r="BN803" s="48">
        <f>$G803/5280*VLOOKUP($AC803,'Cost and Score'!$B$27:$O$40,9,0)</f>
        <v>0</v>
      </c>
      <c r="BO803" s="48">
        <f>$G803/5280*VLOOKUP($AC803,'Cost and Score'!$B$27:$O$40,10,0)</f>
        <v>0</v>
      </c>
      <c r="BP803" s="48">
        <f>$G803/5280*VLOOKUP($AC803,'Cost and Score'!$B$27:$O$40,11,0)</f>
        <v>0</v>
      </c>
      <c r="BQ803" s="48">
        <f>$G803/5280*VLOOKUP($AC803,'Cost and Score'!$B$27:$O$40,12,0)</f>
        <v>0</v>
      </c>
      <c r="BR803" s="48">
        <f>$G803/5280*VLOOKUP($AC803,'Cost and Score'!$B$27:$O$40,13,0)</f>
        <v>0</v>
      </c>
      <c r="BS803" s="48">
        <f>$G803/5280*VLOOKUP($AC803,'Cost and Score'!$B$27:$O$40,14,0)</f>
        <v>0</v>
      </c>
      <c r="BT803" s="220">
        <f t="shared" si="409"/>
        <v>7.9924242424242425E-2</v>
      </c>
      <c r="CW803" s="112"/>
      <c r="CX803" s="112"/>
      <c r="CY803" s="112"/>
    </row>
    <row r="804" spans="1:103" s="2" customFormat="1" ht="14.45" hidden="1" customHeight="1" x14ac:dyDescent="0.25">
      <c r="A804" s="31" t="s">
        <v>2102</v>
      </c>
      <c r="B804" s="224" t="s">
        <v>1595</v>
      </c>
      <c r="C804" s="26" t="s">
        <v>1595</v>
      </c>
      <c r="D804" s="36" t="s">
        <v>2279</v>
      </c>
      <c r="E804" s="26" t="s">
        <v>1504</v>
      </c>
      <c r="F804" s="26" t="s">
        <v>1505</v>
      </c>
      <c r="G804" s="29">
        <v>2059</v>
      </c>
      <c r="H804" s="29">
        <f>IF(I804="NC",26,20)</f>
        <v>26</v>
      </c>
      <c r="I804" s="26" t="s">
        <v>2098</v>
      </c>
      <c r="J804" s="26" t="s">
        <v>160</v>
      </c>
      <c r="K804" s="26">
        <f t="shared" si="426"/>
        <v>0</v>
      </c>
      <c r="L804" s="42">
        <v>7</v>
      </c>
      <c r="M804" s="42">
        <v>7</v>
      </c>
      <c r="N804" s="42">
        <v>7</v>
      </c>
      <c r="O804" s="42">
        <v>7</v>
      </c>
      <c r="P804" s="42">
        <v>8</v>
      </c>
      <c r="Q804" s="42">
        <v>8</v>
      </c>
      <c r="R804" s="42">
        <v>7</v>
      </c>
      <c r="S804" s="42">
        <v>8</v>
      </c>
      <c r="T804" s="42">
        <v>7</v>
      </c>
      <c r="U804" s="42">
        <v>7</v>
      </c>
      <c r="V804" s="42"/>
      <c r="W804" s="42"/>
      <c r="X804" s="42"/>
      <c r="Y804" s="26">
        <v>668</v>
      </c>
      <c r="Z804" s="26">
        <f t="shared" si="418"/>
        <v>0.5</v>
      </c>
      <c r="AA804" s="26" t="s">
        <v>1595</v>
      </c>
      <c r="AB804" s="111">
        <f t="shared" si="404"/>
        <v>2.5</v>
      </c>
      <c r="AC804" s="85" t="s">
        <v>2489</v>
      </c>
      <c r="AD804" s="47">
        <f t="shared" si="406"/>
        <v>9749.05303030303</v>
      </c>
      <c r="AE804" s="140"/>
      <c r="AF804" s="113">
        <f t="shared" si="421"/>
        <v>0</v>
      </c>
      <c r="AG804" s="85">
        <v>2026</v>
      </c>
      <c r="AH804" s="26" t="str">
        <f t="shared" si="410"/>
        <v/>
      </c>
      <c r="AI804" s="26" t="str">
        <f t="shared" si="425"/>
        <v/>
      </c>
      <c r="AJ804" s="26" t="str">
        <f t="shared" si="396"/>
        <v/>
      </c>
      <c r="AK804" s="26" t="str">
        <f t="shared" si="417"/>
        <v/>
      </c>
      <c r="AL804" s="26" t="str">
        <f t="shared" si="417"/>
        <v>Liquid Road</v>
      </c>
      <c r="AM804" s="26" t="str">
        <f t="shared" si="417"/>
        <v/>
      </c>
      <c r="AN804" s="26" t="str">
        <f t="shared" si="419"/>
        <v>Liquid Road</v>
      </c>
      <c r="AO804" s="26" t="str">
        <f t="shared" si="397"/>
        <v/>
      </c>
      <c r="AP804" s="26" t="str">
        <f t="shared" si="395"/>
        <v/>
      </c>
      <c r="AQ804" s="68">
        <f t="shared" si="423"/>
        <v>10</v>
      </c>
      <c r="AR804" s="68">
        <f t="shared" si="424"/>
        <v>10</v>
      </c>
      <c r="AS804" s="68">
        <f t="shared" si="411"/>
        <v>1.05</v>
      </c>
      <c r="AT804" s="68">
        <f t="shared" si="412"/>
        <v>1.05</v>
      </c>
      <c r="AU804" s="68">
        <f t="shared" si="413"/>
        <v>1.05</v>
      </c>
      <c r="AV804" s="68">
        <f t="shared" si="414"/>
        <v>1.05</v>
      </c>
      <c r="AW804" s="68">
        <f t="shared" si="415"/>
        <v>1</v>
      </c>
      <c r="AX804" s="68">
        <f t="shared" ca="1" si="420"/>
        <v>2.1</v>
      </c>
      <c r="AY804" s="68">
        <v>2016</v>
      </c>
      <c r="AZ804" s="68" t="s">
        <v>2371</v>
      </c>
      <c r="BA804" s="106" t="str">
        <f t="shared" si="408"/>
        <v/>
      </c>
      <c r="BB804" s="178"/>
      <c r="BC804" s="178"/>
      <c r="BD804" s="178"/>
      <c r="BE804" s="178"/>
      <c r="BF804" s="178"/>
      <c r="BG804" s="178">
        <v>4</v>
      </c>
      <c r="BH804" s="178"/>
      <c r="BI804" s="33"/>
      <c r="BK804" s="48">
        <f>$G804/5280*VLOOKUP($AC804,'Cost and Score'!$B$27:$O$40,6,0)</f>
        <v>0.3899621212121212</v>
      </c>
      <c r="BL804" s="48">
        <f>$G804/5280*VLOOKUP($AC804,'Cost and Score'!$B$27:$O$40,7,0)</f>
        <v>6.2393939393939393</v>
      </c>
      <c r="BM804" s="48">
        <f>$G804/5280*VLOOKUP($AC804,'Cost and Score'!$B$27:$O$40,8,0)</f>
        <v>0</v>
      </c>
      <c r="BN804" s="48">
        <f>$G804/5280*VLOOKUP($AC804,'Cost and Score'!$B$27:$O$40,9,0)</f>
        <v>0</v>
      </c>
      <c r="BO804" s="48">
        <f>$G804/5280*VLOOKUP($AC804,'Cost and Score'!$B$27:$O$40,10,0)</f>
        <v>0</v>
      </c>
      <c r="BP804" s="48">
        <f>$G804/5280*VLOOKUP($AC804,'Cost and Score'!$B$27:$O$40,11,0)</f>
        <v>0</v>
      </c>
      <c r="BQ804" s="48">
        <f>$G804/5280*VLOOKUP($AC804,'Cost and Score'!$B$27:$O$40,12,0)</f>
        <v>0</v>
      </c>
      <c r="BR804" s="48">
        <f>$G804/5280*VLOOKUP($AC804,'Cost and Score'!$B$27:$O$40,13,0)</f>
        <v>0</v>
      </c>
      <c r="BS804" s="48">
        <f>$G804/5280*VLOOKUP($AC804,'Cost and Score'!$B$27:$O$40,14,0)</f>
        <v>0</v>
      </c>
      <c r="BT804" s="220">
        <f t="shared" si="409"/>
        <v>0.3899621212121212</v>
      </c>
    </row>
    <row r="805" spans="1:103" s="2" customFormat="1" ht="14.45" hidden="1" customHeight="1" x14ac:dyDescent="0.25">
      <c r="A805" s="31" t="s">
        <v>2102</v>
      </c>
      <c r="B805" s="224" t="s">
        <v>1596</v>
      </c>
      <c r="C805" s="26" t="s">
        <v>1596</v>
      </c>
      <c r="D805" s="36" t="s">
        <v>2279</v>
      </c>
      <c r="E805" s="26" t="s">
        <v>1451</v>
      </c>
      <c r="F805" s="26" t="s">
        <v>1452</v>
      </c>
      <c r="G805" s="29">
        <v>5702</v>
      </c>
      <c r="H805" s="29">
        <f>IF(I805="NC",26,20)</f>
        <v>26</v>
      </c>
      <c r="I805" s="26" t="s">
        <v>2098</v>
      </c>
      <c r="J805" s="26" t="s">
        <v>160</v>
      </c>
      <c r="K805" s="26">
        <f t="shared" si="426"/>
        <v>0</v>
      </c>
      <c r="L805" s="42">
        <v>7</v>
      </c>
      <c r="M805" s="42">
        <v>7</v>
      </c>
      <c r="N805" s="42">
        <v>7</v>
      </c>
      <c r="O805" s="42">
        <v>7</v>
      </c>
      <c r="P805" s="42">
        <v>8</v>
      </c>
      <c r="Q805" s="42">
        <v>8</v>
      </c>
      <c r="R805" s="42">
        <v>7</v>
      </c>
      <c r="S805" s="42">
        <v>8</v>
      </c>
      <c r="T805" s="42">
        <v>7</v>
      </c>
      <c r="U805" s="42">
        <v>7</v>
      </c>
      <c r="V805" s="42"/>
      <c r="W805" s="42"/>
      <c r="X805" s="42"/>
      <c r="Y805" s="26">
        <v>668</v>
      </c>
      <c r="Z805" s="26">
        <f t="shared" si="418"/>
        <v>0.5</v>
      </c>
      <c r="AA805" s="26" t="s">
        <v>1596</v>
      </c>
      <c r="AB805" s="111">
        <f t="shared" si="404"/>
        <v>2.5</v>
      </c>
      <c r="AC805" s="85" t="s">
        <v>2489</v>
      </c>
      <c r="AD805" s="47">
        <f t="shared" si="406"/>
        <v>26998.10606060606</v>
      </c>
      <c r="AE805" s="140"/>
      <c r="AF805" s="113">
        <f t="shared" si="421"/>
        <v>0</v>
      </c>
      <c r="AG805" s="85">
        <v>2026</v>
      </c>
      <c r="AH805" s="26" t="str">
        <f t="shared" si="410"/>
        <v/>
      </c>
      <c r="AI805" s="26" t="str">
        <f t="shared" si="425"/>
        <v/>
      </c>
      <c r="AJ805" s="26" t="str">
        <f t="shared" si="396"/>
        <v/>
      </c>
      <c r="AK805" s="26" t="str">
        <f t="shared" si="417"/>
        <v/>
      </c>
      <c r="AL805" s="26" t="str">
        <f t="shared" si="417"/>
        <v>Liquid Road</v>
      </c>
      <c r="AM805" s="26" t="str">
        <f t="shared" si="417"/>
        <v/>
      </c>
      <c r="AN805" s="26" t="str">
        <f t="shared" si="419"/>
        <v>Liquid Road</v>
      </c>
      <c r="AO805" s="26" t="str">
        <f t="shared" si="397"/>
        <v/>
      </c>
      <c r="AP805" s="26" t="str">
        <f t="shared" ref="AP805:AP868" si="427">IF(AY805=AP$1,VLOOKUP(AZ805,RSL,3,FALSE),"")</f>
        <v/>
      </c>
      <c r="AQ805" s="68">
        <f t="shared" si="423"/>
        <v>10</v>
      </c>
      <c r="AR805" s="68">
        <f t="shared" si="424"/>
        <v>10</v>
      </c>
      <c r="AS805" s="68">
        <f t="shared" si="411"/>
        <v>1.05</v>
      </c>
      <c r="AT805" s="68">
        <f t="shared" si="412"/>
        <v>1.05</v>
      </c>
      <c r="AU805" s="68">
        <f t="shared" si="413"/>
        <v>1.05</v>
      </c>
      <c r="AV805" s="68">
        <f t="shared" si="414"/>
        <v>1.05</v>
      </c>
      <c r="AW805" s="68">
        <f t="shared" si="415"/>
        <v>1</v>
      </c>
      <c r="AX805" s="68">
        <f t="shared" ca="1" si="420"/>
        <v>2.1</v>
      </c>
      <c r="AY805" s="68">
        <v>2016</v>
      </c>
      <c r="AZ805" s="68" t="s">
        <v>751</v>
      </c>
      <c r="BA805" s="106" t="str">
        <f t="shared" si="408"/>
        <v/>
      </c>
      <c r="BB805" s="178"/>
      <c r="BC805" s="178"/>
      <c r="BD805" s="178"/>
      <c r="BE805" s="178"/>
      <c r="BF805" s="178"/>
      <c r="BG805" s="178">
        <v>4</v>
      </c>
      <c r="BH805" s="178"/>
      <c r="BI805" s="33" t="s">
        <v>2379</v>
      </c>
      <c r="BK805" s="48">
        <f>$G805/5280*VLOOKUP($AC805,'Cost and Score'!$B$27:$O$40,6,0)</f>
        <v>1.0799242424242423</v>
      </c>
      <c r="BL805" s="48">
        <f>$G805/5280*VLOOKUP($AC805,'Cost and Score'!$B$27:$O$40,7,0)</f>
        <v>17.278787878787877</v>
      </c>
      <c r="BM805" s="48">
        <f>$G805/5280*VLOOKUP($AC805,'Cost and Score'!$B$27:$O$40,8,0)</f>
        <v>0</v>
      </c>
      <c r="BN805" s="48">
        <f>$G805/5280*VLOOKUP($AC805,'Cost and Score'!$B$27:$O$40,9,0)</f>
        <v>0</v>
      </c>
      <c r="BO805" s="48">
        <f>$G805/5280*VLOOKUP($AC805,'Cost and Score'!$B$27:$O$40,10,0)</f>
        <v>0</v>
      </c>
      <c r="BP805" s="48">
        <f>$G805/5280*VLOOKUP($AC805,'Cost and Score'!$B$27:$O$40,11,0)</f>
        <v>0</v>
      </c>
      <c r="BQ805" s="48">
        <f>$G805/5280*VLOOKUP($AC805,'Cost and Score'!$B$27:$O$40,12,0)</f>
        <v>0</v>
      </c>
      <c r="BR805" s="48">
        <f>$G805/5280*VLOOKUP($AC805,'Cost and Score'!$B$27:$O$40,13,0)</f>
        <v>0</v>
      </c>
      <c r="BS805" s="48">
        <f>$G805/5280*VLOOKUP($AC805,'Cost and Score'!$B$27:$O$40,14,0)</f>
        <v>0</v>
      </c>
      <c r="BT805" s="220">
        <f t="shared" si="409"/>
        <v>1.0799242424242423</v>
      </c>
      <c r="CR805" s="112"/>
    </row>
    <row r="806" spans="1:103" s="2" customFormat="1" hidden="1" x14ac:dyDescent="0.25">
      <c r="A806" s="31" t="s">
        <v>2102</v>
      </c>
      <c r="B806" s="26" t="s">
        <v>2340</v>
      </c>
      <c r="C806" s="26" t="s">
        <v>2340</v>
      </c>
      <c r="D806" s="36" t="s">
        <v>2288</v>
      </c>
      <c r="E806" s="26" t="s">
        <v>1504</v>
      </c>
      <c r="F806" s="26" t="s">
        <v>1505</v>
      </c>
      <c r="G806" s="29">
        <v>2087</v>
      </c>
      <c r="H806" s="29"/>
      <c r="I806" s="26" t="s">
        <v>2098</v>
      </c>
      <c r="J806" s="26" t="s">
        <v>125</v>
      </c>
      <c r="K806" s="26">
        <f t="shared" si="426"/>
        <v>0</v>
      </c>
      <c r="L806" s="42"/>
      <c r="M806" s="42">
        <v>7</v>
      </c>
      <c r="N806" s="42">
        <v>7</v>
      </c>
      <c r="O806" s="42">
        <v>7</v>
      </c>
      <c r="P806" s="42">
        <v>7</v>
      </c>
      <c r="Q806" s="42">
        <v>8</v>
      </c>
      <c r="R806" s="42">
        <v>8</v>
      </c>
      <c r="S806" s="42">
        <v>7</v>
      </c>
      <c r="T806" s="42">
        <v>7</v>
      </c>
      <c r="U806" s="42">
        <v>7</v>
      </c>
      <c r="V806" s="42"/>
      <c r="W806" s="42"/>
      <c r="X806" s="42"/>
      <c r="Y806" s="26">
        <v>50</v>
      </c>
      <c r="Z806" s="26">
        <f t="shared" si="418"/>
        <v>0</v>
      </c>
      <c r="AA806" s="26" t="s">
        <v>2340</v>
      </c>
      <c r="AB806" s="111">
        <f t="shared" si="404"/>
        <v>3</v>
      </c>
      <c r="AC806" s="26" t="s">
        <v>2086</v>
      </c>
      <c r="AD806" s="47">
        <v>16881.509999999998</v>
      </c>
      <c r="AE806" s="140"/>
      <c r="AF806" s="113">
        <f t="shared" si="421"/>
        <v>0</v>
      </c>
      <c r="AG806" s="26">
        <v>2024</v>
      </c>
      <c r="AH806" s="26" t="str">
        <f t="shared" si="410"/>
        <v/>
      </c>
      <c r="AI806" s="26" t="str">
        <f t="shared" si="425"/>
        <v/>
      </c>
      <c r="AJ806" s="26" t="str">
        <f t="shared" si="396"/>
        <v>Fog Seal</v>
      </c>
      <c r="AK806" s="26" t="str">
        <f t="shared" si="417"/>
        <v/>
      </c>
      <c r="AL806" s="26" t="str">
        <f t="shared" si="417"/>
        <v/>
      </c>
      <c r="AM806" s="26" t="str">
        <f t="shared" si="417"/>
        <v/>
      </c>
      <c r="AN806" s="26" t="str">
        <f t="shared" si="419"/>
        <v>Fog Seal</v>
      </c>
      <c r="AO806" s="26" t="str">
        <f t="shared" si="397"/>
        <v/>
      </c>
      <c r="AP806" s="26" t="str">
        <f t="shared" si="427"/>
        <v/>
      </c>
      <c r="AQ806" s="68">
        <f t="shared" si="423"/>
        <v>10</v>
      </c>
      <c r="AR806" s="68">
        <f t="shared" si="424"/>
        <v>2</v>
      </c>
      <c r="AS806" s="68">
        <f t="shared" si="411"/>
        <v>0</v>
      </c>
      <c r="AT806" s="68">
        <f t="shared" si="412"/>
        <v>1.05</v>
      </c>
      <c r="AU806" s="68">
        <f t="shared" si="413"/>
        <v>1.05</v>
      </c>
      <c r="AV806" s="68">
        <f t="shared" si="414"/>
        <v>1.05</v>
      </c>
      <c r="AW806" s="68">
        <f t="shared" si="415"/>
        <v>1.05</v>
      </c>
      <c r="AX806" s="68">
        <f t="shared" ca="1" si="420"/>
        <v>0</v>
      </c>
      <c r="AY806" s="68">
        <v>2018</v>
      </c>
      <c r="AZ806" s="68" t="s">
        <v>2371</v>
      </c>
      <c r="BA806" s="106" t="str">
        <f t="shared" si="408"/>
        <v>MICRO</v>
      </c>
      <c r="BB806" s="178"/>
      <c r="BC806" s="178"/>
      <c r="BD806" s="178"/>
      <c r="BE806" s="178"/>
      <c r="BF806" s="178"/>
      <c r="BG806" s="178"/>
      <c r="BH806" s="178"/>
      <c r="BI806" s="43"/>
      <c r="BJ806" s="26"/>
      <c r="BK806" s="48">
        <f>$G806/5280*VLOOKUP($AC806,'Cost and Score'!$B$27:$O$40,6,0)</f>
        <v>3.9526515151515153E-2</v>
      </c>
      <c r="BL806" s="48">
        <f>$G806/5280*VLOOKUP($AC806,'Cost and Score'!$B$27:$O$40,7,0)</f>
        <v>7.9053030303030306E-2</v>
      </c>
      <c r="BM806" s="48">
        <f>$G806/5280*VLOOKUP($AC806,'Cost and Score'!$B$27:$O$40,8,0)</f>
        <v>0</v>
      </c>
      <c r="BN806" s="48">
        <f>$G806/5280*VLOOKUP($AC806,'Cost and Score'!$B$27:$O$40,9,0)</f>
        <v>0</v>
      </c>
      <c r="BO806" s="48">
        <f>$G806/5280*VLOOKUP($AC806,'Cost and Score'!$B$27:$O$40,10,0)</f>
        <v>395.2651515151515</v>
      </c>
      <c r="BP806" s="48">
        <f>$G806/5280*VLOOKUP($AC806,'Cost and Score'!$B$27:$O$40,11,0)</f>
        <v>0</v>
      </c>
      <c r="BQ806" s="48">
        <f>$G806/5280*VLOOKUP($AC806,'Cost and Score'!$B$27:$O$40,12,0)</f>
        <v>0</v>
      </c>
      <c r="BR806" s="48">
        <f>$G806/5280*VLOOKUP($AC806,'Cost and Score'!$B$27:$O$40,13,0)</f>
        <v>0</v>
      </c>
      <c r="BS806" s="48">
        <f>$G806/5280*VLOOKUP($AC806,'Cost and Score'!$B$27:$O$40,14,0)</f>
        <v>0</v>
      </c>
      <c r="BT806" s="220">
        <f t="shared" si="409"/>
        <v>0.39526515151515151</v>
      </c>
      <c r="CW806" s="112"/>
      <c r="CX806" s="112"/>
      <c r="CY806" s="112"/>
    </row>
    <row r="807" spans="1:103" s="2" customFormat="1" hidden="1" x14ac:dyDescent="0.25">
      <c r="A807" s="36"/>
      <c r="B807" s="225" t="s">
        <v>2347</v>
      </c>
      <c r="C807" s="26" t="s">
        <v>2347</v>
      </c>
      <c r="D807" s="119" t="s">
        <v>2345</v>
      </c>
      <c r="E807" s="82" t="s">
        <v>1576</v>
      </c>
      <c r="F807" s="82" t="s">
        <v>1912</v>
      </c>
      <c r="G807" s="29">
        <v>1182</v>
      </c>
      <c r="H807" s="29"/>
      <c r="I807" s="26" t="s">
        <v>2098</v>
      </c>
      <c r="J807" s="26" t="s">
        <v>125</v>
      </c>
      <c r="K807" s="26">
        <f t="shared" si="426"/>
        <v>0</v>
      </c>
      <c r="L807" s="42"/>
      <c r="M807" s="42">
        <v>10</v>
      </c>
      <c r="N807" s="42">
        <v>10</v>
      </c>
      <c r="O807" s="83">
        <v>9</v>
      </c>
      <c r="P807" s="83">
        <v>9</v>
      </c>
      <c r="Q807" s="83">
        <v>9</v>
      </c>
      <c r="R807" s="83">
        <v>8</v>
      </c>
      <c r="S807" s="83">
        <v>8</v>
      </c>
      <c r="T807" s="83">
        <v>8</v>
      </c>
      <c r="U807" s="83">
        <v>8</v>
      </c>
      <c r="V807" s="42"/>
      <c r="W807" s="42"/>
      <c r="X807" s="42"/>
      <c r="Y807" s="26">
        <v>50</v>
      </c>
      <c r="Z807" s="26">
        <f t="shared" si="418"/>
        <v>0</v>
      </c>
      <c r="AA807" s="26" t="s">
        <v>2347</v>
      </c>
      <c r="AB807" s="111">
        <f t="shared" si="404"/>
        <v>1</v>
      </c>
      <c r="AC807" s="85" t="s">
        <v>2425</v>
      </c>
      <c r="AD807" s="84">
        <f>VLOOKUP(AC807,Cost,2,FALSE)*G807/5280</f>
        <v>5596.590909090909</v>
      </c>
      <c r="AE807" s="140"/>
      <c r="AF807" s="113">
        <f t="shared" si="421"/>
        <v>0</v>
      </c>
      <c r="AG807" s="85">
        <v>2026</v>
      </c>
      <c r="AH807" s="26" t="str">
        <f t="shared" si="410"/>
        <v/>
      </c>
      <c r="AI807" s="26" t="str">
        <f t="shared" si="425"/>
        <v/>
      </c>
      <c r="AJ807" s="26" t="str">
        <f t="shared" ref="AJ807:AJ870" si="428">IF($AG807=AJ$1,VLOOKUP($AC807,RSL,3,FALSE),"")</f>
        <v/>
      </c>
      <c r="AK807" s="26" t="str">
        <f t="shared" si="417"/>
        <v/>
      </c>
      <c r="AL807" s="26" t="str">
        <f t="shared" si="417"/>
        <v>Liquid Road</v>
      </c>
      <c r="AM807" s="26" t="str">
        <f t="shared" si="417"/>
        <v/>
      </c>
      <c r="AN807" s="26" t="str">
        <f t="shared" si="419"/>
        <v>Liquid Road</v>
      </c>
      <c r="AO807" s="26" t="str">
        <f t="shared" ref="AO807:AO870" si="429">IF(AY807=AO$1,VLOOKUP(AZ807,RSL,3,FALSE),"")</f>
        <v/>
      </c>
      <c r="AP807" s="26" t="str">
        <f t="shared" si="427"/>
        <v/>
      </c>
      <c r="AQ807" s="68">
        <f t="shared" si="423"/>
        <v>14</v>
      </c>
      <c r="AR807" s="68">
        <f t="shared" si="424"/>
        <v>10</v>
      </c>
      <c r="AS807" s="68">
        <f t="shared" si="411"/>
        <v>0</v>
      </c>
      <c r="AT807" s="68">
        <f t="shared" si="412"/>
        <v>1</v>
      </c>
      <c r="AU807" s="68">
        <f t="shared" si="413"/>
        <v>1</v>
      </c>
      <c r="AV807" s="68">
        <f t="shared" si="414"/>
        <v>1</v>
      </c>
      <c r="AW807" s="68">
        <f t="shared" si="415"/>
        <v>1</v>
      </c>
      <c r="AX807" s="68">
        <f t="shared" ca="1" si="420"/>
        <v>2</v>
      </c>
      <c r="AY807" s="68">
        <v>2015</v>
      </c>
      <c r="AZ807" s="68" t="s">
        <v>751</v>
      </c>
      <c r="BA807" s="106" t="str">
        <f t="shared" si="408"/>
        <v/>
      </c>
      <c r="BB807" s="178"/>
      <c r="BC807" s="178"/>
      <c r="BD807" s="178"/>
      <c r="BE807" s="178"/>
      <c r="BF807" s="178">
        <v>3</v>
      </c>
      <c r="BG807" s="178"/>
      <c r="BH807" s="178"/>
      <c r="BI807" s="43"/>
      <c r="BJ807" s="26"/>
      <c r="BK807" s="48">
        <f>$G807/5280*VLOOKUP($AC807,'Cost and Score'!$B$27:$O$40,6,0)</f>
        <v>0.22386363636363638</v>
      </c>
      <c r="BL807" s="48">
        <f>$G807/5280*VLOOKUP($AC807,'Cost and Score'!$B$27:$O$40,7,0)</f>
        <v>3.581818181818182</v>
      </c>
      <c r="BM807" s="48">
        <f>$G807/5280*VLOOKUP($AC807,'Cost and Score'!$B$27:$O$40,8,0)</f>
        <v>0</v>
      </c>
      <c r="BN807" s="48">
        <f>$G807/5280*VLOOKUP($AC807,'Cost and Score'!$B$27:$O$40,9,0)</f>
        <v>0</v>
      </c>
      <c r="BO807" s="48">
        <f>$G807/5280*VLOOKUP($AC807,'Cost and Score'!$B$27:$O$40,10,0)</f>
        <v>0</v>
      </c>
      <c r="BP807" s="48">
        <f>$G807/5280*VLOOKUP($AC807,'Cost and Score'!$B$27:$O$40,11,0)</f>
        <v>0</v>
      </c>
      <c r="BQ807" s="48">
        <f>$G807/5280*VLOOKUP($AC807,'Cost and Score'!$B$27:$O$40,12,0)</f>
        <v>0</v>
      </c>
      <c r="BR807" s="48">
        <f>$G807/5280*VLOOKUP($AC807,'Cost and Score'!$B$27:$O$40,13,0)</f>
        <v>0</v>
      </c>
      <c r="BS807" s="48">
        <f>$G807/5280*VLOOKUP($AC807,'Cost and Score'!$B$27:$O$40,14,0)</f>
        <v>0</v>
      </c>
      <c r="BT807" s="220">
        <f t="shared" si="409"/>
        <v>0.22386363636363638</v>
      </c>
      <c r="CR807" s="112"/>
    </row>
    <row r="808" spans="1:103" s="2" customFormat="1" hidden="1" x14ac:dyDescent="0.25">
      <c r="A808" s="31" t="s">
        <v>2102</v>
      </c>
      <c r="B808" s="224" t="s">
        <v>1597</v>
      </c>
      <c r="C808" s="85" t="s">
        <v>1597</v>
      </c>
      <c r="D808" s="86" t="s">
        <v>2307</v>
      </c>
      <c r="E808" s="85" t="s">
        <v>1451</v>
      </c>
      <c r="F808" s="85" t="s">
        <v>1555</v>
      </c>
      <c r="G808" s="29">
        <v>528</v>
      </c>
      <c r="H808" s="29">
        <f t="shared" ref="H808:H823" si="430">IF(I808="NC",26,20)</f>
        <v>26</v>
      </c>
      <c r="I808" s="124" t="s">
        <v>2098</v>
      </c>
      <c r="J808" s="85" t="s">
        <v>160</v>
      </c>
      <c r="K808" s="85">
        <f t="shared" si="426"/>
        <v>0</v>
      </c>
      <c r="L808" s="74">
        <v>7</v>
      </c>
      <c r="M808" s="74">
        <v>7</v>
      </c>
      <c r="N808" s="74">
        <v>7</v>
      </c>
      <c r="O808" s="74">
        <v>7</v>
      </c>
      <c r="P808" s="74">
        <v>7</v>
      </c>
      <c r="Q808" s="74">
        <v>7</v>
      </c>
      <c r="R808" s="74">
        <v>7</v>
      </c>
      <c r="S808" s="74">
        <v>7</v>
      </c>
      <c r="T808" s="74">
        <v>7</v>
      </c>
      <c r="U808" s="74">
        <v>7</v>
      </c>
      <c r="V808" s="74"/>
      <c r="W808" s="74"/>
      <c r="X808" s="74"/>
      <c r="Y808" s="85">
        <v>888</v>
      </c>
      <c r="Z808" s="85">
        <f t="shared" si="418"/>
        <v>0.5</v>
      </c>
      <c r="AA808" s="85" t="s">
        <v>1597</v>
      </c>
      <c r="AB808" s="111">
        <f t="shared" si="404"/>
        <v>3.5</v>
      </c>
      <c r="AC808" s="85" t="s">
        <v>2425</v>
      </c>
      <c r="AD808" s="47">
        <f>VLOOKUP(AC808,Cost,2,FALSE)*G808/5280</f>
        <v>2500</v>
      </c>
      <c r="AE808" s="140"/>
      <c r="AF808" s="113">
        <f t="shared" si="421"/>
        <v>0</v>
      </c>
      <c r="AG808" s="85">
        <v>2026</v>
      </c>
      <c r="AH808" s="26" t="str">
        <f t="shared" si="410"/>
        <v/>
      </c>
      <c r="AI808" s="26" t="str">
        <f t="shared" si="425"/>
        <v/>
      </c>
      <c r="AJ808" s="26" t="str">
        <f t="shared" si="428"/>
        <v/>
      </c>
      <c r="AK808" s="26" t="str">
        <f t="shared" ref="AK808:AM827" si="431">IF($AG808=AK$1,VLOOKUP($AC808,RSL,3,FALSE),"")</f>
        <v/>
      </c>
      <c r="AL808" s="26" t="str">
        <f t="shared" si="431"/>
        <v>Liquid Road</v>
      </c>
      <c r="AM808" s="26" t="str">
        <f t="shared" si="431"/>
        <v/>
      </c>
      <c r="AN808" s="26" t="str">
        <f t="shared" si="419"/>
        <v>Liquid Road</v>
      </c>
      <c r="AO808" s="26" t="str">
        <f t="shared" si="429"/>
        <v/>
      </c>
      <c r="AP808" s="26" t="str">
        <f t="shared" si="427"/>
        <v/>
      </c>
      <c r="AQ808" s="68">
        <f t="shared" si="423"/>
        <v>10</v>
      </c>
      <c r="AR808" s="68">
        <f t="shared" si="424"/>
        <v>10</v>
      </c>
      <c r="AS808" s="68">
        <f t="shared" si="411"/>
        <v>1.05</v>
      </c>
      <c r="AT808" s="68">
        <f t="shared" si="412"/>
        <v>1.05</v>
      </c>
      <c r="AU808" s="68">
        <f t="shared" si="413"/>
        <v>1.05</v>
      </c>
      <c r="AV808" s="68">
        <f t="shared" si="414"/>
        <v>1.05</v>
      </c>
      <c r="AW808" s="68">
        <f t="shared" si="415"/>
        <v>1.05</v>
      </c>
      <c r="AX808" s="68">
        <f t="shared" ca="1" si="420"/>
        <v>2.1</v>
      </c>
      <c r="AY808" s="68">
        <v>2014</v>
      </c>
      <c r="AZ808" s="68" t="s">
        <v>2075</v>
      </c>
      <c r="BA808" s="106" t="str">
        <f t="shared" si="408"/>
        <v/>
      </c>
      <c r="BB808" s="178"/>
      <c r="BC808" s="178"/>
      <c r="BD808" s="178"/>
      <c r="BE808" s="178"/>
      <c r="BF808" s="178"/>
      <c r="BG808" s="178"/>
      <c r="BH808" s="178">
        <v>5</v>
      </c>
      <c r="BI808" s="33"/>
      <c r="BK808" s="48">
        <f>$G808/5280*VLOOKUP($AC808,'Cost and Score'!$B$27:$O$40,6,0)</f>
        <v>0.1</v>
      </c>
      <c r="BL808" s="48">
        <f>$G808/5280*VLOOKUP($AC808,'Cost and Score'!$B$27:$O$40,7,0)</f>
        <v>1.6</v>
      </c>
      <c r="BM808" s="48">
        <f>$G808/5280*VLOOKUP($AC808,'Cost and Score'!$B$27:$O$40,8,0)</f>
        <v>0</v>
      </c>
      <c r="BN808" s="48">
        <f>$G808/5280*VLOOKUP($AC808,'Cost and Score'!$B$27:$O$40,9,0)</f>
        <v>0</v>
      </c>
      <c r="BO808" s="48">
        <f>$G808/5280*VLOOKUP($AC808,'Cost and Score'!$B$27:$O$40,10,0)</f>
        <v>0</v>
      </c>
      <c r="BP808" s="48">
        <f>$G808/5280*VLOOKUP($AC808,'Cost and Score'!$B$27:$O$40,11,0)</f>
        <v>0</v>
      </c>
      <c r="BQ808" s="48">
        <f>$G808/5280*VLOOKUP($AC808,'Cost and Score'!$B$27:$O$40,12,0)</f>
        <v>0</v>
      </c>
      <c r="BR808" s="48">
        <f>$G808/5280*VLOOKUP($AC808,'Cost and Score'!$B$27:$O$40,13,0)</f>
        <v>0</v>
      </c>
      <c r="BS808" s="48">
        <f>$G808/5280*VLOOKUP($AC808,'Cost and Score'!$B$27:$O$40,14,0)</f>
        <v>0</v>
      </c>
      <c r="BT808" s="220">
        <f t="shared" si="409"/>
        <v>0.1</v>
      </c>
      <c r="CF808" s="112"/>
      <c r="CS808" s="112"/>
      <c r="CT808" s="112"/>
      <c r="CU808" s="112"/>
      <c r="CW808" s="112"/>
      <c r="CX808" s="112"/>
      <c r="CY808" s="112"/>
    </row>
    <row r="809" spans="1:103" s="2" customFormat="1" hidden="1" x14ac:dyDescent="0.25">
      <c r="A809" s="31" t="s">
        <v>2102</v>
      </c>
      <c r="B809" s="226" t="s">
        <v>1598</v>
      </c>
      <c r="C809" s="106" t="s">
        <v>1598</v>
      </c>
      <c r="D809" s="116" t="s">
        <v>2243</v>
      </c>
      <c r="E809" s="106" t="s">
        <v>1451</v>
      </c>
      <c r="F809" s="106" t="s">
        <v>1599</v>
      </c>
      <c r="G809" s="109">
        <v>1109</v>
      </c>
      <c r="H809" s="109">
        <f t="shared" si="430"/>
        <v>26</v>
      </c>
      <c r="I809" s="106" t="s">
        <v>2098</v>
      </c>
      <c r="J809" s="106" t="s">
        <v>160</v>
      </c>
      <c r="K809" s="106">
        <f t="shared" si="426"/>
        <v>0</v>
      </c>
      <c r="L809" s="110">
        <v>7</v>
      </c>
      <c r="M809" s="110">
        <v>7</v>
      </c>
      <c r="N809" s="110">
        <v>7</v>
      </c>
      <c r="O809" s="110">
        <v>7</v>
      </c>
      <c r="P809" s="110">
        <v>7</v>
      </c>
      <c r="Q809" s="110">
        <v>7</v>
      </c>
      <c r="R809" s="110">
        <v>7</v>
      </c>
      <c r="S809" s="110">
        <v>7</v>
      </c>
      <c r="T809" s="110">
        <v>7</v>
      </c>
      <c r="U809" s="110">
        <v>7</v>
      </c>
      <c r="V809" s="110"/>
      <c r="W809" s="110"/>
      <c r="X809" s="110"/>
      <c r="Y809" s="106">
        <v>515</v>
      </c>
      <c r="Z809" s="106">
        <f t="shared" si="418"/>
        <v>0.5</v>
      </c>
      <c r="AA809" s="106" t="s">
        <v>1598</v>
      </c>
      <c r="AB809" s="111">
        <f t="shared" si="404"/>
        <v>3.5</v>
      </c>
      <c r="AC809" s="106" t="s">
        <v>2425</v>
      </c>
      <c r="AD809" s="107">
        <f>VLOOKUP(AC809,Cost,2,FALSE)*G809/5280</f>
        <v>5250.94696969697</v>
      </c>
      <c r="AE809" s="198"/>
      <c r="AF809" s="113">
        <f t="shared" si="421"/>
        <v>0</v>
      </c>
      <c r="AG809" s="85">
        <v>2026</v>
      </c>
      <c r="AH809" s="26" t="str">
        <f t="shared" si="410"/>
        <v/>
      </c>
      <c r="AI809" s="26" t="str">
        <f t="shared" si="425"/>
        <v/>
      </c>
      <c r="AJ809" s="26" t="str">
        <f t="shared" si="428"/>
        <v/>
      </c>
      <c r="AK809" s="26" t="str">
        <f t="shared" si="431"/>
        <v/>
      </c>
      <c r="AL809" s="26" t="str">
        <f t="shared" si="431"/>
        <v>Liquid Road</v>
      </c>
      <c r="AM809" s="26" t="str">
        <f t="shared" si="431"/>
        <v/>
      </c>
      <c r="AN809" s="26" t="str">
        <f t="shared" si="419"/>
        <v>Liquid Road</v>
      </c>
      <c r="AO809" s="26" t="str">
        <f t="shared" si="429"/>
        <v/>
      </c>
      <c r="AP809" s="26" t="str">
        <f t="shared" si="427"/>
        <v/>
      </c>
      <c r="AQ809" s="68">
        <f t="shared" si="423"/>
        <v>10</v>
      </c>
      <c r="AR809" s="68">
        <f t="shared" si="424"/>
        <v>10</v>
      </c>
      <c r="AS809" s="68">
        <f t="shared" si="411"/>
        <v>1.05</v>
      </c>
      <c r="AT809" s="68">
        <f t="shared" si="412"/>
        <v>1.05</v>
      </c>
      <c r="AU809" s="68">
        <f t="shared" si="413"/>
        <v>1.05</v>
      </c>
      <c r="AV809" s="68">
        <f t="shared" si="414"/>
        <v>1.05</v>
      </c>
      <c r="AW809" s="68">
        <f t="shared" si="415"/>
        <v>1.05</v>
      </c>
      <c r="AX809" s="68">
        <f t="shared" ca="1" si="420"/>
        <v>2.1</v>
      </c>
      <c r="AY809" s="106">
        <v>2017</v>
      </c>
      <c r="AZ809" s="106" t="s">
        <v>2075</v>
      </c>
      <c r="BA809" s="106" t="str">
        <f t="shared" si="408"/>
        <v/>
      </c>
      <c r="BB809" s="177"/>
      <c r="BC809" s="177"/>
      <c r="BD809" s="177"/>
      <c r="BE809" s="177">
        <v>2</v>
      </c>
      <c r="BF809" s="177"/>
      <c r="BG809" s="177"/>
      <c r="BH809" s="177"/>
      <c r="BI809" s="33"/>
      <c r="BK809" s="48">
        <f>$G809/5280*VLOOKUP($AC809,'Cost and Score'!$B$27:$O$40,6,0)</f>
        <v>0.2100378787878788</v>
      </c>
      <c r="BL809" s="48">
        <f>$G809/5280*VLOOKUP($AC809,'Cost and Score'!$B$27:$O$40,7,0)</f>
        <v>3.3606060606060608</v>
      </c>
      <c r="BM809" s="48">
        <f>$G809/5280*VLOOKUP($AC809,'Cost and Score'!$B$27:$O$40,8,0)</f>
        <v>0</v>
      </c>
      <c r="BN809" s="48">
        <f>$G809/5280*VLOOKUP($AC809,'Cost and Score'!$B$27:$O$40,9,0)</f>
        <v>0</v>
      </c>
      <c r="BO809" s="48">
        <f>$G809/5280*VLOOKUP($AC809,'Cost and Score'!$B$27:$O$40,10,0)</f>
        <v>0</v>
      </c>
      <c r="BP809" s="48">
        <f>$G809/5280*VLOOKUP($AC809,'Cost and Score'!$B$27:$O$40,11,0)</f>
        <v>0</v>
      </c>
      <c r="BQ809" s="48">
        <f>$G809/5280*VLOOKUP($AC809,'Cost and Score'!$B$27:$O$40,12,0)</f>
        <v>0</v>
      </c>
      <c r="BR809" s="48">
        <f>$G809/5280*VLOOKUP($AC809,'Cost and Score'!$B$27:$O$40,13,0)</f>
        <v>0</v>
      </c>
      <c r="BS809" s="48">
        <f>$G809/5280*VLOOKUP($AC809,'Cost and Score'!$B$27:$O$40,14,0)</f>
        <v>0</v>
      </c>
      <c r="BT809" s="220">
        <f t="shared" si="409"/>
        <v>0.2100378787878788</v>
      </c>
      <c r="CG809" s="112"/>
      <c r="CH809" s="112"/>
      <c r="CI809" s="112"/>
      <c r="CJ809" s="112"/>
      <c r="CK809" s="112"/>
      <c r="CL809" s="112"/>
      <c r="CM809" s="112"/>
    </row>
    <row r="810" spans="1:103" s="112" customFormat="1" ht="14.45" hidden="1" customHeight="1" x14ac:dyDescent="0.25">
      <c r="A810" s="31" t="s">
        <v>2102</v>
      </c>
      <c r="B810" s="224" t="s">
        <v>1600</v>
      </c>
      <c r="C810" s="26" t="s">
        <v>1600</v>
      </c>
      <c r="D810" s="119" t="s">
        <v>2244</v>
      </c>
      <c r="E810" s="82" t="s">
        <v>1458</v>
      </c>
      <c r="F810" s="82" t="s">
        <v>1502</v>
      </c>
      <c r="G810" s="29">
        <v>3168</v>
      </c>
      <c r="H810" s="29">
        <f t="shared" si="430"/>
        <v>26</v>
      </c>
      <c r="I810" s="26" t="s">
        <v>2098</v>
      </c>
      <c r="J810" s="26" t="s">
        <v>160</v>
      </c>
      <c r="K810" s="26">
        <f t="shared" si="426"/>
        <v>0</v>
      </c>
      <c r="L810" s="42">
        <v>7</v>
      </c>
      <c r="M810" s="42">
        <v>8</v>
      </c>
      <c r="N810" s="42">
        <v>8</v>
      </c>
      <c r="O810" s="83">
        <v>8</v>
      </c>
      <c r="P810" s="83">
        <v>8</v>
      </c>
      <c r="Q810" s="83">
        <v>7</v>
      </c>
      <c r="R810" s="83">
        <v>7</v>
      </c>
      <c r="S810" s="83">
        <v>7</v>
      </c>
      <c r="T810" s="83">
        <v>7</v>
      </c>
      <c r="U810" s="83">
        <v>7</v>
      </c>
      <c r="V810" s="42"/>
      <c r="W810" s="42"/>
      <c r="X810" s="42"/>
      <c r="Y810" s="26">
        <v>302</v>
      </c>
      <c r="Z810" s="26">
        <f t="shared" si="418"/>
        <v>0</v>
      </c>
      <c r="AA810" s="82" t="s">
        <v>1600</v>
      </c>
      <c r="AB810" s="111">
        <f t="shared" si="404"/>
        <v>2</v>
      </c>
      <c r="AC810" s="85" t="s">
        <v>2371</v>
      </c>
      <c r="AD810" s="84">
        <f>VLOOKUP(AC810,Cost,2,FALSE)*G810/5280</f>
        <v>48000</v>
      </c>
      <c r="AE810" s="140"/>
      <c r="AF810" s="113">
        <f t="shared" si="421"/>
        <v>0</v>
      </c>
      <c r="AG810" s="85">
        <v>2028</v>
      </c>
      <c r="AH810" s="26" t="str">
        <f t="shared" si="410"/>
        <v/>
      </c>
      <c r="AI810" s="26" t="str">
        <f t="shared" si="425"/>
        <v/>
      </c>
      <c r="AJ810" s="26" t="str">
        <f t="shared" si="428"/>
        <v/>
      </c>
      <c r="AK810" s="26" t="str">
        <f t="shared" si="431"/>
        <v/>
      </c>
      <c r="AL810" s="26" t="str">
        <f t="shared" si="431"/>
        <v/>
      </c>
      <c r="AM810" s="26" t="str">
        <f t="shared" si="431"/>
        <v/>
      </c>
      <c r="AN810" s="26" t="str">
        <f t="shared" si="419"/>
        <v>Microsurface double</v>
      </c>
      <c r="AO810" s="26" t="str">
        <f t="shared" si="429"/>
        <v/>
      </c>
      <c r="AP810" s="26" t="str">
        <f t="shared" si="427"/>
        <v/>
      </c>
      <c r="AQ810" s="68">
        <f t="shared" si="423"/>
        <v>12</v>
      </c>
      <c r="AR810" s="68">
        <f t="shared" si="424"/>
        <v>10</v>
      </c>
      <c r="AS810" s="68">
        <f t="shared" si="411"/>
        <v>1.05</v>
      </c>
      <c r="AT810" s="68">
        <f t="shared" si="412"/>
        <v>1</v>
      </c>
      <c r="AU810" s="68">
        <f t="shared" si="413"/>
        <v>1</v>
      </c>
      <c r="AV810" s="68">
        <f t="shared" si="414"/>
        <v>1</v>
      </c>
      <c r="AW810" s="68">
        <f t="shared" si="415"/>
        <v>1</v>
      </c>
      <c r="AX810" s="68">
        <f t="shared" ca="1" si="420"/>
        <v>4</v>
      </c>
      <c r="AY810" s="68">
        <v>2020</v>
      </c>
      <c r="AZ810" s="68" t="s">
        <v>2075</v>
      </c>
      <c r="BA810" s="106" t="str">
        <f t="shared" si="408"/>
        <v/>
      </c>
      <c r="BB810" s="178"/>
      <c r="BC810" s="178"/>
      <c r="BD810" s="178"/>
      <c r="BE810" s="178"/>
      <c r="BF810" s="178"/>
      <c r="BG810" s="178"/>
      <c r="BH810" s="178"/>
      <c r="BI810" s="33"/>
      <c r="BJ810" s="2"/>
      <c r="BK810" s="48">
        <f>$G810/5280*VLOOKUP($AC810,'Cost and Score'!$B$27:$O$40,6,0)</f>
        <v>0.3</v>
      </c>
      <c r="BL810" s="48">
        <f>$G810/5280*VLOOKUP($AC810,'Cost and Score'!$B$27:$O$40,7,0)</f>
        <v>0</v>
      </c>
      <c r="BM810" s="48">
        <f>$G810/5280*VLOOKUP($AC810,'Cost and Score'!$B$27:$O$40,8,0)</f>
        <v>0</v>
      </c>
      <c r="BN810" s="48">
        <f>$G810/5280*VLOOKUP($AC810,'Cost and Score'!$B$27:$O$40,9,0)</f>
        <v>0</v>
      </c>
      <c r="BO810" s="48">
        <f>$G810/5280*VLOOKUP($AC810,'Cost and Score'!$B$27:$O$40,10,0)</f>
        <v>0</v>
      </c>
      <c r="BP810" s="48">
        <f>$G810/5280*VLOOKUP($AC810,'Cost and Score'!$B$27:$O$40,11,0)</f>
        <v>0</v>
      </c>
      <c r="BQ810" s="48">
        <f>$G810/5280*VLOOKUP($AC810,'Cost and Score'!$B$27:$O$40,12,0)</f>
        <v>0</v>
      </c>
      <c r="BR810" s="48">
        <f>$G810/5280*VLOOKUP($AC810,'Cost and Score'!$B$27:$O$40,13,0)</f>
        <v>0</v>
      </c>
      <c r="BS810" s="48">
        <f>$G810/5280*VLOOKUP($AC810,'Cost and Score'!$B$27:$O$40,14,0)</f>
        <v>0</v>
      </c>
      <c r="BT810" s="220">
        <f t="shared" si="409"/>
        <v>0.6</v>
      </c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V810" s="2"/>
      <c r="CW810" s="2"/>
      <c r="CX810" s="2"/>
      <c r="CY810" s="2"/>
    </row>
    <row r="811" spans="1:103" s="2" customFormat="1" ht="14.45" hidden="1" customHeight="1" x14ac:dyDescent="0.25">
      <c r="A811" s="31" t="s">
        <v>2102</v>
      </c>
      <c r="B811" s="226" t="s">
        <v>1601</v>
      </c>
      <c r="C811" s="106" t="s">
        <v>1601</v>
      </c>
      <c r="D811" s="116" t="s">
        <v>2234</v>
      </c>
      <c r="E811" s="106" t="s">
        <v>1602</v>
      </c>
      <c r="F811" s="106" t="s">
        <v>1603</v>
      </c>
      <c r="G811" s="109">
        <v>1031</v>
      </c>
      <c r="H811" s="109">
        <f t="shared" si="430"/>
        <v>26</v>
      </c>
      <c r="I811" s="106" t="s">
        <v>2098</v>
      </c>
      <c r="J811" s="106" t="s">
        <v>17</v>
      </c>
      <c r="K811" s="106">
        <f t="shared" si="426"/>
        <v>0</v>
      </c>
      <c r="L811" s="110">
        <v>7</v>
      </c>
      <c r="M811" s="110">
        <v>6</v>
      </c>
      <c r="N811" s="110">
        <v>6</v>
      </c>
      <c r="O811" s="110">
        <v>6</v>
      </c>
      <c r="P811" s="110">
        <v>6</v>
      </c>
      <c r="Q811" s="110">
        <v>9</v>
      </c>
      <c r="R811" s="110">
        <v>8</v>
      </c>
      <c r="S811" s="110">
        <v>7</v>
      </c>
      <c r="T811" s="110">
        <v>7</v>
      </c>
      <c r="U811" s="110">
        <v>7</v>
      </c>
      <c r="V811" s="110"/>
      <c r="W811" s="110"/>
      <c r="X811" s="110"/>
      <c r="Y811" s="106">
        <v>50</v>
      </c>
      <c r="Z811" s="106">
        <f t="shared" si="418"/>
        <v>0</v>
      </c>
      <c r="AA811" s="106" t="s">
        <v>1601</v>
      </c>
      <c r="AB811" s="111">
        <f t="shared" si="404"/>
        <v>4</v>
      </c>
      <c r="AC811" s="85" t="s">
        <v>2425</v>
      </c>
      <c r="AD811" s="107">
        <f>VLOOKUP(AC811,Cost,2,FALSE)*G811/5280</f>
        <v>4881.628787878788</v>
      </c>
      <c r="AE811" s="198"/>
      <c r="AF811" s="113">
        <f t="shared" si="421"/>
        <v>0</v>
      </c>
      <c r="AG811" s="85">
        <v>2026</v>
      </c>
      <c r="AH811" s="26" t="str">
        <f t="shared" si="410"/>
        <v/>
      </c>
      <c r="AI811" s="26" t="str">
        <f t="shared" si="425"/>
        <v/>
      </c>
      <c r="AJ811" s="26" t="str">
        <f t="shared" si="428"/>
        <v/>
      </c>
      <c r="AK811" s="26" t="str">
        <f t="shared" si="431"/>
        <v/>
      </c>
      <c r="AL811" s="26" t="str">
        <f t="shared" si="431"/>
        <v>Liquid Road</v>
      </c>
      <c r="AM811" s="26" t="str">
        <f t="shared" si="431"/>
        <v/>
      </c>
      <c r="AN811" s="26" t="str">
        <f t="shared" si="419"/>
        <v>Liquid Road</v>
      </c>
      <c r="AO811" s="26" t="str">
        <f t="shared" si="429"/>
        <v/>
      </c>
      <c r="AP811" s="26" t="str">
        <f t="shared" si="427"/>
        <v/>
      </c>
      <c r="AQ811" s="68">
        <f t="shared" si="423"/>
        <v>8</v>
      </c>
      <c r="AR811" s="68">
        <f t="shared" si="424"/>
        <v>10</v>
      </c>
      <c r="AS811" s="68">
        <f t="shared" si="411"/>
        <v>1.05</v>
      </c>
      <c r="AT811" s="68">
        <f t="shared" si="412"/>
        <v>1.1000000000000001</v>
      </c>
      <c r="AU811" s="68">
        <f t="shared" si="413"/>
        <v>1.1000000000000001</v>
      </c>
      <c r="AV811" s="68">
        <f t="shared" si="414"/>
        <v>1.1000000000000001</v>
      </c>
      <c r="AW811" s="68">
        <f t="shared" si="415"/>
        <v>1.1000000000000001</v>
      </c>
      <c r="AX811" s="68">
        <f t="shared" ca="1" si="420"/>
        <v>2.2000000000000002</v>
      </c>
      <c r="AY811" s="106">
        <v>2017</v>
      </c>
      <c r="AZ811" s="106" t="s">
        <v>2075</v>
      </c>
      <c r="BA811" s="106" t="str">
        <f t="shared" si="408"/>
        <v/>
      </c>
      <c r="BB811" s="177"/>
      <c r="BC811" s="177">
        <v>5</v>
      </c>
      <c r="BD811" s="177"/>
      <c r="BE811" s="177"/>
      <c r="BF811" s="177">
        <v>3</v>
      </c>
      <c r="BG811" s="177"/>
      <c r="BH811" s="177"/>
      <c r="BI811" s="33"/>
      <c r="BK811" s="48">
        <f>$G811/5280*VLOOKUP($AC811,'Cost and Score'!$B$27:$O$40,6,0)</f>
        <v>0.1952651515151515</v>
      </c>
      <c r="BL811" s="48">
        <f>$G811/5280*VLOOKUP($AC811,'Cost and Score'!$B$27:$O$40,7,0)</f>
        <v>3.124242424242424</v>
      </c>
      <c r="BM811" s="48">
        <f>$G811/5280*VLOOKUP($AC811,'Cost and Score'!$B$27:$O$40,8,0)</f>
        <v>0</v>
      </c>
      <c r="BN811" s="48">
        <f>$G811/5280*VLOOKUP($AC811,'Cost and Score'!$B$27:$O$40,9,0)</f>
        <v>0</v>
      </c>
      <c r="BO811" s="48">
        <f>$G811/5280*VLOOKUP($AC811,'Cost and Score'!$B$27:$O$40,10,0)</f>
        <v>0</v>
      </c>
      <c r="BP811" s="48">
        <f>$G811/5280*VLOOKUP($AC811,'Cost and Score'!$B$27:$O$40,11,0)</f>
        <v>0</v>
      </c>
      <c r="BQ811" s="48">
        <f>$G811/5280*VLOOKUP($AC811,'Cost and Score'!$B$27:$O$40,12,0)</f>
        <v>0</v>
      </c>
      <c r="BR811" s="48">
        <f>$G811/5280*VLOOKUP($AC811,'Cost and Score'!$B$27:$O$40,13,0)</f>
        <v>0</v>
      </c>
      <c r="BS811" s="48">
        <f>$G811/5280*VLOOKUP($AC811,'Cost and Score'!$B$27:$O$40,14,0)</f>
        <v>0</v>
      </c>
      <c r="BT811" s="220">
        <f t="shared" si="409"/>
        <v>0.1952651515151515</v>
      </c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V811" s="112"/>
    </row>
    <row r="812" spans="1:103" s="112" customFormat="1" ht="14.45" hidden="1" customHeight="1" x14ac:dyDescent="0.25">
      <c r="A812" s="31"/>
      <c r="B812" s="45" t="s">
        <v>1604</v>
      </c>
      <c r="C812" s="26" t="s">
        <v>1604</v>
      </c>
      <c r="D812" s="36" t="s">
        <v>2288</v>
      </c>
      <c r="E812" s="26" t="s">
        <v>1504</v>
      </c>
      <c r="F812" s="26" t="s">
        <v>1505</v>
      </c>
      <c r="G812" s="29">
        <v>475</v>
      </c>
      <c r="H812" s="29">
        <f t="shared" si="430"/>
        <v>26</v>
      </c>
      <c r="I812" s="26" t="s">
        <v>2098</v>
      </c>
      <c r="J812" s="26" t="s">
        <v>125</v>
      </c>
      <c r="K812" s="26">
        <f t="shared" si="426"/>
        <v>0</v>
      </c>
      <c r="L812" s="42">
        <v>7</v>
      </c>
      <c r="M812" s="42">
        <v>7</v>
      </c>
      <c r="N812" s="42">
        <v>7</v>
      </c>
      <c r="O812" s="42">
        <v>7</v>
      </c>
      <c r="P812" s="42">
        <v>7</v>
      </c>
      <c r="Q812" s="42">
        <v>8</v>
      </c>
      <c r="R812" s="42">
        <v>8</v>
      </c>
      <c r="S812" s="42">
        <v>7</v>
      </c>
      <c r="T812" s="42">
        <v>7</v>
      </c>
      <c r="U812" s="42">
        <v>7</v>
      </c>
      <c r="V812" s="42"/>
      <c r="W812" s="42"/>
      <c r="X812" s="42"/>
      <c r="Y812" s="26">
        <v>50</v>
      </c>
      <c r="Z812" s="26">
        <f t="shared" si="418"/>
        <v>0</v>
      </c>
      <c r="AA812" s="26" t="s">
        <v>1604</v>
      </c>
      <c r="AB812" s="111">
        <f t="shared" si="404"/>
        <v>3</v>
      </c>
      <c r="AC812" s="26" t="s">
        <v>2086</v>
      </c>
      <c r="AD812" s="47">
        <v>3842.2</v>
      </c>
      <c r="AE812" s="140"/>
      <c r="AF812" s="113">
        <f t="shared" si="421"/>
        <v>0</v>
      </c>
      <c r="AG812" s="26">
        <v>2024</v>
      </c>
      <c r="AH812" s="26" t="str">
        <f t="shared" si="410"/>
        <v/>
      </c>
      <c r="AI812" s="26" t="str">
        <f t="shared" si="425"/>
        <v/>
      </c>
      <c r="AJ812" s="26" t="str">
        <f t="shared" si="428"/>
        <v>Fog Seal</v>
      </c>
      <c r="AK812" s="26" t="str">
        <f t="shared" si="431"/>
        <v/>
      </c>
      <c r="AL812" s="26" t="str">
        <f t="shared" si="431"/>
        <v/>
      </c>
      <c r="AM812" s="26" t="str">
        <f t="shared" si="431"/>
        <v/>
      </c>
      <c r="AN812" s="26" t="str">
        <f t="shared" si="419"/>
        <v>Fog Seal</v>
      </c>
      <c r="AO812" s="26" t="str">
        <f t="shared" si="429"/>
        <v/>
      </c>
      <c r="AP812" s="26" t="str">
        <f t="shared" si="427"/>
        <v/>
      </c>
      <c r="AQ812" s="68">
        <f t="shared" si="423"/>
        <v>10</v>
      </c>
      <c r="AR812" s="68">
        <f t="shared" si="424"/>
        <v>2</v>
      </c>
      <c r="AS812" s="68">
        <f t="shared" si="411"/>
        <v>1.05</v>
      </c>
      <c r="AT812" s="68">
        <f t="shared" si="412"/>
        <v>1.05</v>
      </c>
      <c r="AU812" s="68">
        <f t="shared" si="413"/>
        <v>1.05</v>
      </c>
      <c r="AV812" s="68">
        <f t="shared" si="414"/>
        <v>1.05</v>
      </c>
      <c r="AW812" s="68">
        <f t="shared" si="415"/>
        <v>1.05</v>
      </c>
      <c r="AX812" s="68">
        <f t="shared" ca="1" si="420"/>
        <v>0</v>
      </c>
      <c r="AY812" s="68">
        <v>2018</v>
      </c>
      <c r="AZ812" s="68" t="s">
        <v>2371</v>
      </c>
      <c r="BA812" s="106" t="str">
        <f t="shared" si="408"/>
        <v>MICRO</v>
      </c>
      <c r="BB812" s="178"/>
      <c r="BC812" s="178"/>
      <c r="BD812" s="178"/>
      <c r="BE812" s="178"/>
      <c r="BF812" s="178"/>
      <c r="BG812" s="178"/>
      <c r="BH812" s="178"/>
      <c r="BI812" s="33"/>
      <c r="BJ812" s="2"/>
      <c r="BK812" s="48">
        <f>$G812/5280*VLOOKUP($AC812,'Cost and Score'!$B$27:$O$40,6,0)</f>
        <v>8.9962121212121219E-3</v>
      </c>
      <c r="BL812" s="48">
        <f>$G812/5280*VLOOKUP($AC812,'Cost and Score'!$B$27:$O$40,7,0)</f>
        <v>1.7992424242424244E-2</v>
      </c>
      <c r="BM812" s="48">
        <f>$G812/5280*VLOOKUP($AC812,'Cost and Score'!$B$27:$O$40,8,0)</f>
        <v>0</v>
      </c>
      <c r="BN812" s="48">
        <f>$G812/5280*VLOOKUP($AC812,'Cost and Score'!$B$27:$O$40,9,0)</f>
        <v>0</v>
      </c>
      <c r="BO812" s="48">
        <f>$G812/5280*VLOOKUP($AC812,'Cost and Score'!$B$27:$O$40,10,0)</f>
        <v>89.962121212121218</v>
      </c>
      <c r="BP812" s="48">
        <f>$G812/5280*VLOOKUP($AC812,'Cost and Score'!$B$27:$O$40,11,0)</f>
        <v>0</v>
      </c>
      <c r="BQ812" s="48">
        <f>$G812/5280*VLOOKUP($AC812,'Cost and Score'!$B$27:$O$40,12,0)</f>
        <v>0</v>
      </c>
      <c r="BR812" s="48">
        <f>$G812/5280*VLOOKUP($AC812,'Cost and Score'!$B$27:$O$40,13,0)</f>
        <v>0</v>
      </c>
      <c r="BS812" s="48">
        <f>$G812/5280*VLOOKUP($AC812,'Cost and Score'!$B$27:$O$40,14,0)</f>
        <v>0</v>
      </c>
      <c r="BT812" s="220">
        <f t="shared" si="409"/>
        <v>8.9962121212121215E-2</v>
      </c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</row>
    <row r="813" spans="1:103" s="2" customFormat="1" hidden="1" x14ac:dyDescent="0.25">
      <c r="A813" s="31" t="s">
        <v>2102</v>
      </c>
      <c r="B813" s="224" t="s">
        <v>1605</v>
      </c>
      <c r="C813" s="26" t="s">
        <v>1605</v>
      </c>
      <c r="D813" s="36" t="s">
        <v>2235</v>
      </c>
      <c r="E813" s="26" t="s">
        <v>1512</v>
      </c>
      <c r="F813" s="26" t="s">
        <v>1555</v>
      </c>
      <c r="G813" s="29">
        <v>1426</v>
      </c>
      <c r="H813" s="29">
        <f t="shared" si="430"/>
        <v>26</v>
      </c>
      <c r="I813" s="26" t="s">
        <v>2098</v>
      </c>
      <c r="J813" s="26" t="s">
        <v>160</v>
      </c>
      <c r="K813" s="26">
        <f t="shared" si="426"/>
        <v>0</v>
      </c>
      <c r="L813" s="42">
        <v>5</v>
      </c>
      <c r="M813" s="42">
        <v>5</v>
      </c>
      <c r="N813" s="42">
        <v>10</v>
      </c>
      <c r="O813" s="42">
        <v>9</v>
      </c>
      <c r="P813" s="42">
        <v>8</v>
      </c>
      <c r="Q813" s="42">
        <v>7</v>
      </c>
      <c r="R813" s="42">
        <v>7</v>
      </c>
      <c r="S813" s="42">
        <v>7</v>
      </c>
      <c r="T813" s="42">
        <v>7</v>
      </c>
      <c r="U813" s="42">
        <v>7</v>
      </c>
      <c r="V813" s="42"/>
      <c r="W813" s="42"/>
      <c r="X813" s="42"/>
      <c r="Y813" s="26">
        <v>431</v>
      </c>
      <c r="Z813" s="26">
        <f t="shared" si="418"/>
        <v>0</v>
      </c>
      <c r="AA813" s="26" t="s">
        <v>1605</v>
      </c>
      <c r="AB813" s="111">
        <f t="shared" si="404"/>
        <v>2</v>
      </c>
      <c r="AC813" s="85" t="s">
        <v>2425</v>
      </c>
      <c r="AD813" s="47">
        <f t="shared" ref="AD813:AD852" si="432">VLOOKUP(AC813,Cost,2,FALSE)*G813/5280</f>
        <v>6751.893939393939</v>
      </c>
      <c r="AE813" s="140"/>
      <c r="AF813" s="113">
        <f t="shared" si="421"/>
        <v>0</v>
      </c>
      <c r="AG813" s="85">
        <v>2026</v>
      </c>
      <c r="AH813" s="26" t="str">
        <f t="shared" si="410"/>
        <v/>
      </c>
      <c r="AI813" s="26" t="str">
        <f t="shared" si="425"/>
        <v/>
      </c>
      <c r="AJ813" s="26" t="str">
        <f t="shared" si="428"/>
        <v/>
      </c>
      <c r="AK813" s="26" t="str">
        <f t="shared" si="431"/>
        <v/>
      </c>
      <c r="AL813" s="26" t="str">
        <f t="shared" si="431"/>
        <v>Liquid Road</v>
      </c>
      <c r="AM813" s="26" t="str">
        <f t="shared" si="431"/>
        <v/>
      </c>
      <c r="AN813" s="26" t="str">
        <f t="shared" si="419"/>
        <v>Liquid Road</v>
      </c>
      <c r="AO813" s="26" t="str">
        <f t="shared" si="429"/>
        <v/>
      </c>
      <c r="AP813" s="26" t="str">
        <f t="shared" si="427"/>
        <v/>
      </c>
      <c r="AQ813" s="68">
        <f t="shared" si="423"/>
        <v>14</v>
      </c>
      <c r="AR813" s="68">
        <f t="shared" si="424"/>
        <v>10</v>
      </c>
      <c r="AS813" s="68">
        <f t="shared" si="411"/>
        <v>1.25</v>
      </c>
      <c r="AT813" s="68">
        <f t="shared" si="412"/>
        <v>1.25</v>
      </c>
      <c r="AU813" s="68">
        <f t="shared" si="413"/>
        <v>1</v>
      </c>
      <c r="AV813" s="68">
        <f t="shared" si="414"/>
        <v>1</v>
      </c>
      <c r="AW813" s="68">
        <f t="shared" si="415"/>
        <v>1</v>
      </c>
      <c r="AX813" s="68">
        <f t="shared" ca="1" si="420"/>
        <v>2</v>
      </c>
      <c r="AY813" s="68">
        <v>2016</v>
      </c>
      <c r="AZ813" s="68" t="s">
        <v>2371</v>
      </c>
      <c r="BA813" s="106" t="str">
        <f t="shared" si="408"/>
        <v/>
      </c>
      <c r="BB813" s="178"/>
      <c r="BC813" s="178"/>
      <c r="BD813" s="178">
        <v>1</v>
      </c>
      <c r="BE813" s="178"/>
      <c r="BF813" s="178"/>
      <c r="BG813" s="178"/>
      <c r="BH813" s="178"/>
      <c r="BI813" s="33"/>
      <c r="BK813" s="48">
        <f>$G813/5280*VLOOKUP($AC813,'Cost and Score'!$B$27:$O$40,6,0)</f>
        <v>0.27007575757575758</v>
      </c>
      <c r="BL813" s="48">
        <f>$G813/5280*VLOOKUP($AC813,'Cost and Score'!$B$27:$O$40,7,0)</f>
        <v>4.3212121212121213</v>
      </c>
      <c r="BM813" s="48">
        <f>$G813/5280*VLOOKUP($AC813,'Cost and Score'!$B$27:$O$40,8,0)</f>
        <v>0</v>
      </c>
      <c r="BN813" s="48">
        <f>$G813/5280*VLOOKUP($AC813,'Cost and Score'!$B$27:$O$40,9,0)</f>
        <v>0</v>
      </c>
      <c r="BO813" s="48">
        <f>$G813/5280*VLOOKUP($AC813,'Cost and Score'!$B$27:$O$40,10,0)</f>
        <v>0</v>
      </c>
      <c r="BP813" s="48">
        <f>$G813/5280*VLOOKUP($AC813,'Cost and Score'!$B$27:$O$40,11,0)</f>
        <v>0</v>
      </c>
      <c r="BQ813" s="48">
        <f>$G813/5280*VLOOKUP($AC813,'Cost and Score'!$B$27:$O$40,12,0)</f>
        <v>0</v>
      </c>
      <c r="BR813" s="48">
        <f>$G813/5280*VLOOKUP($AC813,'Cost and Score'!$B$27:$O$40,13,0)</f>
        <v>0</v>
      </c>
      <c r="BS813" s="48">
        <f>$G813/5280*VLOOKUP($AC813,'Cost and Score'!$B$27:$O$40,14,0)</f>
        <v>0</v>
      </c>
      <c r="BT813" s="220">
        <f t="shared" si="409"/>
        <v>0.27007575757575758</v>
      </c>
      <c r="CF813" s="112"/>
      <c r="CN813" s="112"/>
      <c r="CO813" s="112"/>
      <c r="CP813" s="112"/>
      <c r="CQ813" s="112"/>
      <c r="CS813" s="112"/>
      <c r="CT813" s="112"/>
      <c r="CU813" s="112"/>
      <c r="CV813" s="112"/>
    </row>
    <row r="814" spans="1:103" s="2" customFormat="1" hidden="1" x14ac:dyDescent="0.25">
      <c r="A814" s="31" t="s">
        <v>2102</v>
      </c>
      <c r="B814" s="226" t="s">
        <v>1606</v>
      </c>
      <c r="C814" s="106" t="s">
        <v>1606</v>
      </c>
      <c r="D814" s="116" t="s">
        <v>2253</v>
      </c>
      <c r="E814" s="106" t="s">
        <v>1607</v>
      </c>
      <c r="F814" s="106" t="s">
        <v>1608</v>
      </c>
      <c r="G814" s="109">
        <v>2534</v>
      </c>
      <c r="H814" s="109">
        <f t="shared" si="430"/>
        <v>26</v>
      </c>
      <c r="I814" s="106" t="s">
        <v>2098</v>
      </c>
      <c r="J814" s="106" t="s">
        <v>125</v>
      </c>
      <c r="K814" s="106">
        <f t="shared" si="426"/>
        <v>0</v>
      </c>
      <c r="L814" s="110">
        <v>6</v>
      </c>
      <c r="M814" s="110">
        <v>6</v>
      </c>
      <c r="N814" s="110">
        <v>6</v>
      </c>
      <c r="O814" s="110">
        <v>6</v>
      </c>
      <c r="P814" s="110">
        <v>9</v>
      </c>
      <c r="Q814" s="110">
        <v>9</v>
      </c>
      <c r="R814" s="110">
        <v>8</v>
      </c>
      <c r="S814" s="110">
        <v>8</v>
      </c>
      <c r="T814" s="110">
        <v>8</v>
      </c>
      <c r="U814" s="110">
        <v>8</v>
      </c>
      <c r="V814" s="110"/>
      <c r="W814" s="110"/>
      <c r="X814" s="110"/>
      <c r="Y814" s="106">
        <v>50</v>
      </c>
      <c r="Z814" s="106">
        <f t="shared" si="418"/>
        <v>0</v>
      </c>
      <c r="AA814" s="106" t="s">
        <v>1606</v>
      </c>
      <c r="AB814" s="111">
        <f t="shared" si="404"/>
        <v>1</v>
      </c>
      <c r="AC814" s="85" t="s">
        <v>2425</v>
      </c>
      <c r="AD814" s="107">
        <f t="shared" si="432"/>
        <v>11998.10606060606</v>
      </c>
      <c r="AE814" s="198"/>
      <c r="AF814" s="113">
        <f t="shared" si="421"/>
        <v>0</v>
      </c>
      <c r="AG814" s="85">
        <v>2026</v>
      </c>
      <c r="AH814" s="26" t="str">
        <f t="shared" si="410"/>
        <v/>
      </c>
      <c r="AI814" s="26" t="str">
        <f t="shared" si="425"/>
        <v/>
      </c>
      <c r="AJ814" s="26" t="str">
        <f t="shared" si="428"/>
        <v/>
      </c>
      <c r="AK814" s="26" t="str">
        <f t="shared" si="431"/>
        <v/>
      </c>
      <c r="AL814" s="26" t="str">
        <f t="shared" si="431"/>
        <v>Liquid Road</v>
      </c>
      <c r="AM814" s="26" t="str">
        <f t="shared" si="431"/>
        <v/>
      </c>
      <c r="AN814" s="26" t="str">
        <f t="shared" si="419"/>
        <v>Liquid Road</v>
      </c>
      <c r="AO814" s="26" t="str">
        <f t="shared" si="429"/>
        <v/>
      </c>
      <c r="AP814" s="26" t="str">
        <f t="shared" si="427"/>
        <v/>
      </c>
      <c r="AQ814" s="68">
        <f t="shared" si="423"/>
        <v>8</v>
      </c>
      <c r="AR814" s="68">
        <f t="shared" si="424"/>
        <v>10</v>
      </c>
      <c r="AS814" s="68">
        <f t="shared" si="411"/>
        <v>1.1000000000000001</v>
      </c>
      <c r="AT814" s="68">
        <f t="shared" si="412"/>
        <v>1.1000000000000001</v>
      </c>
      <c r="AU814" s="68">
        <f t="shared" si="413"/>
        <v>1.1000000000000001</v>
      </c>
      <c r="AV814" s="68">
        <f t="shared" si="414"/>
        <v>1.1000000000000001</v>
      </c>
      <c r="AW814" s="68">
        <f t="shared" si="415"/>
        <v>1</v>
      </c>
      <c r="AX814" s="68">
        <f t="shared" ca="1" si="420"/>
        <v>2.2000000000000002</v>
      </c>
      <c r="AY814" s="106">
        <v>2017</v>
      </c>
      <c r="AZ814" s="106" t="s">
        <v>751</v>
      </c>
      <c r="BA814" s="106" t="str">
        <f t="shared" si="408"/>
        <v/>
      </c>
      <c r="BB814" s="177"/>
      <c r="BC814" s="177"/>
      <c r="BD814" s="177"/>
      <c r="BE814" s="177"/>
      <c r="BF814" s="177">
        <v>3</v>
      </c>
      <c r="BG814" s="177"/>
      <c r="BH814" s="177"/>
      <c r="BI814" s="33"/>
      <c r="BK814" s="48">
        <f>$G814/5280*VLOOKUP($AC814,'Cost and Score'!$B$27:$O$40,6,0)</f>
        <v>0.47992424242424242</v>
      </c>
      <c r="BL814" s="48">
        <f>$G814/5280*VLOOKUP($AC814,'Cost and Score'!$B$27:$O$40,7,0)</f>
        <v>7.6787878787878787</v>
      </c>
      <c r="BM814" s="48">
        <f>$G814/5280*VLOOKUP($AC814,'Cost and Score'!$B$27:$O$40,8,0)</f>
        <v>0</v>
      </c>
      <c r="BN814" s="48">
        <f>$G814/5280*VLOOKUP($AC814,'Cost and Score'!$B$27:$O$40,9,0)</f>
        <v>0</v>
      </c>
      <c r="BO814" s="48">
        <f>$G814/5280*VLOOKUP($AC814,'Cost and Score'!$B$27:$O$40,10,0)</f>
        <v>0</v>
      </c>
      <c r="BP814" s="48">
        <f>$G814/5280*VLOOKUP($AC814,'Cost and Score'!$B$27:$O$40,11,0)</f>
        <v>0</v>
      </c>
      <c r="BQ814" s="48">
        <f>$G814/5280*VLOOKUP($AC814,'Cost and Score'!$B$27:$O$40,12,0)</f>
        <v>0</v>
      </c>
      <c r="BR814" s="48">
        <f>$G814/5280*VLOOKUP($AC814,'Cost and Score'!$B$27:$O$40,13,0)</f>
        <v>0</v>
      </c>
      <c r="BS814" s="48">
        <f>$G814/5280*VLOOKUP($AC814,'Cost and Score'!$B$27:$O$40,14,0)</f>
        <v>0</v>
      </c>
      <c r="BT814" s="220">
        <f t="shared" si="409"/>
        <v>0.47992424242424242</v>
      </c>
      <c r="CG814" s="112"/>
      <c r="CH814" s="112"/>
      <c r="CI814" s="112"/>
      <c r="CJ814" s="112"/>
      <c r="CK814" s="112"/>
      <c r="CL814" s="112"/>
      <c r="CM814" s="112"/>
    </row>
    <row r="815" spans="1:103" s="112" customFormat="1" x14ac:dyDescent="0.25">
      <c r="A815" s="31" t="s">
        <v>2102</v>
      </c>
      <c r="B815" s="45" t="s">
        <v>1731</v>
      </c>
      <c r="C815" s="26" t="s">
        <v>1731</v>
      </c>
      <c r="D815" s="119" t="s">
        <v>2285</v>
      </c>
      <c r="E815" s="82" t="s">
        <v>1462</v>
      </c>
      <c r="F815" s="82" t="s">
        <v>1451</v>
      </c>
      <c r="G815" s="149">
        <v>539</v>
      </c>
      <c r="H815" s="29">
        <f t="shared" si="430"/>
        <v>26</v>
      </c>
      <c r="I815" s="26" t="s">
        <v>2098</v>
      </c>
      <c r="J815" s="26" t="s">
        <v>125</v>
      </c>
      <c r="K815" s="26">
        <f t="shared" si="426"/>
        <v>0</v>
      </c>
      <c r="L815" s="42">
        <v>7</v>
      </c>
      <c r="M815" s="42">
        <v>8</v>
      </c>
      <c r="N815" s="42">
        <v>8</v>
      </c>
      <c r="O815" s="83">
        <v>8</v>
      </c>
      <c r="P815" s="83">
        <v>8</v>
      </c>
      <c r="Q815" s="83">
        <v>8</v>
      </c>
      <c r="R815" s="83"/>
      <c r="S815" s="83">
        <v>8</v>
      </c>
      <c r="T815" s="83">
        <v>8</v>
      </c>
      <c r="U815" s="83">
        <v>8</v>
      </c>
      <c r="V815" s="42"/>
      <c r="W815" s="42"/>
      <c r="X815" s="42"/>
      <c r="Y815" s="26">
        <v>50</v>
      </c>
      <c r="Z815" s="26">
        <f t="shared" si="418"/>
        <v>0</v>
      </c>
      <c r="AA815" s="82" t="s">
        <v>1732</v>
      </c>
      <c r="AB815" s="111">
        <f t="shared" si="404"/>
        <v>2</v>
      </c>
      <c r="AC815" s="85" t="s">
        <v>2425</v>
      </c>
      <c r="AD815" s="84">
        <f t="shared" si="432"/>
        <v>2552.0833333333335</v>
      </c>
      <c r="AE815" s="140"/>
      <c r="AF815" s="113">
        <f t="shared" si="421"/>
        <v>0</v>
      </c>
      <c r="AG815" s="106">
        <v>2025</v>
      </c>
      <c r="AH815" s="26" t="str">
        <f t="shared" si="410"/>
        <v/>
      </c>
      <c r="AI815" s="26" t="str">
        <f t="shared" si="425"/>
        <v/>
      </c>
      <c r="AJ815" s="26" t="str">
        <f t="shared" si="428"/>
        <v/>
      </c>
      <c r="AK815" s="26" t="str">
        <f t="shared" si="431"/>
        <v>Liquid Road</v>
      </c>
      <c r="AL815" s="26" t="str">
        <f t="shared" si="431"/>
        <v/>
      </c>
      <c r="AM815" s="26" t="str">
        <f t="shared" si="431"/>
        <v/>
      </c>
      <c r="AN815" s="26" t="str">
        <f t="shared" si="419"/>
        <v>Liquid Road</v>
      </c>
      <c r="AO815" s="26" t="str">
        <f t="shared" si="429"/>
        <v/>
      </c>
      <c r="AP815" s="26" t="str">
        <f t="shared" si="427"/>
        <v/>
      </c>
      <c r="AQ815" s="68">
        <f t="shared" si="423"/>
        <v>12</v>
      </c>
      <c r="AR815" s="68">
        <f t="shared" si="424"/>
        <v>10</v>
      </c>
      <c r="AS815" s="68">
        <f t="shared" si="411"/>
        <v>1.05</v>
      </c>
      <c r="AT815" s="68">
        <f t="shared" si="412"/>
        <v>1</v>
      </c>
      <c r="AU815" s="68">
        <f t="shared" si="413"/>
        <v>1</v>
      </c>
      <c r="AV815" s="68">
        <f t="shared" si="414"/>
        <v>1</v>
      </c>
      <c r="AW815" s="68">
        <f t="shared" si="415"/>
        <v>1</v>
      </c>
      <c r="AX815" s="68">
        <f t="shared" ca="1" si="420"/>
        <v>1</v>
      </c>
      <c r="AY815" s="68">
        <v>2019</v>
      </c>
      <c r="AZ815" s="85" t="s">
        <v>2075</v>
      </c>
      <c r="BA815" s="106" t="str">
        <f t="shared" si="408"/>
        <v/>
      </c>
      <c r="BB815" s="203"/>
      <c r="BC815" s="178"/>
      <c r="BD815" s="178"/>
      <c r="BE815" s="178"/>
      <c r="BF815" s="178"/>
      <c r="BG815" s="178"/>
      <c r="BH815" s="178"/>
      <c r="BI815" s="33"/>
      <c r="BJ815" s="2"/>
      <c r="BK815" s="48">
        <f>$G815/5280*VLOOKUP($AC815,'Cost and Score'!$B$27:$O$40,6,0)</f>
        <v>0.10208333333333333</v>
      </c>
      <c r="BL815" s="48">
        <f>$G815/5280*VLOOKUP($AC815,'Cost and Score'!$B$27:$O$40,7,0)</f>
        <v>1.6333333333333333</v>
      </c>
      <c r="BM815" s="48">
        <f>$G815/5280*VLOOKUP($AC815,'Cost and Score'!$B$27:$O$40,8,0)</f>
        <v>0</v>
      </c>
      <c r="BN815" s="48">
        <f>$G815/5280*VLOOKUP($AC815,'Cost and Score'!$B$27:$O$40,9,0)</f>
        <v>0</v>
      </c>
      <c r="BO815" s="48">
        <f>$G815/5280*VLOOKUP($AC815,'Cost and Score'!$B$27:$O$40,10,0)</f>
        <v>0</v>
      </c>
      <c r="BP815" s="48">
        <f>$G815/5280*VLOOKUP($AC815,'Cost and Score'!$B$27:$O$40,11,0)</f>
        <v>0</v>
      </c>
      <c r="BQ815" s="48">
        <f>$G815/5280*VLOOKUP($AC815,'Cost and Score'!$B$27:$O$40,12,0)</f>
        <v>0</v>
      </c>
      <c r="BR815" s="48">
        <f>$G815/5280*VLOOKUP($AC815,'Cost and Score'!$B$27:$O$40,13,0)</f>
        <v>0</v>
      </c>
      <c r="BS815" s="48">
        <f>$G815/5280*VLOOKUP($AC815,'Cost and Score'!$B$27:$O$40,14,0)</f>
        <v>0</v>
      </c>
      <c r="BT815" s="220">
        <f t="shared" si="409"/>
        <v>0.10208333333333333</v>
      </c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</row>
    <row r="816" spans="1:103" s="2" customFormat="1" ht="14.45" hidden="1" customHeight="1" x14ac:dyDescent="0.25">
      <c r="A816" s="31" t="s">
        <v>2102</v>
      </c>
      <c r="B816" s="224" t="s">
        <v>1610</v>
      </c>
      <c r="C816" s="26" t="s">
        <v>1610</v>
      </c>
      <c r="D816" s="119" t="s">
        <v>2288</v>
      </c>
      <c r="E816" s="82" t="s">
        <v>1504</v>
      </c>
      <c r="F816" s="82" t="s">
        <v>1505</v>
      </c>
      <c r="G816" s="29">
        <v>317</v>
      </c>
      <c r="H816" s="29">
        <f t="shared" si="430"/>
        <v>26</v>
      </c>
      <c r="I816" s="26" t="s">
        <v>2098</v>
      </c>
      <c r="J816" s="26" t="s">
        <v>125</v>
      </c>
      <c r="K816" s="26">
        <f t="shared" si="426"/>
        <v>0</v>
      </c>
      <c r="L816" s="42">
        <v>7</v>
      </c>
      <c r="M816" s="42">
        <v>7</v>
      </c>
      <c r="N816" s="42">
        <v>7</v>
      </c>
      <c r="O816" s="83">
        <v>7</v>
      </c>
      <c r="P816" s="83">
        <v>7</v>
      </c>
      <c r="Q816" s="83">
        <v>8</v>
      </c>
      <c r="R816" s="83">
        <v>8</v>
      </c>
      <c r="S816" s="83">
        <v>7</v>
      </c>
      <c r="T816" s="83">
        <v>7</v>
      </c>
      <c r="U816" s="83">
        <v>7</v>
      </c>
      <c r="V816" s="42"/>
      <c r="W816" s="42"/>
      <c r="X816" s="42"/>
      <c r="Y816" s="26">
        <v>50</v>
      </c>
      <c r="Z816" s="26">
        <f t="shared" si="418"/>
        <v>0</v>
      </c>
      <c r="AA816" s="82" t="s">
        <v>1610</v>
      </c>
      <c r="AB816" s="111">
        <f t="shared" si="404"/>
        <v>3</v>
      </c>
      <c r="AC816" s="85" t="s">
        <v>2425</v>
      </c>
      <c r="AD816" s="84">
        <f t="shared" si="432"/>
        <v>1500.9469696969697</v>
      </c>
      <c r="AE816" s="140"/>
      <c r="AF816" s="113">
        <f t="shared" si="421"/>
        <v>0</v>
      </c>
      <c r="AG816" s="85">
        <v>2026</v>
      </c>
      <c r="AH816" s="26" t="str">
        <f t="shared" si="410"/>
        <v/>
      </c>
      <c r="AI816" s="26" t="str">
        <f t="shared" si="425"/>
        <v/>
      </c>
      <c r="AJ816" s="26" t="str">
        <f t="shared" si="428"/>
        <v/>
      </c>
      <c r="AK816" s="26" t="str">
        <f t="shared" si="431"/>
        <v/>
      </c>
      <c r="AL816" s="26" t="str">
        <f t="shared" si="431"/>
        <v>Liquid Road</v>
      </c>
      <c r="AM816" s="26" t="str">
        <f t="shared" si="431"/>
        <v/>
      </c>
      <c r="AN816" s="26" t="str">
        <f t="shared" si="419"/>
        <v>Liquid Road</v>
      </c>
      <c r="AO816" s="26" t="str">
        <f t="shared" si="429"/>
        <v/>
      </c>
      <c r="AP816" s="26" t="str">
        <f t="shared" si="427"/>
        <v/>
      </c>
      <c r="AQ816" s="68">
        <f t="shared" si="423"/>
        <v>10</v>
      </c>
      <c r="AR816" s="68">
        <f t="shared" si="424"/>
        <v>10</v>
      </c>
      <c r="AS816" s="68">
        <f t="shared" si="411"/>
        <v>1.05</v>
      </c>
      <c r="AT816" s="68">
        <f t="shared" si="412"/>
        <v>1.05</v>
      </c>
      <c r="AU816" s="68">
        <f t="shared" si="413"/>
        <v>1.05</v>
      </c>
      <c r="AV816" s="68">
        <f t="shared" si="414"/>
        <v>1.05</v>
      </c>
      <c r="AW816" s="68">
        <f t="shared" si="415"/>
        <v>1.05</v>
      </c>
      <c r="AX816" s="68">
        <f t="shared" ca="1" si="420"/>
        <v>2.1</v>
      </c>
      <c r="AY816" s="68">
        <v>2016</v>
      </c>
      <c r="AZ816" s="68" t="s">
        <v>2075</v>
      </c>
      <c r="BA816" s="106" t="str">
        <f t="shared" si="408"/>
        <v/>
      </c>
      <c r="BB816" s="178"/>
      <c r="BC816" s="178"/>
      <c r="BD816" s="178"/>
      <c r="BE816" s="178"/>
      <c r="BF816" s="178"/>
      <c r="BG816" s="178">
        <v>4</v>
      </c>
      <c r="BH816" s="178"/>
      <c r="BI816" s="33"/>
      <c r="BK816" s="48">
        <f>$G816/5280*VLOOKUP($AC816,'Cost and Score'!$B$27:$O$40,6,0)</f>
        <v>6.0037878787878786E-2</v>
      </c>
      <c r="BL816" s="48">
        <f>$G816/5280*VLOOKUP($AC816,'Cost and Score'!$B$27:$O$40,7,0)</f>
        <v>0.96060606060606057</v>
      </c>
      <c r="BM816" s="48">
        <f>$G816/5280*VLOOKUP($AC816,'Cost and Score'!$B$27:$O$40,8,0)</f>
        <v>0</v>
      </c>
      <c r="BN816" s="48">
        <f>$G816/5280*VLOOKUP($AC816,'Cost and Score'!$B$27:$O$40,9,0)</f>
        <v>0</v>
      </c>
      <c r="BO816" s="48">
        <f>$G816/5280*VLOOKUP($AC816,'Cost and Score'!$B$27:$O$40,10,0)</f>
        <v>0</v>
      </c>
      <c r="BP816" s="48">
        <f>$G816/5280*VLOOKUP($AC816,'Cost and Score'!$B$27:$O$40,11,0)</f>
        <v>0</v>
      </c>
      <c r="BQ816" s="48">
        <f>$G816/5280*VLOOKUP($AC816,'Cost and Score'!$B$27:$O$40,12,0)</f>
        <v>0</v>
      </c>
      <c r="BR816" s="48">
        <f>$G816/5280*VLOOKUP($AC816,'Cost and Score'!$B$27:$O$40,13,0)</f>
        <v>0</v>
      </c>
      <c r="BS816" s="48">
        <f>$G816/5280*VLOOKUP($AC816,'Cost and Score'!$B$27:$O$40,14,0)</f>
        <v>0</v>
      </c>
      <c r="BT816" s="220">
        <f t="shared" si="409"/>
        <v>6.0037878787878786E-2</v>
      </c>
      <c r="CN816" s="112"/>
      <c r="CO816" s="112"/>
      <c r="CP816" s="112"/>
      <c r="CQ816" s="112"/>
      <c r="CV816" s="112"/>
      <c r="CW816" s="112"/>
      <c r="CX816" s="112"/>
      <c r="CY816" s="112"/>
    </row>
    <row r="817" spans="1:103" s="2" customFormat="1" ht="14.45" hidden="1" customHeight="1" x14ac:dyDescent="0.25">
      <c r="A817" s="31" t="s">
        <v>2102</v>
      </c>
      <c r="B817" s="224" t="s">
        <v>1611</v>
      </c>
      <c r="C817" s="85" t="s">
        <v>1611</v>
      </c>
      <c r="D817" s="86" t="s">
        <v>2288</v>
      </c>
      <c r="E817" s="85" t="s">
        <v>1504</v>
      </c>
      <c r="F817" s="85" t="s">
        <v>1505</v>
      </c>
      <c r="G817" s="29">
        <v>528</v>
      </c>
      <c r="H817" s="29">
        <f t="shared" si="430"/>
        <v>26</v>
      </c>
      <c r="I817" s="85" t="s">
        <v>2098</v>
      </c>
      <c r="J817" s="85" t="s">
        <v>125</v>
      </c>
      <c r="K817" s="85">
        <f t="shared" si="426"/>
        <v>0</v>
      </c>
      <c r="L817" s="74">
        <v>7</v>
      </c>
      <c r="M817" s="74">
        <v>7</v>
      </c>
      <c r="N817" s="74">
        <v>7</v>
      </c>
      <c r="O817" s="74">
        <v>7</v>
      </c>
      <c r="P817" s="74">
        <v>7</v>
      </c>
      <c r="Q817" s="74">
        <v>8</v>
      </c>
      <c r="R817" s="74">
        <v>8</v>
      </c>
      <c r="S817" s="74">
        <v>7</v>
      </c>
      <c r="T817" s="74">
        <v>7</v>
      </c>
      <c r="U817" s="74">
        <v>7</v>
      </c>
      <c r="V817" s="74"/>
      <c r="W817" s="74"/>
      <c r="X817" s="74"/>
      <c r="Y817" s="85">
        <v>50</v>
      </c>
      <c r="Z817" s="85">
        <f t="shared" si="418"/>
        <v>0</v>
      </c>
      <c r="AA817" s="85" t="s">
        <v>1611</v>
      </c>
      <c r="AB817" s="111">
        <f t="shared" si="404"/>
        <v>3</v>
      </c>
      <c r="AC817" s="85" t="s">
        <v>2425</v>
      </c>
      <c r="AD817" s="47">
        <f t="shared" si="432"/>
        <v>2500</v>
      </c>
      <c r="AE817" s="140"/>
      <c r="AF817" s="113">
        <f t="shared" si="421"/>
        <v>0</v>
      </c>
      <c r="AG817" s="85">
        <v>2026</v>
      </c>
      <c r="AH817" s="26" t="str">
        <f t="shared" si="410"/>
        <v/>
      </c>
      <c r="AI817" s="26" t="str">
        <f t="shared" si="425"/>
        <v/>
      </c>
      <c r="AJ817" s="26" t="str">
        <f t="shared" si="428"/>
        <v/>
      </c>
      <c r="AK817" s="26" t="str">
        <f t="shared" si="431"/>
        <v/>
      </c>
      <c r="AL817" s="26" t="str">
        <f t="shared" si="431"/>
        <v>Liquid Road</v>
      </c>
      <c r="AM817" s="26" t="str">
        <f t="shared" si="431"/>
        <v/>
      </c>
      <c r="AN817" s="26" t="str">
        <f t="shared" si="419"/>
        <v>Liquid Road</v>
      </c>
      <c r="AO817" s="26" t="str">
        <f t="shared" si="429"/>
        <v/>
      </c>
      <c r="AP817" s="26" t="str">
        <f t="shared" si="427"/>
        <v/>
      </c>
      <c r="AQ817" s="68">
        <f t="shared" si="423"/>
        <v>10</v>
      </c>
      <c r="AR817" s="68">
        <f t="shared" si="424"/>
        <v>10</v>
      </c>
      <c r="AS817" s="68">
        <f t="shared" si="411"/>
        <v>1.05</v>
      </c>
      <c r="AT817" s="68">
        <f t="shared" si="412"/>
        <v>1.05</v>
      </c>
      <c r="AU817" s="68">
        <f t="shared" si="413"/>
        <v>1.05</v>
      </c>
      <c r="AV817" s="68">
        <f t="shared" si="414"/>
        <v>1.05</v>
      </c>
      <c r="AW817" s="68">
        <f t="shared" si="415"/>
        <v>1.05</v>
      </c>
      <c r="AX817" s="68">
        <f t="shared" ca="1" si="420"/>
        <v>2.1</v>
      </c>
      <c r="AY817" s="68">
        <v>2020</v>
      </c>
      <c r="AZ817" s="68" t="s">
        <v>2075</v>
      </c>
      <c r="BA817" s="106" t="str">
        <f t="shared" si="408"/>
        <v/>
      </c>
      <c r="BB817" s="178"/>
      <c r="BC817" s="178"/>
      <c r="BD817" s="178"/>
      <c r="BE817" s="178"/>
      <c r="BF817" s="178"/>
      <c r="BG817" s="178"/>
      <c r="BH817" s="178"/>
      <c r="BI817" s="33"/>
      <c r="BK817" s="48">
        <f>$G817/5280*VLOOKUP($AC817,'Cost and Score'!$B$27:$O$40,6,0)</f>
        <v>0.1</v>
      </c>
      <c r="BL817" s="48">
        <f>$G817/5280*VLOOKUP($AC817,'Cost and Score'!$B$27:$O$40,7,0)</f>
        <v>1.6</v>
      </c>
      <c r="BM817" s="48">
        <f>$G817/5280*VLOOKUP($AC817,'Cost and Score'!$B$27:$O$40,8,0)</f>
        <v>0</v>
      </c>
      <c r="BN817" s="48">
        <f>$G817/5280*VLOOKUP($AC817,'Cost and Score'!$B$27:$O$40,9,0)</f>
        <v>0</v>
      </c>
      <c r="BO817" s="48">
        <f>$G817/5280*VLOOKUP($AC817,'Cost and Score'!$B$27:$O$40,10,0)</f>
        <v>0</v>
      </c>
      <c r="BP817" s="48">
        <f>$G817/5280*VLOOKUP($AC817,'Cost and Score'!$B$27:$O$40,11,0)</f>
        <v>0</v>
      </c>
      <c r="BQ817" s="48">
        <f>$G817/5280*VLOOKUP($AC817,'Cost and Score'!$B$27:$O$40,12,0)</f>
        <v>0</v>
      </c>
      <c r="BR817" s="48">
        <f>$G817/5280*VLOOKUP($AC817,'Cost and Score'!$B$27:$O$40,13,0)</f>
        <v>0</v>
      </c>
      <c r="BS817" s="48">
        <f>$G817/5280*VLOOKUP($AC817,'Cost and Score'!$B$27:$O$40,14,0)</f>
        <v>0</v>
      </c>
      <c r="BT817" s="220">
        <f t="shared" si="409"/>
        <v>0.1</v>
      </c>
      <c r="CW817" s="112"/>
      <c r="CX817" s="112"/>
      <c r="CY817" s="112"/>
    </row>
    <row r="818" spans="1:103" s="2" customFormat="1" ht="14.45" customHeight="1" x14ac:dyDescent="0.25">
      <c r="A818" s="31" t="s">
        <v>2102</v>
      </c>
      <c r="B818" s="45" t="s">
        <v>1735</v>
      </c>
      <c r="C818" s="26" t="s">
        <v>1735</v>
      </c>
      <c r="D818" s="119" t="s">
        <v>2285</v>
      </c>
      <c r="E818" s="82" t="s">
        <v>1462</v>
      </c>
      <c r="F818" s="82" t="s">
        <v>1451</v>
      </c>
      <c r="G818" s="149">
        <v>416</v>
      </c>
      <c r="H818" s="29">
        <f t="shared" si="430"/>
        <v>26</v>
      </c>
      <c r="I818" s="26" t="s">
        <v>2098</v>
      </c>
      <c r="J818" s="26" t="s">
        <v>125</v>
      </c>
      <c r="K818" s="26">
        <f t="shared" si="426"/>
        <v>0</v>
      </c>
      <c r="L818" s="42">
        <v>7</v>
      </c>
      <c r="M818" s="42">
        <v>8</v>
      </c>
      <c r="N818" s="42">
        <v>8</v>
      </c>
      <c r="O818" s="83">
        <v>8</v>
      </c>
      <c r="P818" s="83">
        <v>8</v>
      </c>
      <c r="Q818" s="83">
        <v>8</v>
      </c>
      <c r="R818" s="83">
        <v>8</v>
      </c>
      <c r="S818" s="83">
        <v>8</v>
      </c>
      <c r="T818" s="83">
        <v>8</v>
      </c>
      <c r="U818" s="83">
        <v>8</v>
      </c>
      <c r="V818" s="42"/>
      <c r="W818" s="42"/>
      <c r="X818" s="42"/>
      <c r="Y818" s="26">
        <v>50</v>
      </c>
      <c r="Z818" s="26">
        <f t="shared" si="418"/>
        <v>0</v>
      </c>
      <c r="AA818" s="82" t="s">
        <v>1735</v>
      </c>
      <c r="AB818" s="111">
        <f t="shared" si="404"/>
        <v>2</v>
      </c>
      <c r="AC818" s="85" t="s">
        <v>2425</v>
      </c>
      <c r="AD818" s="84">
        <f t="shared" si="432"/>
        <v>1969.6969696969697</v>
      </c>
      <c r="AE818" s="140"/>
      <c r="AF818" s="113">
        <f t="shared" si="421"/>
        <v>0</v>
      </c>
      <c r="AG818" s="106">
        <v>2025</v>
      </c>
      <c r="AH818" s="26" t="str">
        <f t="shared" si="410"/>
        <v/>
      </c>
      <c r="AI818" s="26" t="str">
        <f t="shared" si="425"/>
        <v/>
      </c>
      <c r="AJ818" s="26" t="str">
        <f t="shared" si="428"/>
        <v/>
      </c>
      <c r="AK818" s="26" t="str">
        <f t="shared" si="431"/>
        <v>Liquid Road</v>
      </c>
      <c r="AL818" s="26" t="str">
        <f t="shared" si="431"/>
        <v/>
      </c>
      <c r="AM818" s="26" t="str">
        <f t="shared" si="431"/>
        <v/>
      </c>
      <c r="AN818" s="26" t="str">
        <f t="shared" si="419"/>
        <v>Liquid Road</v>
      </c>
      <c r="AO818" s="26" t="str">
        <f t="shared" si="429"/>
        <v/>
      </c>
      <c r="AP818" s="26" t="str">
        <f t="shared" si="427"/>
        <v/>
      </c>
      <c r="AQ818" s="68">
        <f t="shared" si="423"/>
        <v>12</v>
      </c>
      <c r="AR818" s="68">
        <f t="shared" si="424"/>
        <v>10</v>
      </c>
      <c r="AS818" s="68">
        <f t="shared" si="411"/>
        <v>1.05</v>
      </c>
      <c r="AT818" s="68">
        <f t="shared" si="412"/>
        <v>1</v>
      </c>
      <c r="AU818" s="68">
        <f t="shared" si="413"/>
        <v>1</v>
      </c>
      <c r="AV818" s="68">
        <f t="shared" si="414"/>
        <v>1</v>
      </c>
      <c r="AW818" s="68">
        <f t="shared" si="415"/>
        <v>1</v>
      </c>
      <c r="AX818" s="68">
        <f t="shared" ca="1" si="420"/>
        <v>1</v>
      </c>
      <c r="AY818" s="68">
        <v>2019</v>
      </c>
      <c r="AZ818" s="85" t="s">
        <v>2075</v>
      </c>
      <c r="BA818" s="106" t="str">
        <f t="shared" si="408"/>
        <v/>
      </c>
      <c r="BB818" s="203"/>
      <c r="BC818" s="178"/>
      <c r="BD818" s="178"/>
      <c r="BE818" s="178"/>
      <c r="BF818" s="178"/>
      <c r="BG818" s="178"/>
      <c r="BH818" s="178"/>
      <c r="BI818" s="33"/>
      <c r="BK818" s="48">
        <f>$G818/5280*VLOOKUP($AC818,'Cost and Score'!$B$27:$O$40,6,0)</f>
        <v>7.8787878787878782E-2</v>
      </c>
      <c r="BL818" s="48">
        <f>$G818/5280*VLOOKUP($AC818,'Cost and Score'!$B$27:$O$40,7,0)</f>
        <v>1.2606060606060605</v>
      </c>
      <c r="BM818" s="48">
        <f>$G818/5280*VLOOKUP($AC818,'Cost and Score'!$B$27:$O$40,8,0)</f>
        <v>0</v>
      </c>
      <c r="BN818" s="48">
        <f>$G818/5280*VLOOKUP($AC818,'Cost and Score'!$B$27:$O$40,9,0)</f>
        <v>0</v>
      </c>
      <c r="BO818" s="48">
        <f>$G818/5280*VLOOKUP($AC818,'Cost and Score'!$B$27:$O$40,10,0)</f>
        <v>0</v>
      </c>
      <c r="BP818" s="48">
        <f>$G818/5280*VLOOKUP($AC818,'Cost and Score'!$B$27:$O$40,11,0)</f>
        <v>0</v>
      </c>
      <c r="BQ818" s="48">
        <f>$G818/5280*VLOOKUP($AC818,'Cost and Score'!$B$27:$O$40,12,0)</f>
        <v>0</v>
      </c>
      <c r="BR818" s="48">
        <f>$G818/5280*VLOOKUP($AC818,'Cost and Score'!$B$27:$O$40,13,0)</f>
        <v>0</v>
      </c>
      <c r="BS818" s="48">
        <f>$G818/5280*VLOOKUP($AC818,'Cost and Score'!$B$27:$O$40,14,0)</f>
        <v>0</v>
      </c>
      <c r="BT818" s="220">
        <f t="shared" si="409"/>
        <v>7.8787878787878782E-2</v>
      </c>
    </row>
    <row r="819" spans="1:103" s="2" customFormat="1" ht="14.45" customHeight="1" x14ac:dyDescent="0.25">
      <c r="A819" s="31" t="s">
        <v>2102</v>
      </c>
      <c r="B819" s="45" t="s">
        <v>1736</v>
      </c>
      <c r="C819" s="26" t="s">
        <v>1736</v>
      </c>
      <c r="D819" s="119" t="s">
        <v>2285</v>
      </c>
      <c r="E819" s="82" t="s">
        <v>1487</v>
      </c>
      <c r="F819" s="82" t="s">
        <v>1462</v>
      </c>
      <c r="G819" s="146">
        <v>439</v>
      </c>
      <c r="H819" s="29">
        <f t="shared" si="430"/>
        <v>26</v>
      </c>
      <c r="I819" s="26" t="s">
        <v>2098</v>
      </c>
      <c r="J819" s="26" t="s">
        <v>125</v>
      </c>
      <c r="K819" s="26">
        <f t="shared" si="426"/>
        <v>0</v>
      </c>
      <c r="L819" s="42">
        <v>7</v>
      </c>
      <c r="M819" s="42">
        <v>8</v>
      </c>
      <c r="N819" s="42">
        <v>8</v>
      </c>
      <c r="O819" s="83">
        <v>8</v>
      </c>
      <c r="P819" s="83">
        <v>8</v>
      </c>
      <c r="Q819" s="83">
        <v>8</v>
      </c>
      <c r="R819" s="83">
        <v>8</v>
      </c>
      <c r="S819" s="83">
        <v>8</v>
      </c>
      <c r="T819" s="83">
        <v>8</v>
      </c>
      <c r="U819" s="83">
        <v>8</v>
      </c>
      <c r="V819" s="42"/>
      <c r="W819" s="42"/>
      <c r="X819" s="42"/>
      <c r="Y819" s="26">
        <v>50</v>
      </c>
      <c r="Z819" s="26">
        <f t="shared" si="418"/>
        <v>0</v>
      </c>
      <c r="AA819" s="82" t="s">
        <v>1736</v>
      </c>
      <c r="AB819" s="111">
        <f t="shared" si="404"/>
        <v>2</v>
      </c>
      <c r="AC819" s="85" t="s">
        <v>2425</v>
      </c>
      <c r="AD819" s="84">
        <f t="shared" si="432"/>
        <v>2078.598484848485</v>
      </c>
      <c r="AE819" s="140"/>
      <c r="AF819" s="113">
        <f t="shared" si="421"/>
        <v>0</v>
      </c>
      <c r="AG819" s="106">
        <v>2025</v>
      </c>
      <c r="AH819" s="26" t="str">
        <f t="shared" si="410"/>
        <v/>
      </c>
      <c r="AI819" s="26" t="str">
        <f t="shared" si="425"/>
        <v/>
      </c>
      <c r="AJ819" s="26" t="str">
        <f t="shared" si="428"/>
        <v/>
      </c>
      <c r="AK819" s="26" t="str">
        <f t="shared" si="431"/>
        <v>Liquid Road</v>
      </c>
      <c r="AL819" s="26" t="str">
        <f t="shared" si="431"/>
        <v/>
      </c>
      <c r="AM819" s="26" t="str">
        <f t="shared" si="431"/>
        <v/>
      </c>
      <c r="AN819" s="26" t="str">
        <f t="shared" si="419"/>
        <v>Liquid Road</v>
      </c>
      <c r="AO819" s="26" t="str">
        <f t="shared" si="429"/>
        <v/>
      </c>
      <c r="AP819" s="26" t="str">
        <f t="shared" si="427"/>
        <v/>
      </c>
      <c r="AQ819" s="68">
        <f t="shared" si="423"/>
        <v>12</v>
      </c>
      <c r="AR819" s="68">
        <f t="shared" si="424"/>
        <v>10</v>
      </c>
      <c r="AS819" s="68">
        <f t="shared" si="411"/>
        <v>1.05</v>
      </c>
      <c r="AT819" s="68">
        <f t="shared" si="412"/>
        <v>1</v>
      </c>
      <c r="AU819" s="68">
        <f t="shared" si="413"/>
        <v>1</v>
      </c>
      <c r="AV819" s="68">
        <f t="shared" si="414"/>
        <v>1</v>
      </c>
      <c r="AW819" s="68">
        <f t="shared" si="415"/>
        <v>1</v>
      </c>
      <c r="AX819" s="68">
        <f t="shared" ca="1" si="420"/>
        <v>1</v>
      </c>
      <c r="AY819" s="68">
        <v>2019</v>
      </c>
      <c r="AZ819" s="85" t="s">
        <v>2075</v>
      </c>
      <c r="BA819" s="106" t="str">
        <f t="shared" si="408"/>
        <v/>
      </c>
      <c r="BB819" s="203"/>
      <c r="BC819" s="178"/>
      <c r="BD819" s="178"/>
      <c r="BE819" s="178"/>
      <c r="BF819" s="178"/>
      <c r="BG819" s="178"/>
      <c r="BH819" s="178"/>
      <c r="BI819" s="33"/>
      <c r="BK819" s="48">
        <f>$G819/5280*VLOOKUP($AC819,'Cost and Score'!$B$27:$O$40,6,0)</f>
        <v>8.3143939393939395E-2</v>
      </c>
      <c r="BL819" s="48">
        <f>$G819/5280*VLOOKUP($AC819,'Cost and Score'!$B$27:$O$40,7,0)</f>
        <v>1.3303030303030303</v>
      </c>
      <c r="BM819" s="48">
        <f>$G819/5280*VLOOKUP($AC819,'Cost and Score'!$B$27:$O$40,8,0)</f>
        <v>0</v>
      </c>
      <c r="BN819" s="48">
        <f>$G819/5280*VLOOKUP($AC819,'Cost and Score'!$B$27:$O$40,9,0)</f>
        <v>0</v>
      </c>
      <c r="BO819" s="48">
        <f>$G819/5280*VLOOKUP($AC819,'Cost and Score'!$B$27:$O$40,10,0)</f>
        <v>0</v>
      </c>
      <c r="BP819" s="48">
        <f>$G819/5280*VLOOKUP($AC819,'Cost and Score'!$B$27:$O$40,11,0)</f>
        <v>0</v>
      </c>
      <c r="BQ819" s="48">
        <f>$G819/5280*VLOOKUP($AC819,'Cost and Score'!$B$27:$O$40,12,0)</f>
        <v>0</v>
      </c>
      <c r="BR819" s="48">
        <f>$G819/5280*VLOOKUP($AC819,'Cost and Score'!$B$27:$O$40,13,0)</f>
        <v>0</v>
      </c>
      <c r="BS819" s="48">
        <f>$G819/5280*VLOOKUP($AC819,'Cost and Score'!$B$27:$O$40,14,0)</f>
        <v>0</v>
      </c>
      <c r="BT819" s="220">
        <f t="shared" si="409"/>
        <v>8.3143939393939395E-2</v>
      </c>
    </row>
    <row r="820" spans="1:103" s="2" customFormat="1" ht="14.45" hidden="1" customHeight="1" x14ac:dyDescent="0.25">
      <c r="A820" s="38" t="s">
        <v>2102</v>
      </c>
      <c r="B820" s="34" t="s">
        <v>1615</v>
      </c>
      <c r="C820" s="26" t="s">
        <v>1615</v>
      </c>
      <c r="D820" s="26"/>
      <c r="E820" s="26" t="s">
        <v>307</v>
      </c>
      <c r="F820" s="26" t="s">
        <v>216</v>
      </c>
      <c r="G820" s="29">
        <v>1049</v>
      </c>
      <c r="H820" s="29">
        <f t="shared" si="430"/>
        <v>20</v>
      </c>
      <c r="I820" s="26" t="s">
        <v>8</v>
      </c>
      <c r="J820" s="26" t="s">
        <v>101</v>
      </c>
      <c r="K820" s="26">
        <v>0</v>
      </c>
      <c r="L820" s="42">
        <v>8</v>
      </c>
      <c r="M820" s="42">
        <v>3</v>
      </c>
      <c r="N820" s="42">
        <v>3</v>
      </c>
      <c r="O820" s="42">
        <v>10</v>
      </c>
      <c r="P820" s="42">
        <v>9</v>
      </c>
      <c r="Q820" s="42">
        <v>8</v>
      </c>
      <c r="R820" s="42">
        <v>7</v>
      </c>
      <c r="S820" s="42">
        <v>7</v>
      </c>
      <c r="T820" s="42">
        <v>7</v>
      </c>
      <c r="U820" s="42">
        <v>7</v>
      </c>
      <c r="V820" s="42"/>
      <c r="W820" s="42"/>
      <c r="X820" s="42"/>
      <c r="Y820" s="26">
        <v>50</v>
      </c>
      <c r="Z820" s="26">
        <f t="shared" si="418"/>
        <v>0</v>
      </c>
      <c r="AA820" s="26" t="s">
        <v>1615</v>
      </c>
      <c r="AB820" s="111">
        <f t="shared" si="404"/>
        <v>1</v>
      </c>
      <c r="AC820" s="85" t="s">
        <v>2073</v>
      </c>
      <c r="AD820" s="47">
        <f t="shared" si="432"/>
        <v>6357.575757575758</v>
      </c>
      <c r="AE820" s="140"/>
      <c r="AF820" s="113">
        <f t="shared" si="421"/>
        <v>0</v>
      </c>
      <c r="AG820" s="26">
        <v>2027</v>
      </c>
      <c r="AH820" s="26" t="str">
        <f t="shared" si="410"/>
        <v/>
      </c>
      <c r="AI820" s="26" t="str">
        <f t="shared" si="425"/>
        <v/>
      </c>
      <c r="AJ820" s="26" t="str">
        <f t="shared" si="428"/>
        <v/>
      </c>
      <c r="AK820" s="26" t="str">
        <f t="shared" si="431"/>
        <v/>
      </c>
      <c r="AL820" s="26" t="str">
        <f t="shared" si="431"/>
        <v/>
      </c>
      <c r="AM820" s="26" t="str">
        <f t="shared" si="431"/>
        <v>Chip Seal - Double and Fog</v>
      </c>
      <c r="AN820" s="26" t="str">
        <f t="shared" si="419"/>
        <v>Chip Seal - Double and Fog</v>
      </c>
      <c r="AO820" s="26" t="str">
        <f t="shared" si="429"/>
        <v>Crack Seal</v>
      </c>
      <c r="AP820" s="26" t="str">
        <f t="shared" si="427"/>
        <v/>
      </c>
      <c r="AQ820" s="68">
        <f t="shared" si="423"/>
        <v>16</v>
      </c>
      <c r="AR820" s="68">
        <f t="shared" si="424"/>
        <v>6</v>
      </c>
      <c r="AS820" s="68">
        <f t="shared" si="411"/>
        <v>1</v>
      </c>
      <c r="AT820" s="68">
        <f t="shared" si="412"/>
        <v>1.75</v>
      </c>
      <c r="AU820" s="68">
        <f t="shared" si="413"/>
        <v>1.75</v>
      </c>
      <c r="AV820" s="68">
        <f t="shared" si="414"/>
        <v>1</v>
      </c>
      <c r="AW820" s="68">
        <f t="shared" si="415"/>
        <v>1</v>
      </c>
      <c r="AX820" s="68">
        <f t="shared" ca="1" si="420"/>
        <v>5.25</v>
      </c>
      <c r="AY820" s="68">
        <v>2021</v>
      </c>
      <c r="AZ820" s="68" t="s">
        <v>2075</v>
      </c>
      <c r="BA820" s="106" t="str">
        <f t="shared" si="408"/>
        <v/>
      </c>
      <c r="BB820" s="178"/>
      <c r="BC820" s="178"/>
      <c r="BD820" s="178"/>
      <c r="BE820" s="178"/>
      <c r="BF820" s="178"/>
      <c r="BG820" s="178"/>
      <c r="BH820" s="178"/>
      <c r="BI820" s="33" t="s">
        <v>2192</v>
      </c>
      <c r="BK820" s="48">
        <f>$G820/5280*VLOOKUP($AC820,'Cost and Score'!$B$27:$O$40,6,0)</f>
        <v>9.933712121212121E-2</v>
      </c>
      <c r="BL820" s="48">
        <f>$G820/5280*VLOOKUP($AC820,'Cost and Score'!$B$27:$O$40,7,0)</f>
        <v>9.9337121212121211</v>
      </c>
      <c r="BM820" s="48">
        <f>$G820/5280*VLOOKUP($AC820,'Cost and Score'!$B$27:$O$40,8,0)</f>
        <v>0</v>
      </c>
      <c r="BN820" s="48">
        <f>$G820/5280*VLOOKUP($AC820,'Cost and Score'!$B$27:$O$40,9,0)</f>
        <v>1887.405303030303</v>
      </c>
      <c r="BO820" s="48">
        <f>$G820/5280*VLOOKUP($AC820,'Cost and Score'!$B$27:$O$40,10,0)</f>
        <v>198.67424242424241</v>
      </c>
      <c r="BP820" s="48">
        <f>$G820/5280*VLOOKUP($AC820,'Cost and Score'!$B$27:$O$40,11,0)</f>
        <v>0</v>
      </c>
      <c r="BQ820" s="48">
        <f>$G820/5280*VLOOKUP($AC820,'Cost and Score'!$B$27:$O$40,12,0)</f>
        <v>39.734848484848484</v>
      </c>
      <c r="BR820" s="48">
        <f>$G820/5280*VLOOKUP($AC820,'Cost and Score'!$B$27:$O$40,13,0)</f>
        <v>35.761363636363633</v>
      </c>
      <c r="BS820" s="48">
        <f>$G820/5280*VLOOKUP($AC820,'Cost and Score'!$B$27:$O$40,14,0)</f>
        <v>47.68181818181818</v>
      </c>
      <c r="BT820" s="220">
        <f t="shared" si="409"/>
        <v>0.19867424242424242</v>
      </c>
    </row>
    <row r="821" spans="1:103" s="2" customFormat="1" hidden="1" x14ac:dyDescent="0.25">
      <c r="A821" s="38" t="s">
        <v>2102</v>
      </c>
      <c r="B821" s="34" t="s">
        <v>1616</v>
      </c>
      <c r="C821" s="26" t="s">
        <v>1616</v>
      </c>
      <c r="D821" s="26"/>
      <c r="E821" s="26" t="s">
        <v>307</v>
      </c>
      <c r="F821" s="26" t="s">
        <v>1421</v>
      </c>
      <c r="G821" s="29">
        <v>1992</v>
      </c>
      <c r="H821" s="29">
        <f t="shared" si="430"/>
        <v>20</v>
      </c>
      <c r="I821" s="26" t="s">
        <v>8</v>
      </c>
      <c r="J821" s="26" t="s">
        <v>26</v>
      </c>
      <c r="K821" s="26">
        <f>VLOOKUP(J821,TOWNSHIPS,2,FALSE)</f>
        <v>0</v>
      </c>
      <c r="L821" s="42">
        <v>8</v>
      </c>
      <c r="M821" s="42">
        <v>6</v>
      </c>
      <c r="N821" s="42">
        <v>5</v>
      </c>
      <c r="O821" s="42">
        <v>9</v>
      </c>
      <c r="P821" s="42">
        <v>8</v>
      </c>
      <c r="Q821" s="42">
        <v>8</v>
      </c>
      <c r="R821" s="42">
        <v>7</v>
      </c>
      <c r="S821" s="42">
        <v>7</v>
      </c>
      <c r="T821" s="42">
        <v>7</v>
      </c>
      <c r="U821" s="42">
        <v>7</v>
      </c>
      <c r="V821" s="42"/>
      <c r="W821" s="42"/>
      <c r="X821" s="42"/>
      <c r="Y821" s="26">
        <v>50</v>
      </c>
      <c r="Z821" s="26">
        <f t="shared" ref="Z821:Z852" si="433">VLOOKUP(Y821,AADT,2)</f>
        <v>0</v>
      </c>
      <c r="AA821" s="26" t="s">
        <v>1616</v>
      </c>
      <c r="AB821" s="111">
        <f t="shared" ref="AB821:AB884" si="434">(10-P821)+Z821+K821</f>
        <v>2</v>
      </c>
      <c r="AC821" s="85" t="s">
        <v>2073</v>
      </c>
      <c r="AD821" s="47">
        <f t="shared" si="432"/>
        <v>12072.727272727272</v>
      </c>
      <c r="AE821" s="140"/>
      <c r="AF821" s="113">
        <f t="shared" si="421"/>
        <v>0</v>
      </c>
      <c r="AG821" s="26">
        <v>2027</v>
      </c>
      <c r="AH821" s="26" t="str">
        <f t="shared" si="410"/>
        <v/>
      </c>
      <c r="AI821" s="26" t="str">
        <f t="shared" si="425"/>
        <v/>
      </c>
      <c r="AJ821" s="26" t="str">
        <f t="shared" si="428"/>
        <v/>
      </c>
      <c r="AK821" s="26" t="str">
        <f t="shared" si="431"/>
        <v/>
      </c>
      <c r="AL821" s="26" t="str">
        <f t="shared" si="431"/>
        <v/>
      </c>
      <c r="AM821" s="26" t="str">
        <f t="shared" si="431"/>
        <v>Chip Seal - Double and Fog</v>
      </c>
      <c r="AN821" s="26" t="str">
        <f t="shared" si="419"/>
        <v>Chip Seal - Double and Fog</v>
      </c>
      <c r="AO821" s="26" t="str">
        <f t="shared" si="429"/>
        <v>Crack Seal</v>
      </c>
      <c r="AP821" s="26" t="str">
        <f t="shared" si="427"/>
        <v/>
      </c>
      <c r="AQ821" s="68">
        <f t="shared" si="423"/>
        <v>14</v>
      </c>
      <c r="AR821" s="68">
        <f t="shared" si="424"/>
        <v>6</v>
      </c>
      <c r="AS821" s="68">
        <f t="shared" si="411"/>
        <v>1</v>
      </c>
      <c r="AT821" s="68">
        <f t="shared" si="412"/>
        <v>1.1000000000000001</v>
      </c>
      <c r="AU821" s="68">
        <f t="shared" si="413"/>
        <v>1.25</v>
      </c>
      <c r="AV821" s="68">
        <f t="shared" si="414"/>
        <v>1</v>
      </c>
      <c r="AW821" s="68">
        <f t="shared" si="415"/>
        <v>1</v>
      </c>
      <c r="AX821" s="68">
        <f t="shared" ref="AX821:AX852" ca="1" si="435">AU821*(AG821-YEAR(TODAY()))</f>
        <v>3.75</v>
      </c>
      <c r="AY821" s="68">
        <v>2021</v>
      </c>
      <c r="AZ821" s="68" t="s">
        <v>2075</v>
      </c>
      <c r="BA821" s="106" t="str">
        <f t="shared" si="408"/>
        <v/>
      </c>
      <c r="BB821" s="178"/>
      <c r="BC821" s="178"/>
      <c r="BD821" s="178"/>
      <c r="BE821" s="178"/>
      <c r="BF821" s="178"/>
      <c r="BG821" s="178"/>
      <c r="BH821" s="178"/>
      <c r="BI821" s="33" t="s">
        <v>2192</v>
      </c>
      <c r="BK821" s="48">
        <f>$G821/5280*VLOOKUP($AC821,'Cost and Score'!$B$27:$O$40,6,0)</f>
        <v>0.18863636363636363</v>
      </c>
      <c r="BL821" s="48">
        <f>$G821/5280*VLOOKUP($AC821,'Cost and Score'!$B$27:$O$40,7,0)</f>
        <v>18.863636363636363</v>
      </c>
      <c r="BM821" s="48">
        <f>$G821/5280*VLOOKUP($AC821,'Cost and Score'!$B$27:$O$40,8,0)</f>
        <v>0</v>
      </c>
      <c r="BN821" s="48">
        <f>$G821/5280*VLOOKUP($AC821,'Cost and Score'!$B$27:$O$40,9,0)</f>
        <v>3584.090909090909</v>
      </c>
      <c r="BO821" s="48">
        <f>$G821/5280*VLOOKUP($AC821,'Cost and Score'!$B$27:$O$40,10,0)</f>
        <v>377.27272727272725</v>
      </c>
      <c r="BP821" s="48">
        <f>$G821/5280*VLOOKUP($AC821,'Cost and Score'!$B$27:$O$40,11,0)</f>
        <v>0</v>
      </c>
      <c r="BQ821" s="48">
        <f>$G821/5280*VLOOKUP($AC821,'Cost and Score'!$B$27:$O$40,12,0)</f>
        <v>75.454545454545453</v>
      </c>
      <c r="BR821" s="48">
        <f>$G821/5280*VLOOKUP($AC821,'Cost and Score'!$B$27:$O$40,13,0)</f>
        <v>67.909090909090907</v>
      </c>
      <c r="BS821" s="48">
        <f>$G821/5280*VLOOKUP($AC821,'Cost and Score'!$B$27:$O$40,14,0)</f>
        <v>90.545454545454547</v>
      </c>
      <c r="BT821" s="220">
        <f t="shared" si="409"/>
        <v>0.37727272727272726</v>
      </c>
      <c r="CR821" s="112"/>
    </row>
    <row r="822" spans="1:103" s="2" customFormat="1" ht="14.45" hidden="1" customHeight="1" x14ac:dyDescent="0.25">
      <c r="A822" s="38" t="s">
        <v>2102</v>
      </c>
      <c r="B822" s="34" t="s">
        <v>1617</v>
      </c>
      <c r="C822" s="26" t="s">
        <v>1617</v>
      </c>
      <c r="D822" s="26"/>
      <c r="E822" s="26" t="s">
        <v>28</v>
      </c>
      <c r="F822" s="26" t="s">
        <v>10</v>
      </c>
      <c r="G822" s="29">
        <v>874</v>
      </c>
      <c r="H822" s="29">
        <f t="shared" si="430"/>
        <v>20</v>
      </c>
      <c r="I822" s="26" t="s">
        <v>13</v>
      </c>
      <c r="J822" s="26" t="s">
        <v>101</v>
      </c>
      <c r="K822" s="26">
        <v>0</v>
      </c>
      <c r="L822" s="42">
        <v>7</v>
      </c>
      <c r="M822" s="42">
        <v>6</v>
      </c>
      <c r="N822" s="42">
        <v>6</v>
      </c>
      <c r="O822" s="42">
        <v>6</v>
      </c>
      <c r="P822" s="42">
        <v>6</v>
      </c>
      <c r="Q822" s="42">
        <v>6</v>
      </c>
      <c r="R822" s="42">
        <v>6</v>
      </c>
      <c r="S822" s="42">
        <v>6</v>
      </c>
      <c r="T822" s="42">
        <v>6</v>
      </c>
      <c r="U822" s="42">
        <v>6</v>
      </c>
      <c r="V822" s="42"/>
      <c r="W822" s="42"/>
      <c r="X822" s="42"/>
      <c r="Y822" s="26">
        <v>50</v>
      </c>
      <c r="Z822" s="26">
        <f t="shared" si="433"/>
        <v>0</v>
      </c>
      <c r="AA822" s="26" t="s">
        <v>1617</v>
      </c>
      <c r="AB822" s="111">
        <f t="shared" si="434"/>
        <v>4</v>
      </c>
      <c r="AC822" s="26" t="s">
        <v>2073</v>
      </c>
      <c r="AD822" s="47">
        <f t="shared" si="432"/>
        <v>5296.969696969697</v>
      </c>
      <c r="AE822" s="140"/>
      <c r="AF822" s="113">
        <f t="shared" si="421"/>
        <v>0</v>
      </c>
      <c r="AG822" s="26">
        <v>2022</v>
      </c>
      <c r="AH822" s="26" t="str">
        <f t="shared" si="410"/>
        <v>Chip Seal - Double and Fog</v>
      </c>
      <c r="AI822" s="26" t="str">
        <f t="shared" si="425"/>
        <v/>
      </c>
      <c r="AJ822" s="26" t="str">
        <f t="shared" si="428"/>
        <v/>
      </c>
      <c r="AK822" s="26" t="str">
        <f t="shared" si="431"/>
        <v/>
      </c>
      <c r="AL822" s="26" t="str">
        <f t="shared" si="431"/>
        <v/>
      </c>
      <c r="AM822" s="26" t="str">
        <f t="shared" si="431"/>
        <v/>
      </c>
      <c r="AN822" s="26" t="str">
        <f t="shared" si="419"/>
        <v>Chip Seal - Double and Fog</v>
      </c>
      <c r="AO822" s="26" t="str">
        <f t="shared" si="429"/>
        <v/>
      </c>
      <c r="AP822" s="26" t="str">
        <f t="shared" si="427"/>
        <v/>
      </c>
      <c r="AQ822" s="68">
        <f t="shared" si="423"/>
        <v>8</v>
      </c>
      <c r="AR822" s="68">
        <f t="shared" si="424"/>
        <v>6</v>
      </c>
      <c r="AS822" s="68">
        <f t="shared" si="411"/>
        <v>1.05</v>
      </c>
      <c r="AT822" s="68">
        <f t="shared" si="412"/>
        <v>1.1000000000000001</v>
      </c>
      <c r="AU822" s="68">
        <f t="shared" si="413"/>
        <v>1.1000000000000001</v>
      </c>
      <c r="AV822" s="68">
        <f t="shared" si="414"/>
        <v>1.1000000000000001</v>
      </c>
      <c r="AW822" s="68">
        <f t="shared" si="415"/>
        <v>1.1000000000000001</v>
      </c>
      <c r="AX822" s="68">
        <f t="shared" ca="1" si="435"/>
        <v>-2.2000000000000002</v>
      </c>
      <c r="AY822" s="68"/>
      <c r="AZ822" s="68"/>
      <c r="BA822" s="106" t="str">
        <f t="shared" si="408"/>
        <v/>
      </c>
      <c r="BB822" s="178"/>
      <c r="BC822" s="178"/>
      <c r="BD822" s="178"/>
      <c r="BE822" s="178"/>
      <c r="BF822" s="178"/>
      <c r="BG822" s="178"/>
      <c r="BH822" s="178"/>
      <c r="BI822" s="33"/>
      <c r="BK822" s="48">
        <f>$G822/5280*VLOOKUP($AC822,'Cost and Score'!$B$27:$O$40,6,0)</f>
        <v>8.2765151515151514E-2</v>
      </c>
      <c r="BL822" s="48">
        <f>$G822/5280*VLOOKUP($AC822,'Cost and Score'!$B$27:$O$40,7,0)</f>
        <v>8.2765151515151523</v>
      </c>
      <c r="BM822" s="48">
        <f>$G822/5280*VLOOKUP($AC822,'Cost and Score'!$B$27:$O$40,8,0)</f>
        <v>0</v>
      </c>
      <c r="BN822" s="48">
        <f>$G822/5280*VLOOKUP($AC822,'Cost and Score'!$B$27:$O$40,9,0)</f>
        <v>1572.5378787878788</v>
      </c>
      <c r="BO822" s="48">
        <f>$G822/5280*VLOOKUP($AC822,'Cost and Score'!$B$27:$O$40,10,0)</f>
        <v>165.53030303030303</v>
      </c>
      <c r="BP822" s="48">
        <f>$G822/5280*VLOOKUP($AC822,'Cost and Score'!$B$27:$O$40,11,0)</f>
        <v>0</v>
      </c>
      <c r="BQ822" s="48">
        <f>$G822/5280*VLOOKUP($AC822,'Cost and Score'!$B$27:$O$40,12,0)</f>
        <v>33.106060606060609</v>
      </c>
      <c r="BR822" s="48">
        <f>$G822/5280*VLOOKUP($AC822,'Cost and Score'!$B$27:$O$40,13,0)</f>
        <v>29.795454545454547</v>
      </c>
      <c r="BS822" s="48">
        <f>$G822/5280*VLOOKUP($AC822,'Cost and Score'!$B$27:$O$40,14,0)</f>
        <v>39.727272727272727</v>
      </c>
      <c r="BT822" s="220">
        <f t="shared" si="409"/>
        <v>0.16553030303030303</v>
      </c>
      <c r="CF822" s="112"/>
      <c r="CR822" s="112"/>
      <c r="CS822" s="112"/>
      <c r="CT822" s="112"/>
      <c r="CU822" s="112"/>
    </row>
    <row r="823" spans="1:103" s="112" customFormat="1" ht="14.45" hidden="1" customHeight="1" x14ac:dyDescent="0.25">
      <c r="A823" s="38">
        <v>1097</v>
      </c>
      <c r="B823" s="226" t="s">
        <v>2432</v>
      </c>
      <c r="C823" s="120" t="s">
        <v>2432</v>
      </c>
      <c r="D823" s="116" t="s">
        <v>2433</v>
      </c>
      <c r="E823" s="106" t="s">
        <v>307</v>
      </c>
      <c r="F823" s="106" t="s">
        <v>2434</v>
      </c>
      <c r="G823" s="109">
        <v>1628</v>
      </c>
      <c r="H823" s="109">
        <f t="shared" si="430"/>
        <v>20</v>
      </c>
      <c r="I823" s="106" t="s">
        <v>8</v>
      </c>
      <c r="J823" s="106" t="s">
        <v>26</v>
      </c>
      <c r="K823" s="106">
        <v>0</v>
      </c>
      <c r="L823" s="110"/>
      <c r="M823" s="110"/>
      <c r="N823" s="110"/>
      <c r="O823" s="110">
        <v>8</v>
      </c>
      <c r="P823" s="110">
        <v>8</v>
      </c>
      <c r="Q823" s="110"/>
      <c r="R823" s="110">
        <v>7</v>
      </c>
      <c r="S823" s="110">
        <v>7</v>
      </c>
      <c r="T823" s="110">
        <v>7</v>
      </c>
      <c r="U823" s="110"/>
      <c r="V823" s="110"/>
      <c r="W823" s="110"/>
      <c r="X823" s="110"/>
      <c r="Y823" s="106">
        <v>50</v>
      </c>
      <c r="Z823" s="106">
        <f t="shared" si="433"/>
        <v>0</v>
      </c>
      <c r="AA823" s="106" t="s">
        <v>2432</v>
      </c>
      <c r="AB823" s="111">
        <f t="shared" si="434"/>
        <v>2</v>
      </c>
      <c r="AC823" s="106" t="s">
        <v>2425</v>
      </c>
      <c r="AD823" s="107">
        <f t="shared" si="432"/>
        <v>7708.333333333333</v>
      </c>
      <c r="AE823" s="198"/>
      <c r="AF823" s="113">
        <f t="shared" si="421"/>
        <v>0</v>
      </c>
      <c r="AG823" s="85">
        <v>2026</v>
      </c>
      <c r="AH823" s="26" t="str">
        <f t="shared" si="410"/>
        <v/>
      </c>
      <c r="AI823" s="26" t="str">
        <f t="shared" si="425"/>
        <v/>
      </c>
      <c r="AJ823" s="26" t="str">
        <f t="shared" si="428"/>
        <v/>
      </c>
      <c r="AK823" s="26" t="str">
        <f t="shared" si="431"/>
        <v/>
      </c>
      <c r="AL823" s="26" t="str">
        <f t="shared" si="431"/>
        <v>Liquid Road</v>
      </c>
      <c r="AM823" s="26" t="str">
        <f t="shared" si="431"/>
        <v/>
      </c>
      <c r="AN823" s="26" t="str">
        <f t="shared" si="419"/>
        <v>Liquid Road</v>
      </c>
      <c r="AO823" s="26" t="str">
        <f t="shared" si="429"/>
        <v/>
      </c>
      <c r="AP823" s="26" t="str">
        <f t="shared" si="427"/>
        <v/>
      </c>
      <c r="AQ823" s="68">
        <f t="shared" si="423"/>
        <v>12</v>
      </c>
      <c r="AR823" s="68">
        <f t="shared" si="424"/>
        <v>10</v>
      </c>
      <c r="AS823" s="68">
        <f t="shared" si="411"/>
        <v>0</v>
      </c>
      <c r="AT823" s="68">
        <f t="shared" si="412"/>
        <v>0</v>
      </c>
      <c r="AU823" s="68">
        <f t="shared" si="413"/>
        <v>0</v>
      </c>
      <c r="AV823" s="68">
        <f t="shared" si="414"/>
        <v>1</v>
      </c>
      <c r="AW823" s="68">
        <f t="shared" si="415"/>
        <v>1</v>
      </c>
      <c r="AX823" s="68">
        <f t="shared" ca="1" si="435"/>
        <v>0</v>
      </c>
      <c r="AY823" s="106">
        <v>2017</v>
      </c>
      <c r="AZ823" s="106" t="s">
        <v>2086</v>
      </c>
      <c r="BA823" s="106" t="str">
        <f t="shared" si="408"/>
        <v/>
      </c>
      <c r="BB823" s="177"/>
      <c r="BC823" s="177"/>
      <c r="BD823" s="177"/>
      <c r="BE823" s="177">
        <v>2</v>
      </c>
      <c r="BF823" s="177"/>
      <c r="BG823" s="177"/>
      <c r="BH823" s="177"/>
      <c r="BI823" s="33"/>
      <c r="BJ823" s="2"/>
      <c r="BK823" s="48">
        <f>$G823/5280*VLOOKUP($AC823,'Cost and Score'!$B$27:$O$40,6,0)</f>
        <v>0.30833333333333335</v>
      </c>
      <c r="BL823" s="48">
        <f>$G823/5280*VLOOKUP($AC823,'Cost and Score'!$B$27:$O$40,7,0)</f>
        <v>4.9333333333333336</v>
      </c>
      <c r="BM823" s="48">
        <f>$G823/5280*VLOOKUP($AC823,'Cost and Score'!$B$27:$O$40,8,0)</f>
        <v>0</v>
      </c>
      <c r="BN823" s="48">
        <f>$G823/5280*VLOOKUP($AC823,'Cost and Score'!$B$27:$O$40,9,0)</f>
        <v>0</v>
      </c>
      <c r="BO823" s="48">
        <f>$G823/5280*VLOOKUP($AC823,'Cost and Score'!$B$27:$O$40,10,0)</f>
        <v>0</v>
      </c>
      <c r="BP823" s="48">
        <f>$G823/5280*VLOOKUP($AC823,'Cost and Score'!$B$27:$O$40,11,0)</f>
        <v>0</v>
      </c>
      <c r="BQ823" s="48">
        <f>$G823/5280*VLOOKUP($AC823,'Cost and Score'!$B$27:$O$40,12,0)</f>
        <v>0</v>
      </c>
      <c r="BR823" s="48">
        <f>$G823/5280*VLOOKUP($AC823,'Cost and Score'!$B$27:$O$40,13,0)</f>
        <v>0</v>
      </c>
      <c r="BS823" s="48">
        <f>$G823/5280*VLOOKUP($AC823,'Cost and Score'!$B$27:$O$40,14,0)</f>
        <v>0</v>
      </c>
      <c r="BT823" s="220">
        <f t="shared" si="409"/>
        <v>0.30833333333333335</v>
      </c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N823" s="2"/>
      <c r="CO823" s="2"/>
      <c r="CP823" s="2"/>
      <c r="CQ823" s="2"/>
      <c r="CV823" s="2"/>
      <c r="CW823" s="2"/>
      <c r="CX823" s="2"/>
      <c r="CY823" s="2"/>
    </row>
    <row r="824" spans="1:103" s="112" customFormat="1" ht="14.45" hidden="1" customHeight="1" x14ac:dyDescent="0.25">
      <c r="A824" s="31" t="s">
        <v>2102</v>
      </c>
      <c r="B824" s="227" t="s">
        <v>2337</v>
      </c>
      <c r="C824" s="106" t="s">
        <v>2337</v>
      </c>
      <c r="D824" s="116" t="s">
        <v>2260</v>
      </c>
      <c r="E824" s="106" t="s">
        <v>1690</v>
      </c>
      <c r="F824" s="106" t="s">
        <v>1502</v>
      </c>
      <c r="G824" s="109">
        <v>1608</v>
      </c>
      <c r="H824" s="109"/>
      <c r="I824" s="106" t="s">
        <v>2098</v>
      </c>
      <c r="J824" s="106" t="s">
        <v>160</v>
      </c>
      <c r="K824" s="106">
        <f>VLOOKUP(J824,TOWNSHIPS,2,FALSE)</f>
        <v>0</v>
      </c>
      <c r="L824" s="110"/>
      <c r="M824" s="110">
        <v>7</v>
      </c>
      <c r="N824" s="110">
        <v>7</v>
      </c>
      <c r="O824" s="110">
        <v>7</v>
      </c>
      <c r="P824" s="110">
        <v>7</v>
      </c>
      <c r="Q824" s="110">
        <v>7</v>
      </c>
      <c r="R824" s="110">
        <v>7</v>
      </c>
      <c r="S824" s="110">
        <v>7</v>
      </c>
      <c r="T824" s="110">
        <v>7</v>
      </c>
      <c r="U824" s="110">
        <v>7</v>
      </c>
      <c r="V824" s="110"/>
      <c r="W824" s="110"/>
      <c r="X824" s="110"/>
      <c r="Y824" s="106">
        <v>2144</v>
      </c>
      <c r="Z824" s="106">
        <f t="shared" si="433"/>
        <v>1</v>
      </c>
      <c r="AA824" s="106"/>
      <c r="AB824" s="111">
        <f t="shared" si="434"/>
        <v>4</v>
      </c>
      <c r="AC824" s="85" t="s">
        <v>2425</v>
      </c>
      <c r="AD824" s="107">
        <f t="shared" si="432"/>
        <v>7613.636363636364</v>
      </c>
      <c r="AE824" s="198"/>
      <c r="AF824" s="113">
        <f t="shared" si="421"/>
        <v>0</v>
      </c>
      <c r="AG824" s="85">
        <v>2026</v>
      </c>
      <c r="AH824" s="26" t="str">
        <f t="shared" si="410"/>
        <v/>
      </c>
      <c r="AI824" s="26" t="str">
        <f t="shared" si="425"/>
        <v/>
      </c>
      <c r="AJ824" s="26" t="str">
        <f t="shared" si="428"/>
        <v/>
      </c>
      <c r="AK824" s="26" t="str">
        <f t="shared" si="431"/>
        <v/>
      </c>
      <c r="AL824" s="26" t="str">
        <f t="shared" si="431"/>
        <v>Liquid Road</v>
      </c>
      <c r="AM824" s="26" t="str">
        <f t="shared" si="431"/>
        <v/>
      </c>
      <c r="AN824" s="26" t="str">
        <f t="shared" si="419"/>
        <v>Liquid Road</v>
      </c>
      <c r="AO824" s="26" t="str">
        <f t="shared" si="429"/>
        <v/>
      </c>
      <c r="AP824" s="26" t="str">
        <f t="shared" si="427"/>
        <v/>
      </c>
      <c r="AQ824" s="68">
        <f t="shared" si="423"/>
        <v>10</v>
      </c>
      <c r="AR824" s="68">
        <f t="shared" si="424"/>
        <v>10</v>
      </c>
      <c r="AS824" s="68">
        <f t="shared" si="411"/>
        <v>0</v>
      </c>
      <c r="AT824" s="68">
        <f t="shared" si="412"/>
        <v>1.05</v>
      </c>
      <c r="AU824" s="68">
        <f t="shared" si="413"/>
        <v>1.05</v>
      </c>
      <c r="AV824" s="68">
        <f t="shared" si="414"/>
        <v>1.05</v>
      </c>
      <c r="AW824" s="68">
        <f t="shared" si="415"/>
        <v>1.05</v>
      </c>
      <c r="AX824" s="68">
        <f t="shared" ca="1" si="435"/>
        <v>2.1</v>
      </c>
      <c r="AY824" s="106">
        <v>2017</v>
      </c>
      <c r="AZ824" s="106" t="s">
        <v>2075</v>
      </c>
      <c r="BA824" s="106" t="str">
        <f t="shared" si="408"/>
        <v/>
      </c>
      <c r="BB824" s="177"/>
      <c r="BC824" s="177"/>
      <c r="BD824" s="177">
        <v>1</v>
      </c>
      <c r="BE824" s="177"/>
      <c r="BF824" s="177"/>
      <c r="BG824" s="177"/>
      <c r="BH824" s="177"/>
      <c r="BI824" s="43"/>
      <c r="BJ824" s="26"/>
      <c r="BK824" s="48">
        <f>$G824/5280*VLOOKUP($AC824,'Cost and Score'!$B$27:$O$40,6,0)</f>
        <v>0.30454545454545456</v>
      </c>
      <c r="BL824" s="48">
        <f>$G824/5280*VLOOKUP($AC824,'Cost and Score'!$B$27:$O$40,7,0)</f>
        <v>4.872727272727273</v>
      </c>
      <c r="BM824" s="48">
        <f>$G824/5280*VLOOKUP($AC824,'Cost and Score'!$B$27:$O$40,8,0)</f>
        <v>0</v>
      </c>
      <c r="BN824" s="48">
        <f>$G824/5280*VLOOKUP($AC824,'Cost and Score'!$B$27:$O$40,9,0)</f>
        <v>0</v>
      </c>
      <c r="BO824" s="48">
        <f>$G824/5280*VLOOKUP($AC824,'Cost and Score'!$B$27:$O$40,10,0)</f>
        <v>0</v>
      </c>
      <c r="BP824" s="48">
        <f>$G824/5280*VLOOKUP($AC824,'Cost and Score'!$B$27:$O$40,11,0)</f>
        <v>0</v>
      </c>
      <c r="BQ824" s="48">
        <f>$G824/5280*VLOOKUP($AC824,'Cost and Score'!$B$27:$O$40,12,0)</f>
        <v>0</v>
      </c>
      <c r="BR824" s="48">
        <f>$G824/5280*VLOOKUP($AC824,'Cost and Score'!$B$27:$O$40,13,0)</f>
        <v>0</v>
      </c>
      <c r="BS824" s="48">
        <f>$G824/5280*VLOOKUP($AC824,'Cost and Score'!$B$27:$O$40,14,0)</f>
        <v>0</v>
      </c>
      <c r="BT824" s="220">
        <f t="shared" si="409"/>
        <v>0.30454545454545456</v>
      </c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R824" s="2"/>
      <c r="CW824" s="2"/>
      <c r="CX824" s="2"/>
      <c r="CY824" s="2"/>
    </row>
    <row r="825" spans="1:103" s="112" customFormat="1" ht="14.45" customHeight="1" x14ac:dyDescent="0.25">
      <c r="A825" s="31" t="s">
        <v>2102</v>
      </c>
      <c r="B825" s="45" t="s">
        <v>1737</v>
      </c>
      <c r="C825" s="26" t="s">
        <v>1737</v>
      </c>
      <c r="D825" s="119" t="s">
        <v>2285</v>
      </c>
      <c r="E825" s="82" t="s">
        <v>1487</v>
      </c>
      <c r="F825" s="82" t="s">
        <v>1462</v>
      </c>
      <c r="G825" s="149">
        <v>1195</v>
      </c>
      <c r="H825" s="29">
        <f>IF(I825="NC",26,20)</f>
        <v>26</v>
      </c>
      <c r="I825" s="26" t="s">
        <v>2098</v>
      </c>
      <c r="J825" s="26" t="s">
        <v>125</v>
      </c>
      <c r="K825" s="26">
        <f>VLOOKUP(J825,TOWNSHIPS,2,FALSE)</f>
        <v>0</v>
      </c>
      <c r="L825" s="42">
        <v>7</v>
      </c>
      <c r="M825" s="42">
        <v>8</v>
      </c>
      <c r="N825" s="42">
        <v>8</v>
      </c>
      <c r="O825" s="83">
        <v>8</v>
      </c>
      <c r="P825" s="83">
        <v>8</v>
      </c>
      <c r="Q825" s="83">
        <v>8</v>
      </c>
      <c r="R825" s="83">
        <v>8</v>
      </c>
      <c r="S825" s="83">
        <v>8</v>
      </c>
      <c r="T825" s="83">
        <v>8</v>
      </c>
      <c r="U825" s="83">
        <v>8</v>
      </c>
      <c r="V825" s="42"/>
      <c r="W825" s="42"/>
      <c r="X825" s="42"/>
      <c r="Y825" s="26">
        <v>50</v>
      </c>
      <c r="Z825" s="26">
        <f t="shared" si="433"/>
        <v>0</v>
      </c>
      <c r="AA825" s="82" t="s">
        <v>1737</v>
      </c>
      <c r="AB825" s="111">
        <f t="shared" si="434"/>
        <v>2</v>
      </c>
      <c r="AC825" s="85" t="s">
        <v>2425</v>
      </c>
      <c r="AD825" s="84">
        <f t="shared" si="432"/>
        <v>5658.143939393939</v>
      </c>
      <c r="AE825" s="140"/>
      <c r="AF825" s="113">
        <f t="shared" si="421"/>
        <v>0</v>
      </c>
      <c r="AG825" s="106">
        <v>2025</v>
      </c>
      <c r="AH825" s="26" t="str">
        <f t="shared" si="410"/>
        <v/>
      </c>
      <c r="AI825" s="26" t="str">
        <f t="shared" si="425"/>
        <v/>
      </c>
      <c r="AJ825" s="26" t="str">
        <f t="shared" si="428"/>
        <v/>
      </c>
      <c r="AK825" s="26" t="str">
        <f t="shared" si="431"/>
        <v>Liquid Road</v>
      </c>
      <c r="AL825" s="26" t="str">
        <f t="shared" si="431"/>
        <v/>
      </c>
      <c r="AM825" s="26" t="str">
        <f t="shared" si="431"/>
        <v/>
      </c>
      <c r="AN825" s="26" t="str">
        <f t="shared" si="419"/>
        <v>Liquid Road</v>
      </c>
      <c r="AO825" s="26" t="str">
        <f t="shared" si="429"/>
        <v/>
      </c>
      <c r="AP825" s="26" t="str">
        <f t="shared" si="427"/>
        <v/>
      </c>
      <c r="AQ825" s="68">
        <f t="shared" si="423"/>
        <v>12</v>
      </c>
      <c r="AR825" s="68">
        <f t="shared" si="424"/>
        <v>10</v>
      </c>
      <c r="AS825" s="68">
        <f t="shared" si="411"/>
        <v>1.05</v>
      </c>
      <c r="AT825" s="68">
        <f t="shared" si="412"/>
        <v>1</v>
      </c>
      <c r="AU825" s="68">
        <f t="shared" si="413"/>
        <v>1</v>
      </c>
      <c r="AV825" s="68">
        <f t="shared" si="414"/>
        <v>1</v>
      </c>
      <c r="AW825" s="68">
        <f t="shared" si="415"/>
        <v>1</v>
      </c>
      <c r="AX825" s="68">
        <f t="shared" ca="1" si="435"/>
        <v>1</v>
      </c>
      <c r="AY825" s="68">
        <v>2019</v>
      </c>
      <c r="AZ825" s="85" t="s">
        <v>2075</v>
      </c>
      <c r="BA825" s="106" t="str">
        <f t="shared" si="408"/>
        <v/>
      </c>
      <c r="BB825" s="203"/>
      <c r="BC825" s="178"/>
      <c r="BD825" s="178"/>
      <c r="BE825" s="178"/>
      <c r="BF825" s="178"/>
      <c r="BG825" s="178"/>
      <c r="BH825" s="178"/>
      <c r="BI825" s="33"/>
      <c r="BJ825" s="2"/>
      <c r="BK825" s="48">
        <f>$G825/5280*VLOOKUP($AC825,'Cost and Score'!$B$27:$O$40,6,0)</f>
        <v>0.22632575757575757</v>
      </c>
      <c r="BL825" s="48">
        <f>$G825/5280*VLOOKUP($AC825,'Cost and Score'!$B$27:$O$40,7,0)</f>
        <v>3.6212121212121211</v>
      </c>
      <c r="BM825" s="48">
        <f>$G825/5280*VLOOKUP($AC825,'Cost and Score'!$B$27:$O$40,8,0)</f>
        <v>0</v>
      </c>
      <c r="BN825" s="48">
        <f>$G825/5280*VLOOKUP($AC825,'Cost and Score'!$B$27:$O$40,9,0)</f>
        <v>0</v>
      </c>
      <c r="BO825" s="48">
        <f>$G825/5280*VLOOKUP($AC825,'Cost and Score'!$B$27:$O$40,10,0)</f>
        <v>0</v>
      </c>
      <c r="BP825" s="48">
        <f>$G825/5280*VLOOKUP($AC825,'Cost and Score'!$B$27:$O$40,11,0)</f>
        <v>0</v>
      </c>
      <c r="BQ825" s="48">
        <f>$G825/5280*VLOOKUP($AC825,'Cost and Score'!$B$27:$O$40,12,0)</f>
        <v>0</v>
      </c>
      <c r="BR825" s="48">
        <f>$G825/5280*VLOOKUP($AC825,'Cost and Score'!$B$27:$O$40,13,0)</f>
        <v>0</v>
      </c>
      <c r="BS825" s="48">
        <f>$G825/5280*VLOOKUP($AC825,'Cost and Score'!$B$27:$O$40,14,0)</f>
        <v>0</v>
      </c>
      <c r="BT825" s="220">
        <f t="shared" si="409"/>
        <v>0.22632575757575757</v>
      </c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</row>
    <row r="826" spans="1:103" s="112" customFormat="1" ht="14.45" hidden="1" customHeight="1" x14ac:dyDescent="0.25">
      <c r="A826" s="38" t="s">
        <v>1621</v>
      </c>
      <c r="B826" s="34" t="s">
        <v>1620</v>
      </c>
      <c r="C826" s="26" t="s">
        <v>1620</v>
      </c>
      <c r="D826" s="82"/>
      <c r="E826" s="82" t="s">
        <v>86</v>
      </c>
      <c r="F826" s="82" t="s">
        <v>418</v>
      </c>
      <c r="G826" s="29">
        <v>3590</v>
      </c>
      <c r="H826" s="29">
        <v>18</v>
      </c>
      <c r="I826" s="26" t="s">
        <v>8</v>
      </c>
      <c r="J826" s="26" t="s">
        <v>62</v>
      </c>
      <c r="K826" s="26">
        <f>VLOOKUP(J826,TOWNSHIPS,2,FALSE)</f>
        <v>0</v>
      </c>
      <c r="L826" s="42">
        <v>4</v>
      </c>
      <c r="M826" s="42">
        <v>7</v>
      </c>
      <c r="N826" s="42">
        <v>7</v>
      </c>
      <c r="O826" s="83">
        <v>6</v>
      </c>
      <c r="P826" s="83">
        <v>6</v>
      </c>
      <c r="Q826" s="83">
        <v>6</v>
      </c>
      <c r="R826" s="83">
        <v>6</v>
      </c>
      <c r="S826" s="83">
        <v>6</v>
      </c>
      <c r="T826" s="83">
        <v>7</v>
      </c>
      <c r="U826" s="83">
        <v>7</v>
      </c>
      <c r="V826" s="42"/>
      <c r="W826" s="42"/>
      <c r="X826" s="42"/>
      <c r="Y826" s="26">
        <v>108</v>
      </c>
      <c r="Z826" s="26">
        <f t="shared" si="433"/>
        <v>0</v>
      </c>
      <c r="AA826" s="82" t="s">
        <v>1620</v>
      </c>
      <c r="AB826" s="111">
        <f t="shared" si="434"/>
        <v>4</v>
      </c>
      <c r="AC826" s="82" t="s">
        <v>2072</v>
      </c>
      <c r="AD826" s="221">
        <f t="shared" si="432"/>
        <v>31276.515151515152</v>
      </c>
      <c r="AE826" s="140"/>
      <c r="AF826" s="113">
        <f t="shared" si="421"/>
        <v>0</v>
      </c>
      <c r="AG826" s="26">
        <v>2027</v>
      </c>
      <c r="AH826" s="26" t="str">
        <f t="shared" si="410"/>
        <v/>
      </c>
      <c r="AI826" s="26" t="str">
        <f t="shared" si="425"/>
        <v/>
      </c>
      <c r="AJ826" s="26" t="str">
        <f t="shared" si="428"/>
        <v/>
      </c>
      <c r="AK826" s="26" t="str">
        <f t="shared" si="431"/>
        <v/>
      </c>
      <c r="AL826" s="26" t="str">
        <f t="shared" si="431"/>
        <v/>
      </c>
      <c r="AM826" s="26" t="str">
        <f t="shared" si="431"/>
        <v>Chip Seal - Triple</v>
      </c>
      <c r="AN826" s="26" t="str">
        <f t="shared" si="419"/>
        <v>Chip Seal - Triple</v>
      </c>
      <c r="AO826" s="26" t="str">
        <f t="shared" si="429"/>
        <v>Chip Seal - Triple</v>
      </c>
      <c r="AP826" s="26" t="str">
        <f t="shared" si="427"/>
        <v/>
      </c>
      <c r="AQ826" s="68">
        <f t="shared" si="423"/>
        <v>8</v>
      </c>
      <c r="AR826" s="68">
        <f t="shared" si="424"/>
        <v>8</v>
      </c>
      <c r="AS826" s="68">
        <f t="shared" si="411"/>
        <v>1.5</v>
      </c>
      <c r="AT826" s="68">
        <f t="shared" si="412"/>
        <v>1.05</v>
      </c>
      <c r="AU826" s="68">
        <f t="shared" si="413"/>
        <v>1.05</v>
      </c>
      <c r="AV826" s="68">
        <f t="shared" si="414"/>
        <v>1.1000000000000001</v>
      </c>
      <c r="AW826" s="68">
        <f t="shared" si="415"/>
        <v>1.1000000000000001</v>
      </c>
      <c r="AX826" s="68">
        <f t="shared" ca="1" si="435"/>
        <v>3.1500000000000004</v>
      </c>
      <c r="AY826" s="68">
        <v>2021</v>
      </c>
      <c r="AZ826" s="68" t="s">
        <v>2072</v>
      </c>
      <c r="BA826" s="106" t="str">
        <f t="shared" si="408"/>
        <v/>
      </c>
      <c r="BB826" s="178"/>
      <c r="BC826" s="178">
        <v>1</v>
      </c>
      <c r="BD826" s="178"/>
      <c r="BE826" s="178"/>
      <c r="BF826" s="178"/>
      <c r="BG826" s="178"/>
      <c r="BH826" s="178"/>
      <c r="BI826" s="33"/>
      <c r="BJ826" s="2"/>
      <c r="BK826" s="48">
        <f>$G826/5280*VLOOKUP($AC826,'Cost and Score'!$B$27:$O$40,6,0)</f>
        <v>0.40795454545454546</v>
      </c>
      <c r="BL826" s="48">
        <f>$G826/5280*VLOOKUP($AC826,'Cost and Score'!$B$27:$O$40,7,0)</f>
        <v>84.990530303030297</v>
      </c>
      <c r="BM826" s="48">
        <f>$G826/5280*VLOOKUP($AC826,'Cost and Score'!$B$27:$O$40,8,0)</f>
        <v>135.9848484848485</v>
      </c>
      <c r="BN826" s="48">
        <f>$G826/5280*VLOOKUP($AC826,'Cost and Score'!$B$27:$O$40,9,0)</f>
        <v>1359.8484848484848</v>
      </c>
      <c r="BO826" s="48">
        <f>$G826/5280*VLOOKUP($AC826,'Cost and Score'!$B$27:$O$40,10,0)</f>
        <v>339.96212121212119</v>
      </c>
      <c r="BP826" s="48">
        <f>$G826/5280*VLOOKUP($AC826,'Cost and Score'!$B$27:$O$40,11,0)</f>
        <v>67.992424242424249</v>
      </c>
      <c r="BQ826" s="48">
        <f>$G826/5280*VLOOKUP($AC826,'Cost and Score'!$B$27:$O$40,12,0)</f>
        <v>543.93939393939399</v>
      </c>
      <c r="BR826" s="48">
        <f>$G826/5280*VLOOKUP($AC826,'Cost and Score'!$B$27:$O$40,13,0)</f>
        <v>54.393939393939391</v>
      </c>
      <c r="BS826" s="48">
        <f>$G826/5280*VLOOKUP($AC826,'Cost and Score'!$B$27:$O$40,14,0)</f>
        <v>0</v>
      </c>
      <c r="BT826" s="220">
        <f t="shared" si="409"/>
        <v>0.67992424242424243</v>
      </c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R826" s="2"/>
      <c r="CS826" s="2"/>
      <c r="CT826" s="2"/>
      <c r="CU826" s="2"/>
    </row>
    <row r="827" spans="1:103" s="2" customFormat="1" ht="14.45" hidden="1" customHeight="1" x14ac:dyDescent="0.25">
      <c r="A827" s="38" t="s">
        <v>1623</v>
      </c>
      <c r="B827" s="34" t="s">
        <v>1622</v>
      </c>
      <c r="C827" s="26" t="s">
        <v>1622</v>
      </c>
      <c r="D827" s="82"/>
      <c r="E827" s="82" t="s">
        <v>418</v>
      </c>
      <c r="F827" s="82" t="s">
        <v>1185</v>
      </c>
      <c r="G827" s="29">
        <v>4646</v>
      </c>
      <c r="H827" s="29">
        <f t="shared" ref="H827:H858" si="436">IF(I827="NC",26,20)</f>
        <v>20</v>
      </c>
      <c r="I827" s="26" t="s">
        <v>13</v>
      </c>
      <c r="J827" s="26" t="s">
        <v>62</v>
      </c>
      <c r="K827" s="26">
        <f>VLOOKUP(J827,TOWNSHIPS,2,FALSE)</f>
        <v>0</v>
      </c>
      <c r="L827" s="42">
        <v>7</v>
      </c>
      <c r="M827" s="42">
        <v>8</v>
      </c>
      <c r="N827" s="42">
        <v>8</v>
      </c>
      <c r="O827" s="83">
        <v>7</v>
      </c>
      <c r="P827" s="83">
        <v>7</v>
      </c>
      <c r="Q827" s="83">
        <v>6</v>
      </c>
      <c r="R827" s="83">
        <v>6</v>
      </c>
      <c r="S827" s="83">
        <v>6</v>
      </c>
      <c r="T827" s="83">
        <v>7</v>
      </c>
      <c r="U827" s="83">
        <v>7</v>
      </c>
      <c r="V827" s="42"/>
      <c r="W827" s="42"/>
      <c r="X827" s="42"/>
      <c r="Y827" s="26">
        <v>44</v>
      </c>
      <c r="Z827" s="26">
        <f t="shared" si="433"/>
        <v>0</v>
      </c>
      <c r="AA827" s="82" t="s">
        <v>1622</v>
      </c>
      <c r="AB827" s="111">
        <f t="shared" si="434"/>
        <v>3</v>
      </c>
      <c r="AC827" s="85" t="s">
        <v>13</v>
      </c>
      <c r="AD827" s="84">
        <f t="shared" si="432"/>
        <v>18478.409090909092</v>
      </c>
      <c r="AE827" s="140"/>
      <c r="AF827" s="113">
        <f t="shared" si="421"/>
        <v>0</v>
      </c>
      <c r="AG827" s="26">
        <v>2022</v>
      </c>
      <c r="AH827" s="26" t="str">
        <f t="shared" si="410"/>
        <v>Chip Seal and Fog</v>
      </c>
      <c r="AI827" s="26" t="str">
        <f t="shared" si="425"/>
        <v/>
      </c>
      <c r="AJ827" s="26" t="str">
        <f t="shared" si="428"/>
        <v/>
      </c>
      <c r="AK827" s="26" t="str">
        <f t="shared" si="431"/>
        <v/>
      </c>
      <c r="AL827" s="26" t="str">
        <f t="shared" si="431"/>
        <v/>
      </c>
      <c r="AM827" s="26" t="str">
        <f t="shared" si="431"/>
        <v/>
      </c>
      <c r="AN827" s="26" t="str">
        <f t="shared" si="419"/>
        <v>Chip Seal and Fog</v>
      </c>
      <c r="AO827" s="26" t="str">
        <f t="shared" si="429"/>
        <v/>
      </c>
      <c r="AP827" s="26" t="str">
        <f t="shared" si="427"/>
        <v>Chip Seal and Fog</v>
      </c>
      <c r="AQ827" s="68">
        <f t="shared" si="423"/>
        <v>10</v>
      </c>
      <c r="AR827" s="68">
        <f t="shared" si="424"/>
        <v>6</v>
      </c>
      <c r="AS827" s="68">
        <f t="shared" si="411"/>
        <v>1.05</v>
      </c>
      <c r="AT827" s="68">
        <f t="shared" si="412"/>
        <v>1</v>
      </c>
      <c r="AU827" s="68">
        <f t="shared" si="413"/>
        <v>1</v>
      </c>
      <c r="AV827" s="68">
        <f t="shared" si="414"/>
        <v>1.05</v>
      </c>
      <c r="AW827" s="68">
        <f t="shared" si="415"/>
        <v>1.05</v>
      </c>
      <c r="AX827" s="68">
        <f t="shared" ca="1" si="435"/>
        <v>-2</v>
      </c>
      <c r="AY827" s="68">
        <v>2022</v>
      </c>
      <c r="AZ827" s="68" t="s">
        <v>13</v>
      </c>
      <c r="BA827" s="106" t="str">
        <f t="shared" si="408"/>
        <v/>
      </c>
      <c r="BB827" s="178">
        <v>94</v>
      </c>
      <c r="BC827" s="178">
        <v>1</v>
      </c>
      <c r="BD827" s="178"/>
      <c r="BE827" s="178"/>
      <c r="BF827" s="178"/>
      <c r="BG827" s="178"/>
      <c r="BH827" s="178"/>
      <c r="BI827" s="33" t="s">
        <v>2607</v>
      </c>
      <c r="BK827" s="48">
        <f>$G827/5280*VLOOKUP($AC827,'Cost and Score'!$B$27:$O$40,6,0)</f>
        <v>0.17598484848484849</v>
      </c>
      <c r="BL827" s="48">
        <f>$G827/5280*VLOOKUP($AC827,'Cost and Score'!$B$27:$O$40,7,0)</f>
        <v>19.358333333333334</v>
      </c>
      <c r="BM827" s="48">
        <f>$G827/5280*VLOOKUP($AC827,'Cost and Score'!$B$27:$O$40,8,0)</f>
        <v>0</v>
      </c>
      <c r="BN827" s="48">
        <f>$G827/5280*VLOOKUP($AC827,'Cost and Score'!$B$27:$O$40,9,0)</f>
        <v>3959.6590909090905</v>
      </c>
      <c r="BO827" s="48">
        <f>$G827/5280*VLOOKUP($AC827,'Cost and Score'!$B$27:$O$40,10,0)</f>
        <v>879.92424242424238</v>
      </c>
      <c r="BP827" s="48">
        <f>$G827/5280*VLOOKUP($AC827,'Cost and Score'!$B$27:$O$40,11,0)</f>
        <v>0</v>
      </c>
      <c r="BQ827" s="48">
        <f>$G827/5280*VLOOKUP($AC827,'Cost and Score'!$B$27:$O$40,12,0)</f>
        <v>87.992424242424235</v>
      </c>
      <c r="BR827" s="48">
        <f>$G827/5280*VLOOKUP($AC827,'Cost and Score'!$B$27:$O$40,13,0)</f>
        <v>105.59090909090909</v>
      </c>
      <c r="BS827" s="48">
        <f>$G827/5280*VLOOKUP($AC827,'Cost and Score'!$B$27:$O$40,14,0)</f>
        <v>0</v>
      </c>
      <c r="BT827" s="220">
        <f t="shared" si="409"/>
        <v>0.87992424242424239</v>
      </c>
      <c r="CN827" s="112"/>
      <c r="CO827" s="112"/>
      <c r="CP827" s="112"/>
      <c r="CQ827" s="112"/>
      <c r="CR827" s="112"/>
      <c r="CV827" s="112"/>
    </row>
    <row r="828" spans="1:103" s="2" customFormat="1" hidden="1" x14ac:dyDescent="0.25">
      <c r="A828" s="31" t="s">
        <v>2102</v>
      </c>
      <c r="B828" s="224" t="s">
        <v>1624</v>
      </c>
      <c r="C828" s="26" t="s">
        <v>1624</v>
      </c>
      <c r="D828" s="36" t="s">
        <v>2235</v>
      </c>
      <c r="E828" s="26" t="s">
        <v>1512</v>
      </c>
      <c r="F828" s="26" t="s">
        <v>1555</v>
      </c>
      <c r="G828" s="29">
        <v>2482</v>
      </c>
      <c r="H828" s="29">
        <f t="shared" si="436"/>
        <v>26</v>
      </c>
      <c r="I828" s="26" t="s">
        <v>2098</v>
      </c>
      <c r="J828" s="26" t="s">
        <v>160</v>
      </c>
      <c r="K828" s="26">
        <f>VLOOKUP(J828,TOWNSHIPS,2,FALSE)</f>
        <v>0</v>
      </c>
      <c r="L828" s="42">
        <v>5</v>
      </c>
      <c r="M828" s="42">
        <v>5</v>
      </c>
      <c r="N828" s="42">
        <v>10</v>
      </c>
      <c r="O828" s="42">
        <v>9</v>
      </c>
      <c r="P828" s="42">
        <v>8</v>
      </c>
      <c r="Q828" s="42">
        <v>7</v>
      </c>
      <c r="R828" s="42">
        <v>7</v>
      </c>
      <c r="S828" s="42">
        <v>7</v>
      </c>
      <c r="T828" s="42">
        <v>7</v>
      </c>
      <c r="U828" s="42">
        <v>7</v>
      </c>
      <c r="V828" s="42"/>
      <c r="W828" s="42"/>
      <c r="X828" s="42"/>
      <c r="Y828" s="26">
        <v>629</v>
      </c>
      <c r="Z828" s="26">
        <f t="shared" si="433"/>
        <v>0.5</v>
      </c>
      <c r="AA828" s="26" t="s">
        <v>1624</v>
      </c>
      <c r="AB828" s="111">
        <f t="shared" si="434"/>
        <v>2.5</v>
      </c>
      <c r="AC828" s="85" t="s">
        <v>2425</v>
      </c>
      <c r="AD828" s="47">
        <f t="shared" si="432"/>
        <v>11751.89393939394</v>
      </c>
      <c r="AE828" s="140"/>
      <c r="AF828" s="113">
        <f t="shared" si="421"/>
        <v>0</v>
      </c>
      <c r="AG828" s="85">
        <v>2026</v>
      </c>
      <c r="AH828" s="26" t="str">
        <f t="shared" si="410"/>
        <v/>
      </c>
      <c r="AI828" s="26" t="str">
        <f t="shared" si="425"/>
        <v/>
      </c>
      <c r="AJ828" s="26" t="str">
        <f t="shared" si="428"/>
        <v/>
      </c>
      <c r="AK828" s="26" t="str">
        <f t="shared" ref="AK828:AM847" si="437">IF($AG828=AK$1,VLOOKUP($AC828,RSL,3,FALSE),"")</f>
        <v/>
      </c>
      <c r="AL828" s="26" t="str">
        <f t="shared" si="437"/>
        <v>Liquid Road</v>
      </c>
      <c r="AM828" s="26" t="str">
        <f t="shared" si="437"/>
        <v/>
      </c>
      <c r="AN828" s="26" t="str">
        <f t="shared" si="419"/>
        <v>Liquid Road</v>
      </c>
      <c r="AO828" s="26" t="str">
        <f t="shared" si="429"/>
        <v/>
      </c>
      <c r="AP828" s="26" t="str">
        <f t="shared" si="427"/>
        <v/>
      </c>
      <c r="AQ828" s="68">
        <f t="shared" si="423"/>
        <v>14</v>
      </c>
      <c r="AR828" s="68">
        <f t="shared" si="424"/>
        <v>10</v>
      </c>
      <c r="AS828" s="68">
        <f t="shared" si="411"/>
        <v>1.25</v>
      </c>
      <c r="AT828" s="68">
        <f t="shared" si="412"/>
        <v>1.25</v>
      </c>
      <c r="AU828" s="68">
        <f t="shared" si="413"/>
        <v>1</v>
      </c>
      <c r="AV828" s="68">
        <f t="shared" si="414"/>
        <v>1</v>
      </c>
      <c r="AW828" s="68">
        <f t="shared" si="415"/>
        <v>1</v>
      </c>
      <c r="AX828" s="68">
        <f t="shared" ca="1" si="435"/>
        <v>2</v>
      </c>
      <c r="AY828" s="68">
        <v>2016</v>
      </c>
      <c r="AZ828" s="68" t="s">
        <v>2371</v>
      </c>
      <c r="BA828" s="106" t="str">
        <f t="shared" si="408"/>
        <v/>
      </c>
      <c r="BB828" s="178"/>
      <c r="BC828" s="178"/>
      <c r="BD828" s="178">
        <v>1</v>
      </c>
      <c r="BE828" s="178"/>
      <c r="BF828" s="178"/>
      <c r="BG828" s="178"/>
      <c r="BH828" s="178"/>
      <c r="BI828" s="33"/>
      <c r="BK828" s="48">
        <f>$G828/5280*VLOOKUP($AC828,'Cost and Score'!$B$27:$O$40,6,0)</f>
        <v>0.47007575757575759</v>
      </c>
      <c r="BL828" s="48">
        <f>$G828/5280*VLOOKUP($AC828,'Cost and Score'!$B$27:$O$40,7,0)</f>
        <v>7.5212121212121215</v>
      </c>
      <c r="BM828" s="48">
        <f>$G828/5280*VLOOKUP($AC828,'Cost and Score'!$B$27:$O$40,8,0)</f>
        <v>0</v>
      </c>
      <c r="BN828" s="48">
        <f>$G828/5280*VLOOKUP($AC828,'Cost and Score'!$B$27:$O$40,9,0)</f>
        <v>0</v>
      </c>
      <c r="BO828" s="48">
        <f>$G828/5280*VLOOKUP($AC828,'Cost and Score'!$B$27:$O$40,10,0)</f>
        <v>0</v>
      </c>
      <c r="BP828" s="48">
        <f>$G828/5280*VLOOKUP($AC828,'Cost and Score'!$B$27:$O$40,11,0)</f>
        <v>0</v>
      </c>
      <c r="BQ828" s="48">
        <f>$G828/5280*VLOOKUP($AC828,'Cost and Score'!$B$27:$O$40,12,0)</f>
        <v>0</v>
      </c>
      <c r="BR828" s="48">
        <f>$G828/5280*VLOOKUP($AC828,'Cost and Score'!$B$27:$O$40,13,0)</f>
        <v>0</v>
      </c>
      <c r="BS828" s="48">
        <f>$G828/5280*VLOOKUP($AC828,'Cost and Score'!$B$27:$O$40,14,0)</f>
        <v>0</v>
      </c>
      <c r="BT828" s="220">
        <f t="shared" si="409"/>
        <v>0.47007575757575759</v>
      </c>
      <c r="CF828" s="112"/>
    </row>
    <row r="829" spans="1:103" s="2" customFormat="1" hidden="1" x14ac:dyDescent="0.25">
      <c r="A829" s="31" t="s">
        <v>2102</v>
      </c>
      <c r="B829" s="226" t="s">
        <v>1625</v>
      </c>
      <c r="C829" s="106" t="s">
        <v>1625</v>
      </c>
      <c r="D829" s="116" t="s">
        <v>2230</v>
      </c>
      <c r="E829" s="106" t="s">
        <v>4</v>
      </c>
      <c r="F829" s="106" t="s">
        <v>1585</v>
      </c>
      <c r="G829" s="109">
        <v>634</v>
      </c>
      <c r="H829" s="109">
        <f t="shared" si="436"/>
        <v>26</v>
      </c>
      <c r="I829" s="106" t="s">
        <v>2098</v>
      </c>
      <c r="J829" s="106" t="s">
        <v>101</v>
      </c>
      <c r="K829" s="106">
        <v>0</v>
      </c>
      <c r="L829" s="110">
        <v>7</v>
      </c>
      <c r="M829" s="110">
        <v>8</v>
      </c>
      <c r="N829" s="110">
        <v>8</v>
      </c>
      <c r="O829" s="110">
        <v>7</v>
      </c>
      <c r="P829" s="110">
        <v>8</v>
      </c>
      <c r="Q829" s="110">
        <v>7</v>
      </c>
      <c r="R829" s="110">
        <v>6</v>
      </c>
      <c r="S829" s="110">
        <v>6</v>
      </c>
      <c r="T829" s="110">
        <v>6</v>
      </c>
      <c r="U829" s="110">
        <v>6</v>
      </c>
      <c r="V829" s="110"/>
      <c r="W829" s="110"/>
      <c r="X829" s="110"/>
      <c r="Y829" s="106">
        <v>50</v>
      </c>
      <c r="Z829" s="106">
        <f t="shared" si="433"/>
        <v>0</v>
      </c>
      <c r="AA829" s="106" t="s">
        <v>1625</v>
      </c>
      <c r="AB829" s="111">
        <f t="shared" si="434"/>
        <v>2</v>
      </c>
      <c r="AC829" s="85" t="s">
        <v>2371</v>
      </c>
      <c r="AD829" s="107">
        <f t="shared" si="432"/>
        <v>9606.060606060606</v>
      </c>
      <c r="AE829" s="140">
        <v>1</v>
      </c>
      <c r="AF829" s="113">
        <f t="shared" si="421"/>
        <v>9606.060606060606</v>
      </c>
      <c r="AG829" s="85">
        <v>2024</v>
      </c>
      <c r="AH829" s="26" t="str">
        <f t="shared" si="410"/>
        <v/>
      </c>
      <c r="AI829" s="26" t="str">
        <f t="shared" si="425"/>
        <v/>
      </c>
      <c r="AJ829" s="26" t="str">
        <f t="shared" si="428"/>
        <v>Microsurface double</v>
      </c>
      <c r="AK829" s="26" t="str">
        <f t="shared" si="437"/>
        <v/>
      </c>
      <c r="AL829" s="26" t="str">
        <f t="shared" si="437"/>
        <v/>
      </c>
      <c r="AM829" s="26" t="str">
        <f t="shared" si="437"/>
        <v/>
      </c>
      <c r="AN829" s="26" t="str">
        <f t="shared" si="419"/>
        <v>Microsurface double</v>
      </c>
      <c r="AO829" s="26" t="str">
        <f t="shared" si="429"/>
        <v/>
      </c>
      <c r="AP829" s="26" t="str">
        <f t="shared" si="427"/>
        <v/>
      </c>
      <c r="AQ829" s="68">
        <f t="shared" si="423"/>
        <v>10</v>
      </c>
      <c r="AR829" s="68">
        <f t="shared" si="424"/>
        <v>10</v>
      </c>
      <c r="AS829" s="68">
        <f t="shared" si="411"/>
        <v>1.05</v>
      </c>
      <c r="AT829" s="68">
        <f t="shared" si="412"/>
        <v>1</v>
      </c>
      <c r="AU829" s="68">
        <f t="shared" si="413"/>
        <v>1</v>
      </c>
      <c r="AV829" s="68">
        <f t="shared" si="414"/>
        <v>1.05</v>
      </c>
      <c r="AW829" s="68">
        <f t="shared" si="415"/>
        <v>1</v>
      </c>
      <c r="AX829" s="68">
        <f t="shared" ca="1" si="435"/>
        <v>0</v>
      </c>
      <c r="AY829" s="106">
        <v>2017</v>
      </c>
      <c r="AZ829" s="68" t="s">
        <v>2371</v>
      </c>
      <c r="BA829" s="106" t="str">
        <f t="shared" si="408"/>
        <v/>
      </c>
      <c r="BB829" s="178"/>
      <c r="BC829" s="178"/>
      <c r="BD829" s="178">
        <v>1</v>
      </c>
      <c r="BE829" s="178"/>
      <c r="BF829" s="178"/>
      <c r="BG829" s="178"/>
      <c r="BH829" s="178"/>
      <c r="BI829" s="33" t="s">
        <v>2623</v>
      </c>
      <c r="BK829" s="48">
        <f>$G829/5280*VLOOKUP($AC829,'Cost and Score'!$B$27:$O$40,6,0)</f>
        <v>6.0037878787878786E-2</v>
      </c>
      <c r="BL829" s="48">
        <f>$G829/5280*VLOOKUP($AC829,'Cost and Score'!$B$27:$O$40,7,0)</f>
        <v>0</v>
      </c>
      <c r="BM829" s="48">
        <f>$G829/5280*VLOOKUP($AC829,'Cost and Score'!$B$27:$O$40,8,0)</f>
        <v>0</v>
      </c>
      <c r="BN829" s="48">
        <f>$G829/5280*VLOOKUP($AC829,'Cost and Score'!$B$27:$O$40,9,0)</f>
        <v>0</v>
      </c>
      <c r="BO829" s="48">
        <f>$G829/5280*VLOOKUP($AC829,'Cost and Score'!$B$27:$O$40,10,0)</f>
        <v>0</v>
      </c>
      <c r="BP829" s="48">
        <f>$G829/5280*VLOOKUP($AC829,'Cost and Score'!$B$27:$O$40,11,0)</f>
        <v>0</v>
      </c>
      <c r="BQ829" s="48">
        <f>$G829/5280*VLOOKUP($AC829,'Cost and Score'!$B$27:$O$40,12,0)</f>
        <v>0</v>
      </c>
      <c r="BR829" s="48">
        <f>$G829/5280*VLOOKUP($AC829,'Cost and Score'!$B$27:$O$40,13,0)</f>
        <v>0</v>
      </c>
      <c r="BS829" s="48">
        <f>$G829/5280*VLOOKUP($AC829,'Cost and Score'!$B$27:$O$40,14,0)</f>
        <v>0</v>
      </c>
      <c r="BT829" s="220">
        <f t="shared" si="409"/>
        <v>0.12007575757575757</v>
      </c>
      <c r="CG829" s="112"/>
      <c r="CH829" s="112"/>
      <c r="CI829" s="112"/>
      <c r="CJ829" s="112"/>
      <c r="CK829" s="112"/>
      <c r="CL829" s="112"/>
      <c r="CM829" s="112"/>
      <c r="CS829" s="112"/>
      <c r="CT829" s="112"/>
      <c r="CU829" s="112"/>
    </row>
    <row r="830" spans="1:103" s="112" customFormat="1" x14ac:dyDescent="0.25">
      <c r="A830" s="31" t="s">
        <v>2102</v>
      </c>
      <c r="B830" s="45" t="s">
        <v>1750</v>
      </c>
      <c r="C830" s="26" t="s">
        <v>1750</v>
      </c>
      <c r="D830" s="119" t="s">
        <v>2285</v>
      </c>
      <c r="E830" s="82" t="s">
        <v>1487</v>
      </c>
      <c r="F830" s="82" t="s">
        <v>1462</v>
      </c>
      <c r="G830" s="148">
        <v>898</v>
      </c>
      <c r="H830" s="29">
        <f t="shared" si="436"/>
        <v>26</v>
      </c>
      <c r="I830" s="26" t="s">
        <v>2098</v>
      </c>
      <c r="J830" s="26" t="s">
        <v>125</v>
      </c>
      <c r="K830" s="26">
        <f>VLOOKUP(J830,TOWNSHIPS,2,FALSE)</f>
        <v>0</v>
      </c>
      <c r="L830" s="42">
        <v>7</v>
      </c>
      <c r="M830" s="42">
        <v>8</v>
      </c>
      <c r="N830" s="42">
        <v>8</v>
      </c>
      <c r="O830" s="83">
        <v>8</v>
      </c>
      <c r="P830" s="83">
        <v>8</v>
      </c>
      <c r="Q830" s="83">
        <v>8</v>
      </c>
      <c r="R830" s="83">
        <v>8</v>
      </c>
      <c r="S830" s="83">
        <v>8</v>
      </c>
      <c r="T830" s="83">
        <v>8</v>
      </c>
      <c r="U830" s="83">
        <v>7</v>
      </c>
      <c r="V830" s="42"/>
      <c r="W830" s="42"/>
      <c r="X830" s="42"/>
      <c r="Y830" s="26">
        <v>50</v>
      </c>
      <c r="Z830" s="26">
        <f t="shared" si="433"/>
        <v>0</v>
      </c>
      <c r="AA830" s="82" t="s">
        <v>1750</v>
      </c>
      <c r="AB830" s="111">
        <f t="shared" si="434"/>
        <v>2</v>
      </c>
      <c r="AC830" s="85" t="s">
        <v>2425</v>
      </c>
      <c r="AD830" s="84">
        <f t="shared" si="432"/>
        <v>4251.893939393939</v>
      </c>
      <c r="AE830" s="140"/>
      <c r="AF830" s="113">
        <f t="shared" si="421"/>
        <v>0</v>
      </c>
      <c r="AG830" s="106">
        <v>2025</v>
      </c>
      <c r="AH830" s="26" t="str">
        <f t="shared" si="410"/>
        <v/>
      </c>
      <c r="AI830" s="26" t="str">
        <f t="shared" si="425"/>
        <v/>
      </c>
      <c r="AJ830" s="26" t="str">
        <f t="shared" si="428"/>
        <v/>
      </c>
      <c r="AK830" s="26" t="str">
        <f t="shared" si="437"/>
        <v>Liquid Road</v>
      </c>
      <c r="AL830" s="26" t="str">
        <f t="shared" si="437"/>
        <v/>
      </c>
      <c r="AM830" s="26" t="str">
        <f t="shared" si="437"/>
        <v/>
      </c>
      <c r="AN830" s="26" t="str">
        <f t="shared" si="419"/>
        <v>Liquid Road</v>
      </c>
      <c r="AO830" s="26" t="str">
        <f t="shared" si="429"/>
        <v/>
      </c>
      <c r="AP830" s="26" t="str">
        <f t="shared" si="427"/>
        <v/>
      </c>
      <c r="AQ830" s="68">
        <f t="shared" si="423"/>
        <v>12</v>
      </c>
      <c r="AR830" s="68">
        <f t="shared" si="424"/>
        <v>10</v>
      </c>
      <c r="AS830" s="68">
        <f t="shared" si="411"/>
        <v>1.05</v>
      </c>
      <c r="AT830" s="68">
        <f t="shared" si="412"/>
        <v>1</v>
      </c>
      <c r="AU830" s="68">
        <f t="shared" si="413"/>
        <v>1</v>
      </c>
      <c r="AV830" s="68">
        <f t="shared" si="414"/>
        <v>1</v>
      </c>
      <c r="AW830" s="68">
        <f t="shared" si="415"/>
        <v>1</v>
      </c>
      <c r="AX830" s="68">
        <f t="shared" ca="1" si="435"/>
        <v>1</v>
      </c>
      <c r="AY830" s="68">
        <v>2019</v>
      </c>
      <c r="AZ830" s="85" t="s">
        <v>2075</v>
      </c>
      <c r="BA830" s="106" t="str">
        <f t="shared" si="408"/>
        <v/>
      </c>
      <c r="BB830" s="203"/>
      <c r="BC830" s="178"/>
      <c r="BD830" s="178"/>
      <c r="BE830" s="178"/>
      <c r="BF830" s="178"/>
      <c r="BG830" s="178"/>
      <c r="BH830" s="178"/>
      <c r="BI830" s="33"/>
      <c r="BJ830" s="2"/>
      <c r="BK830" s="48">
        <f>$G830/5280*VLOOKUP($AC830,'Cost and Score'!$B$27:$O$40,6,0)</f>
        <v>0.17007575757575757</v>
      </c>
      <c r="BL830" s="48">
        <f>$G830/5280*VLOOKUP($AC830,'Cost and Score'!$B$27:$O$40,7,0)</f>
        <v>2.7212121212121212</v>
      </c>
      <c r="BM830" s="48">
        <f>$G830/5280*VLOOKUP($AC830,'Cost and Score'!$B$27:$O$40,8,0)</f>
        <v>0</v>
      </c>
      <c r="BN830" s="48">
        <f>$G830/5280*VLOOKUP($AC830,'Cost and Score'!$B$27:$O$40,9,0)</f>
        <v>0</v>
      </c>
      <c r="BO830" s="48">
        <f>$G830/5280*VLOOKUP($AC830,'Cost and Score'!$B$27:$O$40,10,0)</f>
        <v>0</v>
      </c>
      <c r="BP830" s="48">
        <f>$G830/5280*VLOOKUP($AC830,'Cost and Score'!$B$27:$O$40,11,0)</f>
        <v>0</v>
      </c>
      <c r="BQ830" s="48">
        <f>$G830/5280*VLOOKUP($AC830,'Cost and Score'!$B$27:$O$40,12,0)</f>
        <v>0</v>
      </c>
      <c r="BR830" s="48">
        <f>$G830/5280*VLOOKUP($AC830,'Cost and Score'!$B$27:$O$40,13,0)</f>
        <v>0</v>
      </c>
      <c r="BS830" s="48">
        <f>$G830/5280*VLOOKUP($AC830,'Cost and Score'!$B$27:$O$40,14,0)</f>
        <v>0</v>
      </c>
      <c r="BT830" s="220">
        <f t="shared" si="409"/>
        <v>0.17007575757575757</v>
      </c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S830" s="2"/>
      <c r="CT830" s="2"/>
      <c r="CU830" s="2"/>
      <c r="CV830" s="2"/>
    </row>
    <row r="831" spans="1:103" s="2" customFormat="1" hidden="1" x14ac:dyDescent="0.25">
      <c r="A831" s="31" t="s">
        <v>2102</v>
      </c>
      <c r="B831" s="224" t="s">
        <v>1627</v>
      </c>
      <c r="C831" s="26" t="s">
        <v>1627</v>
      </c>
      <c r="D831" s="119" t="s">
        <v>2242</v>
      </c>
      <c r="E831" s="82" t="s">
        <v>165</v>
      </c>
      <c r="F831" s="82" t="s">
        <v>1502</v>
      </c>
      <c r="G831" s="29">
        <v>739</v>
      </c>
      <c r="H831" s="29">
        <f t="shared" si="436"/>
        <v>26</v>
      </c>
      <c r="I831" s="26" t="s">
        <v>2098</v>
      </c>
      <c r="J831" s="26" t="s">
        <v>101</v>
      </c>
      <c r="K831" s="26">
        <v>0</v>
      </c>
      <c r="L831" s="42">
        <v>7</v>
      </c>
      <c r="M831" s="42">
        <v>8</v>
      </c>
      <c r="N831" s="42">
        <v>7</v>
      </c>
      <c r="O831" s="83">
        <v>7</v>
      </c>
      <c r="P831" s="83">
        <v>7</v>
      </c>
      <c r="Q831" s="83">
        <v>7</v>
      </c>
      <c r="R831" s="83">
        <v>7</v>
      </c>
      <c r="S831" s="83">
        <v>7</v>
      </c>
      <c r="T831" s="83">
        <v>7</v>
      </c>
      <c r="U831" s="83">
        <v>7</v>
      </c>
      <c r="V831" s="42"/>
      <c r="W831" s="42"/>
      <c r="X831" s="42"/>
      <c r="Y831" s="26">
        <v>50</v>
      </c>
      <c r="Z831" s="26">
        <f t="shared" si="433"/>
        <v>0</v>
      </c>
      <c r="AA831" s="82" t="s">
        <v>1627</v>
      </c>
      <c r="AB831" s="111">
        <f t="shared" si="434"/>
        <v>3</v>
      </c>
      <c r="AC831" s="85" t="s">
        <v>2425</v>
      </c>
      <c r="AD831" s="84">
        <f t="shared" si="432"/>
        <v>3499.0530303030305</v>
      </c>
      <c r="AE831" s="140"/>
      <c r="AF831" s="113">
        <f t="shared" si="421"/>
        <v>0</v>
      </c>
      <c r="AG831" s="85">
        <v>2026</v>
      </c>
      <c r="AH831" s="26" t="str">
        <f t="shared" si="410"/>
        <v/>
      </c>
      <c r="AI831" s="26" t="str">
        <f t="shared" si="425"/>
        <v/>
      </c>
      <c r="AJ831" s="26" t="str">
        <f t="shared" si="428"/>
        <v/>
      </c>
      <c r="AK831" s="26" t="str">
        <f t="shared" si="437"/>
        <v/>
      </c>
      <c r="AL831" s="26" t="str">
        <f t="shared" si="437"/>
        <v>Liquid Road</v>
      </c>
      <c r="AM831" s="26" t="str">
        <f t="shared" si="437"/>
        <v/>
      </c>
      <c r="AN831" s="26" t="str">
        <f t="shared" si="419"/>
        <v>Liquid Road</v>
      </c>
      <c r="AO831" s="26" t="str">
        <f t="shared" si="429"/>
        <v/>
      </c>
      <c r="AP831" s="26" t="str">
        <f t="shared" si="427"/>
        <v/>
      </c>
      <c r="AQ831" s="68">
        <f t="shared" si="423"/>
        <v>10</v>
      </c>
      <c r="AR831" s="68">
        <f t="shared" si="424"/>
        <v>10</v>
      </c>
      <c r="AS831" s="68">
        <f t="shared" si="411"/>
        <v>1.05</v>
      </c>
      <c r="AT831" s="68">
        <f t="shared" si="412"/>
        <v>1</v>
      </c>
      <c r="AU831" s="68">
        <f t="shared" si="413"/>
        <v>1.05</v>
      </c>
      <c r="AV831" s="68">
        <f t="shared" si="414"/>
        <v>1.05</v>
      </c>
      <c r="AW831" s="68">
        <f t="shared" si="415"/>
        <v>1.05</v>
      </c>
      <c r="AX831" s="68">
        <f t="shared" ca="1" si="435"/>
        <v>2.1</v>
      </c>
      <c r="AY831" s="68">
        <v>2016</v>
      </c>
      <c r="AZ831" s="68" t="s">
        <v>2463</v>
      </c>
      <c r="BA831" s="106" t="str">
        <f t="shared" si="408"/>
        <v/>
      </c>
      <c r="BB831" s="178"/>
      <c r="BC831" s="178"/>
      <c r="BD831" s="178">
        <v>1</v>
      </c>
      <c r="BE831" s="178"/>
      <c r="BF831" s="178"/>
      <c r="BG831" s="178"/>
      <c r="BH831" s="178"/>
      <c r="BI831" s="33"/>
      <c r="BK831" s="48">
        <f>$G831/5280*VLOOKUP($AC831,'Cost and Score'!$B$27:$O$40,6,0)</f>
        <v>0.1399621212121212</v>
      </c>
      <c r="BL831" s="48">
        <f>$G831/5280*VLOOKUP($AC831,'Cost and Score'!$B$27:$O$40,7,0)</f>
        <v>2.2393939393939393</v>
      </c>
      <c r="BM831" s="48">
        <f>$G831/5280*VLOOKUP($AC831,'Cost and Score'!$B$27:$O$40,8,0)</f>
        <v>0</v>
      </c>
      <c r="BN831" s="48">
        <f>$G831/5280*VLOOKUP($AC831,'Cost and Score'!$B$27:$O$40,9,0)</f>
        <v>0</v>
      </c>
      <c r="BO831" s="48">
        <f>$G831/5280*VLOOKUP($AC831,'Cost and Score'!$B$27:$O$40,10,0)</f>
        <v>0</v>
      </c>
      <c r="BP831" s="48">
        <f>$G831/5280*VLOOKUP($AC831,'Cost and Score'!$B$27:$O$40,11,0)</f>
        <v>0</v>
      </c>
      <c r="BQ831" s="48">
        <f>$G831/5280*VLOOKUP($AC831,'Cost and Score'!$B$27:$O$40,12,0)</f>
        <v>0</v>
      </c>
      <c r="BR831" s="48">
        <f>$G831/5280*VLOOKUP($AC831,'Cost and Score'!$B$27:$O$40,13,0)</f>
        <v>0</v>
      </c>
      <c r="BS831" s="48">
        <f>$G831/5280*VLOOKUP($AC831,'Cost and Score'!$B$27:$O$40,14,0)</f>
        <v>0</v>
      </c>
      <c r="BT831" s="220">
        <f t="shared" si="409"/>
        <v>0.1399621212121212</v>
      </c>
      <c r="CN831" s="112"/>
      <c r="CO831" s="112"/>
      <c r="CP831" s="112"/>
      <c r="CQ831" s="112"/>
      <c r="CV831" s="112"/>
    </row>
    <row r="832" spans="1:103" s="2" customFormat="1" ht="14.45" hidden="1" customHeight="1" x14ac:dyDescent="0.25">
      <c r="A832" s="31" t="s">
        <v>2102</v>
      </c>
      <c r="B832" s="224" t="s">
        <v>1628</v>
      </c>
      <c r="C832" s="26" t="s">
        <v>1628</v>
      </c>
      <c r="D832" s="119" t="s">
        <v>2242</v>
      </c>
      <c r="E832" s="82" t="s">
        <v>165</v>
      </c>
      <c r="F832" s="82" t="s">
        <v>1502</v>
      </c>
      <c r="G832" s="29">
        <v>317</v>
      </c>
      <c r="H832" s="29">
        <f t="shared" si="436"/>
        <v>26</v>
      </c>
      <c r="I832" s="26" t="s">
        <v>2098</v>
      </c>
      <c r="J832" s="26" t="s">
        <v>101</v>
      </c>
      <c r="K832" s="26">
        <v>0</v>
      </c>
      <c r="L832" s="42">
        <v>7</v>
      </c>
      <c r="M832" s="42">
        <v>8</v>
      </c>
      <c r="N832" s="42">
        <v>8</v>
      </c>
      <c r="O832" s="83">
        <v>8</v>
      </c>
      <c r="P832" s="83">
        <v>8</v>
      </c>
      <c r="Q832" s="83">
        <v>7</v>
      </c>
      <c r="R832" s="83">
        <v>7</v>
      </c>
      <c r="S832" s="83">
        <v>7</v>
      </c>
      <c r="T832" s="83">
        <v>7</v>
      </c>
      <c r="U832" s="83">
        <v>7</v>
      </c>
      <c r="V832" s="42"/>
      <c r="W832" s="42"/>
      <c r="X832" s="42"/>
      <c r="Y832" s="26">
        <v>50</v>
      </c>
      <c r="Z832" s="26">
        <f t="shared" si="433"/>
        <v>0</v>
      </c>
      <c r="AA832" s="82" t="s">
        <v>1628</v>
      </c>
      <c r="AB832" s="111">
        <f t="shared" si="434"/>
        <v>2</v>
      </c>
      <c r="AC832" s="85" t="s">
        <v>2425</v>
      </c>
      <c r="AD832" s="84">
        <f t="shared" si="432"/>
        <v>1500.9469696969697</v>
      </c>
      <c r="AE832" s="140"/>
      <c r="AF832" s="113">
        <f t="shared" si="421"/>
        <v>0</v>
      </c>
      <c r="AG832" s="85">
        <v>2026</v>
      </c>
      <c r="AH832" s="26" t="str">
        <f t="shared" si="410"/>
        <v/>
      </c>
      <c r="AI832" s="26" t="str">
        <f t="shared" si="425"/>
        <v/>
      </c>
      <c r="AJ832" s="26" t="str">
        <f t="shared" si="428"/>
        <v/>
      </c>
      <c r="AK832" s="26" t="str">
        <f t="shared" si="437"/>
        <v/>
      </c>
      <c r="AL832" s="26" t="str">
        <f t="shared" si="437"/>
        <v>Liquid Road</v>
      </c>
      <c r="AM832" s="26" t="str">
        <f t="shared" si="437"/>
        <v/>
      </c>
      <c r="AN832" s="26" t="str">
        <f t="shared" si="419"/>
        <v>Liquid Road</v>
      </c>
      <c r="AO832" s="26" t="str">
        <f t="shared" si="429"/>
        <v/>
      </c>
      <c r="AP832" s="26" t="str">
        <f t="shared" si="427"/>
        <v/>
      </c>
      <c r="AQ832" s="68">
        <f t="shared" si="423"/>
        <v>12</v>
      </c>
      <c r="AR832" s="68">
        <f t="shared" si="424"/>
        <v>10</v>
      </c>
      <c r="AS832" s="68">
        <f t="shared" si="411"/>
        <v>1.05</v>
      </c>
      <c r="AT832" s="68">
        <f t="shared" si="412"/>
        <v>1</v>
      </c>
      <c r="AU832" s="68">
        <f t="shared" si="413"/>
        <v>1</v>
      </c>
      <c r="AV832" s="68">
        <f t="shared" si="414"/>
        <v>1</v>
      </c>
      <c r="AW832" s="68">
        <f t="shared" si="415"/>
        <v>1</v>
      </c>
      <c r="AX832" s="68">
        <f t="shared" ca="1" si="435"/>
        <v>2</v>
      </c>
      <c r="AY832" s="68">
        <v>2016</v>
      </c>
      <c r="AZ832" s="68" t="s">
        <v>2075</v>
      </c>
      <c r="BA832" s="106" t="str">
        <f t="shared" si="408"/>
        <v/>
      </c>
      <c r="BB832" s="178"/>
      <c r="BC832" s="178"/>
      <c r="BD832" s="178">
        <v>1</v>
      </c>
      <c r="BE832" s="178"/>
      <c r="BF832" s="178"/>
      <c r="BG832" s="178"/>
      <c r="BH832" s="178"/>
      <c r="BI832" s="33"/>
      <c r="BK832" s="48">
        <f>$G832/5280*VLOOKUP($AC832,'Cost and Score'!$B$27:$O$40,6,0)</f>
        <v>6.0037878787878786E-2</v>
      </c>
      <c r="BL832" s="48">
        <f>$G832/5280*VLOOKUP($AC832,'Cost and Score'!$B$27:$O$40,7,0)</f>
        <v>0.96060606060606057</v>
      </c>
      <c r="BM832" s="48">
        <f>$G832/5280*VLOOKUP($AC832,'Cost and Score'!$B$27:$O$40,8,0)</f>
        <v>0</v>
      </c>
      <c r="BN832" s="48">
        <f>$G832/5280*VLOOKUP($AC832,'Cost and Score'!$B$27:$O$40,9,0)</f>
        <v>0</v>
      </c>
      <c r="BO832" s="48">
        <f>$G832/5280*VLOOKUP($AC832,'Cost and Score'!$B$27:$O$40,10,0)</f>
        <v>0</v>
      </c>
      <c r="BP832" s="48">
        <f>$G832/5280*VLOOKUP($AC832,'Cost and Score'!$B$27:$O$40,11,0)</f>
        <v>0</v>
      </c>
      <c r="BQ832" s="48">
        <f>$G832/5280*VLOOKUP($AC832,'Cost and Score'!$B$27:$O$40,12,0)</f>
        <v>0</v>
      </c>
      <c r="BR832" s="48">
        <f>$G832/5280*VLOOKUP($AC832,'Cost and Score'!$B$27:$O$40,13,0)</f>
        <v>0</v>
      </c>
      <c r="BS832" s="48">
        <f>$G832/5280*VLOOKUP($AC832,'Cost and Score'!$B$27:$O$40,14,0)</f>
        <v>0</v>
      </c>
      <c r="BT832" s="220">
        <f t="shared" si="409"/>
        <v>6.0037878787878786E-2</v>
      </c>
    </row>
    <row r="833" spans="1:103" s="2" customFormat="1" hidden="1" x14ac:dyDescent="0.25">
      <c r="A833" s="31" t="s">
        <v>2102</v>
      </c>
      <c r="B833" s="224" t="s">
        <v>1629</v>
      </c>
      <c r="C833" s="26" t="s">
        <v>1629</v>
      </c>
      <c r="D833" s="119" t="s">
        <v>2242</v>
      </c>
      <c r="E833" s="82" t="s">
        <v>165</v>
      </c>
      <c r="F833" s="82" t="s">
        <v>1502</v>
      </c>
      <c r="G833" s="29">
        <v>1584</v>
      </c>
      <c r="H833" s="29">
        <f t="shared" si="436"/>
        <v>26</v>
      </c>
      <c r="I833" s="26" t="s">
        <v>2098</v>
      </c>
      <c r="J833" s="26" t="s">
        <v>101</v>
      </c>
      <c r="K833" s="26">
        <v>0</v>
      </c>
      <c r="L833" s="42">
        <v>7</v>
      </c>
      <c r="M833" s="42">
        <v>8</v>
      </c>
      <c r="N833" s="42">
        <v>8</v>
      </c>
      <c r="O833" s="83">
        <v>8</v>
      </c>
      <c r="P833" s="83">
        <v>8</v>
      </c>
      <c r="Q833" s="83">
        <v>7</v>
      </c>
      <c r="R833" s="83">
        <v>7</v>
      </c>
      <c r="S833" s="83">
        <v>7</v>
      </c>
      <c r="T833" s="83">
        <v>7</v>
      </c>
      <c r="U833" s="83">
        <v>7</v>
      </c>
      <c r="V833" s="42"/>
      <c r="W833" s="42"/>
      <c r="X833" s="42"/>
      <c r="Y833" s="26">
        <v>50</v>
      </c>
      <c r="Z833" s="26">
        <f t="shared" si="433"/>
        <v>0</v>
      </c>
      <c r="AA833" s="82" t="s">
        <v>1630</v>
      </c>
      <c r="AB833" s="111">
        <f t="shared" si="434"/>
        <v>2</v>
      </c>
      <c r="AC833" s="85" t="s">
        <v>2425</v>
      </c>
      <c r="AD833" s="84">
        <f t="shared" si="432"/>
        <v>7500</v>
      </c>
      <c r="AE833" s="140"/>
      <c r="AF833" s="113">
        <f t="shared" si="421"/>
        <v>0</v>
      </c>
      <c r="AG833" s="85">
        <v>2026</v>
      </c>
      <c r="AH833" s="26" t="str">
        <f t="shared" si="410"/>
        <v/>
      </c>
      <c r="AI833" s="26" t="str">
        <f t="shared" si="425"/>
        <v/>
      </c>
      <c r="AJ833" s="26" t="str">
        <f t="shared" si="428"/>
        <v/>
      </c>
      <c r="AK833" s="26" t="str">
        <f t="shared" si="437"/>
        <v/>
      </c>
      <c r="AL833" s="26" t="str">
        <f t="shared" si="437"/>
        <v>Liquid Road</v>
      </c>
      <c r="AM833" s="26" t="str">
        <f t="shared" si="437"/>
        <v/>
      </c>
      <c r="AN833" s="26" t="str">
        <f t="shared" si="419"/>
        <v>Liquid Road</v>
      </c>
      <c r="AO833" s="26" t="str">
        <f t="shared" si="429"/>
        <v/>
      </c>
      <c r="AP833" s="26" t="str">
        <f t="shared" si="427"/>
        <v/>
      </c>
      <c r="AQ833" s="68">
        <f t="shared" si="423"/>
        <v>12</v>
      </c>
      <c r="AR833" s="68">
        <f t="shared" si="424"/>
        <v>10</v>
      </c>
      <c r="AS833" s="68">
        <f t="shared" si="411"/>
        <v>1.05</v>
      </c>
      <c r="AT833" s="68">
        <f t="shared" si="412"/>
        <v>1</v>
      </c>
      <c r="AU833" s="68">
        <f t="shared" si="413"/>
        <v>1</v>
      </c>
      <c r="AV833" s="68">
        <f t="shared" si="414"/>
        <v>1</v>
      </c>
      <c r="AW833" s="68">
        <f t="shared" si="415"/>
        <v>1</v>
      </c>
      <c r="AX833" s="68">
        <f t="shared" ca="1" si="435"/>
        <v>2</v>
      </c>
      <c r="AY833" s="68">
        <v>2016</v>
      </c>
      <c r="AZ833" s="68" t="s">
        <v>2075</v>
      </c>
      <c r="BA833" s="106" t="str">
        <f t="shared" si="408"/>
        <v/>
      </c>
      <c r="BB833" s="178"/>
      <c r="BC833" s="178"/>
      <c r="BD833" s="178">
        <v>1</v>
      </c>
      <c r="BE833" s="178"/>
      <c r="BF833" s="178"/>
      <c r="BG833" s="178"/>
      <c r="BH833" s="178"/>
      <c r="BI833" s="33"/>
      <c r="BK833" s="48">
        <f>$G833/5280*VLOOKUP($AC833,'Cost and Score'!$B$27:$O$40,6,0)</f>
        <v>0.3</v>
      </c>
      <c r="BL833" s="48">
        <f>$G833/5280*VLOOKUP($AC833,'Cost and Score'!$B$27:$O$40,7,0)</f>
        <v>4.8</v>
      </c>
      <c r="BM833" s="48">
        <f>$G833/5280*VLOOKUP($AC833,'Cost and Score'!$B$27:$O$40,8,0)</f>
        <v>0</v>
      </c>
      <c r="BN833" s="48">
        <f>$G833/5280*VLOOKUP($AC833,'Cost and Score'!$B$27:$O$40,9,0)</f>
        <v>0</v>
      </c>
      <c r="BO833" s="48">
        <f>$G833/5280*VLOOKUP($AC833,'Cost and Score'!$B$27:$O$40,10,0)</f>
        <v>0</v>
      </c>
      <c r="BP833" s="48">
        <f>$G833/5280*VLOOKUP($AC833,'Cost and Score'!$B$27:$O$40,11,0)</f>
        <v>0</v>
      </c>
      <c r="BQ833" s="48">
        <f>$G833/5280*VLOOKUP($AC833,'Cost and Score'!$B$27:$O$40,12,0)</f>
        <v>0</v>
      </c>
      <c r="BR833" s="48">
        <f>$G833/5280*VLOOKUP($AC833,'Cost and Score'!$B$27:$O$40,13,0)</f>
        <v>0</v>
      </c>
      <c r="BS833" s="48">
        <f>$G833/5280*VLOOKUP($AC833,'Cost and Score'!$B$27:$O$40,14,0)</f>
        <v>0</v>
      </c>
      <c r="BT833" s="220">
        <f t="shared" si="409"/>
        <v>0.3</v>
      </c>
      <c r="CR833" s="112"/>
    </row>
    <row r="834" spans="1:103" s="2" customFormat="1" ht="14.45" hidden="1" customHeight="1" x14ac:dyDescent="0.25">
      <c r="A834" s="31"/>
      <c r="B834" s="224" t="s">
        <v>1631</v>
      </c>
      <c r="C834" s="26" t="s">
        <v>1631</v>
      </c>
      <c r="D834" s="36" t="s">
        <v>2235</v>
      </c>
      <c r="E834" s="26" t="s">
        <v>1512</v>
      </c>
      <c r="F834" s="26" t="s">
        <v>1555</v>
      </c>
      <c r="G834" s="29">
        <v>1584</v>
      </c>
      <c r="H834" s="29">
        <f t="shared" si="436"/>
        <v>26</v>
      </c>
      <c r="I834" s="26" t="s">
        <v>2098</v>
      </c>
      <c r="J834" s="26" t="s">
        <v>160</v>
      </c>
      <c r="K834" s="26">
        <f>VLOOKUP(J834,TOWNSHIPS,2,FALSE)</f>
        <v>0</v>
      </c>
      <c r="L834" s="42">
        <v>6</v>
      </c>
      <c r="M834" s="42">
        <v>6</v>
      </c>
      <c r="N834" s="42">
        <v>10</v>
      </c>
      <c r="O834" s="42">
        <v>9</v>
      </c>
      <c r="P834" s="42">
        <v>8</v>
      </c>
      <c r="Q834" s="42">
        <v>7</v>
      </c>
      <c r="R834" s="42">
        <v>7</v>
      </c>
      <c r="S834" s="42">
        <v>7</v>
      </c>
      <c r="T834" s="42">
        <v>7</v>
      </c>
      <c r="U834" s="42">
        <v>7</v>
      </c>
      <c r="V834" s="42"/>
      <c r="W834" s="42"/>
      <c r="X834" s="42"/>
      <c r="Y834" s="26">
        <v>629</v>
      </c>
      <c r="Z834" s="26">
        <f t="shared" si="433"/>
        <v>0.5</v>
      </c>
      <c r="AA834" s="26" t="s">
        <v>1631</v>
      </c>
      <c r="AB834" s="111">
        <f t="shared" si="434"/>
        <v>2.5</v>
      </c>
      <c r="AC834" s="85" t="s">
        <v>2425</v>
      </c>
      <c r="AD834" s="47">
        <f t="shared" si="432"/>
        <v>7500</v>
      </c>
      <c r="AE834" s="140"/>
      <c r="AF834" s="113">
        <f t="shared" si="421"/>
        <v>0</v>
      </c>
      <c r="AG834" s="85">
        <v>2026</v>
      </c>
      <c r="AH834" s="26" t="str">
        <f t="shared" si="410"/>
        <v/>
      </c>
      <c r="AI834" s="26" t="str">
        <f t="shared" si="425"/>
        <v/>
      </c>
      <c r="AJ834" s="26" t="str">
        <f t="shared" si="428"/>
        <v/>
      </c>
      <c r="AK834" s="26" t="str">
        <f t="shared" si="437"/>
        <v/>
      </c>
      <c r="AL834" s="26" t="str">
        <f t="shared" si="437"/>
        <v>Liquid Road</v>
      </c>
      <c r="AM834" s="26" t="str">
        <f t="shared" si="437"/>
        <v/>
      </c>
      <c r="AN834" s="26" t="str">
        <f t="shared" si="419"/>
        <v>Liquid Road</v>
      </c>
      <c r="AO834" s="26" t="str">
        <f t="shared" si="429"/>
        <v/>
      </c>
      <c r="AP834" s="26" t="str">
        <f t="shared" si="427"/>
        <v/>
      </c>
      <c r="AQ834" s="68">
        <f t="shared" si="423"/>
        <v>14</v>
      </c>
      <c r="AR834" s="68">
        <f t="shared" si="424"/>
        <v>10</v>
      </c>
      <c r="AS834" s="68">
        <f t="shared" si="411"/>
        <v>1.1000000000000001</v>
      </c>
      <c r="AT834" s="68">
        <f t="shared" si="412"/>
        <v>1.1000000000000001</v>
      </c>
      <c r="AU834" s="68">
        <f t="shared" si="413"/>
        <v>1</v>
      </c>
      <c r="AV834" s="68">
        <f t="shared" si="414"/>
        <v>1</v>
      </c>
      <c r="AW834" s="68">
        <f t="shared" si="415"/>
        <v>1</v>
      </c>
      <c r="AX834" s="68">
        <f t="shared" ca="1" si="435"/>
        <v>2</v>
      </c>
      <c r="AY834" s="68">
        <v>2016</v>
      </c>
      <c r="AZ834" s="68" t="s">
        <v>2371</v>
      </c>
      <c r="BA834" s="106" t="str">
        <f t="shared" ref="BA834:BA897" si="438">IF(AY834=2018,AZ834,"")</f>
        <v/>
      </c>
      <c r="BB834" s="178"/>
      <c r="BC834" s="178"/>
      <c r="BD834" s="178">
        <v>1</v>
      </c>
      <c r="BE834" s="178"/>
      <c r="BF834" s="178"/>
      <c r="BG834" s="178"/>
      <c r="BH834" s="178"/>
      <c r="BI834" s="33"/>
      <c r="BK834" s="48">
        <f>$G834/5280*VLOOKUP($AC834,'Cost and Score'!$B$27:$O$40,6,0)</f>
        <v>0.3</v>
      </c>
      <c r="BL834" s="48">
        <f>$G834/5280*VLOOKUP($AC834,'Cost and Score'!$B$27:$O$40,7,0)</f>
        <v>4.8</v>
      </c>
      <c r="BM834" s="48">
        <f>$G834/5280*VLOOKUP($AC834,'Cost and Score'!$B$27:$O$40,8,0)</f>
        <v>0</v>
      </c>
      <c r="BN834" s="48">
        <f>$G834/5280*VLOOKUP($AC834,'Cost and Score'!$B$27:$O$40,9,0)</f>
        <v>0</v>
      </c>
      <c r="BO834" s="48">
        <f>$G834/5280*VLOOKUP($AC834,'Cost and Score'!$B$27:$O$40,10,0)</f>
        <v>0</v>
      </c>
      <c r="BP834" s="48">
        <f>$G834/5280*VLOOKUP($AC834,'Cost and Score'!$B$27:$O$40,11,0)</f>
        <v>0</v>
      </c>
      <c r="BQ834" s="48">
        <f>$G834/5280*VLOOKUP($AC834,'Cost and Score'!$B$27:$O$40,12,0)</f>
        <v>0</v>
      </c>
      <c r="BR834" s="48">
        <f>$G834/5280*VLOOKUP($AC834,'Cost and Score'!$B$27:$O$40,13,0)</f>
        <v>0</v>
      </c>
      <c r="BS834" s="48">
        <f>$G834/5280*VLOOKUP($AC834,'Cost and Score'!$B$27:$O$40,14,0)</f>
        <v>0</v>
      </c>
      <c r="BT834" s="220">
        <f t="shared" ref="BT834:BT897" si="439">G834/5280</f>
        <v>0.3</v>
      </c>
      <c r="CF834" s="112"/>
      <c r="CG834" s="112"/>
      <c r="CH834" s="112"/>
      <c r="CI834" s="112"/>
      <c r="CJ834" s="112"/>
      <c r="CK834" s="112"/>
      <c r="CL834" s="112"/>
      <c r="CM834" s="112"/>
    </row>
    <row r="835" spans="1:103" s="2" customFormat="1" ht="14.45" hidden="1" customHeight="1" x14ac:dyDescent="0.25">
      <c r="A835" s="31" t="s">
        <v>2102</v>
      </c>
      <c r="B835" s="120" t="s">
        <v>1632</v>
      </c>
      <c r="C835" s="106" t="s">
        <v>1632</v>
      </c>
      <c r="D835" s="116" t="s">
        <v>2231</v>
      </c>
      <c r="E835" s="106" t="s">
        <v>1458</v>
      </c>
      <c r="F835" s="106" t="s">
        <v>1459</v>
      </c>
      <c r="G835" s="109">
        <v>364</v>
      </c>
      <c r="H835" s="109">
        <f t="shared" si="436"/>
        <v>26</v>
      </c>
      <c r="I835" s="106" t="s">
        <v>2098</v>
      </c>
      <c r="J835" s="106" t="s">
        <v>160</v>
      </c>
      <c r="K835" s="106">
        <f>VLOOKUP(J835,TOWNSHIPS,2,FALSE)</f>
        <v>0</v>
      </c>
      <c r="L835" s="110">
        <v>6</v>
      </c>
      <c r="M835" s="110">
        <v>8</v>
      </c>
      <c r="N835" s="110">
        <v>8</v>
      </c>
      <c r="O835" s="110">
        <v>8</v>
      </c>
      <c r="P835" s="110">
        <v>8</v>
      </c>
      <c r="Q835" s="110">
        <v>8</v>
      </c>
      <c r="R835" s="110">
        <v>8</v>
      </c>
      <c r="S835" s="110">
        <v>7</v>
      </c>
      <c r="T835" s="110">
        <v>7</v>
      </c>
      <c r="U835" s="110">
        <v>7</v>
      </c>
      <c r="V835" s="110"/>
      <c r="W835" s="110"/>
      <c r="X835" s="110"/>
      <c r="Y835" s="106">
        <v>515</v>
      </c>
      <c r="Z835" s="106">
        <f t="shared" si="433"/>
        <v>0.5</v>
      </c>
      <c r="AA835" s="106" t="s">
        <v>1632</v>
      </c>
      <c r="AB835" s="111">
        <f t="shared" si="434"/>
        <v>2.5</v>
      </c>
      <c r="AC835" s="26" t="s">
        <v>2086</v>
      </c>
      <c r="AD835" s="107">
        <f t="shared" si="432"/>
        <v>172.34848484848484</v>
      </c>
      <c r="AE835" s="198"/>
      <c r="AF835" s="113">
        <f t="shared" si="421"/>
        <v>0</v>
      </c>
      <c r="AG835" s="26">
        <v>2024</v>
      </c>
      <c r="AH835" s="26" t="str">
        <f t="shared" si="410"/>
        <v/>
      </c>
      <c r="AI835" s="26" t="str">
        <f t="shared" si="425"/>
        <v/>
      </c>
      <c r="AJ835" s="26" t="str">
        <f t="shared" si="428"/>
        <v>Fog Seal</v>
      </c>
      <c r="AK835" s="26" t="str">
        <f t="shared" si="437"/>
        <v/>
      </c>
      <c r="AL835" s="26" t="str">
        <f t="shared" si="437"/>
        <v/>
      </c>
      <c r="AM835" s="26" t="str">
        <f t="shared" si="437"/>
        <v/>
      </c>
      <c r="AN835" s="26" t="str">
        <f t="shared" si="419"/>
        <v>Fog Seal</v>
      </c>
      <c r="AO835" s="26" t="str">
        <f t="shared" si="429"/>
        <v/>
      </c>
      <c r="AP835" s="26" t="str">
        <f t="shared" si="427"/>
        <v/>
      </c>
      <c r="AQ835" s="68">
        <f t="shared" si="423"/>
        <v>12</v>
      </c>
      <c r="AR835" s="68">
        <f t="shared" si="424"/>
        <v>2</v>
      </c>
      <c r="AS835" s="68">
        <f t="shared" si="411"/>
        <v>1.1000000000000001</v>
      </c>
      <c r="AT835" s="68">
        <f t="shared" si="412"/>
        <v>1</v>
      </c>
      <c r="AU835" s="68">
        <f t="shared" si="413"/>
        <v>1</v>
      </c>
      <c r="AV835" s="68">
        <f t="shared" si="414"/>
        <v>1</v>
      </c>
      <c r="AW835" s="68">
        <f t="shared" si="415"/>
        <v>1</v>
      </c>
      <c r="AX835" s="68">
        <f t="shared" ca="1" si="435"/>
        <v>0</v>
      </c>
      <c r="AY835" s="106">
        <v>2018</v>
      </c>
      <c r="AZ835" s="106" t="s">
        <v>2425</v>
      </c>
      <c r="BA835" s="106" t="str">
        <f t="shared" si="438"/>
        <v>MICROSEAL</v>
      </c>
      <c r="BB835" s="177"/>
      <c r="BC835" s="177"/>
      <c r="BD835" s="177"/>
      <c r="BE835" s="177"/>
      <c r="BF835" s="177"/>
      <c r="BG835" s="177"/>
      <c r="BH835" s="177"/>
      <c r="BI835" s="33"/>
      <c r="BK835" s="48">
        <f>$G835/5280*VLOOKUP($AC835,'Cost and Score'!$B$27:$O$40,6,0)</f>
        <v>6.8939393939393941E-3</v>
      </c>
      <c r="BL835" s="48">
        <f>$G835/5280*VLOOKUP($AC835,'Cost and Score'!$B$27:$O$40,7,0)</f>
        <v>1.3787878787878788E-2</v>
      </c>
      <c r="BM835" s="48">
        <f>$G835/5280*VLOOKUP($AC835,'Cost and Score'!$B$27:$O$40,8,0)</f>
        <v>0</v>
      </c>
      <c r="BN835" s="48">
        <f>$G835/5280*VLOOKUP($AC835,'Cost and Score'!$B$27:$O$40,9,0)</f>
        <v>0</v>
      </c>
      <c r="BO835" s="48">
        <f>$G835/5280*VLOOKUP($AC835,'Cost and Score'!$B$27:$O$40,10,0)</f>
        <v>68.939393939393938</v>
      </c>
      <c r="BP835" s="48">
        <f>$G835/5280*VLOOKUP($AC835,'Cost and Score'!$B$27:$O$40,11,0)</f>
        <v>0</v>
      </c>
      <c r="BQ835" s="48">
        <f>$G835/5280*VLOOKUP($AC835,'Cost and Score'!$B$27:$O$40,12,0)</f>
        <v>0</v>
      </c>
      <c r="BR835" s="48">
        <f>$G835/5280*VLOOKUP($AC835,'Cost and Score'!$B$27:$O$40,13,0)</f>
        <v>0</v>
      </c>
      <c r="BS835" s="48">
        <f>$G835/5280*VLOOKUP($AC835,'Cost and Score'!$B$27:$O$40,14,0)</f>
        <v>0</v>
      </c>
      <c r="BT835" s="220">
        <f t="shared" si="439"/>
        <v>6.8939393939393939E-2</v>
      </c>
      <c r="CG835" s="112"/>
      <c r="CH835" s="112"/>
      <c r="CI835" s="112"/>
      <c r="CJ835" s="112"/>
      <c r="CK835" s="112"/>
      <c r="CL835" s="112"/>
      <c r="CM835" s="112"/>
      <c r="CS835" s="112"/>
      <c r="CT835" s="112"/>
      <c r="CU835" s="112"/>
      <c r="CW835" s="112"/>
      <c r="CX835" s="112"/>
      <c r="CY835" s="112"/>
    </row>
    <row r="836" spans="1:103" s="112" customFormat="1" ht="14.45" hidden="1" customHeight="1" x14ac:dyDescent="0.25">
      <c r="A836" s="38" t="s">
        <v>1634</v>
      </c>
      <c r="B836" s="34" t="s">
        <v>1633</v>
      </c>
      <c r="C836" s="26" t="s">
        <v>1633</v>
      </c>
      <c r="D836" s="26"/>
      <c r="E836" s="26" t="s">
        <v>129</v>
      </c>
      <c r="F836" s="26" t="s">
        <v>124</v>
      </c>
      <c r="G836" s="29">
        <v>6591</v>
      </c>
      <c r="H836" s="29">
        <f t="shared" si="436"/>
        <v>20</v>
      </c>
      <c r="I836" s="26" t="s">
        <v>13</v>
      </c>
      <c r="J836" s="26" t="s">
        <v>160</v>
      </c>
      <c r="K836" s="26">
        <f>VLOOKUP(J836,TOWNSHIPS,2,FALSE)</f>
        <v>0</v>
      </c>
      <c r="L836" s="42">
        <v>6</v>
      </c>
      <c r="M836" s="42">
        <v>8</v>
      </c>
      <c r="N836" s="42">
        <v>7</v>
      </c>
      <c r="O836" s="42">
        <v>7</v>
      </c>
      <c r="P836" s="42">
        <v>7</v>
      </c>
      <c r="Q836" s="42">
        <v>6</v>
      </c>
      <c r="R836" s="42">
        <v>6</v>
      </c>
      <c r="S836" s="42">
        <v>6</v>
      </c>
      <c r="T836" s="42">
        <v>6</v>
      </c>
      <c r="U836" s="42">
        <v>7</v>
      </c>
      <c r="V836" s="42"/>
      <c r="W836" s="42"/>
      <c r="X836" s="42"/>
      <c r="Y836" s="26">
        <v>18</v>
      </c>
      <c r="Z836" s="26">
        <f t="shared" si="433"/>
        <v>0</v>
      </c>
      <c r="AA836" s="26" t="s">
        <v>1633</v>
      </c>
      <c r="AB836" s="111">
        <f t="shared" si="434"/>
        <v>3</v>
      </c>
      <c r="AC836" s="26" t="s">
        <v>2073</v>
      </c>
      <c r="AD836" s="47">
        <f t="shared" si="432"/>
        <v>39945.454545454544</v>
      </c>
      <c r="AE836" s="140"/>
      <c r="AF836" s="113">
        <f t="shared" si="421"/>
        <v>0</v>
      </c>
      <c r="AG836" s="26">
        <v>2022</v>
      </c>
      <c r="AH836" s="26" t="str">
        <f t="shared" si="410"/>
        <v>Chip Seal - Double and Fog</v>
      </c>
      <c r="AI836" s="26" t="str">
        <f t="shared" si="425"/>
        <v/>
      </c>
      <c r="AJ836" s="26" t="str">
        <f t="shared" si="428"/>
        <v/>
      </c>
      <c r="AK836" s="26" t="str">
        <f t="shared" si="437"/>
        <v/>
      </c>
      <c r="AL836" s="26" t="str">
        <f t="shared" si="437"/>
        <v/>
      </c>
      <c r="AM836" s="26" t="str">
        <f t="shared" si="437"/>
        <v/>
      </c>
      <c r="AN836" s="26" t="str">
        <f t="shared" si="419"/>
        <v>Chip Seal - Double and Fog</v>
      </c>
      <c r="AO836" s="26" t="str">
        <f t="shared" si="429"/>
        <v/>
      </c>
      <c r="AP836" s="26" t="str">
        <f t="shared" si="427"/>
        <v/>
      </c>
      <c r="AQ836" s="68">
        <f t="shared" si="423"/>
        <v>10</v>
      </c>
      <c r="AR836" s="68">
        <f t="shared" si="424"/>
        <v>6</v>
      </c>
      <c r="AS836" s="68">
        <f t="shared" si="411"/>
        <v>1.1000000000000001</v>
      </c>
      <c r="AT836" s="68">
        <f t="shared" si="412"/>
        <v>1</v>
      </c>
      <c r="AU836" s="68">
        <f t="shared" si="413"/>
        <v>1.05</v>
      </c>
      <c r="AV836" s="68">
        <f t="shared" si="414"/>
        <v>1.05</v>
      </c>
      <c r="AW836" s="68">
        <f t="shared" si="415"/>
        <v>1.05</v>
      </c>
      <c r="AX836" s="68">
        <f t="shared" ca="1" si="435"/>
        <v>-2.1</v>
      </c>
      <c r="AY836" s="68">
        <v>2014</v>
      </c>
      <c r="AZ836" s="68" t="s">
        <v>2073</v>
      </c>
      <c r="BA836" s="106" t="str">
        <f t="shared" si="438"/>
        <v/>
      </c>
      <c r="BB836" s="178"/>
      <c r="BC836" s="178">
        <v>8</v>
      </c>
      <c r="BD836" s="178"/>
      <c r="BE836" s="178"/>
      <c r="BF836" s="178"/>
      <c r="BG836" s="178"/>
      <c r="BH836" s="178"/>
      <c r="BI836" s="33"/>
      <c r="BJ836" s="2"/>
      <c r="BK836" s="48">
        <f>$G836/5280*VLOOKUP($AC836,'Cost and Score'!$B$27:$O$40,6,0)</f>
        <v>0.62414772727272727</v>
      </c>
      <c r="BL836" s="48">
        <f>$G836/5280*VLOOKUP($AC836,'Cost and Score'!$B$27:$O$40,7,0)</f>
        <v>62.414772727272727</v>
      </c>
      <c r="BM836" s="48">
        <f>$G836/5280*VLOOKUP($AC836,'Cost and Score'!$B$27:$O$40,8,0)</f>
        <v>0</v>
      </c>
      <c r="BN836" s="48">
        <f>$G836/5280*VLOOKUP($AC836,'Cost and Score'!$B$27:$O$40,9,0)</f>
        <v>11858.806818181818</v>
      </c>
      <c r="BO836" s="48">
        <f>$G836/5280*VLOOKUP($AC836,'Cost and Score'!$B$27:$O$40,10,0)</f>
        <v>1248.2954545454545</v>
      </c>
      <c r="BP836" s="48">
        <f>$G836/5280*VLOOKUP($AC836,'Cost and Score'!$B$27:$O$40,11,0)</f>
        <v>0</v>
      </c>
      <c r="BQ836" s="48">
        <f>$G836/5280*VLOOKUP($AC836,'Cost and Score'!$B$27:$O$40,12,0)</f>
        <v>249.65909090909091</v>
      </c>
      <c r="BR836" s="48">
        <f>$G836/5280*VLOOKUP($AC836,'Cost and Score'!$B$27:$O$40,13,0)</f>
        <v>224.69318181818181</v>
      </c>
      <c r="BS836" s="48">
        <f>$G836/5280*VLOOKUP($AC836,'Cost and Score'!$B$27:$O$40,14,0)</f>
        <v>299.59090909090907</v>
      </c>
      <c r="BT836" s="220">
        <f t="shared" si="439"/>
        <v>1.2482954545454545</v>
      </c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</row>
    <row r="837" spans="1:103" s="2" customFormat="1" ht="14.45" hidden="1" customHeight="1" x14ac:dyDescent="0.25">
      <c r="A837" s="31" t="s">
        <v>2102</v>
      </c>
      <c r="B837" s="224" t="s">
        <v>1635</v>
      </c>
      <c r="C837" s="26" t="s">
        <v>1635</v>
      </c>
      <c r="D837" s="36" t="s">
        <v>2266</v>
      </c>
      <c r="E837" s="26" t="s">
        <v>1484</v>
      </c>
      <c r="F837" s="26" t="s">
        <v>1416</v>
      </c>
      <c r="G837" s="29">
        <v>1109</v>
      </c>
      <c r="H837" s="29">
        <f t="shared" si="436"/>
        <v>26</v>
      </c>
      <c r="I837" s="26" t="s">
        <v>2098</v>
      </c>
      <c r="J837" s="26" t="s">
        <v>160</v>
      </c>
      <c r="K837" s="26">
        <f>VLOOKUP(J837,TOWNSHIPS,2,FALSE)</f>
        <v>0</v>
      </c>
      <c r="L837" s="42">
        <v>6</v>
      </c>
      <c r="M837" s="42">
        <v>6</v>
      </c>
      <c r="N837" s="42">
        <v>6</v>
      </c>
      <c r="O837" s="42">
        <v>9</v>
      </c>
      <c r="P837" s="42">
        <v>9</v>
      </c>
      <c r="Q837" s="42">
        <v>8</v>
      </c>
      <c r="R837" s="42">
        <v>8</v>
      </c>
      <c r="S837" s="42">
        <v>7</v>
      </c>
      <c r="T837" s="42">
        <v>7</v>
      </c>
      <c r="U837" s="42">
        <v>7</v>
      </c>
      <c r="V837" s="42"/>
      <c r="W837" s="42"/>
      <c r="X837" s="42"/>
      <c r="Y837" s="26">
        <v>103</v>
      </c>
      <c r="Z837" s="26">
        <f t="shared" si="433"/>
        <v>0</v>
      </c>
      <c r="AA837" s="26" t="s">
        <v>1635</v>
      </c>
      <c r="AB837" s="111">
        <f t="shared" si="434"/>
        <v>1</v>
      </c>
      <c r="AC837" s="85" t="s">
        <v>2425</v>
      </c>
      <c r="AD837" s="47">
        <f t="shared" si="432"/>
        <v>5250.94696969697</v>
      </c>
      <c r="AE837" s="140"/>
      <c r="AF837" s="113">
        <f t="shared" si="421"/>
        <v>0</v>
      </c>
      <c r="AG837" s="85">
        <v>2026</v>
      </c>
      <c r="AH837" s="26" t="str">
        <f t="shared" si="410"/>
        <v/>
      </c>
      <c r="AI837" s="26" t="str">
        <f t="shared" si="425"/>
        <v/>
      </c>
      <c r="AJ837" s="26" t="str">
        <f t="shared" si="428"/>
        <v/>
      </c>
      <c r="AK837" s="26" t="str">
        <f t="shared" si="437"/>
        <v/>
      </c>
      <c r="AL837" s="26" t="str">
        <f t="shared" si="437"/>
        <v>Liquid Road</v>
      </c>
      <c r="AM837" s="26" t="str">
        <f t="shared" si="437"/>
        <v/>
      </c>
      <c r="AN837" s="26" t="str">
        <f t="shared" si="419"/>
        <v>Liquid Road</v>
      </c>
      <c r="AO837" s="26" t="str">
        <f t="shared" si="429"/>
        <v/>
      </c>
      <c r="AP837" s="26" t="str">
        <f t="shared" si="427"/>
        <v/>
      </c>
      <c r="AQ837" s="68">
        <f t="shared" si="423"/>
        <v>14</v>
      </c>
      <c r="AR837" s="68">
        <f t="shared" si="424"/>
        <v>10</v>
      </c>
      <c r="AS837" s="68">
        <f t="shared" si="411"/>
        <v>1.1000000000000001</v>
      </c>
      <c r="AT837" s="68">
        <f t="shared" si="412"/>
        <v>1.1000000000000001</v>
      </c>
      <c r="AU837" s="68">
        <f t="shared" si="413"/>
        <v>1.1000000000000001</v>
      </c>
      <c r="AV837" s="68">
        <f t="shared" si="414"/>
        <v>1</v>
      </c>
      <c r="AW837" s="68">
        <f t="shared" si="415"/>
        <v>1</v>
      </c>
      <c r="AX837" s="68">
        <f t="shared" ca="1" si="435"/>
        <v>2.2000000000000002</v>
      </c>
      <c r="AY837" s="68">
        <v>2016</v>
      </c>
      <c r="AZ837" s="68" t="s">
        <v>751</v>
      </c>
      <c r="BA837" s="106" t="str">
        <f t="shared" si="438"/>
        <v/>
      </c>
      <c r="BB837" s="178"/>
      <c r="BC837" s="178"/>
      <c r="BD837" s="178"/>
      <c r="BE837" s="178"/>
      <c r="BF837" s="178">
        <v>3</v>
      </c>
      <c r="BG837" s="178"/>
      <c r="BH837" s="178"/>
      <c r="BI837" s="33"/>
      <c r="BK837" s="48">
        <f>$G837/5280*VLOOKUP($AC837,'Cost and Score'!$B$27:$O$40,6,0)</f>
        <v>0.2100378787878788</v>
      </c>
      <c r="BL837" s="48">
        <f>$G837/5280*VLOOKUP($AC837,'Cost and Score'!$B$27:$O$40,7,0)</f>
        <v>3.3606060606060608</v>
      </c>
      <c r="BM837" s="48">
        <f>$G837/5280*VLOOKUP($AC837,'Cost and Score'!$B$27:$O$40,8,0)</f>
        <v>0</v>
      </c>
      <c r="BN837" s="48">
        <f>$G837/5280*VLOOKUP($AC837,'Cost and Score'!$B$27:$O$40,9,0)</f>
        <v>0</v>
      </c>
      <c r="BO837" s="48">
        <f>$G837/5280*VLOOKUP($AC837,'Cost and Score'!$B$27:$O$40,10,0)</f>
        <v>0</v>
      </c>
      <c r="BP837" s="48">
        <f>$G837/5280*VLOOKUP($AC837,'Cost and Score'!$B$27:$O$40,11,0)</f>
        <v>0</v>
      </c>
      <c r="BQ837" s="48">
        <f>$G837/5280*VLOOKUP($AC837,'Cost and Score'!$B$27:$O$40,12,0)</f>
        <v>0</v>
      </c>
      <c r="BR837" s="48">
        <f>$G837/5280*VLOOKUP($AC837,'Cost and Score'!$B$27:$O$40,13,0)</f>
        <v>0</v>
      </c>
      <c r="BS837" s="48">
        <f>$G837/5280*VLOOKUP($AC837,'Cost and Score'!$B$27:$O$40,14,0)</f>
        <v>0</v>
      </c>
      <c r="BT837" s="220">
        <f t="shared" si="439"/>
        <v>0.2100378787878788</v>
      </c>
      <c r="CN837" s="112"/>
      <c r="CO837" s="112"/>
      <c r="CP837" s="112"/>
      <c r="CQ837" s="112"/>
      <c r="CR837" s="112"/>
      <c r="CV837" s="112"/>
      <c r="CW837" s="112"/>
      <c r="CX837" s="112"/>
      <c r="CY837" s="112"/>
    </row>
    <row r="838" spans="1:103" s="2" customFormat="1" ht="14.45" hidden="1" customHeight="1" x14ac:dyDescent="0.25">
      <c r="A838" s="31" t="s">
        <v>2102</v>
      </c>
      <c r="B838" s="224" t="s">
        <v>1636</v>
      </c>
      <c r="C838" s="26" t="s">
        <v>1636</v>
      </c>
      <c r="D838" s="119" t="s">
        <v>2232</v>
      </c>
      <c r="E838" s="82" t="s">
        <v>1580</v>
      </c>
      <c r="F838" s="82" t="s">
        <v>1553</v>
      </c>
      <c r="G838" s="29">
        <v>317</v>
      </c>
      <c r="H838" s="29">
        <f t="shared" si="436"/>
        <v>26</v>
      </c>
      <c r="I838" s="26" t="s">
        <v>2098</v>
      </c>
      <c r="J838" s="26" t="s">
        <v>101</v>
      </c>
      <c r="K838" s="26">
        <v>0</v>
      </c>
      <c r="L838" s="42">
        <v>6</v>
      </c>
      <c r="M838" s="42">
        <v>6</v>
      </c>
      <c r="N838" s="42">
        <v>6</v>
      </c>
      <c r="O838" s="83">
        <v>6</v>
      </c>
      <c r="P838" s="83">
        <v>7</v>
      </c>
      <c r="Q838" s="83">
        <v>7</v>
      </c>
      <c r="R838" s="83">
        <v>7</v>
      </c>
      <c r="S838" s="83">
        <v>7</v>
      </c>
      <c r="T838" s="83">
        <v>7</v>
      </c>
      <c r="U838" s="83">
        <v>7</v>
      </c>
      <c r="V838" s="42"/>
      <c r="W838" s="42"/>
      <c r="X838" s="42"/>
      <c r="Y838" s="26">
        <v>50</v>
      </c>
      <c r="Z838" s="26">
        <f t="shared" si="433"/>
        <v>0</v>
      </c>
      <c r="AA838" s="82" t="s">
        <v>1636</v>
      </c>
      <c r="AB838" s="111">
        <f t="shared" si="434"/>
        <v>3</v>
      </c>
      <c r="AC838" s="85" t="s">
        <v>2425</v>
      </c>
      <c r="AD838" s="84">
        <f t="shared" si="432"/>
        <v>1500.9469696969697</v>
      </c>
      <c r="AE838" s="140"/>
      <c r="AF838" s="113">
        <f t="shared" si="421"/>
        <v>0</v>
      </c>
      <c r="AG838" s="85">
        <v>2026</v>
      </c>
      <c r="AH838" s="26" t="str">
        <f t="shared" si="410"/>
        <v/>
      </c>
      <c r="AI838" s="26" t="str">
        <f t="shared" si="425"/>
        <v/>
      </c>
      <c r="AJ838" s="26" t="str">
        <f t="shared" si="428"/>
        <v/>
      </c>
      <c r="AK838" s="26" t="str">
        <f t="shared" si="437"/>
        <v/>
      </c>
      <c r="AL838" s="26" t="str">
        <f t="shared" si="437"/>
        <v>Liquid Road</v>
      </c>
      <c r="AM838" s="26" t="str">
        <f t="shared" si="437"/>
        <v/>
      </c>
      <c r="AN838" s="26" t="str">
        <f t="shared" si="419"/>
        <v>Liquid Road</v>
      </c>
      <c r="AO838" s="26" t="str">
        <f t="shared" si="429"/>
        <v/>
      </c>
      <c r="AP838" s="26" t="str">
        <f t="shared" si="427"/>
        <v/>
      </c>
      <c r="AQ838" s="68">
        <f t="shared" si="423"/>
        <v>8</v>
      </c>
      <c r="AR838" s="68">
        <f t="shared" si="424"/>
        <v>10</v>
      </c>
      <c r="AS838" s="68">
        <f t="shared" si="411"/>
        <v>1.1000000000000001</v>
      </c>
      <c r="AT838" s="68">
        <f t="shared" si="412"/>
        <v>1.1000000000000001</v>
      </c>
      <c r="AU838" s="68">
        <f t="shared" si="413"/>
        <v>1.1000000000000001</v>
      </c>
      <c r="AV838" s="68">
        <f t="shared" si="414"/>
        <v>1.1000000000000001</v>
      </c>
      <c r="AW838" s="68">
        <f t="shared" si="415"/>
        <v>1.05</v>
      </c>
      <c r="AX838" s="68">
        <f t="shared" ca="1" si="435"/>
        <v>2.2000000000000002</v>
      </c>
      <c r="AY838" s="68"/>
      <c r="AZ838" s="68"/>
      <c r="BA838" s="106" t="str">
        <f t="shared" si="438"/>
        <v/>
      </c>
      <c r="BB838" s="178"/>
      <c r="BC838" s="178"/>
      <c r="BD838" s="178"/>
      <c r="BE838" s="178"/>
      <c r="BF838" s="178"/>
      <c r="BG838" s="178"/>
      <c r="BH838" s="178"/>
      <c r="BI838" s="33"/>
      <c r="BK838" s="48">
        <f>$G838/5280*VLOOKUP($AC838,'Cost and Score'!$B$27:$O$40,6,0)</f>
        <v>6.0037878787878786E-2</v>
      </c>
      <c r="BL838" s="48">
        <f>$G838/5280*VLOOKUP($AC838,'Cost and Score'!$B$27:$O$40,7,0)</f>
        <v>0.96060606060606057</v>
      </c>
      <c r="BM838" s="48">
        <f>$G838/5280*VLOOKUP($AC838,'Cost and Score'!$B$27:$O$40,8,0)</f>
        <v>0</v>
      </c>
      <c r="BN838" s="48">
        <f>$G838/5280*VLOOKUP($AC838,'Cost and Score'!$B$27:$O$40,9,0)</f>
        <v>0</v>
      </c>
      <c r="BO838" s="48">
        <f>$G838/5280*VLOOKUP($AC838,'Cost and Score'!$B$27:$O$40,10,0)</f>
        <v>0</v>
      </c>
      <c r="BP838" s="48">
        <f>$G838/5280*VLOOKUP($AC838,'Cost and Score'!$B$27:$O$40,11,0)</f>
        <v>0</v>
      </c>
      <c r="BQ838" s="48">
        <f>$G838/5280*VLOOKUP($AC838,'Cost and Score'!$B$27:$O$40,12,0)</f>
        <v>0</v>
      </c>
      <c r="BR838" s="48">
        <f>$G838/5280*VLOOKUP($AC838,'Cost and Score'!$B$27:$O$40,13,0)</f>
        <v>0</v>
      </c>
      <c r="BS838" s="48">
        <f>$G838/5280*VLOOKUP($AC838,'Cost and Score'!$B$27:$O$40,14,0)</f>
        <v>0</v>
      </c>
      <c r="BT838" s="220">
        <f t="shared" si="439"/>
        <v>6.0037878787878786E-2</v>
      </c>
    </row>
    <row r="839" spans="1:103" s="2" customFormat="1" ht="14.45" hidden="1" customHeight="1" x14ac:dyDescent="0.25">
      <c r="A839" s="31" t="s">
        <v>2102</v>
      </c>
      <c r="B839" s="120" t="s">
        <v>1637</v>
      </c>
      <c r="C839" s="106" t="s">
        <v>1637</v>
      </c>
      <c r="D839" s="116" t="s">
        <v>2232</v>
      </c>
      <c r="E839" s="106" t="s">
        <v>1580</v>
      </c>
      <c r="F839" s="106" t="s">
        <v>1553</v>
      </c>
      <c r="G839" s="109">
        <v>1742</v>
      </c>
      <c r="H839" s="109">
        <f t="shared" si="436"/>
        <v>26</v>
      </c>
      <c r="I839" s="106" t="s">
        <v>2098</v>
      </c>
      <c r="J839" s="106" t="s">
        <v>101</v>
      </c>
      <c r="K839" s="106">
        <v>0</v>
      </c>
      <c r="L839" s="110">
        <v>7</v>
      </c>
      <c r="M839" s="110">
        <v>7</v>
      </c>
      <c r="N839" s="110">
        <v>7</v>
      </c>
      <c r="O839" s="110">
        <v>7</v>
      </c>
      <c r="P839" s="110">
        <v>7</v>
      </c>
      <c r="Q839" s="110">
        <v>7</v>
      </c>
      <c r="R839" s="110">
        <v>7</v>
      </c>
      <c r="S839" s="110">
        <v>7</v>
      </c>
      <c r="T839" s="110">
        <v>7</v>
      </c>
      <c r="U839" s="110">
        <v>7</v>
      </c>
      <c r="V839" s="110"/>
      <c r="W839" s="110"/>
      <c r="X839" s="110"/>
      <c r="Y839" s="106">
        <v>50</v>
      </c>
      <c r="Z839" s="106">
        <f t="shared" si="433"/>
        <v>0</v>
      </c>
      <c r="AA839" s="106" t="s">
        <v>1637</v>
      </c>
      <c r="AB839" s="111">
        <f t="shared" si="434"/>
        <v>3</v>
      </c>
      <c r="AC839" s="85" t="s">
        <v>13</v>
      </c>
      <c r="AD839" s="107">
        <f t="shared" si="432"/>
        <v>6928.409090909091</v>
      </c>
      <c r="AE839" s="140"/>
      <c r="AF839" s="113">
        <f t="shared" si="421"/>
        <v>0</v>
      </c>
      <c r="AG839" s="85">
        <v>2024</v>
      </c>
      <c r="AH839" s="26" t="str">
        <f t="shared" si="410"/>
        <v/>
      </c>
      <c r="AI839" s="26" t="str">
        <f t="shared" si="425"/>
        <v/>
      </c>
      <c r="AJ839" s="26" t="str">
        <f t="shared" si="428"/>
        <v>Chip Seal and Fog</v>
      </c>
      <c r="AK839" s="26" t="str">
        <f t="shared" si="437"/>
        <v/>
      </c>
      <c r="AL839" s="26" t="str">
        <f t="shared" si="437"/>
        <v/>
      </c>
      <c r="AM839" s="26" t="str">
        <f t="shared" si="437"/>
        <v/>
      </c>
      <c r="AN839" s="26" t="str">
        <f t="shared" si="419"/>
        <v>Chip Seal and Fog</v>
      </c>
      <c r="AO839" s="26" t="str">
        <f t="shared" si="429"/>
        <v/>
      </c>
      <c r="AP839" s="26" t="str">
        <f t="shared" si="427"/>
        <v/>
      </c>
      <c r="AQ839" s="68">
        <f t="shared" si="423"/>
        <v>10</v>
      </c>
      <c r="AR839" s="68">
        <f t="shared" si="424"/>
        <v>6</v>
      </c>
      <c r="AS839" s="68">
        <f t="shared" si="411"/>
        <v>1.05</v>
      </c>
      <c r="AT839" s="68">
        <f t="shared" si="412"/>
        <v>1.05</v>
      </c>
      <c r="AU839" s="68">
        <f t="shared" si="413"/>
        <v>1.05</v>
      </c>
      <c r="AV839" s="68">
        <f t="shared" si="414"/>
        <v>1.05</v>
      </c>
      <c r="AW839" s="68">
        <f t="shared" si="415"/>
        <v>1.05</v>
      </c>
      <c r="AX839" s="68">
        <f t="shared" ca="1" si="435"/>
        <v>0</v>
      </c>
      <c r="AY839" s="106">
        <v>2018</v>
      </c>
      <c r="AZ839" s="106" t="s">
        <v>2075</v>
      </c>
      <c r="BA839" s="106" t="str">
        <f t="shared" si="438"/>
        <v>CRACK</v>
      </c>
      <c r="BB839" s="177"/>
      <c r="BC839" s="177"/>
      <c r="BD839" s="177"/>
      <c r="BE839" s="177"/>
      <c r="BF839" s="177"/>
      <c r="BG839" s="177"/>
      <c r="BH839" s="177"/>
      <c r="BI839" s="33"/>
      <c r="BK839" s="48">
        <f>$G839/5280*VLOOKUP($AC839,'Cost and Score'!$B$27:$O$40,6,0)</f>
        <v>6.598484848484848E-2</v>
      </c>
      <c r="BL839" s="48">
        <f>$G839/5280*VLOOKUP($AC839,'Cost and Score'!$B$27:$O$40,7,0)</f>
        <v>7.2583333333333329</v>
      </c>
      <c r="BM839" s="48">
        <f>$G839/5280*VLOOKUP($AC839,'Cost and Score'!$B$27:$O$40,8,0)</f>
        <v>0</v>
      </c>
      <c r="BN839" s="48">
        <f>$G839/5280*VLOOKUP($AC839,'Cost and Score'!$B$27:$O$40,9,0)</f>
        <v>1484.6590909090908</v>
      </c>
      <c r="BO839" s="48">
        <f>$G839/5280*VLOOKUP($AC839,'Cost and Score'!$B$27:$O$40,10,0)</f>
        <v>329.92424242424238</v>
      </c>
      <c r="BP839" s="48">
        <f>$G839/5280*VLOOKUP($AC839,'Cost and Score'!$B$27:$O$40,11,0)</f>
        <v>0</v>
      </c>
      <c r="BQ839" s="48">
        <f>$G839/5280*VLOOKUP($AC839,'Cost and Score'!$B$27:$O$40,12,0)</f>
        <v>32.992424242424242</v>
      </c>
      <c r="BR839" s="48">
        <f>$G839/5280*VLOOKUP($AC839,'Cost and Score'!$B$27:$O$40,13,0)</f>
        <v>39.590909090909086</v>
      </c>
      <c r="BS839" s="48">
        <f>$G839/5280*VLOOKUP($AC839,'Cost and Score'!$B$27:$O$40,14,0)</f>
        <v>0</v>
      </c>
      <c r="BT839" s="220">
        <f t="shared" si="439"/>
        <v>0.3299242424242424</v>
      </c>
      <c r="CG839" s="112"/>
      <c r="CH839" s="112"/>
      <c r="CI839" s="112"/>
      <c r="CJ839" s="112"/>
      <c r="CK839" s="112"/>
      <c r="CL839" s="112"/>
      <c r="CM839" s="112"/>
      <c r="CS839" s="112"/>
      <c r="CT839" s="112"/>
      <c r="CU839" s="112"/>
    </row>
    <row r="840" spans="1:103" s="112" customFormat="1" ht="14.45" hidden="1" customHeight="1" x14ac:dyDescent="0.25">
      <c r="A840" s="38" t="s">
        <v>2102</v>
      </c>
      <c r="B840" s="34" t="s">
        <v>1638</v>
      </c>
      <c r="C840" s="26" t="s">
        <v>1638</v>
      </c>
      <c r="D840" s="26"/>
      <c r="E840" s="26" t="s">
        <v>119</v>
      </c>
      <c r="F840" s="26" t="s">
        <v>193</v>
      </c>
      <c r="G840" s="29">
        <v>5590</v>
      </c>
      <c r="H840" s="29">
        <f t="shared" si="436"/>
        <v>20</v>
      </c>
      <c r="I840" s="26" t="s">
        <v>8</v>
      </c>
      <c r="J840" s="26" t="s">
        <v>101</v>
      </c>
      <c r="K840" s="26">
        <v>0</v>
      </c>
      <c r="L840" s="42">
        <v>6</v>
      </c>
      <c r="M840" s="42">
        <v>8</v>
      </c>
      <c r="N840" s="42">
        <v>8</v>
      </c>
      <c r="O840" s="42">
        <v>8</v>
      </c>
      <c r="P840" s="42">
        <v>8</v>
      </c>
      <c r="Q840" s="42">
        <v>7</v>
      </c>
      <c r="R840" s="42">
        <v>7</v>
      </c>
      <c r="S840" s="42">
        <v>7</v>
      </c>
      <c r="T840" s="42">
        <v>7</v>
      </c>
      <c r="U840" s="42">
        <v>7</v>
      </c>
      <c r="V840" s="42"/>
      <c r="W840" s="42">
        <v>2016</v>
      </c>
      <c r="X840" s="42" t="s">
        <v>2612</v>
      </c>
      <c r="Y840" s="26">
        <v>50</v>
      </c>
      <c r="Z840" s="26">
        <f t="shared" si="433"/>
        <v>0</v>
      </c>
      <c r="AA840" s="26" t="s">
        <v>406</v>
      </c>
      <c r="AB840" s="111">
        <f t="shared" si="434"/>
        <v>2</v>
      </c>
      <c r="AC840" s="85" t="s">
        <v>2425</v>
      </c>
      <c r="AD840" s="47">
        <f t="shared" si="432"/>
        <v>26467.803030303032</v>
      </c>
      <c r="AE840" s="140"/>
      <c r="AF840" s="113">
        <f t="shared" si="421"/>
        <v>0</v>
      </c>
      <c r="AG840" s="26"/>
      <c r="AH840" s="26" t="str">
        <f t="shared" si="410"/>
        <v/>
      </c>
      <c r="AI840" s="26" t="str">
        <f t="shared" si="425"/>
        <v/>
      </c>
      <c r="AJ840" s="26" t="str">
        <f t="shared" si="428"/>
        <v/>
      </c>
      <c r="AK840" s="26" t="str">
        <f t="shared" si="437"/>
        <v/>
      </c>
      <c r="AL840" s="26" t="str">
        <f t="shared" si="437"/>
        <v/>
      </c>
      <c r="AM840" s="26" t="str">
        <f t="shared" si="437"/>
        <v/>
      </c>
      <c r="AN840" s="26" t="str">
        <f t="shared" si="419"/>
        <v>Liquid Road</v>
      </c>
      <c r="AO840" s="26" t="str">
        <f t="shared" si="429"/>
        <v/>
      </c>
      <c r="AP840" s="26" t="str">
        <f t="shared" si="427"/>
        <v/>
      </c>
      <c r="AQ840" s="68">
        <f t="shared" si="423"/>
        <v>12</v>
      </c>
      <c r="AR840" s="68">
        <f t="shared" si="424"/>
        <v>10</v>
      </c>
      <c r="AS840" s="68">
        <f t="shared" si="411"/>
        <v>1.1000000000000001</v>
      </c>
      <c r="AT840" s="68">
        <f t="shared" si="412"/>
        <v>1</v>
      </c>
      <c r="AU840" s="68">
        <f t="shared" si="413"/>
        <v>1</v>
      </c>
      <c r="AV840" s="68">
        <f t="shared" si="414"/>
        <v>1</v>
      </c>
      <c r="AW840" s="68">
        <f t="shared" si="415"/>
        <v>1</v>
      </c>
      <c r="AX840" s="68">
        <f t="shared" ca="1" si="435"/>
        <v>-2024</v>
      </c>
      <c r="AY840" s="68"/>
      <c r="AZ840" s="68"/>
      <c r="BA840" s="106" t="str">
        <f t="shared" si="438"/>
        <v/>
      </c>
      <c r="BB840" s="178"/>
      <c r="BC840" s="178"/>
      <c r="BD840" s="178"/>
      <c r="BE840" s="178"/>
      <c r="BF840" s="178"/>
      <c r="BG840" s="178"/>
      <c r="BH840" s="178"/>
      <c r="BI840" s="33"/>
      <c r="BJ840" s="2"/>
      <c r="BK840" s="48">
        <f>$G840/5280*VLOOKUP($AC840,'Cost and Score'!$B$27:$O$40,6,0)</f>
        <v>1.0587121212121211</v>
      </c>
      <c r="BL840" s="48">
        <f>$G840/5280*VLOOKUP($AC840,'Cost and Score'!$B$27:$O$40,7,0)</f>
        <v>16.939393939393938</v>
      </c>
      <c r="BM840" s="48">
        <f>$G840/5280*VLOOKUP($AC840,'Cost and Score'!$B$27:$O$40,8,0)</f>
        <v>0</v>
      </c>
      <c r="BN840" s="48">
        <f>$G840/5280*VLOOKUP($AC840,'Cost and Score'!$B$27:$O$40,9,0)</f>
        <v>0</v>
      </c>
      <c r="BO840" s="48">
        <f>$G840/5280*VLOOKUP($AC840,'Cost and Score'!$B$27:$O$40,10,0)</f>
        <v>0</v>
      </c>
      <c r="BP840" s="48">
        <f>$G840/5280*VLOOKUP($AC840,'Cost and Score'!$B$27:$O$40,11,0)</f>
        <v>0</v>
      </c>
      <c r="BQ840" s="48">
        <f>$G840/5280*VLOOKUP($AC840,'Cost and Score'!$B$27:$O$40,12,0)</f>
        <v>0</v>
      </c>
      <c r="BR840" s="48">
        <f>$G840/5280*VLOOKUP($AC840,'Cost and Score'!$B$27:$O$40,13,0)</f>
        <v>0</v>
      </c>
      <c r="BS840" s="48">
        <f>$G840/5280*VLOOKUP($AC840,'Cost and Score'!$B$27:$O$40,14,0)</f>
        <v>0</v>
      </c>
      <c r="BT840" s="220">
        <f t="shared" si="439"/>
        <v>1.0587121212121211</v>
      </c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R840" s="2"/>
      <c r="CV840" s="2"/>
      <c r="CW840" s="2"/>
      <c r="CX840" s="2"/>
      <c r="CY840" s="2"/>
    </row>
    <row r="841" spans="1:103" s="2" customFormat="1" ht="14.45" hidden="1" customHeight="1" x14ac:dyDescent="0.25">
      <c r="A841" s="38" t="s">
        <v>1640</v>
      </c>
      <c r="B841" s="34" t="s">
        <v>1639</v>
      </c>
      <c r="C841" s="26" t="s">
        <v>1639</v>
      </c>
      <c r="D841" s="26"/>
      <c r="E841" s="26" t="s">
        <v>640</v>
      </c>
      <c r="F841" s="26" t="s">
        <v>450</v>
      </c>
      <c r="G841" s="29">
        <v>1425</v>
      </c>
      <c r="H841" s="29">
        <f t="shared" si="436"/>
        <v>20</v>
      </c>
      <c r="I841" s="26" t="s">
        <v>8</v>
      </c>
      <c r="J841" s="26" t="s">
        <v>101</v>
      </c>
      <c r="K841" s="26">
        <v>0</v>
      </c>
      <c r="L841" s="42">
        <v>6</v>
      </c>
      <c r="M841" s="42">
        <v>8</v>
      </c>
      <c r="N841" s="42">
        <v>8</v>
      </c>
      <c r="O841" s="42">
        <v>8</v>
      </c>
      <c r="P841" s="42">
        <v>8</v>
      </c>
      <c r="Q841" s="42">
        <v>7</v>
      </c>
      <c r="R841" s="42">
        <v>7</v>
      </c>
      <c r="S841" s="42">
        <v>7</v>
      </c>
      <c r="T841" s="42">
        <v>7</v>
      </c>
      <c r="U841" s="42">
        <v>7</v>
      </c>
      <c r="V841" s="42"/>
      <c r="W841" s="42">
        <v>2021</v>
      </c>
      <c r="X841" s="42" t="s">
        <v>2612</v>
      </c>
      <c r="Y841" s="26">
        <v>3880</v>
      </c>
      <c r="Z841" s="26">
        <f t="shared" si="433"/>
        <v>1.5</v>
      </c>
      <c r="AA841" s="26" t="s">
        <v>406</v>
      </c>
      <c r="AB841" s="111">
        <f t="shared" si="434"/>
        <v>3.5</v>
      </c>
      <c r="AC841" s="85" t="s">
        <v>2425</v>
      </c>
      <c r="AD841" s="47">
        <f t="shared" si="432"/>
        <v>6747.159090909091</v>
      </c>
      <c r="AE841" s="140"/>
      <c r="AF841" s="113">
        <f t="shared" si="421"/>
        <v>0</v>
      </c>
      <c r="AG841" s="26">
        <v>2027</v>
      </c>
      <c r="AH841" s="26" t="str">
        <f t="shared" si="410"/>
        <v/>
      </c>
      <c r="AI841" s="26" t="str">
        <f t="shared" si="425"/>
        <v/>
      </c>
      <c r="AJ841" s="26" t="str">
        <f t="shared" si="428"/>
        <v/>
      </c>
      <c r="AK841" s="26" t="str">
        <f t="shared" si="437"/>
        <v/>
      </c>
      <c r="AL841" s="26" t="str">
        <f t="shared" si="437"/>
        <v/>
      </c>
      <c r="AM841" s="26" t="str">
        <f t="shared" si="437"/>
        <v>Liquid Road</v>
      </c>
      <c r="AN841" s="26" t="str">
        <f t="shared" si="419"/>
        <v>Liquid Road</v>
      </c>
      <c r="AO841" s="26" t="str">
        <f t="shared" si="429"/>
        <v>Microsurface double</v>
      </c>
      <c r="AP841" s="26" t="str">
        <f t="shared" si="427"/>
        <v/>
      </c>
      <c r="AQ841" s="68">
        <f t="shared" si="423"/>
        <v>12</v>
      </c>
      <c r="AR841" s="68">
        <f t="shared" si="424"/>
        <v>10</v>
      </c>
      <c r="AS841" s="68">
        <f t="shared" si="411"/>
        <v>1.1000000000000001</v>
      </c>
      <c r="AT841" s="68">
        <f t="shared" si="412"/>
        <v>1</v>
      </c>
      <c r="AU841" s="68">
        <f t="shared" si="413"/>
        <v>1</v>
      </c>
      <c r="AV841" s="68">
        <f t="shared" si="414"/>
        <v>1</v>
      </c>
      <c r="AW841" s="68">
        <f t="shared" si="415"/>
        <v>1</v>
      </c>
      <c r="AX841" s="68">
        <f t="shared" ca="1" si="435"/>
        <v>3</v>
      </c>
      <c r="AY841" s="68">
        <v>2021</v>
      </c>
      <c r="AZ841" s="106" t="s">
        <v>2371</v>
      </c>
      <c r="BA841" s="106" t="str">
        <f t="shared" si="438"/>
        <v/>
      </c>
      <c r="BB841" s="178"/>
      <c r="BC841" s="178">
        <v>4</v>
      </c>
      <c r="BD841" s="178"/>
      <c r="BE841" s="178"/>
      <c r="BF841" s="178"/>
      <c r="BG841" s="178"/>
      <c r="BH841" s="178"/>
      <c r="BI841" s="33"/>
      <c r="BK841" s="48">
        <f>$G841/5280*VLOOKUP($AC841,'Cost and Score'!$B$27:$O$40,6,0)</f>
        <v>0.26988636363636365</v>
      </c>
      <c r="BL841" s="48">
        <f>$G841/5280*VLOOKUP($AC841,'Cost and Score'!$B$27:$O$40,7,0)</f>
        <v>4.3181818181818183</v>
      </c>
      <c r="BM841" s="48">
        <f>$G841/5280*VLOOKUP($AC841,'Cost and Score'!$B$27:$O$40,8,0)</f>
        <v>0</v>
      </c>
      <c r="BN841" s="48">
        <f>$G841/5280*VLOOKUP($AC841,'Cost and Score'!$B$27:$O$40,9,0)</f>
        <v>0</v>
      </c>
      <c r="BO841" s="48">
        <f>$G841/5280*VLOOKUP($AC841,'Cost and Score'!$B$27:$O$40,10,0)</f>
        <v>0</v>
      </c>
      <c r="BP841" s="48">
        <f>$G841/5280*VLOOKUP($AC841,'Cost and Score'!$B$27:$O$40,11,0)</f>
        <v>0</v>
      </c>
      <c r="BQ841" s="48">
        <f>$G841/5280*VLOOKUP($AC841,'Cost and Score'!$B$27:$O$40,12,0)</f>
        <v>0</v>
      </c>
      <c r="BR841" s="48">
        <f>$G841/5280*VLOOKUP($AC841,'Cost and Score'!$B$27:$O$40,13,0)</f>
        <v>0</v>
      </c>
      <c r="BS841" s="48">
        <f>$G841/5280*VLOOKUP($AC841,'Cost and Score'!$B$27:$O$40,14,0)</f>
        <v>0</v>
      </c>
      <c r="BT841" s="220">
        <f t="shared" si="439"/>
        <v>0.26988636363636365</v>
      </c>
      <c r="CN841" s="112"/>
      <c r="CO841" s="112"/>
      <c r="CP841" s="112"/>
      <c r="CQ841" s="112"/>
      <c r="CV841" s="112"/>
    </row>
    <row r="842" spans="1:103" s="2" customFormat="1" ht="14.45" hidden="1" customHeight="1" x14ac:dyDescent="0.25">
      <c r="A842" s="31" t="s">
        <v>2102</v>
      </c>
      <c r="B842" s="34" t="s">
        <v>1641</v>
      </c>
      <c r="C842" s="26" t="s">
        <v>1641</v>
      </c>
      <c r="D842" s="26"/>
      <c r="E842" s="26" t="s">
        <v>206</v>
      </c>
      <c r="F842" s="26" t="s">
        <v>197</v>
      </c>
      <c r="G842" s="29">
        <v>5174</v>
      </c>
      <c r="H842" s="29">
        <f t="shared" si="436"/>
        <v>20</v>
      </c>
      <c r="I842" s="26" t="s">
        <v>8</v>
      </c>
      <c r="J842" s="26" t="s">
        <v>101</v>
      </c>
      <c r="K842" s="26">
        <v>0</v>
      </c>
      <c r="L842" s="42">
        <v>6</v>
      </c>
      <c r="M842" s="42">
        <v>8</v>
      </c>
      <c r="N842" s="42">
        <v>8</v>
      </c>
      <c r="O842" s="42">
        <v>8</v>
      </c>
      <c r="P842" s="42">
        <v>8</v>
      </c>
      <c r="Q842" s="42">
        <v>7</v>
      </c>
      <c r="R842" s="42">
        <v>7</v>
      </c>
      <c r="S842" s="42" t="s">
        <v>2614</v>
      </c>
      <c r="T842" s="42"/>
      <c r="U842" s="42">
        <v>7</v>
      </c>
      <c r="V842" s="42"/>
      <c r="W842" s="42">
        <v>2016</v>
      </c>
      <c r="X842" s="42" t="s">
        <v>2612</v>
      </c>
      <c r="Y842" s="26">
        <v>50</v>
      </c>
      <c r="Z842" s="26">
        <f t="shared" si="433"/>
        <v>0</v>
      </c>
      <c r="AA842" s="26" t="s">
        <v>406</v>
      </c>
      <c r="AB842" s="111">
        <f t="shared" si="434"/>
        <v>2</v>
      </c>
      <c r="AC842" s="85" t="s">
        <v>2425</v>
      </c>
      <c r="AD842" s="47">
        <f t="shared" si="432"/>
        <v>24498.10606060606</v>
      </c>
      <c r="AE842" s="140"/>
      <c r="AF842" s="113">
        <f t="shared" si="421"/>
        <v>0</v>
      </c>
      <c r="AG842" s="26"/>
      <c r="AH842" s="26" t="str">
        <f t="shared" si="410"/>
        <v/>
      </c>
      <c r="AI842" s="26" t="str">
        <f t="shared" si="425"/>
        <v/>
      </c>
      <c r="AJ842" s="26" t="str">
        <f t="shared" si="428"/>
        <v/>
      </c>
      <c r="AK842" s="26" t="str">
        <f t="shared" si="437"/>
        <v/>
      </c>
      <c r="AL842" s="26" t="str">
        <f t="shared" si="437"/>
        <v/>
      </c>
      <c r="AM842" s="26" t="str">
        <f t="shared" si="437"/>
        <v/>
      </c>
      <c r="AN842" s="26" t="str">
        <f t="shared" si="419"/>
        <v>Liquid Road</v>
      </c>
      <c r="AO842" s="26" t="str">
        <f t="shared" si="429"/>
        <v/>
      </c>
      <c r="AP842" s="26" t="str">
        <f t="shared" si="427"/>
        <v/>
      </c>
      <c r="AQ842" s="68">
        <f t="shared" si="423"/>
        <v>12</v>
      </c>
      <c r="AR842" s="68">
        <f t="shared" si="424"/>
        <v>10</v>
      </c>
      <c r="AS842" s="68">
        <f t="shared" si="411"/>
        <v>1.1000000000000001</v>
      </c>
      <c r="AT842" s="68">
        <f t="shared" si="412"/>
        <v>1</v>
      </c>
      <c r="AU842" s="68">
        <f t="shared" si="413"/>
        <v>1</v>
      </c>
      <c r="AV842" s="68">
        <f t="shared" si="414"/>
        <v>1</v>
      </c>
      <c r="AW842" s="68">
        <f t="shared" si="415"/>
        <v>1</v>
      </c>
      <c r="AX842" s="68">
        <f t="shared" ca="1" si="435"/>
        <v>-2024</v>
      </c>
      <c r="AY842" s="68"/>
      <c r="AZ842" s="68"/>
      <c r="BA842" s="106" t="str">
        <f t="shared" si="438"/>
        <v/>
      </c>
      <c r="BB842" s="178"/>
      <c r="BC842" s="178"/>
      <c r="BD842" s="178"/>
      <c r="BE842" s="178"/>
      <c r="BF842" s="178"/>
      <c r="BG842" s="178"/>
      <c r="BH842" s="178"/>
      <c r="BI842" s="33"/>
      <c r="BK842" s="48">
        <f>$G842/5280*VLOOKUP($AC842,'Cost and Score'!$B$27:$O$40,6,0)</f>
        <v>0.97992424242424248</v>
      </c>
      <c r="BL842" s="48">
        <f>$G842/5280*VLOOKUP($AC842,'Cost and Score'!$B$27:$O$40,7,0)</f>
        <v>15.67878787878788</v>
      </c>
      <c r="BM842" s="48">
        <f>$G842/5280*VLOOKUP($AC842,'Cost and Score'!$B$27:$O$40,8,0)</f>
        <v>0</v>
      </c>
      <c r="BN842" s="48">
        <f>$G842/5280*VLOOKUP($AC842,'Cost and Score'!$B$27:$O$40,9,0)</f>
        <v>0</v>
      </c>
      <c r="BO842" s="48">
        <f>$G842/5280*VLOOKUP($AC842,'Cost and Score'!$B$27:$O$40,10,0)</f>
        <v>0</v>
      </c>
      <c r="BP842" s="48">
        <f>$G842/5280*VLOOKUP($AC842,'Cost and Score'!$B$27:$O$40,11,0)</f>
        <v>0</v>
      </c>
      <c r="BQ842" s="48">
        <f>$G842/5280*VLOOKUP($AC842,'Cost and Score'!$B$27:$O$40,12,0)</f>
        <v>0</v>
      </c>
      <c r="BR842" s="48">
        <f>$G842/5280*VLOOKUP($AC842,'Cost and Score'!$B$27:$O$40,13,0)</f>
        <v>0</v>
      </c>
      <c r="BS842" s="48">
        <f>$G842/5280*VLOOKUP($AC842,'Cost and Score'!$B$27:$O$40,14,0)</f>
        <v>0</v>
      </c>
      <c r="BT842" s="220">
        <f t="shared" si="439"/>
        <v>0.97992424242424248</v>
      </c>
    </row>
    <row r="843" spans="1:103" s="2" customFormat="1" ht="14.45" hidden="1" customHeight="1" x14ac:dyDescent="0.25">
      <c r="A843" s="38" t="s">
        <v>1643</v>
      </c>
      <c r="B843" s="34" t="s">
        <v>1642</v>
      </c>
      <c r="C843" s="26" t="s">
        <v>1642</v>
      </c>
      <c r="D843" s="26"/>
      <c r="E843" s="26" t="s">
        <v>197</v>
      </c>
      <c r="F843" s="26" t="s">
        <v>640</v>
      </c>
      <c r="G843" s="29">
        <v>5227</v>
      </c>
      <c r="H843" s="29">
        <f t="shared" si="436"/>
        <v>20</v>
      </c>
      <c r="I843" s="26" t="s">
        <v>8</v>
      </c>
      <c r="J843" s="26" t="s">
        <v>101</v>
      </c>
      <c r="K843" s="26">
        <v>0</v>
      </c>
      <c r="L843" s="42">
        <v>6</v>
      </c>
      <c r="M843" s="42">
        <v>8</v>
      </c>
      <c r="N843" s="42">
        <v>8</v>
      </c>
      <c r="O843" s="42">
        <v>8</v>
      </c>
      <c r="P843" s="42">
        <v>8</v>
      </c>
      <c r="Q843" s="42">
        <v>7</v>
      </c>
      <c r="R843" s="42">
        <v>7</v>
      </c>
      <c r="S843" s="42">
        <v>7</v>
      </c>
      <c r="T843" s="42">
        <v>7</v>
      </c>
      <c r="U843" s="42">
        <v>7</v>
      </c>
      <c r="V843" s="42"/>
      <c r="W843" s="42">
        <v>2021</v>
      </c>
      <c r="X843" s="42" t="s">
        <v>2612</v>
      </c>
      <c r="Y843" s="26">
        <v>3949</v>
      </c>
      <c r="Z843" s="26">
        <f t="shared" si="433"/>
        <v>1.5</v>
      </c>
      <c r="AA843" s="26" t="s">
        <v>406</v>
      </c>
      <c r="AB843" s="111">
        <f t="shared" si="434"/>
        <v>3.5</v>
      </c>
      <c r="AC843" s="85" t="s">
        <v>2425</v>
      </c>
      <c r="AD843" s="47">
        <f t="shared" si="432"/>
        <v>24749.053030303032</v>
      </c>
      <c r="AE843" s="140"/>
      <c r="AF843" s="113">
        <f t="shared" si="421"/>
        <v>0</v>
      </c>
      <c r="AG843" s="26">
        <v>2027</v>
      </c>
      <c r="AH843" s="26" t="str">
        <f t="shared" si="410"/>
        <v/>
      </c>
      <c r="AI843" s="26" t="str">
        <f t="shared" si="425"/>
        <v/>
      </c>
      <c r="AJ843" s="26" t="str">
        <f t="shared" si="428"/>
        <v/>
      </c>
      <c r="AK843" s="26" t="str">
        <f t="shared" si="437"/>
        <v/>
      </c>
      <c r="AL843" s="26" t="str">
        <f t="shared" si="437"/>
        <v/>
      </c>
      <c r="AM843" s="26" t="str">
        <f t="shared" si="437"/>
        <v>Liquid Road</v>
      </c>
      <c r="AN843" s="26" t="str">
        <f t="shared" si="419"/>
        <v>Liquid Road</v>
      </c>
      <c r="AO843" s="26" t="str">
        <f t="shared" si="429"/>
        <v>Microsurface double</v>
      </c>
      <c r="AP843" s="26" t="str">
        <f t="shared" si="427"/>
        <v/>
      </c>
      <c r="AQ843" s="68">
        <f t="shared" si="423"/>
        <v>12</v>
      </c>
      <c r="AR843" s="68">
        <f t="shared" si="424"/>
        <v>10</v>
      </c>
      <c r="AS843" s="68">
        <f t="shared" si="411"/>
        <v>1.1000000000000001</v>
      </c>
      <c r="AT843" s="68">
        <f t="shared" si="412"/>
        <v>1</v>
      </c>
      <c r="AU843" s="68">
        <f t="shared" si="413"/>
        <v>1</v>
      </c>
      <c r="AV843" s="68">
        <f t="shared" si="414"/>
        <v>1</v>
      </c>
      <c r="AW843" s="68">
        <f t="shared" si="415"/>
        <v>1</v>
      </c>
      <c r="AX843" s="68">
        <f t="shared" ca="1" si="435"/>
        <v>3</v>
      </c>
      <c r="AY843" s="68">
        <v>2021</v>
      </c>
      <c r="AZ843" s="106" t="s">
        <v>2371</v>
      </c>
      <c r="BA843" s="106" t="str">
        <f t="shared" si="438"/>
        <v/>
      </c>
      <c r="BB843" s="178"/>
      <c r="BC843" s="178">
        <v>4</v>
      </c>
      <c r="BD843" s="178"/>
      <c r="BE843" s="178"/>
      <c r="BF843" s="178"/>
      <c r="BG843" s="178"/>
      <c r="BH843" s="178"/>
      <c r="BI843" s="33"/>
      <c r="BK843" s="48">
        <f>$G843/5280*VLOOKUP($AC843,'Cost and Score'!$B$27:$O$40,6,0)</f>
        <v>0.98996212121212124</v>
      </c>
      <c r="BL843" s="48">
        <f>$G843/5280*VLOOKUP($AC843,'Cost and Score'!$B$27:$O$40,7,0)</f>
        <v>15.83939393939394</v>
      </c>
      <c r="BM843" s="48">
        <f>$G843/5280*VLOOKUP($AC843,'Cost and Score'!$B$27:$O$40,8,0)</f>
        <v>0</v>
      </c>
      <c r="BN843" s="48">
        <f>$G843/5280*VLOOKUP($AC843,'Cost and Score'!$B$27:$O$40,9,0)</f>
        <v>0</v>
      </c>
      <c r="BO843" s="48">
        <f>$G843/5280*VLOOKUP($AC843,'Cost and Score'!$B$27:$O$40,10,0)</f>
        <v>0</v>
      </c>
      <c r="BP843" s="48">
        <f>$G843/5280*VLOOKUP($AC843,'Cost and Score'!$B$27:$O$40,11,0)</f>
        <v>0</v>
      </c>
      <c r="BQ843" s="48">
        <f>$G843/5280*VLOOKUP($AC843,'Cost and Score'!$B$27:$O$40,12,0)</f>
        <v>0</v>
      </c>
      <c r="BR843" s="48">
        <f>$G843/5280*VLOOKUP($AC843,'Cost and Score'!$B$27:$O$40,13,0)</f>
        <v>0</v>
      </c>
      <c r="BS843" s="48">
        <f>$G843/5280*VLOOKUP($AC843,'Cost and Score'!$B$27:$O$40,14,0)</f>
        <v>0</v>
      </c>
      <c r="BT843" s="220">
        <f t="shared" si="439"/>
        <v>0.98996212121212124</v>
      </c>
    </row>
    <row r="844" spans="1:103" s="2" customFormat="1" ht="14.45" hidden="1" customHeight="1" x14ac:dyDescent="0.25">
      <c r="A844" s="37" t="s">
        <v>1645</v>
      </c>
      <c r="B844" s="34" t="s">
        <v>1644</v>
      </c>
      <c r="C844" s="26" t="s">
        <v>1644</v>
      </c>
      <c r="D844" s="26"/>
      <c r="E844" s="26" t="s">
        <v>450</v>
      </c>
      <c r="F844" s="26" t="s">
        <v>28</v>
      </c>
      <c r="G844" s="29">
        <v>5121</v>
      </c>
      <c r="H844" s="29">
        <f t="shared" si="436"/>
        <v>20</v>
      </c>
      <c r="I844" s="26" t="s">
        <v>8</v>
      </c>
      <c r="J844" s="26" t="s">
        <v>101</v>
      </c>
      <c r="K844" s="26">
        <v>0</v>
      </c>
      <c r="L844" s="42">
        <v>6</v>
      </c>
      <c r="M844" s="42">
        <v>8</v>
      </c>
      <c r="N844" s="42">
        <v>8</v>
      </c>
      <c r="O844" s="42">
        <v>8</v>
      </c>
      <c r="P844" s="42">
        <v>8</v>
      </c>
      <c r="Q844" s="42">
        <v>7</v>
      </c>
      <c r="R844" s="42">
        <v>7</v>
      </c>
      <c r="S844" s="42">
        <v>7</v>
      </c>
      <c r="T844" s="42">
        <v>7</v>
      </c>
      <c r="U844" s="42">
        <v>7</v>
      </c>
      <c r="V844" s="42"/>
      <c r="W844" s="42">
        <v>2021</v>
      </c>
      <c r="X844" s="42" t="s">
        <v>2612</v>
      </c>
      <c r="Y844" s="26">
        <v>3557</v>
      </c>
      <c r="Z844" s="26">
        <f t="shared" si="433"/>
        <v>1.5</v>
      </c>
      <c r="AA844" s="26" t="s">
        <v>406</v>
      </c>
      <c r="AB844" s="111">
        <f t="shared" si="434"/>
        <v>3.5</v>
      </c>
      <c r="AC844" s="85" t="s">
        <v>2425</v>
      </c>
      <c r="AD844" s="47">
        <f t="shared" si="432"/>
        <v>24247.159090909092</v>
      </c>
      <c r="AE844" s="140"/>
      <c r="AF844" s="113">
        <f t="shared" si="421"/>
        <v>0</v>
      </c>
      <c r="AG844" s="26">
        <v>2027</v>
      </c>
      <c r="AH844" s="26" t="str">
        <f t="shared" si="410"/>
        <v/>
      </c>
      <c r="AI844" s="26" t="str">
        <f t="shared" si="425"/>
        <v/>
      </c>
      <c r="AJ844" s="26" t="str">
        <f t="shared" si="428"/>
        <v/>
      </c>
      <c r="AK844" s="26" t="str">
        <f t="shared" si="437"/>
        <v/>
      </c>
      <c r="AL844" s="26" t="str">
        <f t="shared" si="437"/>
        <v/>
      </c>
      <c r="AM844" s="26" t="str">
        <f t="shared" si="437"/>
        <v>Liquid Road</v>
      </c>
      <c r="AN844" s="26" t="str">
        <f t="shared" si="419"/>
        <v>Liquid Road</v>
      </c>
      <c r="AO844" s="26" t="str">
        <f t="shared" si="429"/>
        <v>Microsurface double</v>
      </c>
      <c r="AP844" s="26" t="str">
        <f t="shared" si="427"/>
        <v/>
      </c>
      <c r="AQ844" s="68">
        <f t="shared" si="423"/>
        <v>12</v>
      </c>
      <c r="AR844" s="68">
        <f t="shared" si="424"/>
        <v>10</v>
      </c>
      <c r="AS844" s="68">
        <f t="shared" si="411"/>
        <v>1.1000000000000001</v>
      </c>
      <c r="AT844" s="68">
        <f t="shared" si="412"/>
        <v>1</v>
      </c>
      <c r="AU844" s="68">
        <f t="shared" si="413"/>
        <v>1</v>
      </c>
      <c r="AV844" s="68">
        <f t="shared" si="414"/>
        <v>1</v>
      </c>
      <c r="AW844" s="68">
        <f t="shared" si="415"/>
        <v>1</v>
      </c>
      <c r="AX844" s="68">
        <f t="shared" ca="1" si="435"/>
        <v>3</v>
      </c>
      <c r="AY844" s="68">
        <v>2021</v>
      </c>
      <c r="AZ844" s="106" t="s">
        <v>2371</v>
      </c>
      <c r="BA844" s="106" t="str">
        <f t="shared" si="438"/>
        <v/>
      </c>
      <c r="BB844" s="178"/>
      <c r="BC844" s="178">
        <v>4</v>
      </c>
      <c r="BD844" s="178"/>
      <c r="BE844" s="178"/>
      <c r="BF844" s="178"/>
      <c r="BG844" s="178"/>
      <c r="BH844" s="178"/>
      <c r="BI844" s="33"/>
      <c r="BK844" s="48">
        <f>$G844/5280*VLOOKUP($AC844,'Cost and Score'!$B$27:$O$40,6,0)</f>
        <v>0.9698863636363636</v>
      </c>
      <c r="BL844" s="48">
        <f>$G844/5280*VLOOKUP($AC844,'Cost and Score'!$B$27:$O$40,7,0)</f>
        <v>15.518181818181818</v>
      </c>
      <c r="BM844" s="48">
        <f>$G844/5280*VLOOKUP($AC844,'Cost and Score'!$B$27:$O$40,8,0)</f>
        <v>0</v>
      </c>
      <c r="BN844" s="48">
        <f>$G844/5280*VLOOKUP($AC844,'Cost and Score'!$B$27:$O$40,9,0)</f>
        <v>0</v>
      </c>
      <c r="BO844" s="48">
        <f>$G844/5280*VLOOKUP($AC844,'Cost and Score'!$B$27:$O$40,10,0)</f>
        <v>0</v>
      </c>
      <c r="BP844" s="48">
        <f>$G844/5280*VLOOKUP($AC844,'Cost and Score'!$B$27:$O$40,11,0)</f>
        <v>0</v>
      </c>
      <c r="BQ844" s="48">
        <f>$G844/5280*VLOOKUP($AC844,'Cost and Score'!$B$27:$O$40,12,0)</f>
        <v>0</v>
      </c>
      <c r="BR844" s="48">
        <f>$G844/5280*VLOOKUP($AC844,'Cost and Score'!$B$27:$O$40,13,0)</f>
        <v>0</v>
      </c>
      <c r="BS844" s="48">
        <f>$G844/5280*VLOOKUP($AC844,'Cost and Score'!$B$27:$O$40,14,0)</f>
        <v>0</v>
      </c>
      <c r="BT844" s="220">
        <f t="shared" si="439"/>
        <v>0.9698863636363636</v>
      </c>
    </row>
    <row r="845" spans="1:103" s="2" customFormat="1" ht="14.45" hidden="1" customHeight="1" x14ac:dyDescent="0.25">
      <c r="A845" s="37" t="s">
        <v>1647</v>
      </c>
      <c r="B845" s="34" t="s">
        <v>1646</v>
      </c>
      <c r="C845" s="26" t="s">
        <v>1646</v>
      </c>
      <c r="D845" s="26"/>
      <c r="E845" s="26" t="s">
        <v>28</v>
      </c>
      <c r="F845" s="26" t="s">
        <v>28</v>
      </c>
      <c r="G845" s="29">
        <v>2376</v>
      </c>
      <c r="H845" s="29">
        <f t="shared" si="436"/>
        <v>20</v>
      </c>
      <c r="I845" s="26" t="s">
        <v>8</v>
      </c>
      <c r="J845" s="26" t="s">
        <v>101</v>
      </c>
      <c r="K845" s="26">
        <v>0</v>
      </c>
      <c r="L845" s="42">
        <v>7</v>
      </c>
      <c r="M845" s="42">
        <v>8</v>
      </c>
      <c r="N845" s="42">
        <v>8</v>
      </c>
      <c r="O845" s="42">
        <v>8</v>
      </c>
      <c r="P845" s="42">
        <v>8</v>
      </c>
      <c r="Q845" s="42">
        <v>7</v>
      </c>
      <c r="R845" s="42">
        <v>7</v>
      </c>
      <c r="S845" s="42">
        <v>7</v>
      </c>
      <c r="T845" s="42">
        <v>7</v>
      </c>
      <c r="U845" s="42">
        <v>7</v>
      </c>
      <c r="V845" s="42"/>
      <c r="W845" s="42">
        <v>2021</v>
      </c>
      <c r="X845" s="42" t="s">
        <v>2612</v>
      </c>
      <c r="Y845" s="26">
        <v>3557</v>
      </c>
      <c r="Z845" s="26">
        <f t="shared" si="433"/>
        <v>1.5</v>
      </c>
      <c r="AA845" s="26" t="s">
        <v>406</v>
      </c>
      <c r="AB845" s="111">
        <f t="shared" si="434"/>
        <v>3.5</v>
      </c>
      <c r="AC845" s="85" t="s">
        <v>2425</v>
      </c>
      <c r="AD845" s="47">
        <f t="shared" si="432"/>
        <v>11250</v>
      </c>
      <c r="AE845" s="140"/>
      <c r="AF845" s="113">
        <f t="shared" si="421"/>
        <v>0</v>
      </c>
      <c r="AG845" s="26">
        <v>2027</v>
      </c>
      <c r="AH845" s="26" t="str">
        <f t="shared" ref="AH845:AH908" si="440">IF($AG845=AH$1,VLOOKUP($AC845,RSL,3,FALSE),"")</f>
        <v/>
      </c>
      <c r="AI845" s="26" t="str">
        <f t="shared" si="425"/>
        <v/>
      </c>
      <c r="AJ845" s="26" t="str">
        <f t="shared" si="428"/>
        <v/>
      </c>
      <c r="AK845" s="26" t="str">
        <f t="shared" si="437"/>
        <v/>
      </c>
      <c r="AL845" s="26" t="str">
        <f t="shared" si="437"/>
        <v/>
      </c>
      <c r="AM845" s="26" t="str">
        <f t="shared" si="437"/>
        <v>Liquid Road</v>
      </c>
      <c r="AN845" s="26" t="str">
        <f t="shared" si="419"/>
        <v>Liquid Road</v>
      </c>
      <c r="AO845" s="26" t="str">
        <f t="shared" si="429"/>
        <v>Microsurface double</v>
      </c>
      <c r="AP845" s="26" t="str">
        <f t="shared" si="427"/>
        <v/>
      </c>
      <c r="AQ845" s="68">
        <f t="shared" si="423"/>
        <v>12</v>
      </c>
      <c r="AR845" s="68">
        <f t="shared" si="424"/>
        <v>10</v>
      </c>
      <c r="AS845" s="68">
        <f t="shared" si="411"/>
        <v>1.05</v>
      </c>
      <c r="AT845" s="68">
        <f t="shared" si="412"/>
        <v>1</v>
      </c>
      <c r="AU845" s="68">
        <f t="shared" si="413"/>
        <v>1</v>
      </c>
      <c r="AV845" s="68">
        <f t="shared" si="414"/>
        <v>1</v>
      </c>
      <c r="AW845" s="68">
        <f t="shared" si="415"/>
        <v>1</v>
      </c>
      <c r="AX845" s="68">
        <f t="shared" ca="1" si="435"/>
        <v>3</v>
      </c>
      <c r="AY845" s="68">
        <v>2021</v>
      </c>
      <c r="AZ845" s="106" t="s">
        <v>2371</v>
      </c>
      <c r="BA845" s="106" t="str">
        <f t="shared" si="438"/>
        <v/>
      </c>
      <c r="BB845" s="178"/>
      <c r="BC845" s="178">
        <v>4</v>
      </c>
      <c r="BD845" s="178"/>
      <c r="BE845" s="178"/>
      <c r="BF845" s="178"/>
      <c r="BG845" s="178"/>
      <c r="BH845" s="178"/>
      <c r="BI845" s="33"/>
      <c r="BK845" s="48">
        <f>$G845/5280*VLOOKUP($AC845,'Cost and Score'!$B$27:$O$40,6,0)</f>
        <v>0.45</v>
      </c>
      <c r="BL845" s="48">
        <f>$G845/5280*VLOOKUP($AC845,'Cost and Score'!$B$27:$O$40,7,0)</f>
        <v>7.2</v>
      </c>
      <c r="BM845" s="48">
        <f>$G845/5280*VLOOKUP($AC845,'Cost and Score'!$B$27:$O$40,8,0)</f>
        <v>0</v>
      </c>
      <c r="BN845" s="48">
        <f>$G845/5280*VLOOKUP($AC845,'Cost and Score'!$B$27:$O$40,9,0)</f>
        <v>0</v>
      </c>
      <c r="BO845" s="48">
        <f>$G845/5280*VLOOKUP($AC845,'Cost and Score'!$B$27:$O$40,10,0)</f>
        <v>0</v>
      </c>
      <c r="BP845" s="48">
        <f>$G845/5280*VLOOKUP($AC845,'Cost and Score'!$B$27:$O$40,11,0)</f>
        <v>0</v>
      </c>
      <c r="BQ845" s="48">
        <f>$G845/5280*VLOOKUP($AC845,'Cost and Score'!$B$27:$O$40,12,0)</f>
        <v>0</v>
      </c>
      <c r="BR845" s="48">
        <f>$G845/5280*VLOOKUP($AC845,'Cost and Score'!$B$27:$O$40,13,0)</f>
        <v>0</v>
      </c>
      <c r="BS845" s="48">
        <f>$G845/5280*VLOOKUP($AC845,'Cost and Score'!$B$27:$O$40,14,0)</f>
        <v>0</v>
      </c>
      <c r="BT845" s="220">
        <f t="shared" si="439"/>
        <v>0.45</v>
      </c>
    </row>
    <row r="846" spans="1:103" s="2" customFormat="1" ht="14.45" hidden="1" customHeight="1" x14ac:dyDescent="0.25">
      <c r="A846" s="38" t="s">
        <v>1649</v>
      </c>
      <c r="B846" s="34" t="s">
        <v>1648</v>
      </c>
      <c r="C846" s="26" t="s">
        <v>1648</v>
      </c>
      <c r="D846" s="26"/>
      <c r="E846" s="26" t="s">
        <v>28</v>
      </c>
      <c r="F846" s="26" t="s">
        <v>9</v>
      </c>
      <c r="G846" s="29">
        <v>5280</v>
      </c>
      <c r="H846" s="29">
        <f t="shared" si="436"/>
        <v>20</v>
      </c>
      <c r="I846" s="26" t="s">
        <v>8</v>
      </c>
      <c r="J846" s="26" t="s">
        <v>101</v>
      </c>
      <c r="K846" s="26">
        <v>0</v>
      </c>
      <c r="L846" s="42">
        <v>7</v>
      </c>
      <c r="M846" s="42">
        <v>8</v>
      </c>
      <c r="N846" s="42">
        <v>8</v>
      </c>
      <c r="O846" s="42">
        <v>8</v>
      </c>
      <c r="P846" s="42">
        <v>8</v>
      </c>
      <c r="Q846" s="42">
        <v>7</v>
      </c>
      <c r="R846" s="42">
        <v>7</v>
      </c>
      <c r="S846" s="42">
        <v>7</v>
      </c>
      <c r="T846" s="42">
        <v>7</v>
      </c>
      <c r="U846" s="42">
        <v>7</v>
      </c>
      <c r="V846" s="42"/>
      <c r="W846" s="42">
        <v>2021</v>
      </c>
      <c r="X846" s="42" t="s">
        <v>2612</v>
      </c>
      <c r="Y846" s="26">
        <v>3034</v>
      </c>
      <c r="Z846" s="26">
        <f t="shared" si="433"/>
        <v>1.5</v>
      </c>
      <c r="AA846" s="26" t="s">
        <v>406</v>
      </c>
      <c r="AB846" s="111">
        <f t="shared" si="434"/>
        <v>3.5</v>
      </c>
      <c r="AC846" s="85" t="s">
        <v>2425</v>
      </c>
      <c r="AD846" s="47">
        <f t="shared" si="432"/>
        <v>25000</v>
      </c>
      <c r="AE846" s="140"/>
      <c r="AF846" s="113">
        <f t="shared" si="421"/>
        <v>0</v>
      </c>
      <c r="AG846" s="26">
        <v>2027</v>
      </c>
      <c r="AH846" s="26" t="str">
        <f t="shared" si="440"/>
        <v/>
      </c>
      <c r="AI846" s="26" t="str">
        <f t="shared" si="425"/>
        <v/>
      </c>
      <c r="AJ846" s="26" t="str">
        <f t="shared" si="428"/>
        <v/>
      </c>
      <c r="AK846" s="26" t="str">
        <f t="shared" si="437"/>
        <v/>
      </c>
      <c r="AL846" s="26" t="str">
        <f t="shared" si="437"/>
        <v/>
      </c>
      <c r="AM846" s="26" t="str">
        <f t="shared" si="437"/>
        <v>Liquid Road</v>
      </c>
      <c r="AN846" s="26" t="str">
        <f t="shared" si="419"/>
        <v>Liquid Road</v>
      </c>
      <c r="AO846" s="26" t="str">
        <f t="shared" si="429"/>
        <v>Microsurface double</v>
      </c>
      <c r="AP846" s="26" t="str">
        <f t="shared" si="427"/>
        <v/>
      </c>
      <c r="AQ846" s="68">
        <f t="shared" si="423"/>
        <v>12</v>
      </c>
      <c r="AR846" s="68">
        <f t="shared" si="424"/>
        <v>10</v>
      </c>
      <c r="AS846" s="68">
        <f t="shared" si="411"/>
        <v>1.05</v>
      </c>
      <c r="AT846" s="68">
        <f t="shared" si="412"/>
        <v>1</v>
      </c>
      <c r="AU846" s="68">
        <f t="shared" si="413"/>
        <v>1</v>
      </c>
      <c r="AV846" s="68">
        <f t="shared" si="414"/>
        <v>1</v>
      </c>
      <c r="AW846" s="68">
        <f t="shared" si="415"/>
        <v>1</v>
      </c>
      <c r="AX846" s="68">
        <f t="shared" ca="1" si="435"/>
        <v>3</v>
      </c>
      <c r="AY846" s="68">
        <v>2021</v>
      </c>
      <c r="AZ846" s="106" t="s">
        <v>2371</v>
      </c>
      <c r="BA846" s="106" t="str">
        <f t="shared" si="438"/>
        <v/>
      </c>
      <c r="BB846" s="178"/>
      <c r="BC846" s="178">
        <v>4</v>
      </c>
      <c r="BD846" s="178"/>
      <c r="BE846" s="178"/>
      <c r="BF846" s="178"/>
      <c r="BG846" s="178"/>
      <c r="BH846" s="178"/>
      <c r="BI846" s="33"/>
      <c r="BK846" s="48">
        <f>$G846/5280*VLOOKUP($AC846,'Cost and Score'!$B$27:$O$40,6,0)</f>
        <v>1</v>
      </c>
      <c r="BL846" s="48">
        <f>$G846/5280*VLOOKUP($AC846,'Cost and Score'!$B$27:$O$40,7,0)</f>
        <v>16</v>
      </c>
      <c r="BM846" s="48">
        <f>$G846/5280*VLOOKUP($AC846,'Cost and Score'!$B$27:$O$40,8,0)</f>
        <v>0</v>
      </c>
      <c r="BN846" s="48">
        <f>$G846/5280*VLOOKUP($AC846,'Cost and Score'!$B$27:$O$40,9,0)</f>
        <v>0</v>
      </c>
      <c r="BO846" s="48">
        <f>$G846/5280*VLOOKUP($AC846,'Cost and Score'!$B$27:$O$40,10,0)</f>
        <v>0</v>
      </c>
      <c r="BP846" s="48">
        <f>$G846/5280*VLOOKUP($AC846,'Cost and Score'!$B$27:$O$40,11,0)</f>
        <v>0</v>
      </c>
      <c r="BQ846" s="48">
        <f>$G846/5280*VLOOKUP($AC846,'Cost and Score'!$B$27:$O$40,12,0)</f>
        <v>0</v>
      </c>
      <c r="BR846" s="48">
        <f>$G846/5280*VLOOKUP($AC846,'Cost and Score'!$B$27:$O$40,13,0)</f>
        <v>0</v>
      </c>
      <c r="BS846" s="48">
        <f>$G846/5280*VLOOKUP($AC846,'Cost and Score'!$B$27:$O$40,14,0)</f>
        <v>0</v>
      </c>
      <c r="BT846" s="220">
        <f t="shared" si="439"/>
        <v>1</v>
      </c>
      <c r="CW846" s="112"/>
      <c r="CX846" s="112"/>
      <c r="CY846" s="112"/>
    </row>
    <row r="847" spans="1:103" s="2" customFormat="1" ht="14.45" hidden="1" customHeight="1" x14ac:dyDescent="0.25">
      <c r="A847" s="38" t="s">
        <v>1651</v>
      </c>
      <c r="B847" s="34" t="s">
        <v>1650</v>
      </c>
      <c r="C847" s="26" t="s">
        <v>1650</v>
      </c>
      <c r="D847" s="26"/>
      <c r="E847" s="26" t="s">
        <v>9</v>
      </c>
      <c r="F847" s="26" t="s">
        <v>213</v>
      </c>
      <c r="G847" s="29">
        <v>5373</v>
      </c>
      <c r="H847" s="29">
        <f t="shared" si="436"/>
        <v>20</v>
      </c>
      <c r="I847" s="26" t="s">
        <v>8</v>
      </c>
      <c r="J847" s="26" t="s">
        <v>11</v>
      </c>
      <c r="K847" s="26">
        <f t="shared" ref="K847:K858" si="441">VLOOKUP(J847,TOWNSHIPS,2,FALSE)</f>
        <v>0</v>
      </c>
      <c r="L847" s="42">
        <v>7</v>
      </c>
      <c r="M847" s="42">
        <v>8</v>
      </c>
      <c r="N847" s="42">
        <v>8</v>
      </c>
      <c r="O847" s="42">
        <v>8</v>
      </c>
      <c r="P847" s="42">
        <v>8</v>
      </c>
      <c r="Q847" s="42">
        <v>7</v>
      </c>
      <c r="R847" s="42">
        <v>7</v>
      </c>
      <c r="S847" s="42">
        <v>7</v>
      </c>
      <c r="T847" s="42">
        <v>7</v>
      </c>
      <c r="U847" s="42">
        <v>7</v>
      </c>
      <c r="V847" s="42"/>
      <c r="W847" s="42">
        <v>2021</v>
      </c>
      <c r="X847" s="42" t="s">
        <v>2612</v>
      </c>
      <c r="Y847" s="26">
        <v>2589</v>
      </c>
      <c r="Z847" s="26">
        <f t="shared" si="433"/>
        <v>1.5</v>
      </c>
      <c r="AA847" s="26" t="s">
        <v>406</v>
      </c>
      <c r="AB847" s="111">
        <f t="shared" si="434"/>
        <v>3.5</v>
      </c>
      <c r="AC847" s="85" t="s">
        <v>2425</v>
      </c>
      <c r="AD847" s="47">
        <f t="shared" si="432"/>
        <v>25440.340909090908</v>
      </c>
      <c r="AE847" s="140"/>
      <c r="AF847" s="113">
        <f t="shared" si="421"/>
        <v>0</v>
      </c>
      <c r="AG847" s="26">
        <v>2027</v>
      </c>
      <c r="AH847" s="26" t="str">
        <f t="shared" si="440"/>
        <v/>
      </c>
      <c r="AI847" s="26" t="str">
        <f t="shared" si="425"/>
        <v/>
      </c>
      <c r="AJ847" s="26" t="str">
        <f t="shared" si="428"/>
        <v/>
      </c>
      <c r="AK847" s="26" t="str">
        <f t="shared" si="437"/>
        <v/>
      </c>
      <c r="AL847" s="26" t="str">
        <f t="shared" si="437"/>
        <v/>
      </c>
      <c r="AM847" s="26" t="str">
        <f t="shared" si="437"/>
        <v>Liquid Road</v>
      </c>
      <c r="AN847" s="26" t="str">
        <f t="shared" si="419"/>
        <v>Liquid Road</v>
      </c>
      <c r="AO847" s="26" t="str">
        <f t="shared" si="429"/>
        <v>Microsurface double</v>
      </c>
      <c r="AP847" s="26" t="str">
        <f t="shared" si="427"/>
        <v/>
      </c>
      <c r="AQ847" s="68">
        <f t="shared" si="423"/>
        <v>12</v>
      </c>
      <c r="AR847" s="68">
        <f t="shared" si="424"/>
        <v>10</v>
      </c>
      <c r="AS847" s="68">
        <f t="shared" si="411"/>
        <v>1.05</v>
      </c>
      <c r="AT847" s="68">
        <f t="shared" si="412"/>
        <v>1</v>
      </c>
      <c r="AU847" s="68">
        <f t="shared" si="413"/>
        <v>1</v>
      </c>
      <c r="AV847" s="68">
        <f t="shared" si="414"/>
        <v>1</v>
      </c>
      <c r="AW847" s="68">
        <f t="shared" si="415"/>
        <v>1</v>
      </c>
      <c r="AX847" s="68">
        <f t="shared" ca="1" si="435"/>
        <v>3</v>
      </c>
      <c r="AY847" s="68">
        <v>2021</v>
      </c>
      <c r="AZ847" s="106" t="s">
        <v>2371</v>
      </c>
      <c r="BA847" s="106" t="str">
        <f t="shared" si="438"/>
        <v/>
      </c>
      <c r="BB847" s="178"/>
      <c r="BC847" s="178">
        <v>4</v>
      </c>
      <c r="BD847" s="178"/>
      <c r="BE847" s="178"/>
      <c r="BF847" s="178"/>
      <c r="BG847" s="178"/>
      <c r="BH847" s="178"/>
      <c r="BI847" s="33"/>
      <c r="BK847" s="48">
        <f>$G847/5280*VLOOKUP($AC847,'Cost and Score'!$B$27:$O$40,6,0)</f>
        <v>1.0176136363636363</v>
      </c>
      <c r="BL847" s="48">
        <f>$G847/5280*VLOOKUP($AC847,'Cost and Score'!$B$27:$O$40,7,0)</f>
        <v>16.281818181818181</v>
      </c>
      <c r="BM847" s="48">
        <f>$G847/5280*VLOOKUP($AC847,'Cost and Score'!$B$27:$O$40,8,0)</f>
        <v>0</v>
      </c>
      <c r="BN847" s="48">
        <f>$G847/5280*VLOOKUP($AC847,'Cost and Score'!$B$27:$O$40,9,0)</f>
        <v>0</v>
      </c>
      <c r="BO847" s="48">
        <f>$G847/5280*VLOOKUP($AC847,'Cost and Score'!$B$27:$O$40,10,0)</f>
        <v>0</v>
      </c>
      <c r="BP847" s="48">
        <f>$G847/5280*VLOOKUP($AC847,'Cost and Score'!$B$27:$O$40,11,0)</f>
        <v>0</v>
      </c>
      <c r="BQ847" s="48">
        <f>$G847/5280*VLOOKUP($AC847,'Cost and Score'!$B$27:$O$40,12,0)</f>
        <v>0</v>
      </c>
      <c r="BR847" s="48">
        <f>$G847/5280*VLOOKUP($AC847,'Cost and Score'!$B$27:$O$40,13,0)</f>
        <v>0</v>
      </c>
      <c r="BS847" s="48">
        <f>$G847/5280*VLOOKUP($AC847,'Cost and Score'!$B$27:$O$40,14,0)</f>
        <v>0</v>
      </c>
      <c r="BT847" s="220">
        <f t="shared" si="439"/>
        <v>1.0176136363636363</v>
      </c>
    </row>
    <row r="848" spans="1:103" s="2" customFormat="1" ht="14.45" hidden="1" customHeight="1" x14ac:dyDescent="0.25">
      <c r="A848" s="38" t="s">
        <v>1653</v>
      </c>
      <c r="B848" s="34" t="s">
        <v>1652</v>
      </c>
      <c r="C848" s="26" t="s">
        <v>1652</v>
      </c>
      <c r="D848" s="26"/>
      <c r="E848" s="26" t="s">
        <v>39</v>
      </c>
      <c r="F848" s="26" t="s">
        <v>958</v>
      </c>
      <c r="G848" s="29">
        <v>2956</v>
      </c>
      <c r="H848" s="29">
        <f t="shared" si="436"/>
        <v>20</v>
      </c>
      <c r="I848" s="26" t="s">
        <v>8</v>
      </c>
      <c r="J848" s="26" t="s">
        <v>11</v>
      </c>
      <c r="K848" s="26">
        <f t="shared" si="441"/>
        <v>0</v>
      </c>
      <c r="L848" s="42">
        <v>7</v>
      </c>
      <c r="M848" s="42">
        <v>8</v>
      </c>
      <c r="N848" s="42">
        <v>8</v>
      </c>
      <c r="O848" s="42">
        <v>8</v>
      </c>
      <c r="P848" s="42">
        <v>8</v>
      </c>
      <c r="Q848" s="42">
        <v>7</v>
      </c>
      <c r="R848" s="42">
        <v>7</v>
      </c>
      <c r="S848" s="42">
        <v>7</v>
      </c>
      <c r="T848" s="42">
        <v>7</v>
      </c>
      <c r="U848" s="42">
        <v>7</v>
      </c>
      <c r="V848" s="42"/>
      <c r="W848" s="42">
        <v>2021</v>
      </c>
      <c r="X848" s="42" t="s">
        <v>2612</v>
      </c>
      <c r="Y848" s="26">
        <v>3450</v>
      </c>
      <c r="Z848" s="26">
        <f t="shared" si="433"/>
        <v>1.5</v>
      </c>
      <c r="AA848" s="26" t="s">
        <v>406</v>
      </c>
      <c r="AB848" s="111">
        <f t="shared" si="434"/>
        <v>3.5</v>
      </c>
      <c r="AC848" s="85" t="s">
        <v>2425</v>
      </c>
      <c r="AD848" s="47">
        <f t="shared" si="432"/>
        <v>13996.212121212122</v>
      </c>
      <c r="AE848" s="140"/>
      <c r="AF848" s="113">
        <f t="shared" si="421"/>
        <v>0</v>
      </c>
      <c r="AG848" s="26">
        <v>2027</v>
      </c>
      <c r="AH848" s="26" t="str">
        <f t="shared" si="440"/>
        <v/>
      </c>
      <c r="AI848" s="26" t="str">
        <f t="shared" si="425"/>
        <v/>
      </c>
      <c r="AJ848" s="26" t="str">
        <f t="shared" si="428"/>
        <v/>
      </c>
      <c r="AK848" s="26" t="str">
        <f t="shared" ref="AK848:AM867" si="442">IF($AG848=AK$1,VLOOKUP($AC848,RSL,3,FALSE),"")</f>
        <v/>
      </c>
      <c r="AL848" s="26" t="str">
        <f t="shared" si="442"/>
        <v/>
      </c>
      <c r="AM848" s="26" t="str">
        <f t="shared" si="442"/>
        <v>Liquid Road</v>
      </c>
      <c r="AN848" s="26" t="str">
        <f t="shared" si="419"/>
        <v>Liquid Road</v>
      </c>
      <c r="AO848" s="26" t="str">
        <f t="shared" si="429"/>
        <v>Microsurface double</v>
      </c>
      <c r="AP848" s="26" t="str">
        <f t="shared" si="427"/>
        <v/>
      </c>
      <c r="AQ848" s="68">
        <f t="shared" si="423"/>
        <v>12</v>
      </c>
      <c r="AR848" s="68">
        <f t="shared" si="424"/>
        <v>10</v>
      </c>
      <c r="AS848" s="68">
        <f t="shared" ref="AS848:AS904" si="443">IF(L848 &lt;&gt; "",VLOOKUP(L848,RSLloss,3,FALSE),0)</f>
        <v>1.05</v>
      </c>
      <c r="AT848" s="68">
        <f t="shared" ref="AT848:AT904" si="444">IF(M848 &lt;&gt; "",VLOOKUP(M848,RSLloss,3,FALSE),0)</f>
        <v>1</v>
      </c>
      <c r="AU848" s="68">
        <f t="shared" ref="AU848:AU904" si="445">IF(N848 &lt;&gt; "",VLOOKUP(N848,RSLloss,3,FALSE),0)</f>
        <v>1</v>
      </c>
      <c r="AV848" s="68">
        <f t="shared" ref="AV848:AV904" si="446">IF(O848 &lt;&gt; "",VLOOKUP(O848,RSLloss,3,FALSE),0)</f>
        <v>1</v>
      </c>
      <c r="AW848" s="68">
        <f t="shared" ref="AW848:AW904" si="447">IF(P848 &lt;&gt; "",VLOOKUP(P848,RSLloss,3,FALSE),0)</f>
        <v>1</v>
      </c>
      <c r="AX848" s="68">
        <f t="shared" ca="1" si="435"/>
        <v>3</v>
      </c>
      <c r="AY848" s="68">
        <v>2021</v>
      </c>
      <c r="AZ848" s="106" t="s">
        <v>2371</v>
      </c>
      <c r="BA848" s="106" t="str">
        <f t="shared" si="438"/>
        <v/>
      </c>
      <c r="BB848" s="178"/>
      <c r="BC848" s="178">
        <v>4</v>
      </c>
      <c r="BD848" s="178"/>
      <c r="BE848" s="178"/>
      <c r="BF848" s="178"/>
      <c r="BG848" s="178"/>
      <c r="BH848" s="178"/>
      <c r="BI848" s="33"/>
      <c r="BK848" s="48">
        <f>$G848/5280*VLOOKUP($AC848,'Cost and Score'!$B$27:$O$40,6,0)</f>
        <v>0.55984848484848482</v>
      </c>
      <c r="BL848" s="48">
        <f>$G848/5280*VLOOKUP($AC848,'Cost and Score'!$B$27:$O$40,7,0)</f>
        <v>8.9575757575757571</v>
      </c>
      <c r="BM848" s="48">
        <f>$G848/5280*VLOOKUP($AC848,'Cost and Score'!$B$27:$O$40,8,0)</f>
        <v>0</v>
      </c>
      <c r="BN848" s="48">
        <f>$G848/5280*VLOOKUP($AC848,'Cost and Score'!$B$27:$O$40,9,0)</f>
        <v>0</v>
      </c>
      <c r="BO848" s="48">
        <f>$G848/5280*VLOOKUP($AC848,'Cost and Score'!$B$27:$O$40,10,0)</f>
        <v>0</v>
      </c>
      <c r="BP848" s="48">
        <f>$G848/5280*VLOOKUP($AC848,'Cost and Score'!$B$27:$O$40,11,0)</f>
        <v>0</v>
      </c>
      <c r="BQ848" s="48">
        <f>$G848/5280*VLOOKUP($AC848,'Cost and Score'!$B$27:$O$40,12,0)</f>
        <v>0</v>
      </c>
      <c r="BR848" s="48">
        <f>$G848/5280*VLOOKUP($AC848,'Cost and Score'!$B$27:$O$40,13,0)</f>
        <v>0</v>
      </c>
      <c r="BS848" s="48">
        <f>$G848/5280*VLOOKUP($AC848,'Cost and Score'!$B$27:$O$40,14,0)</f>
        <v>0</v>
      </c>
      <c r="BT848" s="220">
        <f t="shared" si="439"/>
        <v>0.55984848484848482</v>
      </c>
    </row>
    <row r="849" spans="1:103" s="2" customFormat="1" ht="14.45" hidden="1" customHeight="1" x14ac:dyDescent="0.25">
      <c r="A849" s="38" t="s">
        <v>1655</v>
      </c>
      <c r="B849" s="34" t="s">
        <v>1654</v>
      </c>
      <c r="C849" s="26" t="s">
        <v>1654</v>
      </c>
      <c r="D849" s="26"/>
      <c r="E849" s="26" t="s">
        <v>958</v>
      </c>
      <c r="F849" s="26" t="s">
        <v>38</v>
      </c>
      <c r="G849" s="29">
        <v>2956</v>
      </c>
      <c r="H849" s="29">
        <f t="shared" si="436"/>
        <v>20</v>
      </c>
      <c r="I849" s="26" t="s">
        <v>8</v>
      </c>
      <c r="J849" s="26" t="s">
        <v>11</v>
      </c>
      <c r="K849" s="26">
        <f t="shared" si="441"/>
        <v>0</v>
      </c>
      <c r="L849" s="42">
        <v>7</v>
      </c>
      <c r="M849" s="42">
        <v>8</v>
      </c>
      <c r="N849" s="42">
        <v>8</v>
      </c>
      <c r="O849" s="42">
        <v>8</v>
      </c>
      <c r="P849" s="42">
        <v>8</v>
      </c>
      <c r="Q849" s="42">
        <v>7</v>
      </c>
      <c r="R849" s="42">
        <v>7</v>
      </c>
      <c r="S849" s="42">
        <v>7</v>
      </c>
      <c r="T849" s="42">
        <v>7</v>
      </c>
      <c r="U849" s="42">
        <v>7</v>
      </c>
      <c r="V849" s="42"/>
      <c r="W849" s="42">
        <v>2021</v>
      </c>
      <c r="X849" s="42" t="s">
        <v>2612</v>
      </c>
      <c r="Y849" s="26">
        <v>3450</v>
      </c>
      <c r="Z849" s="26">
        <f t="shared" si="433"/>
        <v>1.5</v>
      </c>
      <c r="AA849" s="26" t="s">
        <v>406</v>
      </c>
      <c r="AB849" s="111">
        <f t="shared" si="434"/>
        <v>3.5</v>
      </c>
      <c r="AC849" s="85" t="s">
        <v>2425</v>
      </c>
      <c r="AD849" s="47">
        <f t="shared" si="432"/>
        <v>13996.212121212122</v>
      </c>
      <c r="AE849" s="140"/>
      <c r="AF849" s="113">
        <f t="shared" si="421"/>
        <v>0</v>
      </c>
      <c r="AG849" s="26">
        <v>2027</v>
      </c>
      <c r="AH849" s="26" t="str">
        <f t="shared" si="440"/>
        <v/>
      </c>
      <c r="AI849" s="26" t="str">
        <f t="shared" si="425"/>
        <v/>
      </c>
      <c r="AJ849" s="26" t="str">
        <f t="shared" si="428"/>
        <v/>
      </c>
      <c r="AK849" s="26" t="str">
        <f t="shared" si="442"/>
        <v/>
      </c>
      <c r="AL849" s="26" t="str">
        <f t="shared" si="442"/>
        <v/>
      </c>
      <c r="AM849" s="26" t="str">
        <f t="shared" si="442"/>
        <v>Liquid Road</v>
      </c>
      <c r="AN849" s="26" t="str">
        <f t="shared" si="419"/>
        <v>Liquid Road</v>
      </c>
      <c r="AO849" s="26" t="str">
        <f t="shared" si="429"/>
        <v>Microsurface double</v>
      </c>
      <c r="AP849" s="26" t="str">
        <f t="shared" si="427"/>
        <v/>
      </c>
      <c r="AQ849" s="68">
        <f t="shared" si="423"/>
        <v>12</v>
      </c>
      <c r="AR849" s="68">
        <f t="shared" si="424"/>
        <v>10</v>
      </c>
      <c r="AS849" s="68">
        <f t="shared" si="443"/>
        <v>1.05</v>
      </c>
      <c r="AT849" s="68">
        <f t="shared" si="444"/>
        <v>1</v>
      </c>
      <c r="AU849" s="68">
        <f t="shared" si="445"/>
        <v>1</v>
      </c>
      <c r="AV849" s="68">
        <f t="shared" si="446"/>
        <v>1</v>
      </c>
      <c r="AW849" s="68">
        <f t="shared" si="447"/>
        <v>1</v>
      </c>
      <c r="AX849" s="68">
        <f t="shared" ca="1" si="435"/>
        <v>3</v>
      </c>
      <c r="AY849" s="68">
        <v>2021</v>
      </c>
      <c r="AZ849" s="106" t="s">
        <v>2371</v>
      </c>
      <c r="BA849" s="106" t="str">
        <f t="shared" si="438"/>
        <v/>
      </c>
      <c r="BB849" s="178"/>
      <c r="BC849" s="178">
        <v>4</v>
      </c>
      <c r="BD849" s="178"/>
      <c r="BE849" s="178"/>
      <c r="BF849" s="178"/>
      <c r="BG849" s="178"/>
      <c r="BH849" s="178"/>
      <c r="BI849" s="33"/>
      <c r="BK849" s="48">
        <f>$G849/5280*VLOOKUP($AC849,'Cost and Score'!$B$27:$O$40,6,0)</f>
        <v>0.55984848484848482</v>
      </c>
      <c r="BL849" s="48">
        <f>$G849/5280*VLOOKUP($AC849,'Cost and Score'!$B$27:$O$40,7,0)</f>
        <v>8.9575757575757571</v>
      </c>
      <c r="BM849" s="48">
        <f>$G849/5280*VLOOKUP($AC849,'Cost and Score'!$B$27:$O$40,8,0)</f>
        <v>0</v>
      </c>
      <c r="BN849" s="48">
        <f>$G849/5280*VLOOKUP($AC849,'Cost and Score'!$B$27:$O$40,9,0)</f>
        <v>0</v>
      </c>
      <c r="BO849" s="48">
        <f>$G849/5280*VLOOKUP($AC849,'Cost and Score'!$B$27:$O$40,10,0)</f>
        <v>0</v>
      </c>
      <c r="BP849" s="48">
        <f>$G849/5280*VLOOKUP($AC849,'Cost and Score'!$B$27:$O$40,11,0)</f>
        <v>0</v>
      </c>
      <c r="BQ849" s="48">
        <f>$G849/5280*VLOOKUP($AC849,'Cost and Score'!$B$27:$O$40,12,0)</f>
        <v>0</v>
      </c>
      <c r="BR849" s="48">
        <f>$G849/5280*VLOOKUP($AC849,'Cost and Score'!$B$27:$O$40,13,0)</f>
        <v>0</v>
      </c>
      <c r="BS849" s="48">
        <f>$G849/5280*VLOOKUP($AC849,'Cost and Score'!$B$27:$O$40,14,0)</f>
        <v>0</v>
      </c>
      <c r="BT849" s="220">
        <f t="shared" si="439"/>
        <v>0.55984848484848482</v>
      </c>
    </row>
    <row r="850" spans="1:103" s="2" customFormat="1" hidden="1" x14ac:dyDescent="0.25">
      <c r="A850" s="38" t="s">
        <v>1657</v>
      </c>
      <c r="B850" s="34" t="s">
        <v>1656</v>
      </c>
      <c r="C850" s="26" t="s">
        <v>1656</v>
      </c>
      <c r="D850" s="26"/>
      <c r="E850" s="26" t="s">
        <v>38</v>
      </c>
      <c r="F850" s="26" t="s">
        <v>281</v>
      </c>
      <c r="G850" s="29">
        <v>2956</v>
      </c>
      <c r="H850" s="29">
        <f t="shared" si="436"/>
        <v>20</v>
      </c>
      <c r="I850" s="26" t="s">
        <v>8</v>
      </c>
      <c r="J850" s="26" t="s">
        <v>11</v>
      </c>
      <c r="K850" s="26">
        <f t="shared" si="441"/>
        <v>0</v>
      </c>
      <c r="L850" s="42">
        <v>7</v>
      </c>
      <c r="M850" s="42">
        <v>8</v>
      </c>
      <c r="N850" s="42">
        <v>8</v>
      </c>
      <c r="O850" s="42">
        <v>8</v>
      </c>
      <c r="P850" s="42">
        <v>8</v>
      </c>
      <c r="Q850" s="42">
        <v>7</v>
      </c>
      <c r="R850" s="42">
        <v>7</v>
      </c>
      <c r="S850" s="42">
        <v>7</v>
      </c>
      <c r="T850" s="42">
        <v>7</v>
      </c>
      <c r="U850" s="42">
        <v>7</v>
      </c>
      <c r="V850" s="42"/>
      <c r="W850" s="42">
        <v>2021</v>
      </c>
      <c r="X850" s="42" t="s">
        <v>2612</v>
      </c>
      <c r="Y850" s="26">
        <v>3449</v>
      </c>
      <c r="Z850" s="26">
        <f t="shared" si="433"/>
        <v>1.5</v>
      </c>
      <c r="AA850" s="26" t="s">
        <v>406</v>
      </c>
      <c r="AB850" s="111">
        <f t="shared" si="434"/>
        <v>3.5</v>
      </c>
      <c r="AC850" s="85" t="s">
        <v>2425</v>
      </c>
      <c r="AD850" s="47">
        <f t="shared" si="432"/>
        <v>13996.212121212122</v>
      </c>
      <c r="AE850" s="140"/>
      <c r="AF850" s="113">
        <f t="shared" si="421"/>
        <v>0</v>
      </c>
      <c r="AG850" s="26">
        <v>2027</v>
      </c>
      <c r="AH850" s="26" t="str">
        <f t="shared" si="440"/>
        <v/>
      </c>
      <c r="AI850" s="26" t="str">
        <f t="shared" si="425"/>
        <v/>
      </c>
      <c r="AJ850" s="26" t="str">
        <f t="shared" si="428"/>
        <v/>
      </c>
      <c r="AK850" s="26" t="str">
        <f t="shared" si="442"/>
        <v/>
      </c>
      <c r="AL850" s="26" t="str">
        <f t="shared" si="442"/>
        <v/>
      </c>
      <c r="AM850" s="26" t="str">
        <f t="shared" si="442"/>
        <v>Liquid Road</v>
      </c>
      <c r="AN850" s="26" t="str">
        <f t="shared" si="419"/>
        <v>Liquid Road</v>
      </c>
      <c r="AO850" s="26" t="str">
        <f t="shared" si="429"/>
        <v>Microsurface double</v>
      </c>
      <c r="AP850" s="26" t="str">
        <f t="shared" si="427"/>
        <v/>
      </c>
      <c r="AQ850" s="68">
        <f t="shared" si="423"/>
        <v>12</v>
      </c>
      <c r="AR850" s="68">
        <f t="shared" si="424"/>
        <v>10</v>
      </c>
      <c r="AS850" s="68">
        <f t="shared" si="443"/>
        <v>1.05</v>
      </c>
      <c r="AT850" s="68">
        <f t="shared" si="444"/>
        <v>1</v>
      </c>
      <c r="AU850" s="68">
        <f t="shared" si="445"/>
        <v>1</v>
      </c>
      <c r="AV850" s="68">
        <f t="shared" si="446"/>
        <v>1</v>
      </c>
      <c r="AW850" s="68">
        <f t="shared" si="447"/>
        <v>1</v>
      </c>
      <c r="AX850" s="68">
        <f t="shared" ca="1" si="435"/>
        <v>3</v>
      </c>
      <c r="AY850" s="68">
        <v>2021</v>
      </c>
      <c r="AZ850" s="106" t="s">
        <v>2371</v>
      </c>
      <c r="BA850" s="106" t="str">
        <f t="shared" si="438"/>
        <v/>
      </c>
      <c r="BB850" s="178"/>
      <c r="BC850" s="178">
        <v>4</v>
      </c>
      <c r="BD850" s="178"/>
      <c r="BE850" s="178"/>
      <c r="BF850" s="178"/>
      <c r="BG850" s="178"/>
      <c r="BH850" s="178"/>
      <c r="BI850" s="33"/>
      <c r="BK850" s="48">
        <f>$G850/5280*VLOOKUP($AC850,'Cost and Score'!$B$27:$O$40,6,0)</f>
        <v>0.55984848484848482</v>
      </c>
      <c r="BL850" s="48">
        <f>$G850/5280*VLOOKUP($AC850,'Cost and Score'!$B$27:$O$40,7,0)</f>
        <v>8.9575757575757571</v>
      </c>
      <c r="BM850" s="48">
        <f>$G850/5280*VLOOKUP($AC850,'Cost and Score'!$B$27:$O$40,8,0)</f>
        <v>0</v>
      </c>
      <c r="BN850" s="48">
        <f>$G850/5280*VLOOKUP($AC850,'Cost and Score'!$B$27:$O$40,9,0)</f>
        <v>0</v>
      </c>
      <c r="BO850" s="48">
        <f>$G850/5280*VLOOKUP($AC850,'Cost and Score'!$B$27:$O$40,10,0)</f>
        <v>0</v>
      </c>
      <c r="BP850" s="48">
        <f>$G850/5280*VLOOKUP($AC850,'Cost and Score'!$B$27:$O$40,11,0)</f>
        <v>0</v>
      </c>
      <c r="BQ850" s="48">
        <f>$G850/5280*VLOOKUP($AC850,'Cost and Score'!$B$27:$O$40,12,0)</f>
        <v>0</v>
      </c>
      <c r="BR850" s="48">
        <f>$G850/5280*VLOOKUP($AC850,'Cost and Score'!$B$27:$O$40,13,0)</f>
        <v>0</v>
      </c>
      <c r="BS850" s="48">
        <f>$G850/5280*VLOOKUP($AC850,'Cost and Score'!$B$27:$O$40,14,0)</f>
        <v>0</v>
      </c>
      <c r="BT850" s="220">
        <f t="shared" si="439"/>
        <v>0.55984848484848482</v>
      </c>
      <c r="CR850" s="112"/>
      <c r="CW850" s="112"/>
      <c r="CX850" s="112"/>
      <c r="CY850" s="112"/>
    </row>
    <row r="851" spans="1:103" s="2" customFormat="1" ht="14.45" hidden="1" customHeight="1" x14ac:dyDescent="0.25">
      <c r="A851" s="38" t="s">
        <v>1659</v>
      </c>
      <c r="B851" s="34" t="s">
        <v>1658</v>
      </c>
      <c r="C851" s="26" t="s">
        <v>1658</v>
      </c>
      <c r="D851" s="26"/>
      <c r="E851" s="26" t="s">
        <v>213</v>
      </c>
      <c r="F851" s="26" t="s">
        <v>39</v>
      </c>
      <c r="G851" s="29">
        <v>5702</v>
      </c>
      <c r="H851" s="29">
        <f t="shared" si="436"/>
        <v>20</v>
      </c>
      <c r="I851" s="26" t="s">
        <v>8</v>
      </c>
      <c r="J851" s="26" t="s">
        <v>11</v>
      </c>
      <c r="K851" s="26">
        <f t="shared" si="441"/>
        <v>0</v>
      </c>
      <c r="L851" s="42">
        <v>7</v>
      </c>
      <c r="M851" s="42">
        <v>8</v>
      </c>
      <c r="N851" s="42">
        <v>8</v>
      </c>
      <c r="O851" s="42">
        <v>8</v>
      </c>
      <c r="P851" s="42">
        <v>8</v>
      </c>
      <c r="Q851" s="42">
        <v>7</v>
      </c>
      <c r="R851" s="42">
        <v>7</v>
      </c>
      <c r="S851" s="42">
        <v>7</v>
      </c>
      <c r="T851" s="42">
        <v>7</v>
      </c>
      <c r="U851" s="42">
        <v>7</v>
      </c>
      <c r="V851" s="42"/>
      <c r="W851" s="42">
        <v>2021</v>
      </c>
      <c r="X851" s="42" t="s">
        <v>2612</v>
      </c>
      <c r="Y851" s="26">
        <v>2574</v>
      </c>
      <c r="Z851" s="26">
        <f t="shared" si="433"/>
        <v>1.5</v>
      </c>
      <c r="AA851" s="26" t="s">
        <v>406</v>
      </c>
      <c r="AB851" s="111">
        <f t="shared" si="434"/>
        <v>3.5</v>
      </c>
      <c r="AC851" s="85" t="s">
        <v>2425</v>
      </c>
      <c r="AD851" s="47">
        <f t="shared" si="432"/>
        <v>26998.10606060606</v>
      </c>
      <c r="AE851" s="140"/>
      <c r="AF851" s="113">
        <f t="shared" si="421"/>
        <v>0</v>
      </c>
      <c r="AG851" s="26">
        <v>2027</v>
      </c>
      <c r="AH851" s="26" t="str">
        <f t="shared" si="440"/>
        <v/>
      </c>
      <c r="AI851" s="26" t="str">
        <f t="shared" si="425"/>
        <v/>
      </c>
      <c r="AJ851" s="26" t="str">
        <f t="shared" si="428"/>
        <v/>
      </c>
      <c r="AK851" s="26" t="str">
        <f t="shared" si="442"/>
        <v/>
      </c>
      <c r="AL851" s="26" t="str">
        <f t="shared" si="442"/>
        <v/>
      </c>
      <c r="AM851" s="26" t="str">
        <f t="shared" si="442"/>
        <v>Liquid Road</v>
      </c>
      <c r="AN851" s="26" t="str">
        <f t="shared" si="419"/>
        <v>Liquid Road</v>
      </c>
      <c r="AO851" s="26" t="str">
        <f t="shared" si="429"/>
        <v>Microsurface double</v>
      </c>
      <c r="AP851" s="26" t="str">
        <f t="shared" si="427"/>
        <v/>
      </c>
      <c r="AQ851" s="68">
        <f t="shared" si="423"/>
        <v>12</v>
      </c>
      <c r="AR851" s="68">
        <f t="shared" si="424"/>
        <v>10</v>
      </c>
      <c r="AS851" s="68">
        <f t="shared" si="443"/>
        <v>1.05</v>
      </c>
      <c r="AT851" s="68">
        <f t="shared" si="444"/>
        <v>1</v>
      </c>
      <c r="AU851" s="68">
        <f t="shared" si="445"/>
        <v>1</v>
      </c>
      <c r="AV851" s="68">
        <f t="shared" si="446"/>
        <v>1</v>
      </c>
      <c r="AW851" s="68">
        <f t="shared" si="447"/>
        <v>1</v>
      </c>
      <c r="AX851" s="68">
        <f t="shared" ca="1" si="435"/>
        <v>3</v>
      </c>
      <c r="AY851" s="68">
        <v>2021</v>
      </c>
      <c r="AZ851" s="106" t="s">
        <v>2371</v>
      </c>
      <c r="BA851" s="106" t="str">
        <f t="shared" si="438"/>
        <v/>
      </c>
      <c r="BB851" s="178"/>
      <c r="BC851" s="178">
        <v>4</v>
      </c>
      <c r="BD851" s="178"/>
      <c r="BE851" s="178"/>
      <c r="BF851" s="178"/>
      <c r="BG851" s="178"/>
      <c r="BH851" s="178"/>
      <c r="BI851" s="33"/>
      <c r="BK851" s="48">
        <f>$G851/5280*VLOOKUP($AC851,'Cost and Score'!$B$27:$O$40,6,0)</f>
        <v>1.0799242424242423</v>
      </c>
      <c r="BL851" s="48">
        <f>$G851/5280*VLOOKUP($AC851,'Cost and Score'!$B$27:$O$40,7,0)</f>
        <v>17.278787878787877</v>
      </c>
      <c r="BM851" s="48">
        <f>$G851/5280*VLOOKUP($AC851,'Cost and Score'!$B$27:$O$40,8,0)</f>
        <v>0</v>
      </c>
      <c r="BN851" s="48">
        <f>$G851/5280*VLOOKUP($AC851,'Cost and Score'!$B$27:$O$40,9,0)</f>
        <v>0</v>
      </c>
      <c r="BO851" s="48">
        <f>$G851/5280*VLOOKUP($AC851,'Cost and Score'!$B$27:$O$40,10,0)</f>
        <v>0</v>
      </c>
      <c r="BP851" s="48">
        <f>$G851/5280*VLOOKUP($AC851,'Cost and Score'!$B$27:$O$40,11,0)</f>
        <v>0</v>
      </c>
      <c r="BQ851" s="48">
        <f>$G851/5280*VLOOKUP($AC851,'Cost and Score'!$B$27:$O$40,12,0)</f>
        <v>0</v>
      </c>
      <c r="BR851" s="48">
        <f>$G851/5280*VLOOKUP($AC851,'Cost and Score'!$B$27:$O$40,13,0)</f>
        <v>0</v>
      </c>
      <c r="BS851" s="48">
        <f>$G851/5280*VLOOKUP($AC851,'Cost and Score'!$B$27:$O$40,14,0)</f>
        <v>0</v>
      </c>
      <c r="BT851" s="220">
        <f t="shared" si="439"/>
        <v>1.0799242424242423</v>
      </c>
      <c r="CF851" s="112"/>
    </row>
    <row r="852" spans="1:103" s="2" customFormat="1" ht="14.45" hidden="1" customHeight="1" x14ac:dyDescent="0.25">
      <c r="A852" s="31" t="s">
        <v>2102</v>
      </c>
      <c r="B852" s="226" t="s">
        <v>1660</v>
      </c>
      <c r="C852" s="106" t="s">
        <v>1660</v>
      </c>
      <c r="D852" s="116" t="s">
        <v>2243</v>
      </c>
      <c r="E852" s="106" t="s">
        <v>1472</v>
      </c>
      <c r="F852" s="106" t="s">
        <v>1473</v>
      </c>
      <c r="G852" s="109">
        <v>3590</v>
      </c>
      <c r="H852" s="109">
        <f t="shared" si="436"/>
        <v>26</v>
      </c>
      <c r="I852" s="106" t="s">
        <v>2098</v>
      </c>
      <c r="J852" s="106" t="s">
        <v>160</v>
      </c>
      <c r="K852" s="106">
        <f t="shared" si="441"/>
        <v>0</v>
      </c>
      <c r="L852" s="110">
        <v>7</v>
      </c>
      <c r="M852" s="110">
        <v>7</v>
      </c>
      <c r="N852" s="110">
        <v>10</v>
      </c>
      <c r="O852" s="110">
        <v>9</v>
      </c>
      <c r="P852" s="110">
        <v>9</v>
      </c>
      <c r="Q852" s="110">
        <v>7</v>
      </c>
      <c r="R852" s="110">
        <v>7</v>
      </c>
      <c r="S852" s="110">
        <v>7</v>
      </c>
      <c r="T852" s="110">
        <v>7</v>
      </c>
      <c r="U852" s="110">
        <v>7</v>
      </c>
      <c r="V852" s="110"/>
      <c r="W852" s="110"/>
      <c r="X852" s="110"/>
      <c r="Y852" s="106">
        <v>667</v>
      </c>
      <c r="Z852" s="106">
        <f t="shared" si="433"/>
        <v>0.5</v>
      </c>
      <c r="AA852" s="106" t="s">
        <v>1660</v>
      </c>
      <c r="AB852" s="111">
        <f t="shared" si="434"/>
        <v>1.5</v>
      </c>
      <c r="AC852" s="85" t="s">
        <v>2425</v>
      </c>
      <c r="AD852" s="107">
        <f t="shared" si="432"/>
        <v>16998.10606060606</v>
      </c>
      <c r="AE852" s="198"/>
      <c r="AF852" s="113">
        <f t="shared" si="421"/>
        <v>0</v>
      </c>
      <c r="AG852" s="85">
        <v>2026</v>
      </c>
      <c r="AH852" s="26" t="str">
        <f t="shared" si="440"/>
        <v/>
      </c>
      <c r="AI852" s="26" t="str">
        <f t="shared" si="425"/>
        <v/>
      </c>
      <c r="AJ852" s="26" t="str">
        <f t="shared" si="428"/>
        <v/>
      </c>
      <c r="AK852" s="26" t="str">
        <f t="shared" si="442"/>
        <v/>
      </c>
      <c r="AL852" s="26" t="str">
        <f t="shared" si="442"/>
        <v>Liquid Road</v>
      </c>
      <c r="AM852" s="26" t="str">
        <f t="shared" si="442"/>
        <v/>
      </c>
      <c r="AN852" s="26" t="str">
        <f t="shared" si="419"/>
        <v>Liquid Road</v>
      </c>
      <c r="AO852" s="26" t="str">
        <f t="shared" si="429"/>
        <v/>
      </c>
      <c r="AP852" s="26" t="str">
        <f t="shared" si="427"/>
        <v/>
      </c>
      <c r="AQ852" s="68">
        <f t="shared" si="423"/>
        <v>14</v>
      </c>
      <c r="AR852" s="68">
        <f t="shared" si="424"/>
        <v>10</v>
      </c>
      <c r="AS852" s="68">
        <f t="shared" si="443"/>
        <v>1.05</v>
      </c>
      <c r="AT852" s="68">
        <f t="shared" si="444"/>
        <v>1.05</v>
      </c>
      <c r="AU852" s="68">
        <f t="shared" si="445"/>
        <v>1</v>
      </c>
      <c r="AV852" s="68">
        <f t="shared" si="446"/>
        <v>1</v>
      </c>
      <c r="AW852" s="68">
        <f t="shared" si="447"/>
        <v>1</v>
      </c>
      <c r="AX852" s="68">
        <f t="shared" ca="1" si="435"/>
        <v>2</v>
      </c>
      <c r="AY852" s="106">
        <v>2017</v>
      </c>
      <c r="AZ852" s="106" t="s">
        <v>2075</v>
      </c>
      <c r="BA852" s="106" t="str">
        <f t="shared" si="438"/>
        <v/>
      </c>
      <c r="BB852" s="177"/>
      <c r="BC852" s="177"/>
      <c r="BD852" s="177"/>
      <c r="BE852" s="177">
        <v>2</v>
      </c>
      <c r="BF852" s="177"/>
      <c r="BG852" s="177"/>
      <c r="BH852" s="177"/>
      <c r="BI852" s="33"/>
      <c r="BK852" s="48">
        <f>$G852/5280*VLOOKUP($AC852,'Cost and Score'!$B$27:$O$40,6,0)</f>
        <v>0.67992424242424243</v>
      </c>
      <c r="BL852" s="48">
        <f>$G852/5280*VLOOKUP($AC852,'Cost and Score'!$B$27:$O$40,7,0)</f>
        <v>10.878787878787879</v>
      </c>
      <c r="BM852" s="48">
        <f>$G852/5280*VLOOKUP($AC852,'Cost and Score'!$B$27:$O$40,8,0)</f>
        <v>0</v>
      </c>
      <c r="BN852" s="48">
        <f>$G852/5280*VLOOKUP($AC852,'Cost and Score'!$B$27:$O$40,9,0)</f>
        <v>0</v>
      </c>
      <c r="BO852" s="48">
        <f>$G852/5280*VLOOKUP($AC852,'Cost and Score'!$B$27:$O$40,10,0)</f>
        <v>0</v>
      </c>
      <c r="BP852" s="48">
        <f>$G852/5280*VLOOKUP($AC852,'Cost and Score'!$B$27:$O$40,11,0)</f>
        <v>0</v>
      </c>
      <c r="BQ852" s="48">
        <f>$G852/5280*VLOOKUP($AC852,'Cost and Score'!$B$27:$O$40,12,0)</f>
        <v>0</v>
      </c>
      <c r="BR852" s="48">
        <f>$G852/5280*VLOOKUP($AC852,'Cost and Score'!$B$27:$O$40,13,0)</f>
        <v>0</v>
      </c>
      <c r="BS852" s="48">
        <f>$G852/5280*VLOOKUP($AC852,'Cost and Score'!$B$27:$O$40,14,0)</f>
        <v>0</v>
      </c>
      <c r="BT852" s="220">
        <f t="shared" si="439"/>
        <v>0.67992424242424243</v>
      </c>
      <c r="CG852" s="112"/>
      <c r="CH852" s="112"/>
      <c r="CI852" s="112"/>
      <c r="CJ852" s="112"/>
      <c r="CK852" s="112"/>
      <c r="CL852" s="112"/>
      <c r="CM852" s="112"/>
      <c r="CR852" s="112"/>
      <c r="CS852" s="112"/>
      <c r="CT852" s="112"/>
      <c r="CU852" s="112"/>
    </row>
    <row r="853" spans="1:103" s="112" customFormat="1" ht="14.45" hidden="1" customHeight="1" x14ac:dyDescent="0.25">
      <c r="A853" s="31" t="s">
        <v>2102</v>
      </c>
      <c r="B853" s="45" t="s">
        <v>1661</v>
      </c>
      <c r="C853" s="26" t="s">
        <v>1661</v>
      </c>
      <c r="D853" s="36" t="s">
        <v>2243</v>
      </c>
      <c r="E853" s="26" t="s">
        <v>1451</v>
      </c>
      <c r="F853" s="26" t="s">
        <v>1599</v>
      </c>
      <c r="G853" s="29">
        <v>581</v>
      </c>
      <c r="H853" s="29">
        <f t="shared" si="436"/>
        <v>26</v>
      </c>
      <c r="I853" s="26" t="s">
        <v>2098</v>
      </c>
      <c r="J853" s="26" t="s">
        <v>160</v>
      </c>
      <c r="K853" s="26">
        <f t="shared" si="441"/>
        <v>0</v>
      </c>
      <c r="L853" s="42">
        <v>7</v>
      </c>
      <c r="M853" s="42">
        <v>7</v>
      </c>
      <c r="N853" s="42">
        <v>7</v>
      </c>
      <c r="O853" s="42">
        <v>7</v>
      </c>
      <c r="P853" s="42">
        <v>7</v>
      </c>
      <c r="Q853" s="42">
        <v>8</v>
      </c>
      <c r="R853" s="42">
        <v>8</v>
      </c>
      <c r="S853" s="42">
        <v>8</v>
      </c>
      <c r="T853" s="42">
        <v>7</v>
      </c>
      <c r="U853" s="42">
        <v>7</v>
      </c>
      <c r="V853" s="42"/>
      <c r="W853" s="42"/>
      <c r="X853" s="42"/>
      <c r="Y853" s="26">
        <v>515</v>
      </c>
      <c r="Z853" s="26">
        <f t="shared" ref="Z853:Z884" si="448">VLOOKUP(Y853,AADT,2)</f>
        <v>0.5</v>
      </c>
      <c r="AA853" s="26" t="s">
        <v>1661</v>
      </c>
      <c r="AB853" s="111">
        <f t="shared" si="434"/>
        <v>3.5</v>
      </c>
      <c r="AC853" s="26" t="s">
        <v>2086</v>
      </c>
      <c r="AD853" s="47">
        <v>4507.25</v>
      </c>
      <c r="AE853" s="140"/>
      <c r="AF853" s="113">
        <f t="shared" si="421"/>
        <v>0</v>
      </c>
      <c r="AG853" s="26">
        <v>2024</v>
      </c>
      <c r="AH853" s="26" t="str">
        <f t="shared" si="440"/>
        <v/>
      </c>
      <c r="AI853" s="26" t="str">
        <f t="shared" si="425"/>
        <v/>
      </c>
      <c r="AJ853" s="26" t="str">
        <f t="shared" si="428"/>
        <v>Fog Seal</v>
      </c>
      <c r="AK853" s="26" t="str">
        <f t="shared" si="442"/>
        <v/>
      </c>
      <c r="AL853" s="26" t="str">
        <f t="shared" si="442"/>
        <v/>
      </c>
      <c r="AM853" s="26" t="str">
        <f t="shared" si="442"/>
        <v/>
      </c>
      <c r="AN853" s="26" t="str">
        <f t="shared" ref="AN853:AN916" si="449">VLOOKUP($AC853,RSL,3,FALSE)</f>
        <v>Fog Seal</v>
      </c>
      <c r="AO853" s="26" t="str">
        <f t="shared" si="429"/>
        <v/>
      </c>
      <c r="AP853" s="26" t="str">
        <f t="shared" si="427"/>
        <v/>
      </c>
      <c r="AQ853" s="68">
        <f t="shared" si="423"/>
        <v>10</v>
      </c>
      <c r="AR853" s="68">
        <f t="shared" si="424"/>
        <v>2</v>
      </c>
      <c r="AS853" s="68">
        <f t="shared" si="443"/>
        <v>1.05</v>
      </c>
      <c r="AT853" s="68">
        <f t="shared" si="444"/>
        <v>1.05</v>
      </c>
      <c r="AU853" s="68">
        <f t="shared" si="445"/>
        <v>1.05</v>
      </c>
      <c r="AV853" s="68">
        <f t="shared" si="446"/>
        <v>1.05</v>
      </c>
      <c r="AW853" s="68">
        <f t="shared" si="447"/>
        <v>1.05</v>
      </c>
      <c r="AX853" s="68">
        <f t="shared" ref="AX853:AX884" ca="1" si="450">AU853*(AG853-YEAR(TODAY()))</f>
        <v>0</v>
      </c>
      <c r="AY853" s="68">
        <v>2018</v>
      </c>
      <c r="AZ853" s="68" t="s">
        <v>2371</v>
      </c>
      <c r="BA853" s="106" t="str">
        <f t="shared" si="438"/>
        <v>MICRO</v>
      </c>
      <c r="BB853" s="178"/>
      <c r="BC853" s="178"/>
      <c r="BD853" s="178"/>
      <c r="BE853" s="178"/>
      <c r="BF853" s="178"/>
      <c r="BG853" s="178"/>
      <c r="BH853" s="178"/>
      <c r="BI853" s="33"/>
      <c r="BJ853" s="2"/>
      <c r="BK853" s="48">
        <f>$G853/5280*VLOOKUP($AC853,'Cost and Score'!$B$27:$O$40,6,0)</f>
        <v>1.1003787878787879E-2</v>
      </c>
      <c r="BL853" s="48">
        <f>$G853/5280*VLOOKUP($AC853,'Cost and Score'!$B$27:$O$40,7,0)</f>
        <v>2.2007575757575757E-2</v>
      </c>
      <c r="BM853" s="48">
        <f>$G853/5280*VLOOKUP($AC853,'Cost and Score'!$B$27:$O$40,8,0)</f>
        <v>0</v>
      </c>
      <c r="BN853" s="48">
        <f>$G853/5280*VLOOKUP($AC853,'Cost and Score'!$B$27:$O$40,9,0)</f>
        <v>0</v>
      </c>
      <c r="BO853" s="48">
        <f>$G853/5280*VLOOKUP($AC853,'Cost and Score'!$B$27:$O$40,10,0)</f>
        <v>110.03787878787878</v>
      </c>
      <c r="BP853" s="48">
        <f>$G853/5280*VLOOKUP($AC853,'Cost and Score'!$B$27:$O$40,11,0)</f>
        <v>0</v>
      </c>
      <c r="BQ853" s="48">
        <f>$G853/5280*VLOOKUP($AC853,'Cost and Score'!$B$27:$O$40,12,0)</f>
        <v>0</v>
      </c>
      <c r="BR853" s="48">
        <f>$G853/5280*VLOOKUP($AC853,'Cost and Score'!$B$27:$O$40,13,0)</f>
        <v>0</v>
      </c>
      <c r="BS853" s="48">
        <f>$G853/5280*VLOOKUP($AC853,'Cost and Score'!$B$27:$O$40,14,0)</f>
        <v>0</v>
      </c>
      <c r="BT853" s="220">
        <f t="shared" si="439"/>
        <v>0.11003787878787878</v>
      </c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S853" s="2"/>
      <c r="CT853" s="2"/>
      <c r="CU853" s="2"/>
      <c r="CV853" s="2"/>
      <c r="CW853" s="2"/>
      <c r="CX853" s="2"/>
      <c r="CY853" s="2"/>
    </row>
    <row r="854" spans="1:103" s="2" customFormat="1" hidden="1" x14ac:dyDescent="0.25">
      <c r="A854" s="31" t="s">
        <v>2102</v>
      </c>
      <c r="B854" s="226" t="s">
        <v>1662</v>
      </c>
      <c r="C854" s="106" t="s">
        <v>1662</v>
      </c>
      <c r="D854" s="116" t="s">
        <v>2243</v>
      </c>
      <c r="E854" s="106" t="s">
        <v>1472</v>
      </c>
      <c r="F854" s="106" t="s">
        <v>1473</v>
      </c>
      <c r="G854" s="109">
        <v>1426</v>
      </c>
      <c r="H854" s="109">
        <f t="shared" si="436"/>
        <v>26</v>
      </c>
      <c r="I854" s="106" t="s">
        <v>2098</v>
      </c>
      <c r="J854" s="106" t="s">
        <v>160</v>
      </c>
      <c r="K854" s="106">
        <f t="shared" si="441"/>
        <v>0</v>
      </c>
      <c r="L854" s="110">
        <v>7</v>
      </c>
      <c r="M854" s="110">
        <v>7</v>
      </c>
      <c r="N854" s="110">
        <v>10</v>
      </c>
      <c r="O854" s="110">
        <v>9</v>
      </c>
      <c r="P854" s="110">
        <v>9</v>
      </c>
      <c r="Q854" s="110">
        <v>8</v>
      </c>
      <c r="R854" s="110">
        <v>8</v>
      </c>
      <c r="S854" s="110">
        <v>8</v>
      </c>
      <c r="T854" s="110">
        <v>7</v>
      </c>
      <c r="U854" s="110">
        <v>7</v>
      </c>
      <c r="V854" s="110"/>
      <c r="W854" s="110"/>
      <c r="X854" s="110"/>
      <c r="Y854" s="106">
        <v>515</v>
      </c>
      <c r="Z854" s="106">
        <f t="shared" si="448"/>
        <v>0.5</v>
      </c>
      <c r="AA854" s="106" t="s">
        <v>1662</v>
      </c>
      <c r="AB854" s="111">
        <f t="shared" si="434"/>
        <v>1.5</v>
      </c>
      <c r="AC854" s="85" t="s">
        <v>2425</v>
      </c>
      <c r="AD854" s="107">
        <f t="shared" ref="AD854:AD890" si="451">VLOOKUP(AC854,Cost,2,FALSE)*G854/5280</f>
        <v>6751.893939393939</v>
      </c>
      <c r="AE854" s="198"/>
      <c r="AF854" s="113">
        <f t="shared" si="421"/>
        <v>0</v>
      </c>
      <c r="AG854" s="85">
        <v>2026</v>
      </c>
      <c r="AH854" s="26" t="str">
        <f t="shared" si="440"/>
        <v/>
      </c>
      <c r="AI854" s="26" t="str">
        <f t="shared" si="425"/>
        <v/>
      </c>
      <c r="AJ854" s="26" t="str">
        <f t="shared" si="428"/>
        <v/>
      </c>
      <c r="AK854" s="26" t="str">
        <f t="shared" si="442"/>
        <v/>
      </c>
      <c r="AL854" s="26" t="str">
        <f t="shared" si="442"/>
        <v>Liquid Road</v>
      </c>
      <c r="AM854" s="26" t="str">
        <f t="shared" si="442"/>
        <v/>
      </c>
      <c r="AN854" s="26" t="str">
        <f t="shared" si="449"/>
        <v>Liquid Road</v>
      </c>
      <c r="AO854" s="26" t="str">
        <f t="shared" si="429"/>
        <v/>
      </c>
      <c r="AP854" s="26" t="str">
        <f t="shared" si="427"/>
        <v/>
      </c>
      <c r="AQ854" s="68">
        <f t="shared" si="423"/>
        <v>14</v>
      </c>
      <c r="AR854" s="68">
        <f t="shared" si="424"/>
        <v>10</v>
      </c>
      <c r="AS854" s="68">
        <f t="shared" si="443"/>
        <v>1.05</v>
      </c>
      <c r="AT854" s="68">
        <f t="shared" si="444"/>
        <v>1.05</v>
      </c>
      <c r="AU854" s="68">
        <f t="shared" si="445"/>
        <v>1</v>
      </c>
      <c r="AV854" s="68">
        <f t="shared" si="446"/>
        <v>1</v>
      </c>
      <c r="AW854" s="68">
        <f t="shared" si="447"/>
        <v>1</v>
      </c>
      <c r="AX854" s="68">
        <f t="shared" ca="1" si="450"/>
        <v>2</v>
      </c>
      <c r="AY854" s="106">
        <v>2017</v>
      </c>
      <c r="AZ854" s="106" t="s">
        <v>2075</v>
      </c>
      <c r="BA854" s="106" t="str">
        <f t="shared" si="438"/>
        <v/>
      </c>
      <c r="BB854" s="177"/>
      <c r="BC854" s="177"/>
      <c r="BD854" s="177"/>
      <c r="BE854" s="177">
        <v>2</v>
      </c>
      <c r="BF854" s="177"/>
      <c r="BG854" s="177"/>
      <c r="BH854" s="177"/>
      <c r="BI854" s="33"/>
      <c r="BK854" s="48">
        <f>$G854/5280*VLOOKUP($AC854,'Cost and Score'!$B$27:$O$40,6,0)</f>
        <v>0.27007575757575758</v>
      </c>
      <c r="BL854" s="48">
        <f>$G854/5280*VLOOKUP($AC854,'Cost and Score'!$B$27:$O$40,7,0)</f>
        <v>4.3212121212121213</v>
      </c>
      <c r="BM854" s="48">
        <f>$G854/5280*VLOOKUP($AC854,'Cost and Score'!$B$27:$O$40,8,0)</f>
        <v>0</v>
      </c>
      <c r="BN854" s="48">
        <f>$G854/5280*VLOOKUP($AC854,'Cost and Score'!$B$27:$O$40,9,0)</f>
        <v>0</v>
      </c>
      <c r="BO854" s="48">
        <f>$G854/5280*VLOOKUP($AC854,'Cost and Score'!$B$27:$O$40,10,0)</f>
        <v>0</v>
      </c>
      <c r="BP854" s="48">
        <f>$G854/5280*VLOOKUP($AC854,'Cost and Score'!$B$27:$O$40,11,0)</f>
        <v>0</v>
      </c>
      <c r="BQ854" s="48">
        <f>$G854/5280*VLOOKUP($AC854,'Cost and Score'!$B$27:$O$40,12,0)</f>
        <v>0</v>
      </c>
      <c r="BR854" s="48">
        <f>$G854/5280*VLOOKUP($AC854,'Cost and Score'!$B$27:$O$40,13,0)</f>
        <v>0</v>
      </c>
      <c r="BS854" s="48">
        <f>$G854/5280*VLOOKUP($AC854,'Cost and Score'!$B$27:$O$40,14,0)</f>
        <v>0</v>
      </c>
      <c r="BT854" s="220">
        <f t="shared" si="439"/>
        <v>0.27007575757575758</v>
      </c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</row>
    <row r="855" spans="1:103" s="112" customFormat="1" ht="14.45" hidden="1" customHeight="1" x14ac:dyDescent="0.25">
      <c r="A855" s="31" t="s">
        <v>2102</v>
      </c>
      <c r="B855" s="226" t="s">
        <v>1663</v>
      </c>
      <c r="C855" s="106" t="s">
        <v>1663</v>
      </c>
      <c r="D855" s="116" t="s">
        <v>2253</v>
      </c>
      <c r="E855" s="106" t="s">
        <v>1607</v>
      </c>
      <c r="F855" s="106" t="s">
        <v>1608</v>
      </c>
      <c r="G855" s="109">
        <v>581</v>
      </c>
      <c r="H855" s="109">
        <f t="shared" si="436"/>
        <v>26</v>
      </c>
      <c r="I855" s="106" t="s">
        <v>2098</v>
      </c>
      <c r="J855" s="106" t="s">
        <v>125</v>
      </c>
      <c r="K855" s="106">
        <f t="shared" si="441"/>
        <v>0</v>
      </c>
      <c r="L855" s="110">
        <v>6</v>
      </c>
      <c r="M855" s="110">
        <v>6</v>
      </c>
      <c r="N855" s="110">
        <v>5</v>
      </c>
      <c r="O855" s="110">
        <v>5</v>
      </c>
      <c r="P855" s="110">
        <v>9</v>
      </c>
      <c r="Q855" s="110">
        <v>9</v>
      </c>
      <c r="R855" s="110">
        <v>8</v>
      </c>
      <c r="S855" s="110">
        <v>8</v>
      </c>
      <c r="T855" s="110">
        <v>8</v>
      </c>
      <c r="U855" s="110">
        <v>8</v>
      </c>
      <c r="V855" s="110"/>
      <c r="W855" s="110"/>
      <c r="X855" s="110"/>
      <c r="Y855" s="106">
        <v>50</v>
      </c>
      <c r="Z855" s="106">
        <f t="shared" si="448"/>
        <v>0</v>
      </c>
      <c r="AA855" s="106" t="s">
        <v>1663</v>
      </c>
      <c r="AB855" s="111">
        <f t="shared" si="434"/>
        <v>1</v>
      </c>
      <c r="AC855" s="85" t="s">
        <v>2425</v>
      </c>
      <c r="AD855" s="107">
        <f t="shared" si="451"/>
        <v>2750.9469696969695</v>
      </c>
      <c r="AE855" s="198"/>
      <c r="AF855" s="113">
        <f t="shared" si="421"/>
        <v>0</v>
      </c>
      <c r="AG855" s="85">
        <v>2026</v>
      </c>
      <c r="AH855" s="26" t="str">
        <f t="shared" si="440"/>
        <v/>
      </c>
      <c r="AI855" s="26" t="str">
        <f t="shared" si="425"/>
        <v/>
      </c>
      <c r="AJ855" s="26" t="str">
        <f t="shared" si="428"/>
        <v/>
      </c>
      <c r="AK855" s="26" t="str">
        <f t="shared" si="442"/>
        <v/>
      </c>
      <c r="AL855" s="26" t="str">
        <f t="shared" si="442"/>
        <v>Liquid Road</v>
      </c>
      <c r="AM855" s="26" t="str">
        <f t="shared" si="442"/>
        <v/>
      </c>
      <c r="AN855" s="26" t="str">
        <f t="shared" si="449"/>
        <v>Liquid Road</v>
      </c>
      <c r="AO855" s="26" t="str">
        <f t="shared" si="429"/>
        <v/>
      </c>
      <c r="AP855" s="26" t="str">
        <f t="shared" si="427"/>
        <v/>
      </c>
      <c r="AQ855" s="68">
        <f t="shared" si="423"/>
        <v>6</v>
      </c>
      <c r="AR855" s="68">
        <f t="shared" si="424"/>
        <v>10</v>
      </c>
      <c r="AS855" s="68">
        <f t="shared" si="443"/>
        <v>1.1000000000000001</v>
      </c>
      <c r="AT855" s="68">
        <f t="shared" si="444"/>
        <v>1.1000000000000001</v>
      </c>
      <c r="AU855" s="68">
        <f t="shared" si="445"/>
        <v>1.25</v>
      </c>
      <c r="AV855" s="68">
        <f t="shared" si="446"/>
        <v>1.25</v>
      </c>
      <c r="AW855" s="68">
        <f t="shared" si="447"/>
        <v>1</v>
      </c>
      <c r="AX855" s="68">
        <f t="shared" ca="1" si="450"/>
        <v>2.5</v>
      </c>
      <c r="AY855" s="106">
        <v>2017</v>
      </c>
      <c r="AZ855" s="106" t="s">
        <v>751</v>
      </c>
      <c r="BA855" s="106" t="str">
        <f t="shared" si="438"/>
        <v/>
      </c>
      <c r="BB855" s="177"/>
      <c r="BC855" s="177"/>
      <c r="BD855" s="177"/>
      <c r="BE855" s="177"/>
      <c r="BF855" s="177">
        <v>3</v>
      </c>
      <c r="BG855" s="177"/>
      <c r="BH855" s="177"/>
      <c r="BI855" s="33"/>
      <c r="BJ855" s="2"/>
      <c r="BK855" s="48">
        <f>$G855/5280*VLOOKUP($AC855,'Cost and Score'!$B$27:$O$40,6,0)</f>
        <v>0.11003787878787878</v>
      </c>
      <c r="BL855" s="48">
        <f>$G855/5280*VLOOKUP($AC855,'Cost and Score'!$B$27:$O$40,7,0)</f>
        <v>1.7606060606060605</v>
      </c>
      <c r="BM855" s="48">
        <f>$G855/5280*VLOOKUP($AC855,'Cost and Score'!$B$27:$O$40,8,0)</f>
        <v>0</v>
      </c>
      <c r="BN855" s="48">
        <f>$G855/5280*VLOOKUP($AC855,'Cost and Score'!$B$27:$O$40,9,0)</f>
        <v>0</v>
      </c>
      <c r="BO855" s="48">
        <f>$G855/5280*VLOOKUP($AC855,'Cost and Score'!$B$27:$O$40,10,0)</f>
        <v>0</v>
      </c>
      <c r="BP855" s="48">
        <f>$G855/5280*VLOOKUP($AC855,'Cost and Score'!$B$27:$O$40,11,0)</f>
        <v>0</v>
      </c>
      <c r="BQ855" s="48">
        <f>$G855/5280*VLOOKUP($AC855,'Cost and Score'!$B$27:$O$40,12,0)</f>
        <v>0</v>
      </c>
      <c r="BR855" s="48">
        <f>$G855/5280*VLOOKUP($AC855,'Cost and Score'!$B$27:$O$40,13,0)</f>
        <v>0</v>
      </c>
      <c r="BS855" s="48">
        <f>$G855/5280*VLOOKUP($AC855,'Cost and Score'!$B$27:$O$40,14,0)</f>
        <v>0</v>
      </c>
      <c r="BT855" s="220">
        <f t="shared" si="439"/>
        <v>0.11003787878787878</v>
      </c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N855" s="2"/>
      <c r="CO855" s="2"/>
      <c r="CP855" s="2"/>
      <c r="CQ855" s="2"/>
      <c r="CV855" s="2"/>
      <c r="CW855" s="2"/>
      <c r="CX855" s="2"/>
      <c r="CY855" s="2"/>
    </row>
    <row r="856" spans="1:103" s="112" customFormat="1" hidden="1" x14ac:dyDescent="0.25">
      <c r="A856" s="31" t="s">
        <v>2102</v>
      </c>
      <c r="B856" s="226" t="s">
        <v>1664</v>
      </c>
      <c r="C856" s="106" t="s">
        <v>1664</v>
      </c>
      <c r="D856" s="116" t="s">
        <v>2243</v>
      </c>
      <c r="E856" s="106" t="s">
        <v>1451</v>
      </c>
      <c r="F856" s="106" t="s">
        <v>1599</v>
      </c>
      <c r="G856" s="109">
        <v>581</v>
      </c>
      <c r="H856" s="109">
        <f t="shared" si="436"/>
        <v>26</v>
      </c>
      <c r="I856" s="106" t="s">
        <v>2098</v>
      </c>
      <c r="J856" s="106" t="s">
        <v>160</v>
      </c>
      <c r="K856" s="106">
        <f t="shared" si="441"/>
        <v>0</v>
      </c>
      <c r="L856" s="110">
        <v>7</v>
      </c>
      <c r="M856" s="110">
        <v>7</v>
      </c>
      <c r="N856" s="110">
        <v>7</v>
      </c>
      <c r="O856" s="110">
        <v>7</v>
      </c>
      <c r="P856" s="110">
        <v>7</v>
      </c>
      <c r="Q856" s="110">
        <v>7</v>
      </c>
      <c r="R856" s="110">
        <v>7</v>
      </c>
      <c r="S856" s="110">
        <v>7</v>
      </c>
      <c r="T856" s="110">
        <v>7</v>
      </c>
      <c r="U856" s="110">
        <v>7</v>
      </c>
      <c r="V856" s="110"/>
      <c r="W856" s="110"/>
      <c r="X856" s="110"/>
      <c r="Y856" s="106">
        <v>515</v>
      </c>
      <c r="Z856" s="106">
        <f t="shared" si="448"/>
        <v>0.5</v>
      </c>
      <c r="AA856" s="106" t="s">
        <v>1664</v>
      </c>
      <c r="AB856" s="111">
        <f t="shared" si="434"/>
        <v>3.5</v>
      </c>
      <c r="AC856" s="106" t="s">
        <v>2425</v>
      </c>
      <c r="AD856" s="107">
        <f t="shared" si="451"/>
        <v>2750.9469696969695</v>
      </c>
      <c r="AE856" s="198"/>
      <c r="AF856" s="113">
        <f t="shared" ref="AF856:AF919" si="452">AD856*AE856</f>
        <v>0</v>
      </c>
      <c r="AG856" s="85">
        <v>2026</v>
      </c>
      <c r="AH856" s="26" t="str">
        <f t="shared" si="440"/>
        <v/>
      </c>
      <c r="AI856" s="26" t="str">
        <f t="shared" si="425"/>
        <v/>
      </c>
      <c r="AJ856" s="26" t="str">
        <f t="shared" si="428"/>
        <v/>
      </c>
      <c r="AK856" s="26" t="str">
        <f t="shared" si="442"/>
        <v/>
      </c>
      <c r="AL856" s="26" t="str">
        <f t="shared" si="442"/>
        <v>Liquid Road</v>
      </c>
      <c r="AM856" s="26" t="str">
        <f t="shared" si="442"/>
        <v/>
      </c>
      <c r="AN856" s="26" t="str">
        <f t="shared" si="449"/>
        <v>Liquid Road</v>
      </c>
      <c r="AO856" s="26" t="str">
        <f t="shared" si="429"/>
        <v/>
      </c>
      <c r="AP856" s="26" t="str">
        <f t="shared" si="427"/>
        <v/>
      </c>
      <c r="AQ856" s="68">
        <f t="shared" si="423"/>
        <v>10</v>
      </c>
      <c r="AR856" s="68">
        <f t="shared" si="424"/>
        <v>10</v>
      </c>
      <c r="AS856" s="68">
        <f t="shared" si="443"/>
        <v>1.05</v>
      </c>
      <c r="AT856" s="68">
        <f t="shared" si="444"/>
        <v>1.05</v>
      </c>
      <c r="AU856" s="68">
        <f t="shared" si="445"/>
        <v>1.05</v>
      </c>
      <c r="AV856" s="68">
        <f t="shared" si="446"/>
        <v>1.05</v>
      </c>
      <c r="AW856" s="68">
        <f t="shared" si="447"/>
        <v>1.05</v>
      </c>
      <c r="AX856" s="68">
        <f t="shared" ca="1" si="450"/>
        <v>2.1</v>
      </c>
      <c r="AY856" s="106">
        <v>2017</v>
      </c>
      <c r="AZ856" s="106" t="s">
        <v>2075</v>
      </c>
      <c r="BA856" s="106" t="str">
        <f t="shared" si="438"/>
        <v/>
      </c>
      <c r="BB856" s="177"/>
      <c r="BC856" s="177"/>
      <c r="BD856" s="177"/>
      <c r="BE856" s="177">
        <v>2</v>
      </c>
      <c r="BF856" s="177"/>
      <c r="BG856" s="177"/>
      <c r="BH856" s="177"/>
      <c r="BI856" s="33"/>
      <c r="BJ856" s="2"/>
      <c r="BK856" s="48">
        <f>$G856/5280*VLOOKUP($AC856,'Cost and Score'!$B$27:$O$40,6,0)</f>
        <v>0.11003787878787878</v>
      </c>
      <c r="BL856" s="48">
        <f>$G856/5280*VLOOKUP($AC856,'Cost and Score'!$B$27:$O$40,7,0)</f>
        <v>1.7606060606060605</v>
      </c>
      <c r="BM856" s="48">
        <f>$G856/5280*VLOOKUP($AC856,'Cost and Score'!$B$27:$O$40,8,0)</f>
        <v>0</v>
      </c>
      <c r="BN856" s="48">
        <f>$G856/5280*VLOOKUP($AC856,'Cost and Score'!$B$27:$O$40,9,0)</f>
        <v>0</v>
      </c>
      <c r="BO856" s="48">
        <f>$G856/5280*VLOOKUP($AC856,'Cost and Score'!$B$27:$O$40,10,0)</f>
        <v>0</v>
      </c>
      <c r="BP856" s="48">
        <f>$G856/5280*VLOOKUP($AC856,'Cost and Score'!$B$27:$O$40,11,0)</f>
        <v>0</v>
      </c>
      <c r="BQ856" s="48">
        <f>$G856/5280*VLOOKUP($AC856,'Cost and Score'!$B$27:$O$40,12,0)</f>
        <v>0</v>
      </c>
      <c r="BR856" s="48">
        <f>$G856/5280*VLOOKUP($AC856,'Cost and Score'!$B$27:$O$40,13,0)</f>
        <v>0</v>
      </c>
      <c r="BS856" s="48">
        <f>$G856/5280*VLOOKUP($AC856,'Cost and Score'!$B$27:$O$40,14,0)</f>
        <v>0</v>
      </c>
      <c r="BT856" s="220">
        <f t="shared" si="439"/>
        <v>0.11003787878787878</v>
      </c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W856" s="2"/>
      <c r="CX856" s="2"/>
      <c r="CY856" s="2"/>
    </row>
    <row r="857" spans="1:103" s="112" customFormat="1" ht="14.45" hidden="1" customHeight="1" x14ac:dyDescent="0.25">
      <c r="A857" s="31"/>
      <c r="B857" s="226" t="s">
        <v>1665</v>
      </c>
      <c r="C857" s="106" t="s">
        <v>1665</v>
      </c>
      <c r="D857" s="116" t="s">
        <v>2223</v>
      </c>
      <c r="E857" s="106" t="s">
        <v>1451</v>
      </c>
      <c r="F857" s="106" t="s">
        <v>1502</v>
      </c>
      <c r="G857" s="109">
        <v>2482</v>
      </c>
      <c r="H857" s="109">
        <f t="shared" si="436"/>
        <v>26</v>
      </c>
      <c r="I857" s="106" t="s">
        <v>2098</v>
      </c>
      <c r="J857" s="106" t="s">
        <v>160</v>
      </c>
      <c r="K857" s="106">
        <f t="shared" si="441"/>
        <v>0</v>
      </c>
      <c r="L857" s="110">
        <v>7</v>
      </c>
      <c r="M857" s="110">
        <v>7</v>
      </c>
      <c r="N857" s="110">
        <v>7</v>
      </c>
      <c r="O857" s="110">
        <v>7</v>
      </c>
      <c r="P857" s="110">
        <v>7</v>
      </c>
      <c r="Q857" s="110">
        <v>8</v>
      </c>
      <c r="R857" s="110">
        <v>8</v>
      </c>
      <c r="S857" s="110">
        <v>8</v>
      </c>
      <c r="T857" s="110">
        <v>7</v>
      </c>
      <c r="U857" s="110">
        <v>7</v>
      </c>
      <c r="V857" s="110"/>
      <c r="W857" s="110"/>
      <c r="X857" s="110"/>
      <c r="Y857" s="106">
        <v>232</v>
      </c>
      <c r="Z857" s="106">
        <f t="shared" si="448"/>
        <v>0</v>
      </c>
      <c r="AA857" s="106" t="s">
        <v>1665</v>
      </c>
      <c r="AB857" s="111">
        <f t="shared" si="434"/>
        <v>3</v>
      </c>
      <c r="AC857" s="85" t="s">
        <v>2425</v>
      </c>
      <c r="AD857" s="107">
        <f t="shared" si="451"/>
        <v>11751.89393939394</v>
      </c>
      <c r="AE857" s="198"/>
      <c r="AF857" s="113">
        <f t="shared" si="452"/>
        <v>0</v>
      </c>
      <c r="AG857" s="85">
        <v>2026</v>
      </c>
      <c r="AH857" s="26" t="str">
        <f t="shared" si="440"/>
        <v/>
      </c>
      <c r="AI857" s="26" t="str">
        <f t="shared" si="425"/>
        <v/>
      </c>
      <c r="AJ857" s="26" t="str">
        <f t="shared" si="428"/>
        <v/>
      </c>
      <c r="AK857" s="26" t="str">
        <f t="shared" si="442"/>
        <v/>
      </c>
      <c r="AL857" s="26" t="str">
        <f t="shared" si="442"/>
        <v>Liquid Road</v>
      </c>
      <c r="AM857" s="26" t="str">
        <f t="shared" si="442"/>
        <v/>
      </c>
      <c r="AN857" s="26" t="str">
        <f t="shared" si="449"/>
        <v>Liquid Road</v>
      </c>
      <c r="AO857" s="26" t="str">
        <f t="shared" si="429"/>
        <v/>
      </c>
      <c r="AP857" s="26" t="str">
        <f t="shared" si="427"/>
        <v/>
      </c>
      <c r="AQ857" s="68">
        <f t="shared" si="423"/>
        <v>10</v>
      </c>
      <c r="AR857" s="68">
        <f t="shared" si="424"/>
        <v>10</v>
      </c>
      <c r="AS857" s="68">
        <f t="shared" si="443"/>
        <v>1.05</v>
      </c>
      <c r="AT857" s="68">
        <f t="shared" si="444"/>
        <v>1.05</v>
      </c>
      <c r="AU857" s="68">
        <f t="shared" si="445"/>
        <v>1.05</v>
      </c>
      <c r="AV857" s="68">
        <f t="shared" si="446"/>
        <v>1.05</v>
      </c>
      <c r="AW857" s="68">
        <f t="shared" si="447"/>
        <v>1.05</v>
      </c>
      <c r="AX857" s="68">
        <f t="shared" ca="1" si="450"/>
        <v>2.1</v>
      </c>
      <c r="AY857" s="106">
        <v>2017</v>
      </c>
      <c r="AZ857" s="68" t="s">
        <v>2425</v>
      </c>
      <c r="BA857" s="106" t="str">
        <f t="shared" si="438"/>
        <v/>
      </c>
      <c r="BB857" s="178"/>
      <c r="BC857" s="178"/>
      <c r="BD857" s="178"/>
      <c r="BE857" s="178">
        <v>2</v>
      </c>
      <c r="BF857" s="178"/>
      <c r="BG857" s="178"/>
      <c r="BH857" s="178"/>
      <c r="BI857" s="33" t="s">
        <v>2425</v>
      </c>
      <c r="BJ857" s="2"/>
      <c r="BK857" s="48">
        <f>$G857/5280*VLOOKUP($AC857,'Cost and Score'!$B$27:$O$40,6,0)</f>
        <v>0.47007575757575759</v>
      </c>
      <c r="BL857" s="48">
        <f>$G857/5280*VLOOKUP($AC857,'Cost and Score'!$B$27:$O$40,7,0)</f>
        <v>7.5212121212121215</v>
      </c>
      <c r="BM857" s="48">
        <f>$G857/5280*VLOOKUP($AC857,'Cost and Score'!$B$27:$O$40,8,0)</f>
        <v>0</v>
      </c>
      <c r="BN857" s="48">
        <f>$G857/5280*VLOOKUP($AC857,'Cost and Score'!$B$27:$O$40,9,0)</f>
        <v>0</v>
      </c>
      <c r="BO857" s="48">
        <f>$G857/5280*VLOOKUP($AC857,'Cost and Score'!$B$27:$O$40,10,0)</f>
        <v>0</v>
      </c>
      <c r="BP857" s="48">
        <f>$G857/5280*VLOOKUP($AC857,'Cost and Score'!$B$27:$O$40,11,0)</f>
        <v>0</v>
      </c>
      <c r="BQ857" s="48">
        <f>$G857/5280*VLOOKUP($AC857,'Cost and Score'!$B$27:$O$40,12,0)</f>
        <v>0</v>
      </c>
      <c r="BR857" s="48">
        <f>$G857/5280*VLOOKUP($AC857,'Cost and Score'!$B$27:$O$40,13,0)</f>
        <v>0</v>
      </c>
      <c r="BS857" s="48">
        <f>$G857/5280*VLOOKUP($AC857,'Cost and Score'!$B$27:$O$40,14,0)</f>
        <v>0</v>
      </c>
      <c r="BT857" s="220">
        <f t="shared" si="439"/>
        <v>0.47007575757575759</v>
      </c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W857" s="2"/>
      <c r="CX857" s="2"/>
      <c r="CY857" s="2"/>
    </row>
    <row r="858" spans="1:103" s="112" customFormat="1" ht="14.45" hidden="1" customHeight="1" x14ac:dyDescent="0.25">
      <c r="A858" s="31" t="s">
        <v>2102</v>
      </c>
      <c r="B858" s="226" t="s">
        <v>1666</v>
      </c>
      <c r="C858" s="106" t="s">
        <v>1666</v>
      </c>
      <c r="D858" s="116" t="s">
        <v>2243</v>
      </c>
      <c r="E858" s="106" t="s">
        <v>1451</v>
      </c>
      <c r="F858" s="106" t="s">
        <v>1599</v>
      </c>
      <c r="G858" s="109">
        <v>1373</v>
      </c>
      <c r="H858" s="109">
        <f t="shared" si="436"/>
        <v>26</v>
      </c>
      <c r="I858" s="106" t="s">
        <v>2098</v>
      </c>
      <c r="J858" s="106" t="s">
        <v>160</v>
      </c>
      <c r="K858" s="106">
        <f t="shared" si="441"/>
        <v>0</v>
      </c>
      <c r="L858" s="110">
        <v>6</v>
      </c>
      <c r="M858" s="110">
        <v>6</v>
      </c>
      <c r="N858" s="110">
        <v>10</v>
      </c>
      <c r="O858" s="110">
        <v>9</v>
      </c>
      <c r="P858" s="110">
        <v>9</v>
      </c>
      <c r="Q858" s="110">
        <v>8</v>
      </c>
      <c r="R858" s="110">
        <v>8</v>
      </c>
      <c r="S858" s="110">
        <v>8</v>
      </c>
      <c r="T858" s="110">
        <v>7</v>
      </c>
      <c r="U858" s="110">
        <v>7</v>
      </c>
      <c r="V858" s="110"/>
      <c r="W858" s="110"/>
      <c r="X858" s="110"/>
      <c r="Y858" s="106">
        <v>50</v>
      </c>
      <c r="Z858" s="106">
        <f t="shared" si="448"/>
        <v>0</v>
      </c>
      <c r="AA858" s="106" t="s">
        <v>1666</v>
      </c>
      <c r="AB858" s="111">
        <f t="shared" si="434"/>
        <v>1</v>
      </c>
      <c r="AC858" s="85" t="s">
        <v>2425</v>
      </c>
      <c r="AD858" s="107">
        <f t="shared" si="451"/>
        <v>6500.94696969697</v>
      </c>
      <c r="AE858" s="198"/>
      <c r="AF858" s="113">
        <f t="shared" si="452"/>
        <v>0</v>
      </c>
      <c r="AG858" s="85">
        <v>2026</v>
      </c>
      <c r="AH858" s="26" t="str">
        <f t="shared" si="440"/>
        <v/>
      </c>
      <c r="AI858" s="26" t="str">
        <f t="shared" si="425"/>
        <v/>
      </c>
      <c r="AJ858" s="26" t="str">
        <f t="shared" si="428"/>
        <v/>
      </c>
      <c r="AK858" s="26" t="str">
        <f t="shared" si="442"/>
        <v/>
      </c>
      <c r="AL858" s="26" t="str">
        <f t="shared" si="442"/>
        <v>Liquid Road</v>
      </c>
      <c r="AM858" s="26" t="str">
        <f t="shared" si="442"/>
        <v/>
      </c>
      <c r="AN858" s="26" t="str">
        <f t="shared" si="449"/>
        <v>Liquid Road</v>
      </c>
      <c r="AO858" s="26" t="str">
        <f t="shared" si="429"/>
        <v/>
      </c>
      <c r="AP858" s="26" t="str">
        <f t="shared" si="427"/>
        <v/>
      </c>
      <c r="AQ858" s="68">
        <f t="shared" ref="AQ858:AQ904" si="453">VLOOKUP(O858,RSLrem,2,FALSE)</f>
        <v>14</v>
      </c>
      <c r="AR858" s="68">
        <f t="shared" ref="AR858:AR904" si="454">VLOOKUP(AC858,RSL,5,FALSE)</f>
        <v>10</v>
      </c>
      <c r="AS858" s="68">
        <f t="shared" si="443"/>
        <v>1.1000000000000001</v>
      </c>
      <c r="AT858" s="68">
        <f t="shared" si="444"/>
        <v>1.1000000000000001</v>
      </c>
      <c r="AU858" s="68">
        <f t="shared" si="445"/>
        <v>1</v>
      </c>
      <c r="AV858" s="68">
        <f t="shared" si="446"/>
        <v>1</v>
      </c>
      <c r="AW858" s="68">
        <f t="shared" si="447"/>
        <v>1</v>
      </c>
      <c r="AX858" s="68">
        <f t="shared" ca="1" si="450"/>
        <v>2</v>
      </c>
      <c r="AY858" s="106">
        <v>2017</v>
      </c>
      <c r="AZ858" s="106" t="s">
        <v>2075</v>
      </c>
      <c r="BA858" s="106" t="str">
        <f t="shared" si="438"/>
        <v/>
      </c>
      <c r="BB858" s="177"/>
      <c r="BC858" s="177"/>
      <c r="BD858" s="177"/>
      <c r="BE858" s="177">
        <v>2</v>
      </c>
      <c r="BF858" s="177"/>
      <c r="BG858" s="177"/>
      <c r="BH858" s="177"/>
      <c r="BI858" s="33"/>
      <c r="BJ858" s="2"/>
      <c r="BK858" s="48">
        <f>$G858/5280*VLOOKUP($AC858,'Cost and Score'!$B$27:$O$40,6,0)</f>
        <v>0.26003787878787876</v>
      </c>
      <c r="BL858" s="48">
        <f>$G858/5280*VLOOKUP($AC858,'Cost and Score'!$B$27:$O$40,7,0)</f>
        <v>4.1606060606060602</v>
      </c>
      <c r="BM858" s="48">
        <f>$G858/5280*VLOOKUP($AC858,'Cost and Score'!$B$27:$O$40,8,0)</f>
        <v>0</v>
      </c>
      <c r="BN858" s="48">
        <f>$G858/5280*VLOOKUP($AC858,'Cost and Score'!$B$27:$O$40,9,0)</f>
        <v>0</v>
      </c>
      <c r="BO858" s="48">
        <f>$G858/5280*VLOOKUP($AC858,'Cost and Score'!$B$27:$O$40,10,0)</f>
        <v>0</v>
      </c>
      <c r="BP858" s="48">
        <f>$G858/5280*VLOOKUP($AC858,'Cost and Score'!$B$27:$O$40,11,0)</f>
        <v>0</v>
      </c>
      <c r="BQ858" s="48">
        <f>$G858/5280*VLOOKUP($AC858,'Cost and Score'!$B$27:$O$40,12,0)</f>
        <v>0</v>
      </c>
      <c r="BR858" s="48">
        <f>$G858/5280*VLOOKUP($AC858,'Cost and Score'!$B$27:$O$40,13,0)</f>
        <v>0</v>
      </c>
      <c r="BS858" s="48">
        <f>$G858/5280*VLOOKUP($AC858,'Cost and Score'!$B$27:$O$40,14,0)</f>
        <v>0</v>
      </c>
      <c r="BT858" s="220">
        <f t="shared" si="439"/>
        <v>0.26003787878787876</v>
      </c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R858" s="2"/>
      <c r="CW858" s="2"/>
      <c r="CX858" s="2"/>
      <c r="CY858" s="2"/>
    </row>
    <row r="859" spans="1:103" s="112" customFormat="1" ht="14.45" hidden="1" customHeight="1" x14ac:dyDescent="0.25">
      <c r="A859" s="31" t="s">
        <v>2102</v>
      </c>
      <c r="B859" s="226" t="s">
        <v>1667</v>
      </c>
      <c r="C859" s="106" t="s">
        <v>1667</v>
      </c>
      <c r="D859" s="116" t="s">
        <v>2263</v>
      </c>
      <c r="E859" s="106" t="s">
        <v>1668</v>
      </c>
      <c r="F859" s="106" t="s">
        <v>1495</v>
      </c>
      <c r="G859" s="109">
        <v>317</v>
      </c>
      <c r="H859" s="109">
        <f t="shared" ref="H859:H890" si="455">IF(I859="NC",26,20)</f>
        <v>26</v>
      </c>
      <c r="I859" s="106" t="s">
        <v>2098</v>
      </c>
      <c r="J859" s="106" t="s">
        <v>101</v>
      </c>
      <c r="K859" s="106">
        <v>0</v>
      </c>
      <c r="L859" s="110">
        <v>7</v>
      </c>
      <c r="M859" s="110">
        <v>7</v>
      </c>
      <c r="N859" s="110">
        <v>7</v>
      </c>
      <c r="O859" s="110">
        <v>7</v>
      </c>
      <c r="P859" s="110">
        <v>7</v>
      </c>
      <c r="Q859" s="110">
        <v>7</v>
      </c>
      <c r="R859" s="110">
        <v>7</v>
      </c>
      <c r="S859" s="110">
        <v>7</v>
      </c>
      <c r="T859" s="110">
        <v>7</v>
      </c>
      <c r="U859" s="110">
        <v>7</v>
      </c>
      <c r="V859" s="110"/>
      <c r="W859" s="110"/>
      <c r="X859" s="110"/>
      <c r="Y859" s="106">
        <v>321</v>
      </c>
      <c r="Z859" s="106">
        <f t="shared" si="448"/>
        <v>0</v>
      </c>
      <c r="AA859" s="106" t="s">
        <v>1667</v>
      </c>
      <c r="AB859" s="111">
        <f t="shared" si="434"/>
        <v>3</v>
      </c>
      <c r="AC859" s="85" t="s">
        <v>2425</v>
      </c>
      <c r="AD859" s="107">
        <f t="shared" si="451"/>
        <v>1500.9469696969697</v>
      </c>
      <c r="AE859" s="198"/>
      <c r="AF859" s="113">
        <f t="shared" si="452"/>
        <v>0</v>
      </c>
      <c r="AG859" s="85">
        <v>2026</v>
      </c>
      <c r="AH859" s="26" t="str">
        <f t="shared" si="440"/>
        <v/>
      </c>
      <c r="AI859" s="26" t="str">
        <f t="shared" si="425"/>
        <v/>
      </c>
      <c r="AJ859" s="26" t="str">
        <f t="shared" si="428"/>
        <v/>
      </c>
      <c r="AK859" s="26" t="str">
        <f t="shared" si="442"/>
        <v/>
      </c>
      <c r="AL859" s="26" t="str">
        <f t="shared" si="442"/>
        <v>Liquid Road</v>
      </c>
      <c r="AM859" s="26" t="str">
        <f t="shared" si="442"/>
        <v/>
      </c>
      <c r="AN859" s="26" t="str">
        <f t="shared" si="449"/>
        <v>Liquid Road</v>
      </c>
      <c r="AO859" s="26" t="str">
        <f t="shared" si="429"/>
        <v/>
      </c>
      <c r="AP859" s="26" t="str">
        <f t="shared" si="427"/>
        <v/>
      </c>
      <c r="AQ859" s="68">
        <f t="shared" si="453"/>
        <v>10</v>
      </c>
      <c r="AR859" s="68">
        <f t="shared" si="454"/>
        <v>10</v>
      </c>
      <c r="AS859" s="68">
        <f t="shared" si="443"/>
        <v>1.05</v>
      </c>
      <c r="AT859" s="68">
        <f t="shared" si="444"/>
        <v>1.05</v>
      </c>
      <c r="AU859" s="68">
        <f t="shared" si="445"/>
        <v>1.05</v>
      </c>
      <c r="AV859" s="68">
        <f t="shared" si="446"/>
        <v>1.05</v>
      </c>
      <c r="AW859" s="68">
        <f t="shared" si="447"/>
        <v>1.05</v>
      </c>
      <c r="AX859" s="68">
        <f t="shared" ca="1" si="450"/>
        <v>2.1</v>
      </c>
      <c r="AY859" s="106">
        <v>2017</v>
      </c>
      <c r="AZ859" s="68" t="s">
        <v>2371</v>
      </c>
      <c r="BA859" s="106" t="str">
        <f t="shared" si="438"/>
        <v/>
      </c>
      <c r="BB859" s="178"/>
      <c r="BC859" s="178"/>
      <c r="BD859" s="178"/>
      <c r="BE859" s="178"/>
      <c r="BF859" s="178">
        <v>3</v>
      </c>
      <c r="BG859" s="178"/>
      <c r="BH859" s="178"/>
      <c r="BI859" s="33"/>
      <c r="BJ859" s="2"/>
      <c r="BK859" s="48">
        <f>$G859/5280*VLOOKUP($AC859,'Cost and Score'!$B$27:$O$40,6,0)</f>
        <v>6.0037878787878786E-2</v>
      </c>
      <c r="BL859" s="48">
        <f>$G859/5280*VLOOKUP($AC859,'Cost and Score'!$B$27:$O$40,7,0)</f>
        <v>0.96060606060606057</v>
      </c>
      <c r="BM859" s="48">
        <f>$G859/5280*VLOOKUP($AC859,'Cost and Score'!$B$27:$O$40,8,0)</f>
        <v>0</v>
      </c>
      <c r="BN859" s="48">
        <f>$G859/5280*VLOOKUP($AC859,'Cost and Score'!$B$27:$O$40,9,0)</f>
        <v>0</v>
      </c>
      <c r="BO859" s="48">
        <f>$G859/5280*VLOOKUP($AC859,'Cost and Score'!$B$27:$O$40,10,0)</f>
        <v>0</v>
      </c>
      <c r="BP859" s="48">
        <f>$G859/5280*VLOOKUP($AC859,'Cost and Score'!$B$27:$O$40,11,0)</f>
        <v>0</v>
      </c>
      <c r="BQ859" s="48">
        <f>$G859/5280*VLOOKUP($AC859,'Cost and Score'!$B$27:$O$40,12,0)</f>
        <v>0</v>
      </c>
      <c r="BR859" s="48">
        <f>$G859/5280*VLOOKUP($AC859,'Cost and Score'!$B$27:$O$40,13,0)</f>
        <v>0</v>
      </c>
      <c r="BS859" s="48">
        <f>$G859/5280*VLOOKUP($AC859,'Cost and Score'!$B$27:$O$40,14,0)</f>
        <v>0</v>
      </c>
      <c r="BT859" s="220">
        <f t="shared" si="439"/>
        <v>6.0037878787878786E-2</v>
      </c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</row>
    <row r="860" spans="1:103" s="112" customFormat="1" ht="14.45" customHeight="1" x14ac:dyDescent="0.25">
      <c r="A860" s="31" t="s">
        <v>2102</v>
      </c>
      <c r="B860" s="45" t="s">
        <v>1763</v>
      </c>
      <c r="C860" s="26" t="s">
        <v>1763</v>
      </c>
      <c r="D860" s="119" t="s">
        <v>2285</v>
      </c>
      <c r="E860" s="82" t="s">
        <v>1487</v>
      </c>
      <c r="F860" s="82" t="s">
        <v>1462</v>
      </c>
      <c r="G860" s="149">
        <v>1315</v>
      </c>
      <c r="H860" s="29">
        <f t="shared" si="455"/>
        <v>26</v>
      </c>
      <c r="I860" s="26" t="s">
        <v>2098</v>
      </c>
      <c r="J860" s="26" t="s">
        <v>125</v>
      </c>
      <c r="K860" s="26">
        <f t="shared" ref="K860:K879" si="456">VLOOKUP(J860,TOWNSHIPS,2,FALSE)</f>
        <v>0</v>
      </c>
      <c r="L860" s="42">
        <v>7</v>
      </c>
      <c r="M860" s="42">
        <v>8</v>
      </c>
      <c r="N860" s="42">
        <v>8</v>
      </c>
      <c r="O860" s="83">
        <v>8</v>
      </c>
      <c r="P860" s="83">
        <v>8</v>
      </c>
      <c r="Q860" s="83">
        <v>8</v>
      </c>
      <c r="R860" s="83">
        <v>8</v>
      </c>
      <c r="S860" s="83">
        <v>8</v>
      </c>
      <c r="T860" s="83">
        <v>8</v>
      </c>
      <c r="U860" s="83">
        <v>8</v>
      </c>
      <c r="V860" s="42"/>
      <c r="W860" s="42"/>
      <c r="X860" s="42"/>
      <c r="Y860" s="26">
        <v>50</v>
      </c>
      <c r="Z860" s="26">
        <f t="shared" si="448"/>
        <v>0</v>
      </c>
      <c r="AA860" s="82" t="s">
        <v>1763</v>
      </c>
      <c r="AB860" s="111">
        <f t="shared" si="434"/>
        <v>2</v>
      </c>
      <c r="AC860" s="85" t="s">
        <v>2425</v>
      </c>
      <c r="AD860" s="84">
        <f t="shared" si="451"/>
        <v>6226.325757575758</v>
      </c>
      <c r="AE860" s="140"/>
      <c r="AF860" s="113">
        <f t="shared" si="452"/>
        <v>0</v>
      </c>
      <c r="AG860" s="106">
        <v>2025</v>
      </c>
      <c r="AH860" s="26" t="str">
        <f t="shared" si="440"/>
        <v/>
      </c>
      <c r="AI860" s="26" t="str">
        <f t="shared" si="425"/>
        <v/>
      </c>
      <c r="AJ860" s="26" t="str">
        <f t="shared" si="428"/>
        <v/>
      </c>
      <c r="AK860" s="26" t="str">
        <f t="shared" si="442"/>
        <v>Liquid Road</v>
      </c>
      <c r="AL860" s="26" t="str">
        <f t="shared" si="442"/>
        <v/>
      </c>
      <c r="AM860" s="26" t="str">
        <f t="shared" si="442"/>
        <v/>
      </c>
      <c r="AN860" s="26" t="str">
        <f t="shared" si="449"/>
        <v>Liquid Road</v>
      </c>
      <c r="AO860" s="26" t="str">
        <f t="shared" si="429"/>
        <v/>
      </c>
      <c r="AP860" s="26" t="str">
        <f t="shared" si="427"/>
        <v/>
      </c>
      <c r="AQ860" s="68">
        <f t="shared" si="453"/>
        <v>12</v>
      </c>
      <c r="AR860" s="68">
        <f t="shared" si="454"/>
        <v>10</v>
      </c>
      <c r="AS860" s="68">
        <f t="shared" si="443"/>
        <v>1.05</v>
      </c>
      <c r="AT860" s="68">
        <f t="shared" si="444"/>
        <v>1</v>
      </c>
      <c r="AU860" s="68">
        <f t="shared" si="445"/>
        <v>1</v>
      </c>
      <c r="AV860" s="68">
        <f t="shared" si="446"/>
        <v>1</v>
      </c>
      <c r="AW860" s="68">
        <f t="shared" si="447"/>
        <v>1</v>
      </c>
      <c r="AX860" s="68">
        <f t="shared" ca="1" si="450"/>
        <v>1</v>
      </c>
      <c r="AY860" s="68">
        <v>2019</v>
      </c>
      <c r="AZ860" s="85" t="s">
        <v>2075</v>
      </c>
      <c r="BA860" s="106" t="str">
        <f t="shared" si="438"/>
        <v/>
      </c>
      <c r="BB860" s="203"/>
      <c r="BC860" s="178"/>
      <c r="BD860" s="178"/>
      <c r="BE860" s="178"/>
      <c r="BF860" s="178"/>
      <c r="BG860" s="178"/>
      <c r="BH860" s="178"/>
      <c r="BI860" s="33"/>
      <c r="BJ860" s="2"/>
      <c r="BK860" s="48">
        <f>$G860/5280*VLOOKUP($AC860,'Cost and Score'!$B$27:$O$40,6,0)</f>
        <v>0.2490530303030303</v>
      </c>
      <c r="BL860" s="48">
        <f>$G860/5280*VLOOKUP($AC860,'Cost and Score'!$B$27:$O$40,7,0)</f>
        <v>3.9848484848484849</v>
      </c>
      <c r="BM860" s="48">
        <f>$G860/5280*VLOOKUP($AC860,'Cost and Score'!$B$27:$O$40,8,0)</f>
        <v>0</v>
      </c>
      <c r="BN860" s="48">
        <f>$G860/5280*VLOOKUP($AC860,'Cost and Score'!$B$27:$O$40,9,0)</f>
        <v>0</v>
      </c>
      <c r="BO860" s="48">
        <f>$G860/5280*VLOOKUP($AC860,'Cost and Score'!$B$27:$O$40,10,0)</f>
        <v>0</v>
      </c>
      <c r="BP860" s="48">
        <f>$G860/5280*VLOOKUP($AC860,'Cost and Score'!$B$27:$O$40,11,0)</f>
        <v>0</v>
      </c>
      <c r="BQ860" s="48">
        <f>$G860/5280*VLOOKUP($AC860,'Cost and Score'!$B$27:$O$40,12,0)</f>
        <v>0</v>
      </c>
      <c r="BR860" s="48">
        <f>$G860/5280*VLOOKUP($AC860,'Cost and Score'!$B$27:$O$40,13,0)</f>
        <v>0</v>
      </c>
      <c r="BS860" s="48">
        <f>$G860/5280*VLOOKUP($AC860,'Cost and Score'!$B$27:$O$40,14,0)</f>
        <v>0</v>
      </c>
      <c r="BT860" s="220">
        <f t="shared" si="439"/>
        <v>0.2490530303030303</v>
      </c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</row>
    <row r="861" spans="1:103" s="2" customFormat="1" ht="14.45" hidden="1" customHeight="1" x14ac:dyDescent="0.25">
      <c r="A861" s="31" t="s">
        <v>2102</v>
      </c>
      <c r="B861" s="226" t="s">
        <v>1671</v>
      </c>
      <c r="C861" s="106" t="s">
        <v>1671</v>
      </c>
      <c r="D861" s="116" t="s">
        <v>2254</v>
      </c>
      <c r="E861" s="106" t="s">
        <v>1451</v>
      </c>
      <c r="F861" s="106" t="s">
        <v>1505</v>
      </c>
      <c r="G861" s="109">
        <v>3485</v>
      </c>
      <c r="H861" s="109">
        <f t="shared" si="455"/>
        <v>26</v>
      </c>
      <c r="I861" s="106" t="s">
        <v>2098</v>
      </c>
      <c r="J861" s="106" t="s">
        <v>125</v>
      </c>
      <c r="K861" s="106">
        <f t="shared" si="456"/>
        <v>0</v>
      </c>
      <c r="L861" s="110">
        <v>6</v>
      </c>
      <c r="M861" s="110">
        <v>5</v>
      </c>
      <c r="N861" s="110">
        <v>5</v>
      </c>
      <c r="O861" s="110">
        <v>4</v>
      </c>
      <c r="P861" s="110">
        <v>9</v>
      </c>
      <c r="Q861" s="110">
        <v>9</v>
      </c>
      <c r="R861" s="110">
        <v>8</v>
      </c>
      <c r="S861" s="110">
        <v>8</v>
      </c>
      <c r="T861" s="110">
        <v>8</v>
      </c>
      <c r="U861" s="110">
        <v>8</v>
      </c>
      <c r="V861" s="110"/>
      <c r="W861" s="110"/>
      <c r="X861" s="110"/>
      <c r="Y861" s="106">
        <v>191</v>
      </c>
      <c r="Z861" s="106">
        <f t="shared" si="448"/>
        <v>0</v>
      </c>
      <c r="AA861" s="106" t="s">
        <v>1671</v>
      </c>
      <c r="AB861" s="111">
        <f t="shared" si="434"/>
        <v>1</v>
      </c>
      <c r="AC861" s="85" t="s">
        <v>2425</v>
      </c>
      <c r="AD861" s="107">
        <f t="shared" si="451"/>
        <v>16500.946969696968</v>
      </c>
      <c r="AE861" s="198"/>
      <c r="AF861" s="113">
        <f t="shared" si="452"/>
        <v>0</v>
      </c>
      <c r="AG861" s="85">
        <v>2026</v>
      </c>
      <c r="AH861" s="26" t="str">
        <f t="shared" si="440"/>
        <v/>
      </c>
      <c r="AI861" s="26" t="str">
        <f t="shared" si="425"/>
        <v/>
      </c>
      <c r="AJ861" s="26" t="str">
        <f t="shared" si="428"/>
        <v/>
      </c>
      <c r="AK861" s="26" t="str">
        <f t="shared" si="442"/>
        <v/>
      </c>
      <c r="AL861" s="26" t="str">
        <f t="shared" si="442"/>
        <v>Liquid Road</v>
      </c>
      <c r="AM861" s="26" t="str">
        <f t="shared" si="442"/>
        <v/>
      </c>
      <c r="AN861" s="26" t="str">
        <f t="shared" si="449"/>
        <v>Liquid Road</v>
      </c>
      <c r="AO861" s="26" t="str">
        <f t="shared" si="429"/>
        <v/>
      </c>
      <c r="AP861" s="26" t="str">
        <f t="shared" si="427"/>
        <v/>
      </c>
      <c r="AQ861" s="68">
        <f t="shared" si="453"/>
        <v>3</v>
      </c>
      <c r="AR861" s="68">
        <f t="shared" si="454"/>
        <v>10</v>
      </c>
      <c r="AS861" s="68">
        <f t="shared" si="443"/>
        <v>1.1000000000000001</v>
      </c>
      <c r="AT861" s="68">
        <f t="shared" si="444"/>
        <v>1.25</v>
      </c>
      <c r="AU861" s="68">
        <f t="shared" si="445"/>
        <v>1.25</v>
      </c>
      <c r="AV861" s="68">
        <f t="shared" si="446"/>
        <v>1.5</v>
      </c>
      <c r="AW861" s="68">
        <f t="shared" si="447"/>
        <v>1</v>
      </c>
      <c r="AX861" s="68">
        <f t="shared" ca="1" si="450"/>
        <v>2.5</v>
      </c>
      <c r="AY861" s="106">
        <v>2017</v>
      </c>
      <c r="AZ861" s="106" t="s">
        <v>751</v>
      </c>
      <c r="BA861" s="106" t="str">
        <f t="shared" si="438"/>
        <v/>
      </c>
      <c r="BB861" s="177"/>
      <c r="BC861" s="177"/>
      <c r="BD861" s="177"/>
      <c r="BE861" s="177"/>
      <c r="BF861" s="177">
        <v>3</v>
      </c>
      <c r="BG861" s="177"/>
      <c r="BH861" s="177"/>
      <c r="BI861" s="33"/>
      <c r="BK861" s="48">
        <f>$G861/5280*VLOOKUP($AC861,'Cost and Score'!$B$27:$O$40,6,0)</f>
        <v>0.66003787878787878</v>
      </c>
      <c r="BL861" s="48">
        <f>$G861/5280*VLOOKUP($AC861,'Cost and Score'!$B$27:$O$40,7,0)</f>
        <v>10.560606060606061</v>
      </c>
      <c r="BM861" s="48">
        <f>$G861/5280*VLOOKUP($AC861,'Cost and Score'!$B$27:$O$40,8,0)</f>
        <v>0</v>
      </c>
      <c r="BN861" s="48">
        <f>$G861/5280*VLOOKUP($AC861,'Cost and Score'!$B$27:$O$40,9,0)</f>
        <v>0</v>
      </c>
      <c r="BO861" s="48">
        <f>$G861/5280*VLOOKUP($AC861,'Cost and Score'!$B$27:$O$40,10,0)</f>
        <v>0</v>
      </c>
      <c r="BP861" s="48">
        <f>$G861/5280*VLOOKUP($AC861,'Cost and Score'!$B$27:$O$40,11,0)</f>
        <v>0</v>
      </c>
      <c r="BQ861" s="48">
        <f>$G861/5280*VLOOKUP($AC861,'Cost and Score'!$B$27:$O$40,12,0)</f>
        <v>0</v>
      </c>
      <c r="BR861" s="48">
        <f>$G861/5280*VLOOKUP($AC861,'Cost and Score'!$B$27:$O$40,13,0)</f>
        <v>0</v>
      </c>
      <c r="BS861" s="48">
        <f>$G861/5280*VLOOKUP($AC861,'Cost and Score'!$B$27:$O$40,14,0)</f>
        <v>0</v>
      </c>
      <c r="BT861" s="220">
        <f t="shared" si="439"/>
        <v>0.66003787878787878</v>
      </c>
      <c r="CF861" s="112"/>
      <c r="CS861" s="112"/>
      <c r="CT861" s="112"/>
      <c r="CU861" s="112"/>
      <c r="CV861" s="112"/>
    </row>
    <row r="862" spans="1:103" s="112" customFormat="1" ht="14.45" hidden="1" customHeight="1" x14ac:dyDescent="0.25">
      <c r="A862" s="38" t="s">
        <v>1673</v>
      </c>
      <c r="B862" s="34" t="s">
        <v>1672</v>
      </c>
      <c r="C862" s="26" t="s">
        <v>1672</v>
      </c>
      <c r="D862" s="82"/>
      <c r="E862" s="82" t="s">
        <v>307</v>
      </c>
      <c r="F862" s="82" t="s">
        <v>216</v>
      </c>
      <c r="G862" s="29">
        <v>1054</v>
      </c>
      <c r="H862" s="29">
        <f t="shared" si="455"/>
        <v>20</v>
      </c>
      <c r="I862" s="26" t="s">
        <v>8</v>
      </c>
      <c r="J862" s="26" t="s">
        <v>26</v>
      </c>
      <c r="K862" s="26">
        <f t="shared" si="456"/>
        <v>0</v>
      </c>
      <c r="L862" s="42">
        <v>7</v>
      </c>
      <c r="M862" s="42">
        <v>7</v>
      </c>
      <c r="N862" s="42">
        <v>7</v>
      </c>
      <c r="O862" s="83">
        <v>7</v>
      </c>
      <c r="P862" s="83">
        <v>7</v>
      </c>
      <c r="Q862" s="83">
        <v>7</v>
      </c>
      <c r="R862" s="83">
        <v>7</v>
      </c>
      <c r="S862" s="83">
        <v>7</v>
      </c>
      <c r="T862" s="83">
        <v>7</v>
      </c>
      <c r="U862" s="83">
        <v>7</v>
      </c>
      <c r="V862" s="42"/>
      <c r="W862" s="42"/>
      <c r="X862" s="42"/>
      <c r="Y862" s="26">
        <v>149</v>
      </c>
      <c r="Z862" s="26">
        <f t="shared" si="448"/>
        <v>0</v>
      </c>
      <c r="AA862" s="82" t="s">
        <v>153</v>
      </c>
      <c r="AB862" s="111">
        <f t="shared" si="434"/>
        <v>3</v>
      </c>
      <c r="AC862" s="82" t="s">
        <v>13</v>
      </c>
      <c r="AD862" s="84">
        <f t="shared" si="451"/>
        <v>4192.045454545455</v>
      </c>
      <c r="AE862" s="140"/>
      <c r="AF862" s="113">
        <f t="shared" si="452"/>
        <v>0</v>
      </c>
      <c r="AG862" s="26">
        <v>2027</v>
      </c>
      <c r="AH862" s="26" t="str">
        <f t="shared" si="440"/>
        <v/>
      </c>
      <c r="AI862" s="26" t="str">
        <f t="shared" ref="AI862:AI925" si="457">IF($AG862=AI$1,VLOOKUP($AC862,RSL,3,FALSE),"")</f>
        <v/>
      </c>
      <c r="AJ862" s="26" t="str">
        <f t="shared" si="428"/>
        <v/>
      </c>
      <c r="AK862" s="26" t="str">
        <f t="shared" si="442"/>
        <v/>
      </c>
      <c r="AL862" s="26" t="str">
        <f t="shared" si="442"/>
        <v/>
      </c>
      <c r="AM862" s="26" t="str">
        <f t="shared" si="442"/>
        <v>Chip Seal and Fog</v>
      </c>
      <c r="AN862" s="26" t="str">
        <f t="shared" si="449"/>
        <v>Chip Seal and Fog</v>
      </c>
      <c r="AO862" s="26" t="str">
        <f t="shared" si="429"/>
        <v>Chip Seal and Fog</v>
      </c>
      <c r="AP862" s="26" t="str">
        <f t="shared" si="427"/>
        <v/>
      </c>
      <c r="AQ862" s="68">
        <f t="shared" si="453"/>
        <v>10</v>
      </c>
      <c r="AR862" s="68">
        <f t="shared" si="454"/>
        <v>6</v>
      </c>
      <c r="AS862" s="68">
        <f t="shared" si="443"/>
        <v>1.05</v>
      </c>
      <c r="AT862" s="68">
        <f t="shared" si="444"/>
        <v>1.05</v>
      </c>
      <c r="AU862" s="68">
        <f t="shared" si="445"/>
        <v>1.05</v>
      </c>
      <c r="AV862" s="68">
        <f t="shared" si="446"/>
        <v>1.05</v>
      </c>
      <c r="AW862" s="68">
        <f t="shared" si="447"/>
        <v>1.05</v>
      </c>
      <c r="AX862" s="68">
        <f t="shared" ca="1" si="450"/>
        <v>3.1500000000000004</v>
      </c>
      <c r="AY862" s="68">
        <v>2021</v>
      </c>
      <c r="AZ862" s="68" t="s">
        <v>13</v>
      </c>
      <c r="BA862" s="106" t="str">
        <f t="shared" si="438"/>
        <v/>
      </c>
      <c r="BB862" s="178">
        <v>95</v>
      </c>
      <c r="BC862" s="178">
        <v>7</v>
      </c>
      <c r="BD862" s="178"/>
      <c r="BE862" s="178"/>
      <c r="BF862" s="178"/>
      <c r="BG862" s="178"/>
      <c r="BH862" s="178"/>
      <c r="BI862" s="33"/>
      <c r="BJ862" s="2"/>
      <c r="BK862" s="48">
        <f>$G862/5280*VLOOKUP($AC862,'Cost and Score'!$B$27:$O$40,6,0)</f>
        <v>3.9924242424242425E-2</v>
      </c>
      <c r="BL862" s="48">
        <f>$G862/5280*VLOOKUP($AC862,'Cost and Score'!$B$27:$O$40,7,0)</f>
        <v>4.3916666666666666</v>
      </c>
      <c r="BM862" s="48">
        <f>$G862/5280*VLOOKUP($AC862,'Cost and Score'!$B$27:$O$40,8,0)</f>
        <v>0</v>
      </c>
      <c r="BN862" s="48">
        <f>$G862/5280*VLOOKUP($AC862,'Cost and Score'!$B$27:$O$40,9,0)</f>
        <v>898.2954545454545</v>
      </c>
      <c r="BO862" s="48">
        <f>$G862/5280*VLOOKUP($AC862,'Cost and Score'!$B$27:$O$40,10,0)</f>
        <v>199.62121212121212</v>
      </c>
      <c r="BP862" s="48">
        <f>$G862/5280*VLOOKUP($AC862,'Cost and Score'!$B$27:$O$40,11,0)</f>
        <v>0</v>
      </c>
      <c r="BQ862" s="48">
        <f>$G862/5280*VLOOKUP($AC862,'Cost and Score'!$B$27:$O$40,12,0)</f>
        <v>19.962121212121211</v>
      </c>
      <c r="BR862" s="48">
        <f>$G862/5280*VLOOKUP($AC862,'Cost and Score'!$B$27:$O$40,13,0)</f>
        <v>23.954545454545453</v>
      </c>
      <c r="BS862" s="48">
        <f>$G862/5280*VLOOKUP($AC862,'Cost and Score'!$B$27:$O$40,14,0)</f>
        <v>0</v>
      </c>
      <c r="BT862" s="220">
        <f t="shared" si="439"/>
        <v>0.19962121212121212</v>
      </c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</row>
    <row r="863" spans="1:103" s="2" customFormat="1" ht="14.45" hidden="1" customHeight="1" x14ac:dyDescent="0.25">
      <c r="A863" s="38" t="s">
        <v>1675</v>
      </c>
      <c r="B863" s="34" t="s">
        <v>1674</v>
      </c>
      <c r="C863" s="26" t="s">
        <v>1674</v>
      </c>
      <c r="D863" s="26"/>
      <c r="E863" s="26" t="s">
        <v>24</v>
      </c>
      <c r="F863" s="26" t="s">
        <v>197</v>
      </c>
      <c r="G863" s="29">
        <v>2624</v>
      </c>
      <c r="H863" s="29">
        <f t="shared" si="455"/>
        <v>20</v>
      </c>
      <c r="I863" s="26" t="s">
        <v>13</v>
      </c>
      <c r="J863" s="26" t="s">
        <v>26</v>
      </c>
      <c r="K863" s="26">
        <f t="shared" si="456"/>
        <v>0</v>
      </c>
      <c r="L863" s="42">
        <v>3</v>
      </c>
      <c r="M863" s="42">
        <v>6</v>
      </c>
      <c r="N863" s="42">
        <v>6</v>
      </c>
      <c r="O863" s="42">
        <v>6</v>
      </c>
      <c r="P863" s="42">
        <v>5</v>
      </c>
      <c r="Q863" s="42">
        <v>6</v>
      </c>
      <c r="R863" s="42"/>
      <c r="S863" s="42">
        <v>6</v>
      </c>
      <c r="T863" s="42">
        <v>7</v>
      </c>
      <c r="U863" s="42">
        <v>7</v>
      </c>
      <c r="V863" s="42"/>
      <c r="W863" s="42"/>
      <c r="X863" s="42"/>
      <c r="Y863" s="26">
        <v>50</v>
      </c>
      <c r="Z863" s="26">
        <f t="shared" si="448"/>
        <v>0</v>
      </c>
      <c r="AA863" s="26" t="s">
        <v>153</v>
      </c>
      <c r="AB863" s="111">
        <f t="shared" si="434"/>
        <v>5</v>
      </c>
      <c r="AC863" s="26" t="s">
        <v>13</v>
      </c>
      <c r="AD863" s="47">
        <f t="shared" si="451"/>
        <v>10436.363636363636</v>
      </c>
      <c r="AE863" s="140"/>
      <c r="AF863" s="113">
        <f t="shared" si="452"/>
        <v>0</v>
      </c>
      <c r="AG863" s="26">
        <v>2022</v>
      </c>
      <c r="AH863" s="26" t="str">
        <f t="shared" si="440"/>
        <v>Chip Seal and Fog</v>
      </c>
      <c r="AI863" s="26" t="str">
        <f t="shared" si="457"/>
        <v/>
      </c>
      <c r="AJ863" s="26" t="str">
        <f t="shared" si="428"/>
        <v/>
      </c>
      <c r="AK863" s="26" t="str">
        <f t="shared" si="442"/>
        <v/>
      </c>
      <c r="AL863" s="26" t="str">
        <f t="shared" si="442"/>
        <v/>
      </c>
      <c r="AM863" s="26" t="str">
        <f t="shared" si="442"/>
        <v/>
      </c>
      <c r="AN863" s="26" t="str">
        <f t="shared" si="449"/>
        <v>Chip Seal and Fog</v>
      </c>
      <c r="AO863" s="26" t="str">
        <f t="shared" si="429"/>
        <v/>
      </c>
      <c r="AP863" s="26" t="str">
        <f t="shared" si="427"/>
        <v>Chip Seal and Fog</v>
      </c>
      <c r="AQ863" s="68">
        <f t="shared" si="453"/>
        <v>8</v>
      </c>
      <c r="AR863" s="68">
        <f t="shared" si="454"/>
        <v>6</v>
      </c>
      <c r="AS863" s="68">
        <f t="shared" si="443"/>
        <v>1.75</v>
      </c>
      <c r="AT863" s="68">
        <f t="shared" si="444"/>
        <v>1.1000000000000001</v>
      </c>
      <c r="AU863" s="68">
        <f t="shared" si="445"/>
        <v>1.1000000000000001</v>
      </c>
      <c r="AV863" s="68">
        <f t="shared" si="446"/>
        <v>1.1000000000000001</v>
      </c>
      <c r="AW863" s="68">
        <f t="shared" si="447"/>
        <v>1.25</v>
      </c>
      <c r="AX863" s="68">
        <f t="shared" ca="1" si="450"/>
        <v>-2.2000000000000002</v>
      </c>
      <c r="AY863" s="68">
        <v>2022</v>
      </c>
      <c r="AZ863" s="68" t="s">
        <v>13</v>
      </c>
      <c r="BA863" s="106" t="str">
        <f t="shared" si="438"/>
        <v/>
      </c>
      <c r="BB863" s="178"/>
      <c r="BC863" s="178">
        <v>5</v>
      </c>
      <c r="BD863" s="178"/>
      <c r="BE863" s="178"/>
      <c r="BF863" s="178"/>
      <c r="BG863" s="178"/>
      <c r="BH863" s="178"/>
      <c r="BI863" s="33" t="s">
        <v>2192</v>
      </c>
      <c r="BK863" s="48">
        <f>$G863/5280*VLOOKUP($AC863,'Cost and Score'!$B$27:$O$40,6,0)</f>
        <v>9.9393939393939396E-2</v>
      </c>
      <c r="BL863" s="48">
        <f>$G863/5280*VLOOKUP($AC863,'Cost and Score'!$B$27:$O$40,7,0)</f>
        <v>10.933333333333334</v>
      </c>
      <c r="BM863" s="48">
        <f>$G863/5280*VLOOKUP($AC863,'Cost and Score'!$B$27:$O$40,8,0)</f>
        <v>0</v>
      </c>
      <c r="BN863" s="48">
        <f>$G863/5280*VLOOKUP($AC863,'Cost and Score'!$B$27:$O$40,9,0)</f>
        <v>2236.3636363636365</v>
      </c>
      <c r="BO863" s="48">
        <f>$G863/5280*VLOOKUP($AC863,'Cost and Score'!$B$27:$O$40,10,0)</f>
        <v>496.96969696969694</v>
      </c>
      <c r="BP863" s="48">
        <f>$G863/5280*VLOOKUP($AC863,'Cost and Score'!$B$27:$O$40,11,0)</f>
        <v>0</v>
      </c>
      <c r="BQ863" s="48">
        <f>$G863/5280*VLOOKUP($AC863,'Cost and Score'!$B$27:$O$40,12,0)</f>
        <v>49.696969696969695</v>
      </c>
      <c r="BR863" s="48">
        <f>$G863/5280*VLOOKUP($AC863,'Cost and Score'!$B$27:$O$40,13,0)</f>
        <v>59.636363636363633</v>
      </c>
      <c r="BS863" s="48">
        <f>$G863/5280*VLOOKUP($AC863,'Cost and Score'!$B$27:$O$40,14,0)</f>
        <v>0</v>
      </c>
      <c r="BT863" s="220">
        <f t="shared" si="439"/>
        <v>0.49696969696969695</v>
      </c>
      <c r="CN863" s="112"/>
      <c r="CO863" s="112"/>
      <c r="CP863" s="112"/>
      <c r="CQ863" s="112"/>
      <c r="CV863" s="112"/>
    </row>
    <row r="864" spans="1:103" s="2" customFormat="1" ht="14.45" hidden="1" customHeight="1" x14ac:dyDescent="0.25">
      <c r="A864" s="38" t="s">
        <v>1677</v>
      </c>
      <c r="B864" s="34" t="s">
        <v>1676</v>
      </c>
      <c r="C864" s="26" t="s">
        <v>1676</v>
      </c>
      <c r="D864" s="82"/>
      <c r="E864" s="82" t="s">
        <v>216</v>
      </c>
      <c r="F864" s="82" t="s">
        <v>119</v>
      </c>
      <c r="G864" s="29">
        <v>2531</v>
      </c>
      <c r="H864" s="29">
        <f t="shared" si="455"/>
        <v>20</v>
      </c>
      <c r="I864" s="26" t="s">
        <v>8</v>
      </c>
      <c r="J864" s="26" t="s">
        <v>26</v>
      </c>
      <c r="K864" s="26">
        <f t="shared" si="456"/>
        <v>0</v>
      </c>
      <c r="L864" s="42">
        <v>7</v>
      </c>
      <c r="M864" s="42">
        <v>6</v>
      </c>
      <c r="N864" s="42">
        <v>6</v>
      </c>
      <c r="O864" s="83">
        <v>6</v>
      </c>
      <c r="P864" s="83">
        <v>5</v>
      </c>
      <c r="Q864" s="83">
        <v>5</v>
      </c>
      <c r="R864" s="83">
        <v>5</v>
      </c>
      <c r="S864" s="83">
        <v>5</v>
      </c>
      <c r="T864" s="83">
        <v>7</v>
      </c>
      <c r="U864" s="83">
        <v>7</v>
      </c>
      <c r="V864" s="42"/>
      <c r="W864" s="42"/>
      <c r="X864" s="42"/>
      <c r="Y864" s="26">
        <v>149</v>
      </c>
      <c r="Z864" s="26">
        <f t="shared" si="448"/>
        <v>0</v>
      </c>
      <c r="AA864" s="82" t="s">
        <v>153</v>
      </c>
      <c r="AB864" s="111">
        <f t="shared" si="434"/>
        <v>5</v>
      </c>
      <c r="AC864" s="82" t="s">
        <v>2072</v>
      </c>
      <c r="AD864" s="84">
        <f t="shared" si="451"/>
        <v>22050.378787878788</v>
      </c>
      <c r="AE864" s="140"/>
      <c r="AF864" s="113">
        <f t="shared" si="452"/>
        <v>0</v>
      </c>
      <c r="AG864" s="26">
        <v>2027</v>
      </c>
      <c r="AH864" s="26" t="str">
        <f t="shared" si="440"/>
        <v/>
      </c>
      <c r="AI864" s="26" t="str">
        <f t="shared" si="457"/>
        <v/>
      </c>
      <c r="AJ864" s="26" t="str">
        <f t="shared" si="428"/>
        <v/>
      </c>
      <c r="AK864" s="26" t="str">
        <f t="shared" si="442"/>
        <v/>
      </c>
      <c r="AL864" s="26" t="str">
        <f t="shared" si="442"/>
        <v/>
      </c>
      <c r="AM864" s="26" t="str">
        <f t="shared" si="442"/>
        <v>Chip Seal - Triple</v>
      </c>
      <c r="AN864" s="26" t="str">
        <f t="shared" si="449"/>
        <v>Chip Seal - Triple</v>
      </c>
      <c r="AO864" s="26" t="str">
        <f t="shared" si="429"/>
        <v>Chip Seal and Fog</v>
      </c>
      <c r="AP864" s="26" t="str">
        <f t="shared" si="427"/>
        <v/>
      </c>
      <c r="AQ864" s="68">
        <f t="shared" si="453"/>
        <v>8</v>
      </c>
      <c r="AR864" s="68">
        <f t="shared" si="454"/>
        <v>8</v>
      </c>
      <c r="AS864" s="68">
        <f t="shared" si="443"/>
        <v>1.05</v>
      </c>
      <c r="AT864" s="68">
        <f t="shared" si="444"/>
        <v>1.1000000000000001</v>
      </c>
      <c r="AU864" s="68">
        <f t="shared" si="445"/>
        <v>1.1000000000000001</v>
      </c>
      <c r="AV864" s="68">
        <f t="shared" si="446"/>
        <v>1.1000000000000001</v>
      </c>
      <c r="AW864" s="68">
        <f t="shared" si="447"/>
        <v>1.25</v>
      </c>
      <c r="AX864" s="68">
        <f t="shared" ca="1" si="450"/>
        <v>3.3000000000000003</v>
      </c>
      <c r="AY864" s="68">
        <v>2021</v>
      </c>
      <c r="AZ864" s="68" t="s">
        <v>13</v>
      </c>
      <c r="BA864" s="106" t="str">
        <f t="shared" si="438"/>
        <v/>
      </c>
      <c r="BB864" s="178">
        <v>96</v>
      </c>
      <c r="BC864" s="178">
        <v>7</v>
      </c>
      <c r="BD864" s="178"/>
      <c r="BE864" s="178"/>
      <c r="BF864" s="178"/>
      <c r="BG864" s="178"/>
      <c r="BH864" s="178"/>
      <c r="BI864" s="33"/>
      <c r="BK864" s="48">
        <f>$G864/5280*VLOOKUP($AC864,'Cost and Score'!$B$27:$O$40,6,0)</f>
        <v>0.28761363636363635</v>
      </c>
      <c r="BL864" s="48">
        <f>$G864/5280*VLOOKUP($AC864,'Cost and Score'!$B$27:$O$40,7,0)</f>
        <v>59.919507575757578</v>
      </c>
      <c r="BM864" s="48">
        <f>$G864/5280*VLOOKUP($AC864,'Cost and Score'!$B$27:$O$40,8,0)</f>
        <v>95.871212121212125</v>
      </c>
      <c r="BN864" s="48">
        <f>$G864/5280*VLOOKUP($AC864,'Cost and Score'!$B$27:$O$40,9,0)</f>
        <v>958.71212121212125</v>
      </c>
      <c r="BO864" s="48">
        <f>$G864/5280*VLOOKUP($AC864,'Cost and Score'!$B$27:$O$40,10,0)</f>
        <v>239.67803030303031</v>
      </c>
      <c r="BP864" s="48">
        <f>$G864/5280*VLOOKUP($AC864,'Cost and Score'!$B$27:$O$40,11,0)</f>
        <v>47.935606060606062</v>
      </c>
      <c r="BQ864" s="48">
        <f>$G864/5280*VLOOKUP($AC864,'Cost and Score'!$B$27:$O$40,12,0)</f>
        <v>383.4848484848485</v>
      </c>
      <c r="BR864" s="48">
        <f>$G864/5280*VLOOKUP($AC864,'Cost and Score'!$B$27:$O$40,13,0)</f>
        <v>38.348484848484851</v>
      </c>
      <c r="BS864" s="48">
        <f>$G864/5280*VLOOKUP($AC864,'Cost and Score'!$B$27:$O$40,14,0)</f>
        <v>0</v>
      </c>
      <c r="BT864" s="220">
        <f t="shared" si="439"/>
        <v>0.47935606060606062</v>
      </c>
      <c r="CW864" s="112"/>
      <c r="CX864" s="112"/>
      <c r="CY864" s="112"/>
    </row>
    <row r="865" spans="1:103" s="2" customFormat="1" ht="14.45" hidden="1" customHeight="1" x14ac:dyDescent="0.25">
      <c r="A865" s="38" t="s">
        <v>1679</v>
      </c>
      <c r="B865" s="34" t="s">
        <v>1678</v>
      </c>
      <c r="C865" s="26" t="s">
        <v>1678</v>
      </c>
      <c r="D865" s="82"/>
      <c r="E865" s="82" t="s">
        <v>119</v>
      </c>
      <c r="F865" s="82" t="s">
        <v>217</v>
      </c>
      <c r="G865" s="29">
        <v>3379</v>
      </c>
      <c r="H865" s="29">
        <f t="shared" si="455"/>
        <v>20</v>
      </c>
      <c r="I865" s="26" t="s">
        <v>8</v>
      </c>
      <c r="J865" s="26" t="s">
        <v>26</v>
      </c>
      <c r="K865" s="26">
        <f t="shared" si="456"/>
        <v>0</v>
      </c>
      <c r="L865" s="42">
        <v>7</v>
      </c>
      <c r="M865" s="42">
        <v>6</v>
      </c>
      <c r="N865" s="42">
        <v>6</v>
      </c>
      <c r="O865" s="83">
        <v>6</v>
      </c>
      <c r="P865" s="83">
        <v>5</v>
      </c>
      <c r="Q865" s="83">
        <v>5</v>
      </c>
      <c r="R865" s="83">
        <v>5</v>
      </c>
      <c r="S865" s="83">
        <v>7</v>
      </c>
      <c r="T865" s="83">
        <v>7</v>
      </c>
      <c r="U865" s="83">
        <v>7</v>
      </c>
      <c r="V865" s="42"/>
      <c r="W865" s="42"/>
      <c r="X865" s="42"/>
      <c r="Y865" s="26">
        <v>149</v>
      </c>
      <c r="Z865" s="26">
        <f t="shared" si="448"/>
        <v>0</v>
      </c>
      <c r="AA865" s="82" t="s">
        <v>153</v>
      </c>
      <c r="AB865" s="111">
        <f t="shared" si="434"/>
        <v>5</v>
      </c>
      <c r="AC865" s="82" t="s">
        <v>13</v>
      </c>
      <c r="AD865" s="84">
        <f t="shared" si="451"/>
        <v>13439.204545454546</v>
      </c>
      <c r="AE865" s="140"/>
      <c r="AF865" s="113">
        <f t="shared" si="452"/>
        <v>0</v>
      </c>
      <c r="AG865" s="85">
        <v>2026</v>
      </c>
      <c r="AH865" s="26" t="str">
        <f t="shared" si="440"/>
        <v/>
      </c>
      <c r="AI865" s="26" t="str">
        <f t="shared" si="457"/>
        <v/>
      </c>
      <c r="AJ865" s="26" t="str">
        <f t="shared" si="428"/>
        <v/>
      </c>
      <c r="AK865" s="26" t="str">
        <f t="shared" si="442"/>
        <v/>
      </c>
      <c r="AL865" s="26" t="str">
        <f t="shared" si="442"/>
        <v>Chip Seal and Fog</v>
      </c>
      <c r="AM865" s="26" t="str">
        <f t="shared" si="442"/>
        <v/>
      </c>
      <c r="AN865" s="26" t="str">
        <f t="shared" si="449"/>
        <v>Chip Seal and Fog</v>
      </c>
      <c r="AO865" s="26" t="str">
        <f t="shared" si="429"/>
        <v/>
      </c>
      <c r="AP865" s="26" t="str">
        <f t="shared" si="427"/>
        <v/>
      </c>
      <c r="AQ865" s="68">
        <f t="shared" si="453"/>
        <v>8</v>
      </c>
      <c r="AR865" s="68">
        <f t="shared" si="454"/>
        <v>6</v>
      </c>
      <c r="AS865" s="68">
        <f t="shared" si="443"/>
        <v>1.05</v>
      </c>
      <c r="AT865" s="68">
        <f t="shared" si="444"/>
        <v>1.1000000000000001</v>
      </c>
      <c r="AU865" s="68">
        <f t="shared" si="445"/>
        <v>1.1000000000000001</v>
      </c>
      <c r="AV865" s="68">
        <f t="shared" si="446"/>
        <v>1.1000000000000001</v>
      </c>
      <c r="AW865" s="68">
        <f t="shared" si="447"/>
        <v>1.25</v>
      </c>
      <c r="AX865" s="68">
        <f t="shared" ca="1" si="450"/>
        <v>2.2000000000000002</v>
      </c>
      <c r="AY865" s="68">
        <v>2020</v>
      </c>
      <c r="AZ865" s="68" t="s">
        <v>13</v>
      </c>
      <c r="BA865" s="106" t="str">
        <f t="shared" si="438"/>
        <v/>
      </c>
      <c r="BB865" s="178">
        <v>97</v>
      </c>
      <c r="BC865" s="178">
        <v>7</v>
      </c>
      <c r="BD865" s="178"/>
      <c r="BE865" s="178"/>
      <c r="BF865" s="178"/>
      <c r="BG865" s="178"/>
      <c r="BH865" s="178"/>
      <c r="BI865" s="33"/>
      <c r="BK865" s="48">
        <f>$G865/5280*VLOOKUP($AC865,'Cost and Score'!$B$27:$O$40,6,0)</f>
        <v>0.12799242424242427</v>
      </c>
      <c r="BL865" s="48">
        <f>$G865/5280*VLOOKUP($AC865,'Cost and Score'!$B$27:$O$40,7,0)</f>
        <v>14.079166666666667</v>
      </c>
      <c r="BM865" s="48">
        <f>$G865/5280*VLOOKUP($AC865,'Cost and Score'!$B$27:$O$40,8,0)</f>
        <v>0</v>
      </c>
      <c r="BN865" s="48">
        <f>$G865/5280*VLOOKUP($AC865,'Cost and Score'!$B$27:$O$40,9,0)</f>
        <v>2879.8295454545455</v>
      </c>
      <c r="BO865" s="48">
        <f>$G865/5280*VLOOKUP($AC865,'Cost and Score'!$B$27:$O$40,10,0)</f>
        <v>639.96212121212125</v>
      </c>
      <c r="BP865" s="48">
        <f>$G865/5280*VLOOKUP($AC865,'Cost and Score'!$B$27:$O$40,11,0)</f>
        <v>0</v>
      </c>
      <c r="BQ865" s="48">
        <f>$G865/5280*VLOOKUP($AC865,'Cost and Score'!$B$27:$O$40,12,0)</f>
        <v>63.996212121212125</v>
      </c>
      <c r="BR865" s="48">
        <f>$G865/5280*VLOOKUP($AC865,'Cost and Score'!$B$27:$O$40,13,0)</f>
        <v>76.795454545454547</v>
      </c>
      <c r="BS865" s="48">
        <f>$G865/5280*VLOOKUP($AC865,'Cost and Score'!$B$27:$O$40,14,0)</f>
        <v>0</v>
      </c>
      <c r="BT865" s="220">
        <f t="shared" si="439"/>
        <v>0.63996212121212126</v>
      </c>
      <c r="CR865" s="112"/>
    </row>
    <row r="866" spans="1:103" s="2" customFormat="1" ht="14.45" customHeight="1" x14ac:dyDescent="0.25">
      <c r="A866" s="31"/>
      <c r="B866" s="45" t="s">
        <v>2208</v>
      </c>
      <c r="C866" s="26" t="s">
        <v>2208</v>
      </c>
      <c r="D866" s="36" t="s">
        <v>2241</v>
      </c>
      <c r="E866" s="26" t="s">
        <v>1467</v>
      </c>
      <c r="F866" s="26" t="s">
        <v>1462</v>
      </c>
      <c r="G866" s="29">
        <v>158</v>
      </c>
      <c r="H866" s="29">
        <f t="shared" si="455"/>
        <v>26</v>
      </c>
      <c r="I866" s="26" t="s">
        <v>2098</v>
      </c>
      <c r="J866" s="26" t="s">
        <v>125</v>
      </c>
      <c r="K866" s="26">
        <f t="shared" si="456"/>
        <v>0</v>
      </c>
      <c r="L866" s="42"/>
      <c r="M866" s="42">
        <v>7</v>
      </c>
      <c r="N866" s="42">
        <v>7</v>
      </c>
      <c r="O866" s="42">
        <v>7</v>
      </c>
      <c r="P866" s="42">
        <v>7</v>
      </c>
      <c r="Q866" s="42">
        <v>7</v>
      </c>
      <c r="R866" s="42">
        <v>8</v>
      </c>
      <c r="S866" s="42">
        <v>8</v>
      </c>
      <c r="T866" s="42">
        <v>7</v>
      </c>
      <c r="U866" s="42">
        <v>7</v>
      </c>
      <c r="V866" s="42"/>
      <c r="W866" s="42"/>
      <c r="X866" s="42"/>
      <c r="Y866" s="26">
        <v>50</v>
      </c>
      <c r="Z866" s="26">
        <f t="shared" si="448"/>
        <v>0</v>
      </c>
      <c r="AA866" s="26" t="s">
        <v>2208</v>
      </c>
      <c r="AB866" s="111">
        <f t="shared" si="434"/>
        <v>3</v>
      </c>
      <c r="AC866" s="85" t="s">
        <v>2425</v>
      </c>
      <c r="AD866" s="47">
        <f t="shared" si="451"/>
        <v>748.10606060606062</v>
      </c>
      <c r="AE866" s="140"/>
      <c r="AF866" s="113">
        <f t="shared" si="452"/>
        <v>0</v>
      </c>
      <c r="AG866" s="106">
        <v>2025</v>
      </c>
      <c r="AH866" s="26" t="str">
        <f t="shared" si="440"/>
        <v/>
      </c>
      <c r="AI866" s="26" t="str">
        <f t="shared" si="457"/>
        <v/>
      </c>
      <c r="AJ866" s="26" t="str">
        <f t="shared" si="428"/>
        <v/>
      </c>
      <c r="AK866" s="26" t="str">
        <f t="shared" si="442"/>
        <v>Liquid Road</v>
      </c>
      <c r="AL866" s="26" t="str">
        <f t="shared" si="442"/>
        <v/>
      </c>
      <c r="AM866" s="26" t="str">
        <f t="shared" si="442"/>
        <v/>
      </c>
      <c r="AN866" s="26" t="str">
        <f t="shared" si="449"/>
        <v>Liquid Road</v>
      </c>
      <c r="AO866" s="26" t="str">
        <f t="shared" si="429"/>
        <v/>
      </c>
      <c r="AP866" s="26" t="str">
        <f t="shared" si="427"/>
        <v/>
      </c>
      <c r="AQ866" s="68">
        <f t="shared" si="453"/>
        <v>10</v>
      </c>
      <c r="AR866" s="68">
        <f t="shared" si="454"/>
        <v>10</v>
      </c>
      <c r="AS866" s="68">
        <f t="shared" si="443"/>
        <v>0</v>
      </c>
      <c r="AT866" s="68">
        <f t="shared" si="444"/>
        <v>1.05</v>
      </c>
      <c r="AU866" s="68">
        <f t="shared" si="445"/>
        <v>1.05</v>
      </c>
      <c r="AV866" s="68">
        <f t="shared" si="446"/>
        <v>1.05</v>
      </c>
      <c r="AW866" s="68">
        <f t="shared" si="447"/>
        <v>1.05</v>
      </c>
      <c r="AX866" s="68">
        <f t="shared" ca="1" si="450"/>
        <v>1.05</v>
      </c>
      <c r="AY866" s="68">
        <v>2019</v>
      </c>
      <c r="AZ866" s="68" t="s">
        <v>2075</v>
      </c>
      <c r="BA866" s="106" t="str">
        <f t="shared" si="438"/>
        <v/>
      </c>
      <c r="BB866" s="178"/>
      <c r="BC866" s="178"/>
      <c r="BD866" s="178"/>
      <c r="BE866" s="178"/>
      <c r="BF866" s="178"/>
      <c r="BG866" s="178"/>
      <c r="BH866" s="178"/>
      <c r="BI866" s="33"/>
      <c r="BK866" s="48">
        <f>$G866/5280*VLOOKUP($AC866,'Cost and Score'!$B$27:$O$40,6,0)</f>
        <v>2.9924242424242423E-2</v>
      </c>
      <c r="BL866" s="48">
        <f>$G866/5280*VLOOKUP($AC866,'Cost and Score'!$B$27:$O$40,7,0)</f>
        <v>0.47878787878787876</v>
      </c>
      <c r="BM866" s="48">
        <f>$G866/5280*VLOOKUP($AC866,'Cost and Score'!$B$27:$O$40,8,0)</f>
        <v>0</v>
      </c>
      <c r="BN866" s="48">
        <f>$G866/5280*VLOOKUP($AC866,'Cost and Score'!$B$27:$O$40,9,0)</f>
        <v>0</v>
      </c>
      <c r="BO866" s="48">
        <f>$G866/5280*VLOOKUP($AC866,'Cost and Score'!$B$27:$O$40,10,0)</f>
        <v>0</v>
      </c>
      <c r="BP866" s="48">
        <f>$G866/5280*VLOOKUP($AC866,'Cost and Score'!$B$27:$O$40,11,0)</f>
        <v>0</v>
      </c>
      <c r="BQ866" s="48">
        <f>$G866/5280*VLOOKUP($AC866,'Cost and Score'!$B$27:$O$40,12,0)</f>
        <v>0</v>
      </c>
      <c r="BR866" s="48">
        <f>$G866/5280*VLOOKUP($AC866,'Cost and Score'!$B$27:$O$40,13,0)</f>
        <v>0</v>
      </c>
      <c r="BS866" s="48">
        <f>$G866/5280*VLOOKUP($AC866,'Cost and Score'!$B$27:$O$40,14,0)</f>
        <v>0</v>
      </c>
      <c r="BT866" s="220">
        <f t="shared" si="439"/>
        <v>2.9924242424242423E-2</v>
      </c>
      <c r="CF866" s="112"/>
    </row>
    <row r="867" spans="1:103" s="2" customFormat="1" ht="14.45" hidden="1" customHeight="1" x14ac:dyDescent="0.25">
      <c r="A867" s="31" t="s">
        <v>2102</v>
      </c>
      <c r="B867" s="120" t="s">
        <v>1682</v>
      </c>
      <c r="C867" s="106" t="s">
        <v>1682</v>
      </c>
      <c r="D867" s="116" t="s">
        <v>2231</v>
      </c>
      <c r="E867" s="106" t="s">
        <v>1458</v>
      </c>
      <c r="F867" s="106" t="s">
        <v>1459</v>
      </c>
      <c r="G867" s="109">
        <v>1087</v>
      </c>
      <c r="H867" s="109">
        <f t="shared" si="455"/>
        <v>26</v>
      </c>
      <c r="I867" s="106" t="s">
        <v>2098</v>
      </c>
      <c r="J867" s="106" t="s">
        <v>160</v>
      </c>
      <c r="K867" s="106">
        <f t="shared" si="456"/>
        <v>0</v>
      </c>
      <c r="L867" s="110">
        <v>6</v>
      </c>
      <c r="M867" s="110">
        <v>6</v>
      </c>
      <c r="N867" s="110">
        <v>6</v>
      </c>
      <c r="O867" s="110">
        <v>6</v>
      </c>
      <c r="P867" s="110">
        <v>6</v>
      </c>
      <c r="Q867" s="110">
        <v>8</v>
      </c>
      <c r="R867" s="110">
        <v>8</v>
      </c>
      <c r="S867" s="110">
        <v>7</v>
      </c>
      <c r="T867" s="110">
        <v>7</v>
      </c>
      <c r="U867" s="110">
        <v>6</v>
      </c>
      <c r="V867" s="110"/>
      <c r="W867" s="110"/>
      <c r="X867" s="110"/>
      <c r="Y867" s="106">
        <v>515</v>
      </c>
      <c r="Z867" s="106">
        <f t="shared" si="448"/>
        <v>0.5</v>
      </c>
      <c r="AA867" s="106" t="s">
        <v>1682</v>
      </c>
      <c r="AB867" s="111">
        <f t="shared" si="434"/>
        <v>4.5</v>
      </c>
      <c r="AC867" s="26" t="s">
        <v>2086</v>
      </c>
      <c r="AD867" s="107">
        <f t="shared" si="451"/>
        <v>514.67803030303025</v>
      </c>
      <c r="AE867" s="198"/>
      <c r="AF867" s="113">
        <f t="shared" si="452"/>
        <v>0</v>
      </c>
      <c r="AG867" s="26">
        <v>2024</v>
      </c>
      <c r="AH867" s="26" t="str">
        <f t="shared" si="440"/>
        <v/>
      </c>
      <c r="AI867" s="26" t="str">
        <f t="shared" si="457"/>
        <v/>
      </c>
      <c r="AJ867" s="26" t="str">
        <f t="shared" si="428"/>
        <v>Fog Seal</v>
      </c>
      <c r="AK867" s="26" t="str">
        <f t="shared" si="442"/>
        <v/>
      </c>
      <c r="AL867" s="26" t="str">
        <f t="shared" si="442"/>
        <v/>
      </c>
      <c r="AM867" s="26" t="str">
        <f t="shared" si="442"/>
        <v/>
      </c>
      <c r="AN867" s="26" t="str">
        <f t="shared" si="449"/>
        <v>Fog Seal</v>
      </c>
      <c r="AO867" s="26" t="str">
        <f t="shared" si="429"/>
        <v/>
      </c>
      <c r="AP867" s="26" t="str">
        <f t="shared" si="427"/>
        <v/>
      </c>
      <c r="AQ867" s="68">
        <f t="shared" si="453"/>
        <v>8</v>
      </c>
      <c r="AR867" s="68">
        <f t="shared" si="454"/>
        <v>2</v>
      </c>
      <c r="AS867" s="68">
        <f t="shared" si="443"/>
        <v>1.1000000000000001</v>
      </c>
      <c r="AT867" s="68">
        <f t="shared" si="444"/>
        <v>1.1000000000000001</v>
      </c>
      <c r="AU867" s="68">
        <f t="shared" si="445"/>
        <v>1.1000000000000001</v>
      </c>
      <c r="AV867" s="68">
        <f t="shared" si="446"/>
        <v>1.1000000000000001</v>
      </c>
      <c r="AW867" s="68">
        <f t="shared" si="447"/>
        <v>1.1000000000000001</v>
      </c>
      <c r="AX867" s="68">
        <f t="shared" ca="1" si="450"/>
        <v>0</v>
      </c>
      <c r="AY867" s="106">
        <v>2018</v>
      </c>
      <c r="AZ867" s="106" t="s">
        <v>2425</v>
      </c>
      <c r="BA867" s="106" t="str">
        <f t="shared" si="438"/>
        <v>MICROSEAL</v>
      </c>
      <c r="BB867" s="177"/>
      <c r="BC867" s="177"/>
      <c r="BD867" s="177"/>
      <c r="BE867" s="177"/>
      <c r="BF867" s="177"/>
      <c r="BG867" s="177"/>
      <c r="BH867" s="177"/>
      <c r="BI867" s="33"/>
      <c r="BK867" s="48">
        <f>$G867/5280*VLOOKUP($AC867,'Cost and Score'!$B$27:$O$40,6,0)</f>
        <v>2.0587121212121213E-2</v>
      </c>
      <c r="BL867" s="48">
        <f>$G867/5280*VLOOKUP($AC867,'Cost and Score'!$B$27:$O$40,7,0)</f>
        <v>4.1174242424242426E-2</v>
      </c>
      <c r="BM867" s="48">
        <f>$G867/5280*VLOOKUP($AC867,'Cost and Score'!$B$27:$O$40,8,0)</f>
        <v>0</v>
      </c>
      <c r="BN867" s="48">
        <f>$G867/5280*VLOOKUP($AC867,'Cost and Score'!$B$27:$O$40,9,0)</f>
        <v>0</v>
      </c>
      <c r="BO867" s="48">
        <f>$G867/5280*VLOOKUP($AC867,'Cost and Score'!$B$27:$O$40,10,0)</f>
        <v>205.87121212121212</v>
      </c>
      <c r="BP867" s="48">
        <f>$G867/5280*VLOOKUP($AC867,'Cost and Score'!$B$27:$O$40,11,0)</f>
        <v>0</v>
      </c>
      <c r="BQ867" s="48">
        <f>$G867/5280*VLOOKUP($AC867,'Cost and Score'!$B$27:$O$40,12,0)</f>
        <v>0</v>
      </c>
      <c r="BR867" s="48">
        <f>$G867/5280*VLOOKUP($AC867,'Cost and Score'!$B$27:$O$40,13,0)</f>
        <v>0</v>
      </c>
      <c r="BS867" s="48">
        <f>$G867/5280*VLOOKUP($AC867,'Cost and Score'!$B$27:$O$40,14,0)</f>
        <v>0</v>
      </c>
      <c r="BT867" s="220">
        <f t="shared" si="439"/>
        <v>0.20587121212121212</v>
      </c>
      <c r="CG867" s="112"/>
      <c r="CH867" s="112"/>
      <c r="CI867" s="112"/>
      <c r="CJ867" s="112"/>
      <c r="CK867" s="112"/>
      <c r="CL867" s="112"/>
      <c r="CM867" s="112"/>
      <c r="CR867" s="112"/>
      <c r="CS867" s="112"/>
      <c r="CT867" s="112"/>
      <c r="CU867" s="112"/>
      <c r="CW867" s="112"/>
      <c r="CX867" s="112"/>
      <c r="CY867" s="112"/>
    </row>
    <row r="868" spans="1:103" s="112" customFormat="1" ht="16.5" customHeight="1" x14ac:dyDescent="0.25">
      <c r="A868" s="40"/>
      <c r="B868" s="45" t="s">
        <v>1867</v>
      </c>
      <c r="C868" s="26" t="s">
        <v>1867</v>
      </c>
      <c r="D868" s="119" t="s">
        <v>2216</v>
      </c>
      <c r="E868" s="82" t="s">
        <v>14</v>
      </c>
      <c r="F868" s="82" t="s">
        <v>1407</v>
      </c>
      <c r="G868" s="29">
        <v>1056</v>
      </c>
      <c r="H868" s="29">
        <f t="shared" si="455"/>
        <v>26</v>
      </c>
      <c r="I868" s="26" t="s">
        <v>2098</v>
      </c>
      <c r="J868" s="26" t="s">
        <v>11</v>
      </c>
      <c r="K868" s="26">
        <f t="shared" si="456"/>
        <v>0</v>
      </c>
      <c r="L868" s="42">
        <v>7</v>
      </c>
      <c r="M868" s="42">
        <v>8</v>
      </c>
      <c r="N868" s="42">
        <v>8</v>
      </c>
      <c r="O868" s="83">
        <v>8</v>
      </c>
      <c r="P868" s="83">
        <v>8</v>
      </c>
      <c r="Q868" s="83">
        <v>8</v>
      </c>
      <c r="R868" s="83">
        <v>8</v>
      </c>
      <c r="S868" s="83">
        <v>8</v>
      </c>
      <c r="T868" s="83">
        <v>7</v>
      </c>
      <c r="U868" s="83">
        <v>7</v>
      </c>
      <c r="V868" s="42"/>
      <c r="W868" s="42"/>
      <c r="X868" s="42"/>
      <c r="Y868" s="26">
        <v>50</v>
      </c>
      <c r="Z868" s="26">
        <f t="shared" si="448"/>
        <v>0</v>
      </c>
      <c r="AA868" s="82" t="s">
        <v>1867</v>
      </c>
      <c r="AB868" s="111">
        <f t="shared" si="434"/>
        <v>2</v>
      </c>
      <c r="AC868" s="85" t="s">
        <v>2425</v>
      </c>
      <c r="AD868" s="84">
        <f t="shared" si="451"/>
        <v>5000</v>
      </c>
      <c r="AE868" s="140"/>
      <c r="AF868" s="113">
        <f t="shared" si="452"/>
        <v>0</v>
      </c>
      <c r="AG868" s="106">
        <v>2025</v>
      </c>
      <c r="AH868" s="26" t="str">
        <f t="shared" si="440"/>
        <v/>
      </c>
      <c r="AI868" s="26" t="str">
        <f t="shared" si="457"/>
        <v/>
      </c>
      <c r="AJ868" s="26" t="str">
        <f t="shared" si="428"/>
        <v/>
      </c>
      <c r="AK868" s="26" t="str">
        <f t="shared" ref="AK868:AM887" si="458">IF($AG868=AK$1,VLOOKUP($AC868,RSL,3,FALSE),"")</f>
        <v>Liquid Road</v>
      </c>
      <c r="AL868" s="26" t="str">
        <f t="shared" si="458"/>
        <v/>
      </c>
      <c r="AM868" s="26" t="str">
        <f t="shared" si="458"/>
        <v/>
      </c>
      <c r="AN868" s="26" t="str">
        <f t="shared" si="449"/>
        <v>Liquid Road</v>
      </c>
      <c r="AO868" s="26" t="str">
        <f t="shared" si="429"/>
        <v/>
      </c>
      <c r="AP868" s="26" t="str">
        <f t="shared" si="427"/>
        <v/>
      </c>
      <c r="AQ868" s="68">
        <f t="shared" si="453"/>
        <v>12</v>
      </c>
      <c r="AR868" s="68">
        <f t="shared" si="454"/>
        <v>10</v>
      </c>
      <c r="AS868" s="68">
        <f t="shared" si="443"/>
        <v>1.05</v>
      </c>
      <c r="AT868" s="68">
        <f t="shared" si="444"/>
        <v>1</v>
      </c>
      <c r="AU868" s="68">
        <f t="shared" si="445"/>
        <v>1</v>
      </c>
      <c r="AV868" s="68">
        <f t="shared" si="446"/>
        <v>1</v>
      </c>
      <c r="AW868" s="68">
        <f t="shared" si="447"/>
        <v>1</v>
      </c>
      <c r="AX868" s="68">
        <f t="shared" ca="1" si="450"/>
        <v>1</v>
      </c>
      <c r="AY868" s="68">
        <v>2019</v>
      </c>
      <c r="AZ868" s="68" t="s">
        <v>2371</v>
      </c>
      <c r="BA868" s="106" t="str">
        <f t="shared" si="438"/>
        <v/>
      </c>
      <c r="BB868" s="178"/>
      <c r="BC868" s="178"/>
      <c r="BD868" s="178"/>
      <c r="BE868" s="178"/>
      <c r="BF868" s="178"/>
      <c r="BG868" s="178"/>
      <c r="BH868" s="178"/>
      <c r="BI868" s="46"/>
      <c r="BJ868" s="28"/>
      <c r="BK868" s="48">
        <f>$G868/5280*VLOOKUP($AC868,'Cost and Score'!$B$27:$O$40,6,0)</f>
        <v>0.2</v>
      </c>
      <c r="BL868" s="48">
        <f>$G868/5280*VLOOKUP($AC868,'Cost and Score'!$B$27:$O$40,7,0)</f>
        <v>3.2</v>
      </c>
      <c r="BM868" s="48">
        <f>$G868/5280*VLOOKUP($AC868,'Cost and Score'!$B$27:$O$40,8,0)</f>
        <v>0</v>
      </c>
      <c r="BN868" s="48">
        <f>$G868/5280*VLOOKUP($AC868,'Cost and Score'!$B$27:$O$40,9,0)</f>
        <v>0</v>
      </c>
      <c r="BO868" s="48">
        <f>$G868/5280*VLOOKUP($AC868,'Cost and Score'!$B$27:$O$40,10,0)</f>
        <v>0</v>
      </c>
      <c r="BP868" s="48">
        <f>$G868/5280*VLOOKUP($AC868,'Cost and Score'!$B$27:$O$40,11,0)</f>
        <v>0</v>
      </c>
      <c r="BQ868" s="48">
        <f>$G868/5280*VLOOKUP($AC868,'Cost and Score'!$B$27:$O$40,12,0)</f>
        <v>0</v>
      </c>
      <c r="BR868" s="48">
        <f>$G868/5280*VLOOKUP($AC868,'Cost and Score'!$B$27:$O$40,13,0)</f>
        <v>0</v>
      </c>
      <c r="BS868" s="48">
        <f>$G868/5280*VLOOKUP($AC868,'Cost and Score'!$B$27:$O$40,14,0)</f>
        <v>0</v>
      </c>
      <c r="BT868" s="220">
        <f t="shared" si="439"/>
        <v>0.2</v>
      </c>
      <c r="BU868" s="28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S868" s="28"/>
      <c r="CT868" s="28"/>
      <c r="CU868" s="28"/>
      <c r="CV868" s="2"/>
      <c r="CW868" s="2"/>
      <c r="CX868" s="2"/>
      <c r="CY868" s="2"/>
    </row>
    <row r="869" spans="1:103" s="2" customFormat="1" ht="14.45" hidden="1" customHeight="1" x14ac:dyDescent="0.25">
      <c r="A869" s="38" t="s">
        <v>2102</v>
      </c>
      <c r="B869" s="34" t="s">
        <v>1684</v>
      </c>
      <c r="C869" s="26" t="s">
        <v>1684</v>
      </c>
      <c r="D869" s="26"/>
      <c r="E869" s="26" t="s">
        <v>209</v>
      </c>
      <c r="F869" s="26" t="s">
        <v>116</v>
      </c>
      <c r="G869" s="29">
        <v>1426</v>
      </c>
      <c r="H869" s="29">
        <f t="shared" si="455"/>
        <v>20</v>
      </c>
      <c r="I869" s="26" t="s">
        <v>8</v>
      </c>
      <c r="J869" s="26" t="s">
        <v>6</v>
      </c>
      <c r="K869" s="26">
        <f t="shared" si="456"/>
        <v>0</v>
      </c>
      <c r="L869" s="42">
        <v>7</v>
      </c>
      <c r="M869" s="42">
        <v>7</v>
      </c>
      <c r="N869" s="42">
        <v>7</v>
      </c>
      <c r="O869" s="42">
        <v>7</v>
      </c>
      <c r="P869" s="42">
        <v>7</v>
      </c>
      <c r="Q869" s="42">
        <v>7</v>
      </c>
      <c r="R869" s="42">
        <v>6</v>
      </c>
      <c r="S869" s="42">
        <v>6</v>
      </c>
      <c r="T869" s="42">
        <v>6</v>
      </c>
      <c r="U869" s="42">
        <v>7</v>
      </c>
      <c r="V869" s="42"/>
      <c r="W869" s="42"/>
      <c r="X869" s="42"/>
      <c r="Y869" s="26">
        <v>35</v>
      </c>
      <c r="Z869" s="26">
        <f t="shared" si="448"/>
        <v>0</v>
      </c>
      <c r="AA869" s="26" t="s">
        <v>1684</v>
      </c>
      <c r="AB869" s="111">
        <f t="shared" si="434"/>
        <v>3</v>
      </c>
      <c r="AC869" s="26" t="s">
        <v>13</v>
      </c>
      <c r="AD869" s="47">
        <f t="shared" si="451"/>
        <v>5671.590909090909</v>
      </c>
      <c r="AE869" s="140"/>
      <c r="AF869" s="113">
        <f t="shared" si="452"/>
        <v>0</v>
      </c>
      <c r="AG869" s="26">
        <v>2022</v>
      </c>
      <c r="AH869" s="26" t="str">
        <f t="shared" si="440"/>
        <v>Chip Seal and Fog</v>
      </c>
      <c r="AI869" s="26" t="str">
        <f t="shared" si="457"/>
        <v/>
      </c>
      <c r="AJ869" s="26" t="str">
        <f t="shared" si="428"/>
        <v/>
      </c>
      <c r="AK869" s="26" t="str">
        <f t="shared" si="458"/>
        <v/>
      </c>
      <c r="AL869" s="26" t="str">
        <f t="shared" si="458"/>
        <v/>
      </c>
      <c r="AM869" s="26" t="str">
        <f t="shared" si="458"/>
        <v/>
      </c>
      <c r="AN869" s="26" t="str">
        <f t="shared" si="449"/>
        <v>Chip Seal and Fog</v>
      </c>
      <c r="AO869" s="26" t="str">
        <f t="shared" si="429"/>
        <v/>
      </c>
      <c r="AP869" s="26" t="str">
        <f t="shared" ref="AP869:AP932" si="459">IF(AY869=AP$1,VLOOKUP(AZ869,RSL,3,FALSE),"")</f>
        <v/>
      </c>
      <c r="AQ869" s="68">
        <f t="shared" si="453"/>
        <v>10</v>
      </c>
      <c r="AR869" s="68">
        <f t="shared" si="454"/>
        <v>6</v>
      </c>
      <c r="AS869" s="68">
        <f t="shared" si="443"/>
        <v>1.05</v>
      </c>
      <c r="AT869" s="68">
        <f t="shared" si="444"/>
        <v>1.05</v>
      </c>
      <c r="AU869" s="68">
        <f t="shared" si="445"/>
        <v>1.05</v>
      </c>
      <c r="AV869" s="68">
        <f t="shared" si="446"/>
        <v>1.05</v>
      </c>
      <c r="AW869" s="68">
        <f t="shared" si="447"/>
        <v>1.05</v>
      </c>
      <c r="AX869" s="68">
        <f t="shared" ca="1" si="450"/>
        <v>-2.1</v>
      </c>
      <c r="AY869" s="68">
        <v>2015</v>
      </c>
      <c r="AZ869" s="68" t="s">
        <v>2086</v>
      </c>
      <c r="BA869" s="106" t="str">
        <f t="shared" si="438"/>
        <v/>
      </c>
      <c r="BB869" s="178"/>
      <c r="BC869" s="178"/>
      <c r="BD869" s="178"/>
      <c r="BE869" s="178"/>
      <c r="BF869" s="178"/>
      <c r="BG869" s="178"/>
      <c r="BH869" s="178"/>
      <c r="BI869" s="33"/>
      <c r="BK869" s="48">
        <f>$G869/5280*VLOOKUP($AC869,'Cost and Score'!$B$27:$O$40,6,0)</f>
        <v>5.4015151515151516E-2</v>
      </c>
      <c r="BL869" s="48">
        <f>$G869/5280*VLOOKUP($AC869,'Cost and Score'!$B$27:$O$40,7,0)</f>
        <v>5.9416666666666664</v>
      </c>
      <c r="BM869" s="48">
        <f>$G869/5280*VLOOKUP($AC869,'Cost and Score'!$B$27:$O$40,8,0)</f>
        <v>0</v>
      </c>
      <c r="BN869" s="48">
        <f>$G869/5280*VLOOKUP($AC869,'Cost and Score'!$B$27:$O$40,9,0)</f>
        <v>1215.340909090909</v>
      </c>
      <c r="BO869" s="48">
        <f>$G869/5280*VLOOKUP($AC869,'Cost and Score'!$B$27:$O$40,10,0)</f>
        <v>270.07575757575756</v>
      </c>
      <c r="BP869" s="48">
        <f>$G869/5280*VLOOKUP($AC869,'Cost and Score'!$B$27:$O$40,11,0)</f>
        <v>0</v>
      </c>
      <c r="BQ869" s="48">
        <f>$G869/5280*VLOOKUP($AC869,'Cost and Score'!$B$27:$O$40,12,0)</f>
        <v>27.007575757575758</v>
      </c>
      <c r="BR869" s="48">
        <f>$G869/5280*VLOOKUP($AC869,'Cost and Score'!$B$27:$O$40,13,0)</f>
        <v>32.409090909090907</v>
      </c>
      <c r="BS869" s="48">
        <f>$G869/5280*VLOOKUP($AC869,'Cost and Score'!$B$27:$O$40,14,0)</f>
        <v>0</v>
      </c>
      <c r="BT869" s="220">
        <f t="shared" si="439"/>
        <v>0.27007575757575758</v>
      </c>
      <c r="CN869" s="112"/>
      <c r="CO869" s="112"/>
      <c r="CP869" s="112"/>
      <c r="CQ869" s="112"/>
      <c r="CV869" s="112"/>
    </row>
    <row r="870" spans="1:103" s="2" customFormat="1" ht="14.45" hidden="1" customHeight="1" x14ac:dyDescent="0.25">
      <c r="A870" s="31" t="s">
        <v>2102</v>
      </c>
      <c r="B870" s="224" t="s">
        <v>2315</v>
      </c>
      <c r="C870" s="26" t="s">
        <v>2315</v>
      </c>
      <c r="D870" s="119" t="s">
        <v>2246</v>
      </c>
      <c r="E870" s="82" t="s">
        <v>4</v>
      </c>
      <c r="F870" s="82" t="s">
        <v>5</v>
      </c>
      <c r="G870" s="29">
        <v>1214</v>
      </c>
      <c r="H870" s="29">
        <f t="shared" si="455"/>
        <v>26</v>
      </c>
      <c r="I870" s="26" t="s">
        <v>2098</v>
      </c>
      <c r="J870" s="26" t="s">
        <v>6</v>
      </c>
      <c r="K870" s="26">
        <f t="shared" si="456"/>
        <v>0</v>
      </c>
      <c r="L870" s="42">
        <v>7</v>
      </c>
      <c r="M870" s="42">
        <v>8</v>
      </c>
      <c r="N870" s="42">
        <v>8</v>
      </c>
      <c r="O870" s="83">
        <v>8</v>
      </c>
      <c r="P870" s="83">
        <v>8</v>
      </c>
      <c r="Q870" s="83">
        <v>8</v>
      </c>
      <c r="R870" s="83">
        <v>7</v>
      </c>
      <c r="S870" s="83">
        <v>6</v>
      </c>
      <c r="T870" s="83">
        <v>6</v>
      </c>
      <c r="U870" s="83">
        <v>6</v>
      </c>
      <c r="V870" s="42"/>
      <c r="W870" s="42"/>
      <c r="X870" s="42"/>
      <c r="Y870" s="26">
        <v>439</v>
      </c>
      <c r="Z870" s="26">
        <f t="shared" si="448"/>
        <v>0</v>
      </c>
      <c r="AA870" s="82" t="s">
        <v>2315</v>
      </c>
      <c r="AB870" s="111">
        <f t="shared" si="434"/>
        <v>2</v>
      </c>
      <c r="AC870" s="85" t="s">
        <v>2371</v>
      </c>
      <c r="AD870" s="84">
        <f t="shared" si="451"/>
        <v>18393.939393939392</v>
      </c>
      <c r="AE870" s="140">
        <v>1</v>
      </c>
      <c r="AF870" s="113">
        <f t="shared" si="452"/>
        <v>18393.939393939392</v>
      </c>
      <c r="AG870" s="85">
        <v>2024</v>
      </c>
      <c r="AH870" s="26" t="str">
        <f t="shared" si="440"/>
        <v/>
      </c>
      <c r="AI870" s="26" t="str">
        <f t="shared" si="457"/>
        <v/>
      </c>
      <c r="AJ870" s="26" t="str">
        <f t="shared" si="428"/>
        <v>Microsurface double</v>
      </c>
      <c r="AK870" s="26" t="str">
        <f t="shared" si="458"/>
        <v/>
      </c>
      <c r="AL870" s="26" t="str">
        <f t="shared" si="458"/>
        <v/>
      </c>
      <c r="AM870" s="26" t="str">
        <f t="shared" si="458"/>
        <v/>
      </c>
      <c r="AN870" s="26" t="str">
        <f t="shared" si="449"/>
        <v>Microsurface double</v>
      </c>
      <c r="AO870" s="26" t="str">
        <f t="shared" si="429"/>
        <v/>
      </c>
      <c r="AP870" s="26" t="str">
        <f t="shared" si="459"/>
        <v/>
      </c>
      <c r="AQ870" s="68">
        <f t="shared" si="453"/>
        <v>12</v>
      </c>
      <c r="AR870" s="68">
        <f t="shared" si="454"/>
        <v>10</v>
      </c>
      <c r="AS870" s="68">
        <f t="shared" si="443"/>
        <v>1.05</v>
      </c>
      <c r="AT870" s="68">
        <f t="shared" si="444"/>
        <v>1</v>
      </c>
      <c r="AU870" s="68">
        <f t="shared" si="445"/>
        <v>1</v>
      </c>
      <c r="AV870" s="68">
        <f t="shared" si="446"/>
        <v>1</v>
      </c>
      <c r="AW870" s="68">
        <f t="shared" si="447"/>
        <v>1</v>
      </c>
      <c r="AX870" s="68">
        <f t="shared" ca="1" si="450"/>
        <v>0</v>
      </c>
      <c r="AY870" s="68">
        <v>2016</v>
      </c>
      <c r="AZ870" s="68" t="s">
        <v>2086</v>
      </c>
      <c r="BA870" s="106" t="str">
        <f t="shared" si="438"/>
        <v/>
      </c>
      <c r="BB870" s="178"/>
      <c r="BC870" s="178"/>
      <c r="BD870" s="178"/>
      <c r="BE870" s="178">
        <v>2</v>
      </c>
      <c r="BF870" s="178"/>
      <c r="BG870" s="178"/>
      <c r="BH870" s="178"/>
      <c r="BI870" s="33" t="s">
        <v>2624</v>
      </c>
      <c r="BK870" s="48">
        <f>$G870/5280*VLOOKUP($AC870,'Cost and Score'!$B$27:$O$40,6,0)</f>
        <v>0.11496212121212121</v>
      </c>
      <c r="BL870" s="48">
        <f>$G870/5280*VLOOKUP($AC870,'Cost and Score'!$B$27:$O$40,7,0)</f>
        <v>0</v>
      </c>
      <c r="BM870" s="48">
        <f>$G870/5280*VLOOKUP($AC870,'Cost and Score'!$B$27:$O$40,8,0)</f>
        <v>0</v>
      </c>
      <c r="BN870" s="48">
        <f>$G870/5280*VLOOKUP($AC870,'Cost and Score'!$B$27:$O$40,9,0)</f>
        <v>0</v>
      </c>
      <c r="BO870" s="48">
        <f>$G870/5280*VLOOKUP($AC870,'Cost and Score'!$B$27:$O$40,10,0)</f>
        <v>0</v>
      </c>
      <c r="BP870" s="48">
        <f>$G870/5280*VLOOKUP($AC870,'Cost and Score'!$B$27:$O$40,11,0)</f>
        <v>0</v>
      </c>
      <c r="BQ870" s="48">
        <f>$G870/5280*VLOOKUP($AC870,'Cost and Score'!$B$27:$O$40,12,0)</f>
        <v>0</v>
      </c>
      <c r="BR870" s="48">
        <f>$G870/5280*VLOOKUP($AC870,'Cost and Score'!$B$27:$O$40,13,0)</f>
        <v>0</v>
      </c>
      <c r="BS870" s="48">
        <f>$G870/5280*VLOOKUP($AC870,'Cost and Score'!$B$27:$O$40,14,0)</f>
        <v>0</v>
      </c>
      <c r="BT870" s="220">
        <f t="shared" si="439"/>
        <v>0.22992424242424242</v>
      </c>
    </row>
    <row r="871" spans="1:103" s="2" customFormat="1" ht="14.45" hidden="1" customHeight="1" x14ac:dyDescent="0.25">
      <c r="A871" s="31" t="s">
        <v>2102</v>
      </c>
      <c r="B871" s="224" t="s">
        <v>1685</v>
      </c>
      <c r="C871" s="26" t="s">
        <v>1685</v>
      </c>
      <c r="D871" s="36" t="s">
        <v>2246</v>
      </c>
      <c r="E871" s="26" t="s">
        <v>4</v>
      </c>
      <c r="F871" s="26" t="s">
        <v>5</v>
      </c>
      <c r="G871" s="29">
        <v>1003</v>
      </c>
      <c r="H871" s="29">
        <f t="shared" si="455"/>
        <v>26</v>
      </c>
      <c r="I871" s="26" t="s">
        <v>2098</v>
      </c>
      <c r="J871" s="26" t="s">
        <v>6</v>
      </c>
      <c r="K871" s="26">
        <f t="shared" si="456"/>
        <v>0</v>
      </c>
      <c r="L871" s="42">
        <v>7</v>
      </c>
      <c r="M871" s="42">
        <v>8</v>
      </c>
      <c r="N871" s="42">
        <v>8</v>
      </c>
      <c r="O871" s="42">
        <v>8</v>
      </c>
      <c r="P871" s="42">
        <v>8</v>
      </c>
      <c r="Q871" s="42">
        <v>8</v>
      </c>
      <c r="R871" s="42">
        <v>7</v>
      </c>
      <c r="S871" s="42">
        <v>6</v>
      </c>
      <c r="T871" s="42">
        <v>6</v>
      </c>
      <c r="U871" s="42">
        <v>7</v>
      </c>
      <c r="V871" s="42"/>
      <c r="W871" s="42"/>
      <c r="X871" s="42"/>
      <c r="Y871" s="26">
        <v>439</v>
      </c>
      <c r="Z871" s="26">
        <f t="shared" si="448"/>
        <v>0</v>
      </c>
      <c r="AA871" s="26" t="s">
        <v>1685</v>
      </c>
      <c r="AB871" s="111">
        <f t="shared" si="434"/>
        <v>2</v>
      </c>
      <c r="AC871" s="85" t="s">
        <v>2371</v>
      </c>
      <c r="AD871" s="47">
        <f t="shared" si="451"/>
        <v>15196.969696969696</v>
      </c>
      <c r="AE871" s="140">
        <v>1</v>
      </c>
      <c r="AF871" s="113">
        <f t="shared" si="452"/>
        <v>15196.969696969696</v>
      </c>
      <c r="AG871" s="85">
        <v>2024</v>
      </c>
      <c r="AH871" s="26" t="str">
        <f t="shared" si="440"/>
        <v/>
      </c>
      <c r="AI871" s="26" t="str">
        <f t="shared" si="457"/>
        <v/>
      </c>
      <c r="AJ871" s="26" t="str">
        <f t="shared" ref="AJ871:AJ934" si="460">IF($AG871=AJ$1,VLOOKUP($AC871,RSL,3,FALSE),"")</f>
        <v>Microsurface double</v>
      </c>
      <c r="AK871" s="26" t="str">
        <f t="shared" si="458"/>
        <v/>
      </c>
      <c r="AL871" s="26" t="str">
        <f t="shared" si="458"/>
        <v/>
      </c>
      <c r="AM871" s="26" t="str">
        <f t="shared" si="458"/>
        <v/>
      </c>
      <c r="AN871" s="26" t="str">
        <f t="shared" si="449"/>
        <v>Microsurface double</v>
      </c>
      <c r="AO871" s="26" t="str">
        <f t="shared" ref="AO871:AO934" si="461">IF(AY871=AO$1,VLOOKUP(AZ871,RSL,3,FALSE),"")</f>
        <v/>
      </c>
      <c r="AP871" s="26" t="str">
        <f t="shared" si="459"/>
        <v/>
      </c>
      <c r="AQ871" s="68">
        <f t="shared" si="453"/>
        <v>12</v>
      </c>
      <c r="AR871" s="68">
        <f t="shared" si="454"/>
        <v>10</v>
      </c>
      <c r="AS871" s="68">
        <f t="shared" si="443"/>
        <v>1.05</v>
      </c>
      <c r="AT871" s="68">
        <f t="shared" si="444"/>
        <v>1</v>
      </c>
      <c r="AU871" s="68">
        <f t="shared" si="445"/>
        <v>1</v>
      </c>
      <c r="AV871" s="68">
        <f t="shared" si="446"/>
        <v>1</v>
      </c>
      <c r="AW871" s="68">
        <f t="shared" si="447"/>
        <v>1</v>
      </c>
      <c r="AX871" s="68">
        <f t="shared" ca="1" si="450"/>
        <v>0</v>
      </c>
      <c r="AY871" s="68">
        <v>2016</v>
      </c>
      <c r="AZ871" s="68" t="s">
        <v>2086</v>
      </c>
      <c r="BA871" s="106" t="str">
        <f t="shared" si="438"/>
        <v/>
      </c>
      <c r="BB871" s="178"/>
      <c r="BC871" s="178"/>
      <c r="BD871" s="178"/>
      <c r="BE871" s="178">
        <v>2</v>
      </c>
      <c r="BF871" s="178"/>
      <c r="BG871" s="178"/>
      <c r="BH871" s="178"/>
      <c r="BI871" s="33" t="s">
        <v>2623</v>
      </c>
      <c r="BK871" s="48">
        <f>$G871/5280*VLOOKUP($AC871,'Cost and Score'!$B$27:$O$40,6,0)</f>
        <v>9.4981060606060611E-2</v>
      </c>
      <c r="BL871" s="48">
        <f>$G871/5280*VLOOKUP($AC871,'Cost and Score'!$B$27:$O$40,7,0)</f>
        <v>0</v>
      </c>
      <c r="BM871" s="48">
        <f>$G871/5280*VLOOKUP($AC871,'Cost and Score'!$B$27:$O$40,8,0)</f>
        <v>0</v>
      </c>
      <c r="BN871" s="48">
        <f>$G871/5280*VLOOKUP($AC871,'Cost and Score'!$B$27:$O$40,9,0)</f>
        <v>0</v>
      </c>
      <c r="BO871" s="48">
        <f>$G871/5280*VLOOKUP($AC871,'Cost and Score'!$B$27:$O$40,10,0)</f>
        <v>0</v>
      </c>
      <c r="BP871" s="48">
        <f>$G871/5280*VLOOKUP($AC871,'Cost and Score'!$B$27:$O$40,11,0)</f>
        <v>0</v>
      </c>
      <c r="BQ871" s="48">
        <f>$G871/5280*VLOOKUP($AC871,'Cost and Score'!$B$27:$O$40,12,0)</f>
        <v>0</v>
      </c>
      <c r="BR871" s="48">
        <f>$G871/5280*VLOOKUP($AC871,'Cost and Score'!$B$27:$O$40,13,0)</f>
        <v>0</v>
      </c>
      <c r="BS871" s="48">
        <f>$G871/5280*VLOOKUP($AC871,'Cost and Score'!$B$27:$O$40,14,0)</f>
        <v>0</v>
      </c>
      <c r="BT871" s="220">
        <f t="shared" si="439"/>
        <v>0.18996212121212122</v>
      </c>
    </row>
    <row r="872" spans="1:103" s="2" customFormat="1" ht="14.45" hidden="1" customHeight="1" x14ac:dyDescent="0.25">
      <c r="A872" s="31" t="s">
        <v>2102</v>
      </c>
      <c r="B872" s="224" t="s">
        <v>1686</v>
      </c>
      <c r="C872" s="26" t="s">
        <v>1686</v>
      </c>
      <c r="D872" s="36" t="s">
        <v>2246</v>
      </c>
      <c r="E872" s="26" t="s">
        <v>4</v>
      </c>
      <c r="F872" s="26" t="s">
        <v>5</v>
      </c>
      <c r="G872" s="29">
        <v>2218</v>
      </c>
      <c r="H872" s="29">
        <f t="shared" si="455"/>
        <v>26</v>
      </c>
      <c r="I872" s="26" t="s">
        <v>2098</v>
      </c>
      <c r="J872" s="26" t="s">
        <v>6</v>
      </c>
      <c r="K872" s="26">
        <f t="shared" si="456"/>
        <v>0</v>
      </c>
      <c r="L872" s="42">
        <v>7</v>
      </c>
      <c r="M872" s="42">
        <v>8</v>
      </c>
      <c r="N872" s="42">
        <v>8</v>
      </c>
      <c r="O872" s="42">
        <v>8</v>
      </c>
      <c r="P872" s="42">
        <v>7</v>
      </c>
      <c r="Q872" s="42">
        <v>7</v>
      </c>
      <c r="R872" s="42">
        <v>6</v>
      </c>
      <c r="S872" s="42">
        <v>7</v>
      </c>
      <c r="T872" s="42">
        <v>7</v>
      </c>
      <c r="U872" s="42">
        <v>6</v>
      </c>
      <c r="V872" s="42"/>
      <c r="W872" s="42"/>
      <c r="X872" s="42"/>
      <c r="Y872" s="26">
        <v>439</v>
      </c>
      <c r="Z872" s="26">
        <f t="shared" si="448"/>
        <v>0</v>
      </c>
      <c r="AA872" s="26" t="s">
        <v>1686</v>
      </c>
      <c r="AB872" s="111">
        <f t="shared" si="434"/>
        <v>3</v>
      </c>
      <c r="AC872" s="85" t="s">
        <v>2371</v>
      </c>
      <c r="AD872" s="47">
        <f t="shared" si="451"/>
        <v>33606.060606060608</v>
      </c>
      <c r="AE872" s="140">
        <v>1</v>
      </c>
      <c r="AF872" s="113">
        <f t="shared" si="452"/>
        <v>33606.060606060608</v>
      </c>
      <c r="AG872" s="85">
        <v>2024</v>
      </c>
      <c r="AH872" s="26" t="str">
        <f t="shared" si="440"/>
        <v/>
      </c>
      <c r="AI872" s="26" t="str">
        <f t="shared" si="457"/>
        <v/>
      </c>
      <c r="AJ872" s="26" t="str">
        <f t="shared" si="460"/>
        <v>Microsurface double</v>
      </c>
      <c r="AK872" s="26" t="str">
        <f t="shared" si="458"/>
        <v/>
      </c>
      <c r="AL872" s="26" t="str">
        <f t="shared" si="458"/>
        <v/>
      </c>
      <c r="AM872" s="26" t="str">
        <f t="shared" si="458"/>
        <v/>
      </c>
      <c r="AN872" s="26" t="str">
        <f t="shared" si="449"/>
        <v>Microsurface double</v>
      </c>
      <c r="AO872" s="26" t="str">
        <f t="shared" si="461"/>
        <v/>
      </c>
      <c r="AP872" s="26" t="str">
        <f t="shared" si="459"/>
        <v/>
      </c>
      <c r="AQ872" s="68">
        <f t="shared" si="453"/>
        <v>12</v>
      </c>
      <c r="AR872" s="68">
        <f t="shared" si="454"/>
        <v>10</v>
      </c>
      <c r="AS872" s="68">
        <f t="shared" si="443"/>
        <v>1.05</v>
      </c>
      <c r="AT872" s="68">
        <f t="shared" si="444"/>
        <v>1</v>
      </c>
      <c r="AU872" s="68">
        <f t="shared" si="445"/>
        <v>1</v>
      </c>
      <c r="AV872" s="68">
        <f t="shared" si="446"/>
        <v>1</v>
      </c>
      <c r="AW872" s="68">
        <f t="shared" si="447"/>
        <v>1.05</v>
      </c>
      <c r="AX872" s="68">
        <f t="shared" ca="1" si="450"/>
        <v>0</v>
      </c>
      <c r="AY872" s="68">
        <v>2016</v>
      </c>
      <c r="AZ872" s="68" t="s">
        <v>2086</v>
      </c>
      <c r="BA872" s="106" t="str">
        <f t="shared" si="438"/>
        <v/>
      </c>
      <c r="BB872" s="178"/>
      <c r="BC872" s="178"/>
      <c r="BD872" s="178"/>
      <c r="BE872" s="178">
        <v>2</v>
      </c>
      <c r="BF872" s="178"/>
      <c r="BG872" s="178"/>
      <c r="BH872" s="178"/>
      <c r="BI872" s="33" t="s">
        <v>2623</v>
      </c>
      <c r="BK872" s="48">
        <f>$G872/5280*VLOOKUP($AC872,'Cost and Score'!$B$27:$O$40,6,0)</f>
        <v>0.2100378787878788</v>
      </c>
      <c r="BL872" s="48">
        <f>$G872/5280*VLOOKUP($AC872,'Cost and Score'!$B$27:$O$40,7,0)</f>
        <v>0</v>
      </c>
      <c r="BM872" s="48">
        <f>$G872/5280*VLOOKUP($AC872,'Cost and Score'!$B$27:$O$40,8,0)</f>
        <v>0</v>
      </c>
      <c r="BN872" s="48">
        <f>$G872/5280*VLOOKUP($AC872,'Cost and Score'!$B$27:$O$40,9,0)</f>
        <v>0</v>
      </c>
      <c r="BO872" s="48">
        <f>$G872/5280*VLOOKUP($AC872,'Cost and Score'!$B$27:$O$40,10,0)</f>
        <v>0</v>
      </c>
      <c r="BP872" s="48">
        <f>$G872/5280*VLOOKUP($AC872,'Cost and Score'!$B$27:$O$40,11,0)</f>
        <v>0</v>
      </c>
      <c r="BQ872" s="48">
        <f>$G872/5280*VLOOKUP($AC872,'Cost and Score'!$B$27:$O$40,12,0)</f>
        <v>0</v>
      </c>
      <c r="BR872" s="48">
        <f>$G872/5280*VLOOKUP($AC872,'Cost and Score'!$B$27:$O$40,13,0)</f>
        <v>0</v>
      </c>
      <c r="BS872" s="48">
        <f>$G872/5280*VLOOKUP($AC872,'Cost and Score'!$B$27:$O$40,14,0)</f>
        <v>0</v>
      </c>
      <c r="BT872" s="220">
        <f t="shared" si="439"/>
        <v>0.4200757575757576</v>
      </c>
      <c r="BV872" s="26"/>
      <c r="BW872" s="26"/>
      <c r="BX872" s="26"/>
      <c r="BY872" s="26"/>
      <c r="BZ872" s="26"/>
      <c r="CA872" s="26"/>
      <c r="CB872" s="26"/>
    </row>
    <row r="873" spans="1:103" s="2" customFormat="1" ht="14.45" customHeight="1" x14ac:dyDescent="0.25">
      <c r="A873" s="31" t="s">
        <v>2102</v>
      </c>
      <c r="B873" s="45" t="s">
        <v>1874</v>
      </c>
      <c r="C873" s="26" t="s">
        <v>1874</v>
      </c>
      <c r="D873" s="119" t="s">
        <v>2285</v>
      </c>
      <c r="E873" s="82" t="s">
        <v>1487</v>
      </c>
      <c r="F873" s="82" t="s">
        <v>1462</v>
      </c>
      <c r="G873" s="147">
        <v>1742</v>
      </c>
      <c r="H873" s="29">
        <f t="shared" si="455"/>
        <v>26</v>
      </c>
      <c r="I873" s="26" t="s">
        <v>2098</v>
      </c>
      <c r="J873" s="26" t="s">
        <v>125</v>
      </c>
      <c r="K873" s="26">
        <f t="shared" si="456"/>
        <v>0</v>
      </c>
      <c r="L873" s="42">
        <v>7</v>
      </c>
      <c r="M873" s="42">
        <v>8</v>
      </c>
      <c r="N873" s="42">
        <v>8</v>
      </c>
      <c r="O873" s="83">
        <v>8</v>
      </c>
      <c r="P873" s="83">
        <v>8</v>
      </c>
      <c r="Q873" s="83">
        <v>8</v>
      </c>
      <c r="R873" s="83">
        <v>8</v>
      </c>
      <c r="S873" s="83">
        <v>8</v>
      </c>
      <c r="T873" s="83">
        <v>8</v>
      </c>
      <c r="U873" s="83">
        <v>8</v>
      </c>
      <c r="V873" s="42"/>
      <c r="W873" s="42"/>
      <c r="X873" s="42"/>
      <c r="Y873" s="26">
        <v>50</v>
      </c>
      <c r="Z873" s="26">
        <f t="shared" si="448"/>
        <v>0</v>
      </c>
      <c r="AA873" s="82" t="s">
        <v>1874</v>
      </c>
      <c r="AB873" s="111">
        <f t="shared" si="434"/>
        <v>2</v>
      </c>
      <c r="AC873" s="85" t="s">
        <v>2425</v>
      </c>
      <c r="AD873" s="84">
        <f t="shared" si="451"/>
        <v>8248.1060606060601</v>
      </c>
      <c r="AE873" s="140"/>
      <c r="AF873" s="113">
        <f t="shared" si="452"/>
        <v>0</v>
      </c>
      <c r="AG873" s="106">
        <v>2025</v>
      </c>
      <c r="AH873" s="26" t="str">
        <f t="shared" si="440"/>
        <v/>
      </c>
      <c r="AI873" s="26" t="str">
        <f t="shared" si="457"/>
        <v/>
      </c>
      <c r="AJ873" s="26" t="str">
        <f t="shared" si="460"/>
        <v/>
      </c>
      <c r="AK873" s="26" t="str">
        <f t="shared" si="458"/>
        <v>Liquid Road</v>
      </c>
      <c r="AL873" s="26" t="str">
        <f t="shared" si="458"/>
        <v/>
      </c>
      <c r="AM873" s="26" t="str">
        <f t="shared" si="458"/>
        <v/>
      </c>
      <c r="AN873" s="26" t="str">
        <f t="shared" si="449"/>
        <v>Liquid Road</v>
      </c>
      <c r="AO873" s="26" t="str">
        <f t="shared" si="461"/>
        <v/>
      </c>
      <c r="AP873" s="26" t="str">
        <f t="shared" si="459"/>
        <v/>
      </c>
      <c r="AQ873" s="68">
        <f t="shared" si="453"/>
        <v>12</v>
      </c>
      <c r="AR873" s="68">
        <f t="shared" si="454"/>
        <v>10</v>
      </c>
      <c r="AS873" s="68">
        <f t="shared" si="443"/>
        <v>1.05</v>
      </c>
      <c r="AT873" s="68">
        <f t="shared" si="444"/>
        <v>1</v>
      </c>
      <c r="AU873" s="68">
        <f t="shared" si="445"/>
        <v>1</v>
      </c>
      <c r="AV873" s="68">
        <f t="shared" si="446"/>
        <v>1</v>
      </c>
      <c r="AW873" s="68">
        <f t="shared" si="447"/>
        <v>1</v>
      </c>
      <c r="AX873" s="68">
        <f t="shared" ca="1" si="450"/>
        <v>1</v>
      </c>
      <c r="AY873" s="68">
        <v>2019</v>
      </c>
      <c r="AZ873" s="85" t="s">
        <v>2075</v>
      </c>
      <c r="BA873" s="106" t="str">
        <f t="shared" si="438"/>
        <v/>
      </c>
      <c r="BB873" s="203"/>
      <c r="BC873" s="178"/>
      <c r="BD873" s="178"/>
      <c r="BE873" s="178"/>
      <c r="BF873" s="178"/>
      <c r="BG873" s="178"/>
      <c r="BH873" s="178"/>
      <c r="BI873" s="33"/>
      <c r="BK873" s="48">
        <f>$G873/5280*VLOOKUP($AC873,'Cost and Score'!$B$27:$O$40,6,0)</f>
        <v>0.3299242424242424</v>
      </c>
      <c r="BL873" s="48">
        <f>$G873/5280*VLOOKUP($AC873,'Cost and Score'!$B$27:$O$40,7,0)</f>
        <v>5.2787878787878784</v>
      </c>
      <c r="BM873" s="48">
        <f>$G873/5280*VLOOKUP($AC873,'Cost and Score'!$B$27:$O$40,8,0)</f>
        <v>0</v>
      </c>
      <c r="BN873" s="48">
        <f>$G873/5280*VLOOKUP($AC873,'Cost and Score'!$B$27:$O$40,9,0)</f>
        <v>0</v>
      </c>
      <c r="BO873" s="48">
        <f>$G873/5280*VLOOKUP($AC873,'Cost and Score'!$B$27:$O$40,10,0)</f>
        <v>0</v>
      </c>
      <c r="BP873" s="48">
        <f>$G873/5280*VLOOKUP($AC873,'Cost and Score'!$B$27:$O$40,11,0)</f>
        <v>0</v>
      </c>
      <c r="BQ873" s="48">
        <f>$G873/5280*VLOOKUP($AC873,'Cost and Score'!$B$27:$O$40,12,0)</f>
        <v>0</v>
      </c>
      <c r="BR873" s="48">
        <f>$G873/5280*VLOOKUP($AC873,'Cost and Score'!$B$27:$O$40,13,0)</f>
        <v>0</v>
      </c>
      <c r="BS873" s="48">
        <f>$G873/5280*VLOOKUP($AC873,'Cost and Score'!$B$27:$O$40,14,0)</f>
        <v>0</v>
      </c>
      <c r="BT873" s="220">
        <f t="shared" si="439"/>
        <v>0.3299242424242424</v>
      </c>
      <c r="CN873" s="112"/>
      <c r="CO873" s="112"/>
      <c r="CP873" s="112"/>
      <c r="CQ873" s="112"/>
      <c r="CV873" s="112"/>
    </row>
    <row r="874" spans="1:103" s="2" customFormat="1" ht="14.45" hidden="1" customHeight="1" x14ac:dyDescent="0.25">
      <c r="A874" s="31" t="s">
        <v>2102</v>
      </c>
      <c r="B874" s="224" t="s">
        <v>1688</v>
      </c>
      <c r="C874" s="26" t="s">
        <v>1688</v>
      </c>
      <c r="D874" s="36" t="s">
        <v>2276</v>
      </c>
      <c r="E874" s="26" t="s">
        <v>162</v>
      </c>
      <c r="F874" s="26" t="s">
        <v>1495</v>
      </c>
      <c r="G874" s="29">
        <v>2904</v>
      </c>
      <c r="H874" s="29">
        <f t="shared" si="455"/>
        <v>26</v>
      </c>
      <c r="I874" s="26" t="s">
        <v>2098</v>
      </c>
      <c r="J874" s="26" t="s">
        <v>160</v>
      </c>
      <c r="K874" s="26">
        <f t="shared" si="456"/>
        <v>0</v>
      </c>
      <c r="L874" s="42">
        <v>7</v>
      </c>
      <c r="M874" s="42">
        <v>7</v>
      </c>
      <c r="N874" s="42">
        <v>10</v>
      </c>
      <c r="O874" s="42">
        <v>9</v>
      </c>
      <c r="P874" s="42">
        <v>8</v>
      </c>
      <c r="Q874" s="42">
        <v>7</v>
      </c>
      <c r="R874" s="42">
        <v>7</v>
      </c>
      <c r="S874" s="42">
        <v>7</v>
      </c>
      <c r="T874" s="42">
        <v>6</v>
      </c>
      <c r="U874" s="42">
        <v>6</v>
      </c>
      <c r="V874" s="42"/>
      <c r="W874" s="42"/>
      <c r="X874" s="42"/>
      <c r="Y874" s="26">
        <v>202</v>
      </c>
      <c r="Z874" s="26">
        <f t="shared" si="448"/>
        <v>0</v>
      </c>
      <c r="AA874" s="26" t="s">
        <v>1688</v>
      </c>
      <c r="AB874" s="111">
        <f t="shared" si="434"/>
        <v>2</v>
      </c>
      <c r="AC874" s="85" t="s">
        <v>2371</v>
      </c>
      <c r="AD874" s="47">
        <f t="shared" si="451"/>
        <v>44000</v>
      </c>
      <c r="AE874" s="140">
        <v>1</v>
      </c>
      <c r="AF874" s="113">
        <f t="shared" si="452"/>
        <v>44000</v>
      </c>
      <c r="AG874" s="85">
        <v>2024</v>
      </c>
      <c r="AH874" s="26" t="str">
        <f t="shared" si="440"/>
        <v/>
      </c>
      <c r="AI874" s="26" t="str">
        <f t="shared" si="457"/>
        <v/>
      </c>
      <c r="AJ874" s="26" t="str">
        <f t="shared" si="460"/>
        <v>Microsurface double</v>
      </c>
      <c r="AK874" s="26" t="str">
        <f t="shared" si="458"/>
        <v/>
      </c>
      <c r="AL874" s="26" t="str">
        <f t="shared" si="458"/>
        <v/>
      </c>
      <c r="AM874" s="26" t="str">
        <f t="shared" si="458"/>
        <v/>
      </c>
      <c r="AN874" s="26" t="str">
        <f t="shared" si="449"/>
        <v>Microsurface double</v>
      </c>
      <c r="AO874" s="26" t="str">
        <f t="shared" si="461"/>
        <v/>
      </c>
      <c r="AP874" s="26" t="str">
        <f t="shared" si="459"/>
        <v/>
      </c>
      <c r="AQ874" s="68">
        <f t="shared" si="453"/>
        <v>14</v>
      </c>
      <c r="AR874" s="68">
        <f t="shared" si="454"/>
        <v>10</v>
      </c>
      <c r="AS874" s="68">
        <f t="shared" si="443"/>
        <v>1.05</v>
      </c>
      <c r="AT874" s="68">
        <f t="shared" si="444"/>
        <v>1.05</v>
      </c>
      <c r="AU874" s="68">
        <f t="shared" si="445"/>
        <v>1</v>
      </c>
      <c r="AV874" s="68">
        <f t="shared" si="446"/>
        <v>1</v>
      </c>
      <c r="AW874" s="68">
        <f t="shared" si="447"/>
        <v>1</v>
      </c>
      <c r="AX874" s="68">
        <f t="shared" ca="1" si="450"/>
        <v>0</v>
      </c>
      <c r="AY874" s="68">
        <v>2016</v>
      </c>
      <c r="AZ874" s="68" t="s">
        <v>2371</v>
      </c>
      <c r="BA874" s="106" t="str">
        <f t="shared" si="438"/>
        <v/>
      </c>
      <c r="BB874" s="178"/>
      <c r="BC874" s="178"/>
      <c r="BD874" s="178"/>
      <c r="BE874" s="178"/>
      <c r="BF874" s="178"/>
      <c r="BG874" s="178">
        <v>4</v>
      </c>
      <c r="BH874" s="178"/>
      <c r="BI874" s="33"/>
      <c r="BK874" s="48">
        <f>$G874/5280*VLOOKUP($AC874,'Cost and Score'!$B$27:$O$40,6,0)</f>
        <v>0.27500000000000002</v>
      </c>
      <c r="BL874" s="48">
        <f>$G874/5280*VLOOKUP($AC874,'Cost and Score'!$B$27:$O$40,7,0)</f>
        <v>0</v>
      </c>
      <c r="BM874" s="48">
        <f>$G874/5280*VLOOKUP($AC874,'Cost and Score'!$B$27:$O$40,8,0)</f>
        <v>0</v>
      </c>
      <c r="BN874" s="48">
        <f>$G874/5280*VLOOKUP($AC874,'Cost and Score'!$B$27:$O$40,9,0)</f>
        <v>0</v>
      </c>
      <c r="BO874" s="48">
        <f>$G874/5280*VLOOKUP($AC874,'Cost and Score'!$B$27:$O$40,10,0)</f>
        <v>0</v>
      </c>
      <c r="BP874" s="48">
        <f>$G874/5280*VLOOKUP($AC874,'Cost and Score'!$B$27:$O$40,11,0)</f>
        <v>0</v>
      </c>
      <c r="BQ874" s="48">
        <f>$G874/5280*VLOOKUP($AC874,'Cost and Score'!$B$27:$O$40,12,0)</f>
        <v>0</v>
      </c>
      <c r="BR874" s="48">
        <f>$G874/5280*VLOOKUP($AC874,'Cost and Score'!$B$27:$O$40,13,0)</f>
        <v>0</v>
      </c>
      <c r="BS874" s="48">
        <f>$G874/5280*VLOOKUP($AC874,'Cost and Score'!$B$27:$O$40,14,0)</f>
        <v>0</v>
      </c>
      <c r="BT874" s="220">
        <f t="shared" si="439"/>
        <v>0.55000000000000004</v>
      </c>
      <c r="CF874" s="112"/>
      <c r="CR874" s="112"/>
    </row>
    <row r="875" spans="1:103" s="2" customFormat="1" ht="14.45" hidden="1" customHeight="1" x14ac:dyDescent="0.25">
      <c r="A875" s="31" t="s">
        <v>2102</v>
      </c>
      <c r="B875" s="226" t="s">
        <v>1689</v>
      </c>
      <c r="C875" s="106" t="s">
        <v>1689</v>
      </c>
      <c r="D875" s="116" t="s">
        <v>2260</v>
      </c>
      <c r="E875" s="106" t="s">
        <v>1690</v>
      </c>
      <c r="F875" s="106" t="s">
        <v>1502</v>
      </c>
      <c r="G875" s="109">
        <v>581</v>
      </c>
      <c r="H875" s="109">
        <f t="shared" si="455"/>
        <v>26</v>
      </c>
      <c r="I875" s="106" t="s">
        <v>2098</v>
      </c>
      <c r="J875" s="106" t="s">
        <v>160</v>
      </c>
      <c r="K875" s="106">
        <f t="shared" si="456"/>
        <v>0</v>
      </c>
      <c r="L875" s="110">
        <v>8</v>
      </c>
      <c r="M875" s="110">
        <v>7</v>
      </c>
      <c r="N875" s="110">
        <v>7</v>
      </c>
      <c r="O875" s="110">
        <v>7</v>
      </c>
      <c r="P875" s="110">
        <v>7</v>
      </c>
      <c r="Q875" s="110">
        <v>7</v>
      </c>
      <c r="R875" s="110">
        <v>7</v>
      </c>
      <c r="S875" s="110">
        <v>7</v>
      </c>
      <c r="T875" s="110">
        <v>7</v>
      </c>
      <c r="U875" s="110">
        <v>7</v>
      </c>
      <c r="V875" s="110"/>
      <c r="W875" s="110"/>
      <c r="X875" s="110"/>
      <c r="Y875" s="106">
        <v>364</v>
      </c>
      <c r="Z875" s="106">
        <f t="shared" si="448"/>
        <v>0</v>
      </c>
      <c r="AA875" s="106" t="s">
        <v>1689</v>
      </c>
      <c r="AB875" s="111">
        <f t="shared" si="434"/>
        <v>3</v>
      </c>
      <c r="AC875" s="85" t="s">
        <v>2425</v>
      </c>
      <c r="AD875" s="107">
        <f t="shared" si="451"/>
        <v>2750.9469696969695</v>
      </c>
      <c r="AE875" s="198"/>
      <c r="AF875" s="113">
        <f t="shared" si="452"/>
        <v>0</v>
      </c>
      <c r="AG875" s="85">
        <v>2026</v>
      </c>
      <c r="AH875" s="26" t="str">
        <f t="shared" si="440"/>
        <v/>
      </c>
      <c r="AI875" s="26" t="str">
        <f t="shared" si="457"/>
        <v/>
      </c>
      <c r="AJ875" s="26" t="str">
        <f t="shared" si="460"/>
        <v/>
      </c>
      <c r="AK875" s="26" t="str">
        <f t="shared" si="458"/>
        <v/>
      </c>
      <c r="AL875" s="26" t="str">
        <f t="shared" si="458"/>
        <v>Liquid Road</v>
      </c>
      <c r="AM875" s="26" t="str">
        <f t="shared" si="458"/>
        <v/>
      </c>
      <c r="AN875" s="26" t="str">
        <f t="shared" si="449"/>
        <v>Liquid Road</v>
      </c>
      <c r="AO875" s="26" t="str">
        <f t="shared" si="461"/>
        <v/>
      </c>
      <c r="AP875" s="26" t="str">
        <f t="shared" si="459"/>
        <v/>
      </c>
      <c r="AQ875" s="68">
        <f t="shared" si="453"/>
        <v>10</v>
      </c>
      <c r="AR875" s="68">
        <f t="shared" si="454"/>
        <v>10</v>
      </c>
      <c r="AS875" s="68">
        <f t="shared" si="443"/>
        <v>1</v>
      </c>
      <c r="AT875" s="68">
        <f t="shared" si="444"/>
        <v>1.05</v>
      </c>
      <c r="AU875" s="68">
        <f t="shared" si="445"/>
        <v>1.05</v>
      </c>
      <c r="AV875" s="68">
        <f t="shared" si="446"/>
        <v>1.05</v>
      </c>
      <c r="AW875" s="68">
        <f t="shared" si="447"/>
        <v>1.05</v>
      </c>
      <c r="AX875" s="68">
        <f t="shared" ca="1" si="450"/>
        <v>2.1</v>
      </c>
      <c r="AY875" s="106">
        <v>2017</v>
      </c>
      <c r="AZ875" s="106" t="s">
        <v>2075</v>
      </c>
      <c r="BA875" s="106" t="str">
        <f t="shared" si="438"/>
        <v/>
      </c>
      <c r="BB875" s="177"/>
      <c r="BC875" s="177"/>
      <c r="BD875" s="177">
        <v>1</v>
      </c>
      <c r="BE875" s="177"/>
      <c r="BF875" s="177"/>
      <c r="BG875" s="177"/>
      <c r="BH875" s="177"/>
      <c r="BI875" s="33"/>
      <c r="BK875" s="48">
        <f>$G875/5280*VLOOKUP($AC875,'Cost and Score'!$B$27:$O$40,6,0)</f>
        <v>0.11003787878787878</v>
      </c>
      <c r="BL875" s="48">
        <f>$G875/5280*VLOOKUP($AC875,'Cost and Score'!$B$27:$O$40,7,0)</f>
        <v>1.7606060606060605</v>
      </c>
      <c r="BM875" s="48">
        <f>$G875/5280*VLOOKUP($AC875,'Cost and Score'!$B$27:$O$40,8,0)</f>
        <v>0</v>
      </c>
      <c r="BN875" s="48">
        <f>$G875/5280*VLOOKUP($AC875,'Cost and Score'!$B$27:$O$40,9,0)</f>
        <v>0</v>
      </c>
      <c r="BO875" s="48">
        <f>$G875/5280*VLOOKUP($AC875,'Cost and Score'!$B$27:$O$40,10,0)</f>
        <v>0</v>
      </c>
      <c r="BP875" s="48">
        <f>$G875/5280*VLOOKUP($AC875,'Cost and Score'!$B$27:$O$40,11,0)</f>
        <v>0</v>
      </c>
      <c r="BQ875" s="48">
        <f>$G875/5280*VLOOKUP($AC875,'Cost and Score'!$B$27:$O$40,12,0)</f>
        <v>0</v>
      </c>
      <c r="BR875" s="48">
        <f>$G875/5280*VLOOKUP($AC875,'Cost and Score'!$B$27:$O$40,13,0)</f>
        <v>0</v>
      </c>
      <c r="BS875" s="48">
        <f>$G875/5280*VLOOKUP($AC875,'Cost and Score'!$B$27:$O$40,14,0)</f>
        <v>0</v>
      </c>
      <c r="BT875" s="220">
        <f t="shared" si="439"/>
        <v>0.11003787878787878</v>
      </c>
      <c r="CF875" s="112"/>
      <c r="CS875" s="112"/>
      <c r="CT875" s="112"/>
      <c r="CU875" s="112"/>
      <c r="CW875" s="112"/>
      <c r="CX875" s="112"/>
      <c r="CY875" s="112"/>
    </row>
    <row r="876" spans="1:103" s="2" customFormat="1" ht="14.45" customHeight="1" x14ac:dyDescent="0.25">
      <c r="A876" s="31"/>
      <c r="B876" s="45" t="s">
        <v>2210</v>
      </c>
      <c r="C876" s="26" t="s">
        <v>2210</v>
      </c>
      <c r="D876" s="119" t="s">
        <v>2285</v>
      </c>
      <c r="E876" s="82" t="s">
        <v>1487</v>
      </c>
      <c r="F876" s="82" t="s">
        <v>1462</v>
      </c>
      <c r="G876" s="149">
        <v>2123</v>
      </c>
      <c r="H876" s="29">
        <f t="shared" si="455"/>
        <v>26</v>
      </c>
      <c r="I876" s="26" t="s">
        <v>2098</v>
      </c>
      <c r="J876" s="26" t="s">
        <v>125</v>
      </c>
      <c r="K876" s="26">
        <f t="shared" si="456"/>
        <v>0</v>
      </c>
      <c r="L876" s="42">
        <v>7</v>
      </c>
      <c r="M876" s="42">
        <v>8</v>
      </c>
      <c r="N876" s="42">
        <v>8</v>
      </c>
      <c r="O876" s="83">
        <v>8</v>
      </c>
      <c r="P876" s="83">
        <v>8</v>
      </c>
      <c r="Q876" s="83">
        <v>8</v>
      </c>
      <c r="R876" s="83">
        <v>8</v>
      </c>
      <c r="S876" s="83">
        <v>8</v>
      </c>
      <c r="T876" s="83">
        <v>8</v>
      </c>
      <c r="U876" s="83">
        <v>8</v>
      </c>
      <c r="V876" s="42"/>
      <c r="W876" s="42"/>
      <c r="X876" s="42"/>
      <c r="Y876" s="26">
        <v>50</v>
      </c>
      <c r="Z876" s="26">
        <f t="shared" si="448"/>
        <v>0</v>
      </c>
      <c r="AA876" s="82" t="s">
        <v>1875</v>
      </c>
      <c r="AB876" s="111">
        <f t="shared" si="434"/>
        <v>2</v>
      </c>
      <c r="AC876" s="85" t="s">
        <v>2425</v>
      </c>
      <c r="AD876" s="84">
        <f t="shared" si="451"/>
        <v>10052.083333333334</v>
      </c>
      <c r="AE876" s="140"/>
      <c r="AF876" s="113">
        <f t="shared" si="452"/>
        <v>0</v>
      </c>
      <c r="AG876" s="106">
        <v>2025</v>
      </c>
      <c r="AH876" s="26" t="str">
        <f t="shared" si="440"/>
        <v/>
      </c>
      <c r="AI876" s="26" t="str">
        <f t="shared" si="457"/>
        <v/>
      </c>
      <c r="AJ876" s="26" t="str">
        <f t="shared" si="460"/>
        <v/>
      </c>
      <c r="AK876" s="26" t="str">
        <f t="shared" si="458"/>
        <v>Liquid Road</v>
      </c>
      <c r="AL876" s="26" t="str">
        <f t="shared" si="458"/>
        <v/>
      </c>
      <c r="AM876" s="26" t="str">
        <f t="shared" si="458"/>
        <v/>
      </c>
      <c r="AN876" s="26" t="str">
        <f t="shared" si="449"/>
        <v>Liquid Road</v>
      </c>
      <c r="AO876" s="26" t="str">
        <f t="shared" si="461"/>
        <v/>
      </c>
      <c r="AP876" s="26" t="str">
        <f t="shared" si="459"/>
        <v/>
      </c>
      <c r="AQ876" s="68">
        <f t="shared" si="453"/>
        <v>12</v>
      </c>
      <c r="AR876" s="68">
        <f t="shared" si="454"/>
        <v>10</v>
      </c>
      <c r="AS876" s="68">
        <f t="shared" si="443"/>
        <v>1.05</v>
      </c>
      <c r="AT876" s="68">
        <f t="shared" si="444"/>
        <v>1</v>
      </c>
      <c r="AU876" s="68">
        <f t="shared" si="445"/>
        <v>1</v>
      </c>
      <c r="AV876" s="68">
        <f t="shared" si="446"/>
        <v>1</v>
      </c>
      <c r="AW876" s="68">
        <f t="shared" si="447"/>
        <v>1</v>
      </c>
      <c r="AX876" s="68">
        <f t="shared" ca="1" si="450"/>
        <v>1</v>
      </c>
      <c r="AY876" s="68">
        <v>2019</v>
      </c>
      <c r="AZ876" s="85" t="s">
        <v>2075</v>
      </c>
      <c r="BA876" s="106" t="str">
        <f t="shared" si="438"/>
        <v/>
      </c>
      <c r="BB876" s="203"/>
      <c r="BC876" s="178"/>
      <c r="BD876" s="178"/>
      <c r="BE876" s="178"/>
      <c r="BF876" s="178"/>
      <c r="BG876" s="178"/>
      <c r="BH876" s="178"/>
      <c r="BI876" s="33"/>
      <c r="BK876" s="48">
        <f>$G876/5280*VLOOKUP($AC876,'Cost and Score'!$B$27:$O$40,6,0)</f>
        <v>0.40208333333333335</v>
      </c>
      <c r="BL876" s="48">
        <f>$G876/5280*VLOOKUP($AC876,'Cost and Score'!$B$27:$O$40,7,0)</f>
        <v>6.4333333333333336</v>
      </c>
      <c r="BM876" s="48">
        <f>$G876/5280*VLOOKUP($AC876,'Cost and Score'!$B$27:$O$40,8,0)</f>
        <v>0</v>
      </c>
      <c r="BN876" s="48">
        <f>$G876/5280*VLOOKUP($AC876,'Cost and Score'!$B$27:$O$40,9,0)</f>
        <v>0</v>
      </c>
      <c r="BO876" s="48">
        <f>$G876/5280*VLOOKUP($AC876,'Cost and Score'!$B$27:$O$40,10,0)</f>
        <v>0</v>
      </c>
      <c r="BP876" s="48">
        <f>$G876/5280*VLOOKUP($AC876,'Cost and Score'!$B$27:$O$40,11,0)</f>
        <v>0</v>
      </c>
      <c r="BQ876" s="48">
        <f>$G876/5280*VLOOKUP($AC876,'Cost and Score'!$B$27:$O$40,12,0)</f>
        <v>0</v>
      </c>
      <c r="BR876" s="48">
        <f>$G876/5280*VLOOKUP($AC876,'Cost and Score'!$B$27:$O$40,13,0)</f>
        <v>0</v>
      </c>
      <c r="BS876" s="48">
        <f>$G876/5280*VLOOKUP($AC876,'Cost and Score'!$B$27:$O$40,14,0)</f>
        <v>0</v>
      </c>
      <c r="BT876" s="220">
        <f t="shared" si="439"/>
        <v>0.40208333333333335</v>
      </c>
      <c r="CF876" s="112"/>
    </row>
    <row r="877" spans="1:103" s="112" customFormat="1" ht="14.45" hidden="1" customHeight="1" x14ac:dyDescent="0.25">
      <c r="A877" s="31" t="s">
        <v>2102</v>
      </c>
      <c r="B877" s="120" t="s">
        <v>1692</v>
      </c>
      <c r="C877" s="106" t="s">
        <v>1692</v>
      </c>
      <c r="D877" s="116" t="s">
        <v>2231</v>
      </c>
      <c r="E877" s="106" t="s">
        <v>1458</v>
      </c>
      <c r="F877" s="106" t="s">
        <v>1459</v>
      </c>
      <c r="G877" s="109">
        <v>264</v>
      </c>
      <c r="H877" s="109">
        <f t="shared" si="455"/>
        <v>26</v>
      </c>
      <c r="I877" s="106" t="s">
        <v>2098</v>
      </c>
      <c r="J877" s="106" t="s">
        <v>160</v>
      </c>
      <c r="K877" s="106">
        <f t="shared" si="456"/>
        <v>0</v>
      </c>
      <c r="L877" s="110">
        <v>6</v>
      </c>
      <c r="M877" s="110">
        <v>8</v>
      </c>
      <c r="N877" s="110">
        <v>8</v>
      </c>
      <c r="O877" s="110">
        <v>7</v>
      </c>
      <c r="P877" s="110">
        <v>7</v>
      </c>
      <c r="Q877" s="110">
        <v>8</v>
      </c>
      <c r="R877" s="110">
        <v>8</v>
      </c>
      <c r="S877" s="110">
        <v>7</v>
      </c>
      <c r="T877" s="110">
        <v>6</v>
      </c>
      <c r="U877" s="110">
        <v>6</v>
      </c>
      <c r="V877" s="110"/>
      <c r="W877" s="110"/>
      <c r="X877" s="110"/>
      <c r="Y877" s="106">
        <v>515</v>
      </c>
      <c r="Z877" s="106">
        <f t="shared" si="448"/>
        <v>0.5</v>
      </c>
      <c r="AA877" s="106" t="s">
        <v>1692</v>
      </c>
      <c r="AB877" s="111">
        <f t="shared" si="434"/>
        <v>3.5</v>
      </c>
      <c r="AC877" s="26" t="s">
        <v>2086</v>
      </c>
      <c r="AD877" s="107">
        <f t="shared" si="451"/>
        <v>125</v>
      </c>
      <c r="AE877" s="198"/>
      <c r="AF877" s="113">
        <f t="shared" si="452"/>
        <v>0</v>
      </c>
      <c r="AG877" s="26">
        <v>2024</v>
      </c>
      <c r="AH877" s="26" t="str">
        <f t="shared" si="440"/>
        <v/>
      </c>
      <c r="AI877" s="26" t="str">
        <f t="shared" si="457"/>
        <v/>
      </c>
      <c r="AJ877" s="26" t="str">
        <f t="shared" si="460"/>
        <v>Fog Seal</v>
      </c>
      <c r="AK877" s="26" t="str">
        <f t="shared" si="458"/>
        <v/>
      </c>
      <c r="AL877" s="26" t="str">
        <f t="shared" si="458"/>
        <v/>
      </c>
      <c r="AM877" s="26" t="str">
        <f t="shared" si="458"/>
        <v/>
      </c>
      <c r="AN877" s="26" t="str">
        <f t="shared" si="449"/>
        <v>Fog Seal</v>
      </c>
      <c r="AO877" s="26" t="str">
        <f t="shared" si="461"/>
        <v/>
      </c>
      <c r="AP877" s="26" t="str">
        <f t="shared" si="459"/>
        <v/>
      </c>
      <c r="AQ877" s="68">
        <f t="shared" si="453"/>
        <v>10</v>
      </c>
      <c r="AR877" s="68">
        <f t="shared" si="454"/>
        <v>2</v>
      </c>
      <c r="AS877" s="68">
        <f t="shared" si="443"/>
        <v>1.1000000000000001</v>
      </c>
      <c r="AT877" s="68">
        <f t="shared" si="444"/>
        <v>1</v>
      </c>
      <c r="AU877" s="68">
        <f t="shared" si="445"/>
        <v>1</v>
      </c>
      <c r="AV877" s="68">
        <f t="shared" si="446"/>
        <v>1.05</v>
      </c>
      <c r="AW877" s="68">
        <f t="shared" si="447"/>
        <v>1.05</v>
      </c>
      <c r="AX877" s="68">
        <f t="shared" ca="1" si="450"/>
        <v>0</v>
      </c>
      <c r="AY877" s="106">
        <v>2018</v>
      </c>
      <c r="AZ877" s="106" t="s">
        <v>2425</v>
      </c>
      <c r="BA877" s="106" t="str">
        <f t="shared" si="438"/>
        <v>MICROSEAL</v>
      </c>
      <c r="BB877" s="177"/>
      <c r="BC877" s="177"/>
      <c r="BD877" s="177"/>
      <c r="BE877" s="177"/>
      <c r="BF877" s="177"/>
      <c r="BG877" s="177"/>
      <c r="BH877" s="177"/>
      <c r="BI877" s="33"/>
      <c r="BJ877" s="2"/>
      <c r="BK877" s="48">
        <f>$G877/5280*VLOOKUP($AC877,'Cost and Score'!$B$27:$O$40,6,0)</f>
        <v>5.000000000000001E-3</v>
      </c>
      <c r="BL877" s="48">
        <f>$G877/5280*VLOOKUP($AC877,'Cost and Score'!$B$27:$O$40,7,0)</f>
        <v>1.0000000000000002E-2</v>
      </c>
      <c r="BM877" s="48">
        <f>$G877/5280*VLOOKUP($AC877,'Cost and Score'!$B$27:$O$40,8,0)</f>
        <v>0</v>
      </c>
      <c r="BN877" s="48">
        <f>$G877/5280*VLOOKUP($AC877,'Cost and Score'!$B$27:$O$40,9,0)</f>
        <v>0</v>
      </c>
      <c r="BO877" s="48">
        <f>$G877/5280*VLOOKUP($AC877,'Cost and Score'!$B$27:$O$40,10,0)</f>
        <v>50</v>
      </c>
      <c r="BP877" s="48">
        <f>$G877/5280*VLOOKUP($AC877,'Cost and Score'!$B$27:$O$40,11,0)</f>
        <v>0</v>
      </c>
      <c r="BQ877" s="48">
        <f>$G877/5280*VLOOKUP($AC877,'Cost and Score'!$B$27:$O$40,12,0)</f>
        <v>0</v>
      </c>
      <c r="BR877" s="48">
        <f>$G877/5280*VLOOKUP($AC877,'Cost and Score'!$B$27:$O$40,13,0)</f>
        <v>0</v>
      </c>
      <c r="BS877" s="48">
        <f>$G877/5280*VLOOKUP($AC877,'Cost and Score'!$B$27:$O$40,14,0)</f>
        <v>0</v>
      </c>
      <c r="BT877" s="220">
        <f t="shared" si="439"/>
        <v>0.05</v>
      </c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N877" s="2"/>
      <c r="CO877" s="2"/>
      <c r="CP877" s="2"/>
      <c r="CQ877" s="2"/>
      <c r="CR877" s="2"/>
      <c r="CV877" s="2"/>
    </row>
    <row r="878" spans="1:103" s="112" customFormat="1" ht="14.45" hidden="1" customHeight="1" x14ac:dyDescent="0.25">
      <c r="A878" s="31" t="s">
        <v>2102</v>
      </c>
      <c r="B878" s="224" t="s">
        <v>1693</v>
      </c>
      <c r="C878" s="26" t="s">
        <v>1693</v>
      </c>
      <c r="D878" s="119" t="s">
        <v>2279</v>
      </c>
      <c r="E878" s="82" t="s">
        <v>1451</v>
      </c>
      <c r="F878" s="82" t="s">
        <v>1452</v>
      </c>
      <c r="G878" s="29">
        <v>1109</v>
      </c>
      <c r="H878" s="29">
        <f t="shared" si="455"/>
        <v>26</v>
      </c>
      <c r="I878" s="26" t="s">
        <v>2098</v>
      </c>
      <c r="J878" s="26" t="s">
        <v>160</v>
      </c>
      <c r="K878" s="26">
        <f t="shared" si="456"/>
        <v>0</v>
      </c>
      <c r="L878" s="42">
        <v>7</v>
      </c>
      <c r="M878" s="42">
        <v>8</v>
      </c>
      <c r="N878" s="42">
        <v>10</v>
      </c>
      <c r="O878" s="83">
        <v>9</v>
      </c>
      <c r="P878" s="83">
        <v>9</v>
      </c>
      <c r="Q878" s="83">
        <v>8</v>
      </c>
      <c r="R878" s="83">
        <v>7</v>
      </c>
      <c r="S878" s="83">
        <v>8</v>
      </c>
      <c r="T878" s="83">
        <v>7</v>
      </c>
      <c r="U878" s="83">
        <v>7</v>
      </c>
      <c r="V878" s="42"/>
      <c r="W878" s="42"/>
      <c r="X878" s="42"/>
      <c r="Y878" s="26">
        <v>668</v>
      </c>
      <c r="Z878" s="26">
        <f t="shared" si="448"/>
        <v>0.5</v>
      </c>
      <c r="AA878" s="82" t="s">
        <v>1693</v>
      </c>
      <c r="AB878" s="111">
        <f t="shared" si="434"/>
        <v>1.5</v>
      </c>
      <c r="AC878" s="85" t="s">
        <v>2425</v>
      </c>
      <c r="AD878" s="84">
        <f t="shared" si="451"/>
        <v>5250.94696969697</v>
      </c>
      <c r="AE878" s="140"/>
      <c r="AF878" s="113">
        <f t="shared" si="452"/>
        <v>0</v>
      </c>
      <c r="AG878" s="85">
        <v>2026</v>
      </c>
      <c r="AH878" s="26" t="str">
        <f t="shared" si="440"/>
        <v/>
      </c>
      <c r="AI878" s="26" t="str">
        <f t="shared" si="457"/>
        <v/>
      </c>
      <c r="AJ878" s="26" t="str">
        <f t="shared" si="460"/>
        <v/>
      </c>
      <c r="AK878" s="26" t="str">
        <f t="shared" si="458"/>
        <v/>
      </c>
      <c r="AL878" s="26" t="str">
        <f t="shared" si="458"/>
        <v>Liquid Road</v>
      </c>
      <c r="AM878" s="26" t="str">
        <f t="shared" si="458"/>
        <v/>
      </c>
      <c r="AN878" s="26" t="str">
        <f t="shared" si="449"/>
        <v>Liquid Road</v>
      </c>
      <c r="AO878" s="26" t="str">
        <f t="shared" si="461"/>
        <v/>
      </c>
      <c r="AP878" s="26" t="str">
        <f t="shared" si="459"/>
        <v/>
      </c>
      <c r="AQ878" s="68">
        <f t="shared" si="453"/>
        <v>14</v>
      </c>
      <c r="AR878" s="68">
        <f t="shared" si="454"/>
        <v>10</v>
      </c>
      <c r="AS878" s="68">
        <f t="shared" si="443"/>
        <v>1.05</v>
      </c>
      <c r="AT878" s="68">
        <f t="shared" si="444"/>
        <v>1</v>
      </c>
      <c r="AU878" s="68">
        <f t="shared" si="445"/>
        <v>1</v>
      </c>
      <c r="AV878" s="68">
        <f t="shared" si="446"/>
        <v>1</v>
      </c>
      <c r="AW878" s="68">
        <f t="shared" si="447"/>
        <v>1</v>
      </c>
      <c r="AX878" s="68">
        <f t="shared" ca="1" si="450"/>
        <v>2</v>
      </c>
      <c r="AY878" s="68">
        <v>2014</v>
      </c>
      <c r="AZ878" s="68" t="s">
        <v>751</v>
      </c>
      <c r="BA878" s="106" t="str">
        <f t="shared" si="438"/>
        <v/>
      </c>
      <c r="BB878" s="178"/>
      <c r="BC878" s="178"/>
      <c r="BD878" s="178"/>
      <c r="BE878" s="178"/>
      <c r="BF878" s="178"/>
      <c r="BG878" s="178">
        <v>4</v>
      </c>
      <c r="BH878" s="178"/>
      <c r="BI878" s="33"/>
      <c r="BJ878" s="2"/>
      <c r="BK878" s="48">
        <f>$G878/5280*VLOOKUP($AC878,'Cost and Score'!$B$27:$O$40,6,0)</f>
        <v>0.2100378787878788</v>
      </c>
      <c r="BL878" s="48">
        <f>$G878/5280*VLOOKUP($AC878,'Cost and Score'!$B$27:$O$40,7,0)</f>
        <v>3.3606060606060608</v>
      </c>
      <c r="BM878" s="48">
        <f>$G878/5280*VLOOKUP($AC878,'Cost and Score'!$B$27:$O$40,8,0)</f>
        <v>0</v>
      </c>
      <c r="BN878" s="48">
        <f>$G878/5280*VLOOKUP($AC878,'Cost and Score'!$B$27:$O$40,9,0)</f>
        <v>0</v>
      </c>
      <c r="BO878" s="48">
        <f>$G878/5280*VLOOKUP($AC878,'Cost and Score'!$B$27:$O$40,10,0)</f>
        <v>0</v>
      </c>
      <c r="BP878" s="48">
        <f>$G878/5280*VLOOKUP($AC878,'Cost and Score'!$B$27:$O$40,11,0)</f>
        <v>0</v>
      </c>
      <c r="BQ878" s="48">
        <f>$G878/5280*VLOOKUP($AC878,'Cost and Score'!$B$27:$O$40,12,0)</f>
        <v>0</v>
      </c>
      <c r="BR878" s="48">
        <f>$G878/5280*VLOOKUP($AC878,'Cost and Score'!$B$27:$O$40,13,0)</f>
        <v>0</v>
      </c>
      <c r="BS878" s="48">
        <f>$G878/5280*VLOOKUP($AC878,'Cost and Score'!$B$27:$O$40,14,0)</f>
        <v>0</v>
      </c>
      <c r="BT878" s="220">
        <f t="shared" si="439"/>
        <v>0.2100378787878788</v>
      </c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R878" s="2"/>
      <c r="CS878" s="2"/>
      <c r="CT878" s="2"/>
      <c r="CU878" s="2"/>
      <c r="CW878" s="2"/>
      <c r="CX878" s="2"/>
      <c r="CY878" s="2"/>
    </row>
    <row r="879" spans="1:103" s="112" customFormat="1" ht="14.45" hidden="1" customHeight="1" x14ac:dyDescent="0.25">
      <c r="A879" s="31" t="s">
        <v>2102</v>
      </c>
      <c r="B879" s="224" t="s">
        <v>1694</v>
      </c>
      <c r="C879" s="26" t="s">
        <v>1694</v>
      </c>
      <c r="D879" s="119" t="s">
        <v>2279</v>
      </c>
      <c r="E879" s="82" t="s">
        <v>1451</v>
      </c>
      <c r="F879" s="82" t="s">
        <v>1452</v>
      </c>
      <c r="G879" s="29">
        <v>422</v>
      </c>
      <c r="H879" s="29">
        <f t="shared" si="455"/>
        <v>26</v>
      </c>
      <c r="I879" s="26" t="s">
        <v>2098</v>
      </c>
      <c r="J879" s="26" t="s">
        <v>160</v>
      </c>
      <c r="K879" s="26">
        <f t="shared" si="456"/>
        <v>0</v>
      </c>
      <c r="L879" s="42">
        <v>7</v>
      </c>
      <c r="M879" s="42">
        <v>8</v>
      </c>
      <c r="N879" s="42">
        <v>10</v>
      </c>
      <c r="O879" s="83">
        <v>9</v>
      </c>
      <c r="P879" s="83">
        <v>9</v>
      </c>
      <c r="Q879" s="83">
        <v>8</v>
      </c>
      <c r="R879" s="83">
        <v>7</v>
      </c>
      <c r="S879" s="83">
        <v>8</v>
      </c>
      <c r="T879" s="83">
        <v>7</v>
      </c>
      <c r="U879" s="83">
        <v>7</v>
      </c>
      <c r="V879" s="42"/>
      <c r="W879" s="42"/>
      <c r="X879" s="42"/>
      <c r="Y879" s="26">
        <v>668</v>
      </c>
      <c r="Z879" s="26">
        <f t="shared" si="448"/>
        <v>0.5</v>
      </c>
      <c r="AA879" s="82" t="s">
        <v>1694</v>
      </c>
      <c r="AB879" s="111">
        <f t="shared" si="434"/>
        <v>1.5</v>
      </c>
      <c r="AC879" s="85" t="s">
        <v>2425</v>
      </c>
      <c r="AD879" s="84">
        <f t="shared" si="451"/>
        <v>1998.1060606060605</v>
      </c>
      <c r="AE879" s="140"/>
      <c r="AF879" s="113">
        <f t="shared" si="452"/>
        <v>0</v>
      </c>
      <c r="AG879" s="85">
        <v>2026</v>
      </c>
      <c r="AH879" s="26" t="str">
        <f t="shared" si="440"/>
        <v/>
      </c>
      <c r="AI879" s="26" t="str">
        <f t="shared" si="457"/>
        <v/>
      </c>
      <c r="AJ879" s="26" t="str">
        <f t="shared" si="460"/>
        <v/>
      </c>
      <c r="AK879" s="26" t="str">
        <f t="shared" si="458"/>
        <v/>
      </c>
      <c r="AL879" s="26" t="str">
        <f t="shared" si="458"/>
        <v>Liquid Road</v>
      </c>
      <c r="AM879" s="26" t="str">
        <f t="shared" si="458"/>
        <v/>
      </c>
      <c r="AN879" s="26" t="str">
        <f t="shared" si="449"/>
        <v>Liquid Road</v>
      </c>
      <c r="AO879" s="26" t="str">
        <f t="shared" si="461"/>
        <v/>
      </c>
      <c r="AP879" s="26" t="str">
        <f t="shared" si="459"/>
        <v/>
      </c>
      <c r="AQ879" s="68">
        <f t="shared" si="453"/>
        <v>14</v>
      </c>
      <c r="AR879" s="68">
        <f t="shared" si="454"/>
        <v>10</v>
      </c>
      <c r="AS879" s="68">
        <f t="shared" si="443"/>
        <v>1.05</v>
      </c>
      <c r="AT879" s="68">
        <f t="shared" si="444"/>
        <v>1</v>
      </c>
      <c r="AU879" s="68">
        <f t="shared" si="445"/>
        <v>1</v>
      </c>
      <c r="AV879" s="68">
        <f t="shared" si="446"/>
        <v>1</v>
      </c>
      <c r="AW879" s="68">
        <f t="shared" si="447"/>
        <v>1</v>
      </c>
      <c r="AX879" s="68">
        <f t="shared" ca="1" si="450"/>
        <v>2</v>
      </c>
      <c r="AY879" s="68">
        <v>2014</v>
      </c>
      <c r="AZ879" s="68" t="s">
        <v>751</v>
      </c>
      <c r="BA879" s="106" t="str">
        <f t="shared" si="438"/>
        <v/>
      </c>
      <c r="BB879" s="178"/>
      <c r="BC879" s="178"/>
      <c r="BD879" s="178"/>
      <c r="BE879" s="178"/>
      <c r="BF879" s="178"/>
      <c r="BG879" s="178">
        <v>4</v>
      </c>
      <c r="BH879" s="178"/>
      <c r="BI879" s="33"/>
      <c r="BJ879" s="2"/>
      <c r="BK879" s="48">
        <f>$G879/5280*VLOOKUP($AC879,'Cost and Score'!$B$27:$O$40,6,0)</f>
        <v>7.9924242424242425E-2</v>
      </c>
      <c r="BL879" s="48">
        <f>$G879/5280*VLOOKUP($AC879,'Cost and Score'!$B$27:$O$40,7,0)</f>
        <v>1.2787878787878788</v>
      </c>
      <c r="BM879" s="48">
        <f>$G879/5280*VLOOKUP($AC879,'Cost and Score'!$B$27:$O$40,8,0)</f>
        <v>0</v>
      </c>
      <c r="BN879" s="48">
        <f>$G879/5280*VLOOKUP($AC879,'Cost and Score'!$B$27:$O$40,9,0)</f>
        <v>0</v>
      </c>
      <c r="BO879" s="48">
        <f>$G879/5280*VLOOKUP($AC879,'Cost and Score'!$B$27:$O$40,10,0)</f>
        <v>0</v>
      </c>
      <c r="BP879" s="48">
        <f>$G879/5280*VLOOKUP($AC879,'Cost and Score'!$B$27:$O$40,11,0)</f>
        <v>0</v>
      </c>
      <c r="BQ879" s="48">
        <f>$G879/5280*VLOOKUP($AC879,'Cost and Score'!$B$27:$O$40,12,0)</f>
        <v>0</v>
      </c>
      <c r="BR879" s="48">
        <f>$G879/5280*VLOOKUP($AC879,'Cost and Score'!$B$27:$O$40,13,0)</f>
        <v>0</v>
      </c>
      <c r="BS879" s="48">
        <f>$G879/5280*VLOOKUP($AC879,'Cost and Score'!$B$27:$O$40,14,0)</f>
        <v>0</v>
      </c>
      <c r="BT879" s="220">
        <f t="shared" si="439"/>
        <v>7.9924242424242425E-2</v>
      </c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R879" s="2"/>
      <c r="CS879" s="2"/>
      <c r="CT879" s="2"/>
      <c r="CU879" s="2"/>
    </row>
    <row r="880" spans="1:103" s="2" customFormat="1" ht="14.45" hidden="1" customHeight="1" x14ac:dyDescent="0.25">
      <c r="A880" s="31"/>
      <c r="B880" s="224" t="s">
        <v>1695</v>
      </c>
      <c r="C880" s="26" t="s">
        <v>1695</v>
      </c>
      <c r="D880" s="36" t="s">
        <v>2248</v>
      </c>
      <c r="E880" s="26" t="s">
        <v>1580</v>
      </c>
      <c r="F880" s="26" t="s">
        <v>1696</v>
      </c>
      <c r="G880" s="29">
        <v>792</v>
      </c>
      <c r="H880" s="29">
        <f t="shared" si="455"/>
        <v>26</v>
      </c>
      <c r="I880" s="26" t="s">
        <v>2098</v>
      </c>
      <c r="J880" s="26" t="s">
        <v>101</v>
      </c>
      <c r="K880" s="26">
        <v>0</v>
      </c>
      <c r="L880" s="42">
        <v>6</v>
      </c>
      <c r="M880" s="42">
        <v>7</v>
      </c>
      <c r="N880" s="42">
        <v>7</v>
      </c>
      <c r="O880" s="42">
        <v>8</v>
      </c>
      <c r="P880" s="42">
        <v>7</v>
      </c>
      <c r="Q880" s="42">
        <v>6</v>
      </c>
      <c r="R880" s="42">
        <v>6</v>
      </c>
      <c r="S880" s="42">
        <v>6</v>
      </c>
      <c r="T880" s="42"/>
      <c r="U880" s="42">
        <v>6</v>
      </c>
      <c r="V880" s="42"/>
      <c r="W880" s="42"/>
      <c r="X880" s="42"/>
      <c r="Y880" s="26">
        <v>50</v>
      </c>
      <c r="Z880" s="26">
        <f t="shared" si="448"/>
        <v>0</v>
      </c>
      <c r="AA880" s="26" t="s">
        <v>1695</v>
      </c>
      <c r="AB880" s="111">
        <f t="shared" si="434"/>
        <v>3</v>
      </c>
      <c r="AC880" s="85" t="s">
        <v>2425</v>
      </c>
      <c r="AD880" s="47">
        <f t="shared" si="451"/>
        <v>3750</v>
      </c>
      <c r="AE880" s="140"/>
      <c r="AF880" s="113">
        <f t="shared" si="452"/>
        <v>0</v>
      </c>
      <c r="AG880" s="85">
        <v>2026</v>
      </c>
      <c r="AH880" s="26" t="str">
        <f t="shared" si="440"/>
        <v/>
      </c>
      <c r="AI880" s="26" t="str">
        <f t="shared" si="457"/>
        <v/>
      </c>
      <c r="AJ880" s="26" t="str">
        <f t="shared" si="460"/>
        <v/>
      </c>
      <c r="AK880" s="26" t="str">
        <f t="shared" si="458"/>
        <v/>
      </c>
      <c r="AL880" s="26" t="str">
        <f t="shared" si="458"/>
        <v>Liquid Road</v>
      </c>
      <c r="AM880" s="26" t="str">
        <f t="shared" si="458"/>
        <v/>
      </c>
      <c r="AN880" s="26" t="str">
        <f t="shared" si="449"/>
        <v>Liquid Road</v>
      </c>
      <c r="AO880" s="26" t="str">
        <f t="shared" si="461"/>
        <v/>
      </c>
      <c r="AP880" s="26" t="str">
        <f t="shared" si="459"/>
        <v/>
      </c>
      <c r="AQ880" s="68">
        <f t="shared" si="453"/>
        <v>12</v>
      </c>
      <c r="AR880" s="68">
        <f t="shared" si="454"/>
        <v>10</v>
      </c>
      <c r="AS880" s="68">
        <f t="shared" si="443"/>
        <v>1.1000000000000001</v>
      </c>
      <c r="AT880" s="68">
        <f t="shared" si="444"/>
        <v>1.05</v>
      </c>
      <c r="AU880" s="68">
        <f t="shared" si="445"/>
        <v>1.05</v>
      </c>
      <c r="AV880" s="68">
        <f t="shared" si="446"/>
        <v>1</v>
      </c>
      <c r="AW880" s="68">
        <f t="shared" si="447"/>
        <v>1.05</v>
      </c>
      <c r="AX880" s="68">
        <f t="shared" ca="1" si="450"/>
        <v>2.1</v>
      </c>
      <c r="AY880" s="68"/>
      <c r="AZ880" s="68"/>
      <c r="BA880" s="106" t="str">
        <f t="shared" si="438"/>
        <v/>
      </c>
      <c r="BB880" s="178"/>
      <c r="BC880" s="178"/>
      <c r="BD880" s="178"/>
      <c r="BE880" s="178">
        <v>2</v>
      </c>
      <c r="BF880" s="178"/>
      <c r="BG880" s="178"/>
      <c r="BH880" s="178"/>
      <c r="BI880" s="33"/>
      <c r="BK880" s="48">
        <f>$G880/5280*VLOOKUP($AC880,'Cost and Score'!$B$27:$O$40,6,0)</f>
        <v>0.15</v>
      </c>
      <c r="BL880" s="48">
        <f>$G880/5280*VLOOKUP($AC880,'Cost and Score'!$B$27:$O$40,7,0)</f>
        <v>2.4</v>
      </c>
      <c r="BM880" s="48">
        <f>$G880/5280*VLOOKUP($AC880,'Cost and Score'!$B$27:$O$40,8,0)</f>
        <v>0</v>
      </c>
      <c r="BN880" s="48">
        <f>$G880/5280*VLOOKUP($AC880,'Cost and Score'!$B$27:$O$40,9,0)</f>
        <v>0</v>
      </c>
      <c r="BO880" s="48">
        <f>$G880/5280*VLOOKUP($AC880,'Cost and Score'!$B$27:$O$40,10,0)</f>
        <v>0</v>
      </c>
      <c r="BP880" s="48">
        <f>$G880/5280*VLOOKUP($AC880,'Cost and Score'!$B$27:$O$40,11,0)</f>
        <v>0</v>
      </c>
      <c r="BQ880" s="48">
        <f>$G880/5280*VLOOKUP($AC880,'Cost and Score'!$B$27:$O$40,12,0)</f>
        <v>0</v>
      </c>
      <c r="BR880" s="48">
        <f>$G880/5280*VLOOKUP($AC880,'Cost and Score'!$B$27:$O$40,13,0)</f>
        <v>0</v>
      </c>
      <c r="BS880" s="48">
        <f>$G880/5280*VLOOKUP($AC880,'Cost and Score'!$B$27:$O$40,14,0)</f>
        <v>0</v>
      </c>
      <c r="BT880" s="220">
        <f t="shared" si="439"/>
        <v>0.15</v>
      </c>
      <c r="CN880" s="112"/>
      <c r="CO880" s="112"/>
      <c r="CP880" s="112"/>
      <c r="CQ880" s="112"/>
      <c r="CV880" s="112"/>
      <c r="CW880" s="112"/>
      <c r="CX880" s="112"/>
      <c r="CY880" s="112"/>
    </row>
    <row r="881" spans="1:103" s="2" customFormat="1" ht="14.45" hidden="1" customHeight="1" x14ac:dyDescent="0.25">
      <c r="A881" s="31" t="s">
        <v>2102</v>
      </c>
      <c r="B881" s="224" t="s">
        <v>1697</v>
      </c>
      <c r="C881" s="26" t="s">
        <v>1697</v>
      </c>
      <c r="D881" s="36" t="s">
        <v>2248</v>
      </c>
      <c r="E881" s="26" t="s">
        <v>1580</v>
      </c>
      <c r="F881" s="26" t="s">
        <v>1696</v>
      </c>
      <c r="G881" s="29">
        <v>634</v>
      </c>
      <c r="H881" s="29">
        <f t="shared" si="455"/>
        <v>26</v>
      </c>
      <c r="I881" s="26" t="s">
        <v>2098</v>
      </c>
      <c r="J881" s="26" t="s">
        <v>101</v>
      </c>
      <c r="K881" s="26">
        <v>0</v>
      </c>
      <c r="L881" s="42">
        <v>6</v>
      </c>
      <c r="M881" s="42">
        <v>7</v>
      </c>
      <c r="N881" s="42">
        <v>7</v>
      </c>
      <c r="O881" s="42">
        <v>8</v>
      </c>
      <c r="P881" s="42">
        <v>7</v>
      </c>
      <c r="Q881" s="42">
        <v>6</v>
      </c>
      <c r="R881" s="42">
        <v>6</v>
      </c>
      <c r="S881" s="42">
        <v>6</v>
      </c>
      <c r="T881" s="42">
        <v>6</v>
      </c>
      <c r="U881" s="42">
        <v>6</v>
      </c>
      <c r="V881" s="42"/>
      <c r="W881" s="42"/>
      <c r="X881" s="42"/>
      <c r="Y881" s="26">
        <v>50</v>
      </c>
      <c r="Z881" s="26">
        <f t="shared" si="448"/>
        <v>0</v>
      </c>
      <c r="AA881" s="26" t="s">
        <v>1697</v>
      </c>
      <c r="AB881" s="111">
        <f t="shared" si="434"/>
        <v>3</v>
      </c>
      <c r="AC881" s="85" t="s">
        <v>2425</v>
      </c>
      <c r="AD881" s="47">
        <f t="shared" si="451"/>
        <v>3001.8939393939395</v>
      </c>
      <c r="AE881" s="140"/>
      <c r="AF881" s="113">
        <f t="shared" si="452"/>
        <v>0</v>
      </c>
      <c r="AG881" s="85">
        <v>2026</v>
      </c>
      <c r="AH881" s="26" t="str">
        <f t="shared" si="440"/>
        <v/>
      </c>
      <c r="AI881" s="26" t="str">
        <f t="shared" si="457"/>
        <v/>
      </c>
      <c r="AJ881" s="26" t="str">
        <f t="shared" si="460"/>
        <v/>
      </c>
      <c r="AK881" s="26" t="str">
        <f t="shared" si="458"/>
        <v/>
      </c>
      <c r="AL881" s="26" t="str">
        <f t="shared" si="458"/>
        <v>Liquid Road</v>
      </c>
      <c r="AM881" s="26" t="str">
        <f t="shared" si="458"/>
        <v/>
      </c>
      <c r="AN881" s="26" t="str">
        <f t="shared" si="449"/>
        <v>Liquid Road</v>
      </c>
      <c r="AO881" s="26" t="str">
        <f t="shared" si="461"/>
        <v/>
      </c>
      <c r="AP881" s="26" t="str">
        <f t="shared" si="459"/>
        <v/>
      </c>
      <c r="AQ881" s="68">
        <f t="shared" si="453"/>
        <v>12</v>
      </c>
      <c r="AR881" s="68">
        <f t="shared" si="454"/>
        <v>10</v>
      </c>
      <c r="AS881" s="68">
        <f t="shared" si="443"/>
        <v>1.1000000000000001</v>
      </c>
      <c r="AT881" s="68">
        <f t="shared" si="444"/>
        <v>1.05</v>
      </c>
      <c r="AU881" s="68">
        <f t="shared" si="445"/>
        <v>1.05</v>
      </c>
      <c r="AV881" s="68">
        <f t="shared" si="446"/>
        <v>1</v>
      </c>
      <c r="AW881" s="68">
        <f t="shared" si="447"/>
        <v>1.05</v>
      </c>
      <c r="AX881" s="68">
        <f t="shared" ca="1" si="450"/>
        <v>2.1</v>
      </c>
      <c r="AY881" s="68"/>
      <c r="AZ881" s="68"/>
      <c r="BA881" s="106" t="str">
        <f t="shared" si="438"/>
        <v/>
      </c>
      <c r="BB881" s="178"/>
      <c r="BC881" s="178"/>
      <c r="BD881" s="178"/>
      <c r="BE881" s="178">
        <v>2</v>
      </c>
      <c r="BF881" s="178"/>
      <c r="BG881" s="178"/>
      <c r="BH881" s="178"/>
      <c r="BI881" s="33"/>
      <c r="BK881" s="48">
        <f>$G881/5280*VLOOKUP($AC881,'Cost and Score'!$B$27:$O$40,6,0)</f>
        <v>0.12007575757575757</v>
      </c>
      <c r="BL881" s="48">
        <f>$G881/5280*VLOOKUP($AC881,'Cost and Score'!$B$27:$O$40,7,0)</f>
        <v>1.9212121212121211</v>
      </c>
      <c r="BM881" s="48">
        <f>$G881/5280*VLOOKUP($AC881,'Cost and Score'!$B$27:$O$40,8,0)</f>
        <v>0</v>
      </c>
      <c r="BN881" s="48">
        <f>$G881/5280*VLOOKUP($AC881,'Cost and Score'!$B$27:$O$40,9,0)</f>
        <v>0</v>
      </c>
      <c r="BO881" s="48">
        <f>$G881/5280*VLOOKUP($AC881,'Cost and Score'!$B$27:$O$40,10,0)</f>
        <v>0</v>
      </c>
      <c r="BP881" s="48">
        <f>$G881/5280*VLOOKUP($AC881,'Cost and Score'!$B$27:$O$40,11,0)</f>
        <v>0</v>
      </c>
      <c r="BQ881" s="48">
        <f>$G881/5280*VLOOKUP($AC881,'Cost and Score'!$B$27:$O$40,12,0)</f>
        <v>0</v>
      </c>
      <c r="BR881" s="48">
        <f>$G881/5280*VLOOKUP($AC881,'Cost and Score'!$B$27:$O$40,13,0)</f>
        <v>0</v>
      </c>
      <c r="BS881" s="48">
        <f>$G881/5280*VLOOKUP($AC881,'Cost and Score'!$B$27:$O$40,14,0)</f>
        <v>0</v>
      </c>
      <c r="BT881" s="220">
        <f t="shared" si="439"/>
        <v>0.12007575757575757</v>
      </c>
      <c r="CR881" s="112"/>
      <c r="CW881" s="112"/>
      <c r="CX881" s="112"/>
      <c r="CY881" s="112"/>
    </row>
    <row r="882" spans="1:103" s="2" customFormat="1" ht="14.45" hidden="1" customHeight="1" x14ac:dyDescent="0.25">
      <c r="A882" s="31" t="s">
        <v>2102</v>
      </c>
      <c r="B882" s="224" t="s">
        <v>1698</v>
      </c>
      <c r="C882" s="26" t="s">
        <v>1698</v>
      </c>
      <c r="D882" s="36" t="s">
        <v>2248</v>
      </c>
      <c r="E882" s="26" t="s">
        <v>1580</v>
      </c>
      <c r="F882" s="26" t="s">
        <v>1696</v>
      </c>
      <c r="G882" s="29">
        <v>581</v>
      </c>
      <c r="H882" s="29">
        <f t="shared" si="455"/>
        <v>26</v>
      </c>
      <c r="I882" s="26" t="s">
        <v>2098</v>
      </c>
      <c r="J882" s="26" t="s">
        <v>101</v>
      </c>
      <c r="K882" s="26">
        <v>0</v>
      </c>
      <c r="L882" s="42">
        <v>6</v>
      </c>
      <c r="M882" s="42">
        <v>7</v>
      </c>
      <c r="N882" s="42">
        <v>7</v>
      </c>
      <c r="O882" s="42">
        <v>8</v>
      </c>
      <c r="P882" s="42">
        <v>7</v>
      </c>
      <c r="Q882" s="42">
        <v>6</v>
      </c>
      <c r="R882" s="42">
        <v>6</v>
      </c>
      <c r="S882" s="42">
        <v>6</v>
      </c>
      <c r="T882" s="42">
        <v>6</v>
      </c>
      <c r="U882" s="42">
        <v>6</v>
      </c>
      <c r="V882" s="42"/>
      <c r="W882" s="42"/>
      <c r="X882" s="42"/>
      <c r="Y882" s="26">
        <v>50</v>
      </c>
      <c r="Z882" s="26">
        <f t="shared" si="448"/>
        <v>0</v>
      </c>
      <c r="AA882" s="26" t="s">
        <v>1698</v>
      </c>
      <c r="AB882" s="111">
        <f t="shared" si="434"/>
        <v>3</v>
      </c>
      <c r="AC882" s="85" t="s">
        <v>2425</v>
      </c>
      <c r="AD882" s="47">
        <f t="shared" si="451"/>
        <v>2750.9469696969695</v>
      </c>
      <c r="AE882" s="140"/>
      <c r="AF882" s="113">
        <f t="shared" si="452"/>
        <v>0</v>
      </c>
      <c r="AG882" s="85">
        <v>2026</v>
      </c>
      <c r="AH882" s="26" t="str">
        <f t="shared" si="440"/>
        <v/>
      </c>
      <c r="AI882" s="26" t="str">
        <f t="shared" si="457"/>
        <v/>
      </c>
      <c r="AJ882" s="26" t="str">
        <f t="shared" si="460"/>
        <v/>
      </c>
      <c r="AK882" s="26" t="str">
        <f t="shared" si="458"/>
        <v/>
      </c>
      <c r="AL882" s="26" t="str">
        <f t="shared" si="458"/>
        <v>Liquid Road</v>
      </c>
      <c r="AM882" s="26" t="str">
        <f t="shared" si="458"/>
        <v/>
      </c>
      <c r="AN882" s="26" t="str">
        <f t="shared" si="449"/>
        <v>Liquid Road</v>
      </c>
      <c r="AO882" s="26" t="str">
        <f t="shared" si="461"/>
        <v/>
      </c>
      <c r="AP882" s="26" t="str">
        <f t="shared" si="459"/>
        <v/>
      </c>
      <c r="AQ882" s="68">
        <f t="shared" si="453"/>
        <v>12</v>
      </c>
      <c r="AR882" s="68">
        <f t="shared" si="454"/>
        <v>10</v>
      </c>
      <c r="AS882" s="68">
        <f t="shared" si="443"/>
        <v>1.1000000000000001</v>
      </c>
      <c r="AT882" s="68">
        <f t="shared" si="444"/>
        <v>1.05</v>
      </c>
      <c r="AU882" s="68">
        <f t="shared" si="445"/>
        <v>1.05</v>
      </c>
      <c r="AV882" s="68">
        <f t="shared" si="446"/>
        <v>1</v>
      </c>
      <c r="AW882" s="68">
        <f t="shared" si="447"/>
        <v>1.05</v>
      </c>
      <c r="AX882" s="68">
        <f t="shared" ca="1" si="450"/>
        <v>2.1</v>
      </c>
      <c r="AY882" s="68"/>
      <c r="AZ882" s="68"/>
      <c r="BA882" s="106" t="str">
        <f t="shared" si="438"/>
        <v/>
      </c>
      <c r="BB882" s="178"/>
      <c r="BC882" s="178"/>
      <c r="BD882" s="178"/>
      <c r="BE882" s="178">
        <v>2</v>
      </c>
      <c r="BF882" s="178"/>
      <c r="BG882" s="178"/>
      <c r="BH882" s="178"/>
      <c r="BI882" s="33"/>
      <c r="BK882" s="48">
        <f>$G882/5280*VLOOKUP($AC882,'Cost and Score'!$B$27:$O$40,6,0)</f>
        <v>0.11003787878787878</v>
      </c>
      <c r="BL882" s="48">
        <f>$G882/5280*VLOOKUP($AC882,'Cost and Score'!$B$27:$O$40,7,0)</f>
        <v>1.7606060606060605</v>
      </c>
      <c r="BM882" s="48">
        <f>$G882/5280*VLOOKUP($AC882,'Cost and Score'!$B$27:$O$40,8,0)</f>
        <v>0</v>
      </c>
      <c r="BN882" s="48">
        <f>$G882/5280*VLOOKUP($AC882,'Cost and Score'!$B$27:$O$40,9,0)</f>
        <v>0</v>
      </c>
      <c r="BO882" s="48">
        <f>$G882/5280*VLOOKUP($AC882,'Cost and Score'!$B$27:$O$40,10,0)</f>
        <v>0</v>
      </c>
      <c r="BP882" s="48">
        <f>$G882/5280*VLOOKUP($AC882,'Cost and Score'!$B$27:$O$40,11,0)</f>
        <v>0</v>
      </c>
      <c r="BQ882" s="48">
        <f>$G882/5280*VLOOKUP($AC882,'Cost and Score'!$B$27:$O$40,12,0)</f>
        <v>0</v>
      </c>
      <c r="BR882" s="48">
        <f>$G882/5280*VLOOKUP($AC882,'Cost and Score'!$B$27:$O$40,13,0)</f>
        <v>0</v>
      </c>
      <c r="BS882" s="48">
        <f>$G882/5280*VLOOKUP($AC882,'Cost and Score'!$B$27:$O$40,14,0)</f>
        <v>0</v>
      </c>
      <c r="BT882" s="220">
        <f t="shared" si="439"/>
        <v>0.11003787878787878</v>
      </c>
      <c r="CR882" s="112"/>
      <c r="CW882" s="112"/>
      <c r="CX882" s="112"/>
      <c r="CY882" s="112"/>
    </row>
    <row r="883" spans="1:103" s="2" customFormat="1" ht="14.45" hidden="1" customHeight="1" x14ac:dyDescent="0.25">
      <c r="A883" s="31" t="s">
        <v>2102</v>
      </c>
      <c r="B883" s="224" t="s">
        <v>1699</v>
      </c>
      <c r="C883" s="26" t="s">
        <v>1699</v>
      </c>
      <c r="D883" s="36" t="s">
        <v>2248</v>
      </c>
      <c r="E883" s="26" t="s">
        <v>1580</v>
      </c>
      <c r="F883" s="26" t="s">
        <v>1696</v>
      </c>
      <c r="G883" s="29">
        <v>422</v>
      </c>
      <c r="H883" s="29">
        <f t="shared" si="455"/>
        <v>26</v>
      </c>
      <c r="I883" s="26" t="s">
        <v>2098</v>
      </c>
      <c r="J883" s="26" t="s">
        <v>101</v>
      </c>
      <c r="K883" s="26">
        <v>0</v>
      </c>
      <c r="L883" s="42">
        <v>6</v>
      </c>
      <c r="M883" s="42">
        <v>7</v>
      </c>
      <c r="N883" s="42">
        <v>7</v>
      </c>
      <c r="O883" s="42">
        <v>8</v>
      </c>
      <c r="P883" s="42">
        <v>7</v>
      </c>
      <c r="Q883" s="42">
        <v>6</v>
      </c>
      <c r="R883" s="42">
        <v>6</v>
      </c>
      <c r="S883" s="42">
        <v>6</v>
      </c>
      <c r="T883" s="42">
        <v>6</v>
      </c>
      <c r="U883" s="42">
        <v>6</v>
      </c>
      <c r="V883" s="42"/>
      <c r="W883" s="42"/>
      <c r="X883" s="42"/>
      <c r="Y883" s="26">
        <v>50</v>
      </c>
      <c r="Z883" s="26">
        <f t="shared" si="448"/>
        <v>0</v>
      </c>
      <c r="AA883" s="26" t="s">
        <v>1699</v>
      </c>
      <c r="AB883" s="111">
        <f t="shared" si="434"/>
        <v>3</v>
      </c>
      <c r="AC883" s="85" t="s">
        <v>2425</v>
      </c>
      <c r="AD883" s="47">
        <f t="shared" si="451"/>
        <v>1998.1060606060605</v>
      </c>
      <c r="AE883" s="140"/>
      <c r="AF883" s="113">
        <f t="shared" si="452"/>
        <v>0</v>
      </c>
      <c r="AG883" s="85">
        <v>2026</v>
      </c>
      <c r="AH883" s="26" t="str">
        <f t="shared" si="440"/>
        <v/>
      </c>
      <c r="AI883" s="26" t="str">
        <f t="shared" si="457"/>
        <v/>
      </c>
      <c r="AJ883" s="26" t="str">
        <f t="shared" si="460"/>
        <v/>
      </c>
      <c r="AK883" s="26" t="str">
        <f t="shared" si="458"/>
        <v/>
      </c>
      <c r="AL883" s="26" t="str">
        <f t="shared" si="458"/>
        <v>Liquid Road</v>
      </c>
      <c r="AM883" s="26" t="str">
        <f t="shared" si="458"/>
        <v/>
      </c>
      <c r="AN883" s="26" t="str">
        <f t="shared" si="449"/>
        <v>Liquid Road</v>
      </c>
      <c r="AO883" s="26" t="str">
        <f t="shared" si="461"/>
        <v/>
      </c>
      <c r="AP883" s="26" t="str">
        <f t="shared" si="459"/>
        <v/>
      </c>
      <c r="AQ883" s="68">
        <f t="shared" si="453"/>
        <v>12</v>
      </c>
      <c r="AR883" s="68">
        <f t="shared" si="454"/>
        <v>10</v>
      </c>
      <c r="AS883" s="68">
        <f t="shared" si="443"/>
        <v>1.1000000000000001</v>
      </c>
      <c r="AT883" s="68">
        <f t="shared" si="444"/>
        <v>1.05</v>
      </c>
      <c r="AU883" s="68">
        <f t="shared" si="445"/>
        <v>1.05</v>
      </c>
      <c r="AV883" s="68">
        <f t="shared" si="446"/>
        <v>1</v>
      </c>
      <c r="AW883" s="68">
        <f t="shared" si="447"/>
        <v>1.05</v>
      </c>
      <c r="AX883" s="68">
        <f t="shared" ca="1" si="450"/>
        <v>2.1</v>
      </c>
      <c r="AY883" s="68"/>
      <c r="AZ883" s="68"/>
      <c r="BA883" s="106" t="str">
        <f t="shared" si="438"/>
        <v/>
      </c>
      <c r="BB883" s="178"/>
      <c r="BC883" s="178"/>
      <c r="BD883" s="178"/>
      <c r="BE883" s="178">
        <v>2</v>
      </c>
      <c r="BF883" s="178"/>
      <c r="BG883" s="178"/>
      <c r="BH883" s="178"/>
      <c r="BI883" s="33"/>
      <c r="BK883" s="48">
        <f>$G883/5280*VLOOKUP($AC883,'Cost and Score'!$B$27:$O$40,6,0)</f>
        <v>7.9924242424242425E-2</v>
      </c>
      <c r="BL883" s="48">
        <f>$G883/5280*VLOOKUP($AC883,'Cost and Score'!$B$27:$O$40,7,0)</f>
        <v>1.2787878787878788</v>
      </c>
      <c r="BM883" s="48">
        <f>$G883/5280*VLOOKUP($AC883,'Cost and Score'!$B$27:$O$40,8,0)</f>
        <v>0</v>
      </c>
      <c r="BN883" s="48">
        <f>$G883/5280*VLOOKUP($AC883,'Cost and Score'!$B$27:$O$40,9,0)</f>
        <v>0</v>
      </c>
      <c r="BO883" s="48">
        <f>$G883/5280*VLOOKUP($AC883,'Cost and Score'!$B$27:$O$40,10,0)</f>
        <v>0</v>
      </c>
      <c r="BP883" s="48">
        <f>$G883/5280*VLOOKUP($AC883,'Cost and Score'!$B$27:$O$40,11,0)</f>
        <v>0</v>
      </c>
      <c r="BQ883" s="48">
        <f>$G883/5280*VLOOKUP($AC883,'Cost and Score'!$B$27:$O$40,12,0)</f>
        <v>0</v>
      </c>
      <c r="BR883" s="48">
        <f>$G883/5280*VLOOKUP($AC883,'Cost and Score'!$B$27:$O$40,13,0)</f>
        <v>0</v>
      </c>
      <c r="BS883" s="48">
        <f>$G883/5280*VLOOKUP($AC883,'Cost and Score'!$B$27:$O$40,14,0)</f>
        <v>0</v>
      </c>
      <c r="BT883" s="220">
        <f t="shared" si="439"/>
        <v>7.9924242424242425E-2</v>
      </c>
      <c r="CF883" s="112"/>
      <c r="CR883" s="112"/>
    </row>
    <row r="884" spans="1:103" s="2" customFormat="1" ht="14.45" hidden="1" customHeight="1" x14ac:dyDescent="0.25">
      <c r="A884" s="31" t="s">
        <v>2102</v>
      </c>
      <c r="B884" s="226" t="s">
        <v>1700</v>
      </c>
      <c r="C884" s="106" t="s">
        <v>1700</v>
      </c>
      <c r="D884" s="116" t="s">
        <v>2284</v>
      </c>
      <c r="E884" s="106" t="s">
        <v>1458</v>
      </c>
      <c r="F884" s="106" t="s">
        <v>1701</v>
      </c>
      <c r="G884" s="109">
        <v>581</v>
      </c>
      <c r="H884" s="109">
        <f t="shared" si="455"/>
        <v>26</v>
      </c>
      <c r="I884" s="106" t="s">
        <v>2098</v>
      </c>
      <c r="J884" s="106" t="s">
        <v>160</v>
      </c>
      <c r="K884" s="106">
        <f>VLOOKUP(J884,TOWNSHIPS,2,FALSE)</f>
        <v>0</v>
      </c>
      <c r="L884" s="110">
        <v>7</v>
      </c>
      <c r="M884" s="110">
        <v>8</v>
      </c>
      <c r="N884" s="110">
        <v>8</v>
      </c>
      <c r="O884" s="110">
        <v>8</v>
      </c>
      <c r="P884" s="110">
        <v>8</v>
      </c>
      <c r="Q884" s="110">
        <v>7</v>
      </c>
      <c r="R884" s="110">
        <v>7</v>
      </c>
      <c r="S884" s="110">
        <v>7</v>
      </c>
      <c r="T884" s="110">
        <v>7</v>
      </c>
      <c r="U884" s="110">
        <v>7</v>
      </c>
      <c r="V884" s="110"/>
      <c r="W884" s="110"/>
      <c r="X884" s="110"/>
      <c r="Y884" s="106">
        <v>580</v>
      </c>
      <c r="Z884" s="106">
        <f t="shared" si="448"/>
        <v>0.5</v>
      </c>
      <c r="AA884" s="106" t="s">
        <v>1700</v>
      </c>
      <c r="AB884" s="111">
        <f t="shared" si="434"/>
        <v>2.5</v>
      </c>
      <c r="AC884" s="106" t="s">
        <v>2425</v>
      </c>
      <c r="AD884" s="107">
        <f t="shared" si="451"/>
        <v>2750.9469696969695</v>
      </c>
      <c r="AE884" s="198"/>
      <c r="AF884" s="113">
        <f t="shared" si="452"/>
        <v>0</v>
      </c>
      <c r="AG884" s="85">
        <v>2026</v>
      </c>
      <c r="AH884" s="26" t="str">
        <f t="shared" si="440"/>
        <v/>
      </c>
      <c r="AI884" s="26" t="str">
        <f t="shared" si="457"/>
        <v/>
      </c>
      <c r="AJ884" s="26" t="str">
        <f t="shared" si="460"/>
        <v/>
      </c>
      <c r="AK884" s="26" t="str">
        <f t="shared" si="458"/>
        <v/>
      </c>
      <c r="AL884" s="26" t="str">
        <f t="shared" si="458"/>
        <v>Liquid Road</v>
      </c>
      <c r="AM884" s="26" t="str">
        <f t="shared" si="458"/>
        <v/>
      </c>
      <c r="AN884" s="26" t="str">
        <f t="shared" si="449"/>
        <v>Liquid Road</v>
      </c>
      <c r="AO884" s="26" t="str">
        <f t="shared" si="461"/>
        <v/>
      </c>
      <c r="AP884" s="26" t="str">
        <f t="shared" si="459"/>
        <v/>
      </c>
      <c r="AQ884" s="68">
        <f t="shared" si="453"/>
        <v>12</v>
      </c>
      <c r="AR884" s="68">
        <f t="shared" si="454"/>
        <v>10</v>
      </c>
      <c r="AS884" s="68">
        <f t="shared" si="443"/>
        <v>1.05</v>
      </c>
      <c r="AT884" s="68">
        <f t="shared" si="444"/>
        <v>1</v>
      </c>
      <c r="AU884" s="68">
        <f t="shared" si="445"/>
        <v>1</v>
      </c>
      <c r="AV884" s="68">
        <f t="shared" si="446"/>
        <v>1</v>
      </c>
      <c r="AW884" s="68">
        <f t="shared" si="447"/>
        <v>1</v>
      </c>
      <c r="AX884" s="68">
        <f t="shared" ca="1" si="450"/>
        <v>2</v>
      </c>
      <c r="AY884" s="106">
        <v>2017</v>
      </c>
      <c r="AZ884" s="106" t="s">
        <v>2086</v>
      </c>
      <c r="BA884" s="106" t="str">
        <f t="shared" si="438"/>
        <v/>
      </c>
      <c r="BB884" s="177"/>
      <c r="BC884" s="177"/>
      <c r="BD884" s="177"/>
      <c r="BE884" s="177"/>
      <c r="BF884" s="177"/>
      <c r="BG884" s="177">
        <v>4</v>
      </c>
      <c r="BH884" s="177"/>
      <c r="BI884" s="33"/>
      <c r="BK884" s="48">
        <f>$G884/5280*VLOOKUP($AC884,'Cost and Score'!$B$27:$O$40,6,0)</f>
        <v>0.11003787878787878</v>
      </c>
      <c r="BL884" s="48">
        <f>$G884/5280*VLOOKUP($AC884,'Cost and Score'!$B$27:$O$40,7,0)</f>
        <v>1.7606060606060605</v>
      </c>
      <c r="BM884" s="48">
        <f>$G884/5280*VLOOKUP($AC884,'Cost and Score'!$B$27:$O$40,8,0)</f>
        <v>0</v>
      </c>
      <c r="BN884" s="48">
        <f>$G884/5280*VLOOKUP($AC884,'Cost and Score'!$B$27:$O$40,9,0)</f>
        <v>0</v>
      </c>
      <c r="BO884" s="48">
        <f>$G884/5280*VLOOKUP($AC884,'Cost and Score'!$B$27:$O$40,10,0)</f>
        <v>0</v>
      </c>
      <c r="BP884" s="48">
        <f>$G884/5280*VLOOKUP($AC884,'Cost and Score'!$B$27:$O$40,11,0)</f>
        <v>0</v>
      </c>
      <c r="BQ884" s="48">
        <f>$G884/5280*VLOOKUP($AC884,'Cost and Score'!$B$27:$O$40,12,0)</f>
        <v>0</v>
      </c>
      <c r="BR884" s="48">
        <f>$G884/5280*VLOOKUP($AC884,'Cost and Score'!$B$27:$O$40,13,0)</f>
        <v>0</v>
      </c>
      <c r="BS884" s="48">
        <f>$G884/5280*VLOOKUP($AC884,'Cost and Score'!$B$27:$O$40,14,0)</f>
        <v>0</v>
      </c>
      <c r="BT884" s="220">
        <f t="shared" si="439"/>
        <v>0.11003787878787878</v>
      </c>
      <c r="CF884" s="112"/>
      <c r="CR884" s="112"/>
      <c r="CS884" s="112"/>
      <c r="CT884" s="112"/>
      <c r="CU884" s="112"/>
    </row>
    <row r="885" spans="1:103" s="2" customFormat="1" ht="14.45" hidden="1" customHeight="1" x14ac:dyDescent="0.25">
      <c r="A885" s="31" t="s">
        <v>2102</v>
      </c>
      <c r="B885" s="226" t="s">
        <v>1702</v>
      </c>
      <c r="C885" s="106" t="s">
        <v>1702</v>
      </c>
      <c r="D885" s="116" t="s">
        <v>2284</v>
      </c>
      <c r="E885" s="106" t="s">
        <v>1458</v>
      </c>
      <c r="F885" s="106" t="s">
        <v>1701</v>
      </c>
      <c r="G885" s="109">
        <v>581</v>
      </c>
      <c r="H885" s="109">
        <f t="shared" si="455"/>
        <v>26</v>
      </c>
      <c r="I885" s="106" t="s">
        <v>2098</v>
      </c>
      <c r="J885" s="106" t="s">
        <v>160</v>
      </c>
      <c r="K885" s="106">
        <f>VLOOKUP(J885,TOWNSHIPS,2,FALSE)</f>
        <v>0</v>
      </c>
      <c r="L885" s="110">
        <v>7</v>
      </c>
      <c r="M885" s="110">
        <v>8</v>
      </c>
      <c r="N885" s="110">
        <v>8</v>
      </c>
      <c r="O885" s="110">
        <v>8</v>
      </c>
      <c r="P885" s="110">
        <v>8</v>
      </c>
      <c r="Q885" s="110">
        <v>7</v>
      </c>
      <c r="R885" s="110">
        <v>7</v>
      </c>
      <c r="S885" s="110">
        <v>7</v>
      </c>
      <c r="T885" s="110">
        <v>7</v>
      </c>
      <c r="U885" s="110">
        <v>7</v>
      </c>
      <c r="V885" s="110"/>
      <c r="W885" s="110"/>
      <c r="X885" s="110"/>
      <c r="Y885" s="106">
        <v>580</v>
      </c>
      <c r="Z885" s="106">
        <f t="shared" ref="Z885:Z916" si="462">VLOOKUP(Y885,AADT,2)</f>
        <v>0.5</v>
      </c>
      <c r="AA885" s="106" t="s">
        <v>1702</v>
      </c>
      <c r="AB885" s="111">
        <f t="shared" ref="AB885:AB948" si="463">(10-P885)+Z885+K885</f>
        <v>2.5</v>
      </c>
      <c r="AC885" s="106" t="s">
        <v>2425</v>
      </c>
      <c r="AD885" s="107">
        <f t="shared" si="451"/>
        <v>2750.9469696969695</v>
      </c>
      <c r="AE885" s="198"/>
      <c r="AF885" s="113">
        <f t="shared" si="452"/>
        <v>0</v>
      </c>
      <c r="AG885" s="85">
        <v>2026</v>
      </c>
      <c r="AH885" s="26" t="str">
        <f t="shared" si="440"/>
        <v/>
      </c>
      <c r="AI885" s="26" t="str">
        <f t="shared" si="457"/>
        <v/>
      </c>
      <c r="AJ885" s="26" t="str">
        <f t="shared" si="460"/>
        <v/>
      </c>
      <c r="AK885" s="26" t="str">
        <f t="shared" si="458"/>
        <v/>
      </c>
      <c r="AL885" s="26" t="str">
        <f t="shared" si="458"/>
        <v>Liquid Road</v>
      </c>
      <c r="AM885" s="26" t="str">
        <f t="shared" si="458"/>
        <v/>
      </c>
      <c r="AN885" s="26" t="str">
        <f t="shared" si="449"/>
        <v>Liquid Road</v>
      </c>
      <c r="AO885" s="26" t="str">
        <f t="shared" si="461"/>
        <v/>
      </c>
      <c r="AP885" s="26" t="str">
        <f t="shared" si="459"/>
        <v/>
      </c>
      <c r="AQ885" s="68">
        <f t="shared" si="453"/>
        <v>12</v>
      </c>
      <c r="AR885" s="68">
        <f t="shared" si="454"/>
        <v>10</v>
      </c>
      <c r="AS885" s="68">
        <f t="shared" si="443"/>
        <v>1.05</v>
      </c>
      <c r="AT885" s="68">
        <f t="shared" si="444"/>
        <v>1</v>
      </c>
      <c r="AU885" s="68">
        <f t="shared" si="445"/>
        <v>1</v>
      </c>
      <c r="AV885" s="68">
        <f t="shared" si="446"/>
        <v>1</v>
      </c>
      <c r="AW885" s="68">
        <f t="shared" si="447"/>
        <v>1</v>
      </c>
      <c r="AX885" s="68">
        <f t="shared" ref="AX885:AX904" ca="1" si="464">AU885*(AG885-YEAR(TODAY()))</f>
        <v>2</v>
      </c>
      <c r="AY885" s="106">
        <v>2017</v>
      </c>
      <c r="AZ885" s="106" t="s">
        <v>2086</v>
      </c>
      <c r="BA885" s="106" t="str">
        <f t="shared" si="438"/>
        <v/>
      </c>
      <c r="BB885" s="177"/>
      <c r="BC885" s="177"/>
      <c r="BD885" s="177"/>
      <c r="BE885" s="177"/>
      <c r="BF885" s="177"/>
      <c r="BG885" s="177">
        <v>4</v>
      </c>
      <c r="BH885" s="177"/>
      <c r="BI885" s="33"/>
      <c r="BK885" s="48">
        <f>$G885/5280*VLOOKUP($AC885,'Cost and Score'!$B$27:$O$40,6,0)</f>
        <v>0.11003787878787878</v>
      </c>
      <c r="BL885" s="48">
        <f>$G885/5280*VLOOKUP($AC885,'Cost and Score'!$B$27:$O$40,7,0)</f>
        <v>1.7606060606060605</v>
      </c>
      <c r="BM885" s="48">
        <f>$G885/5280*VLOOKUP($AC885,'Cost and Score'!$B$27:$O$40,8,0)</f>
        <v>0</v>
      </c>
      <c r="BN885" s="48">
        <f>$G885/5280*VLOOKUP($AC885,'Cost and Score'!$B$27:$O$40,9,0)</f>
        <v>0</v>
      </c>
      <c r="BO885" s="48">
        <f>$G885/5280*VLOOKUP($AC885,'Cost and Score'!$B$27:$O$40,10,0)</f>
        <v>0</v>
      </c>
      <c r="BP885" s="48">
        <f>$G885/5280*VLOOKUP($AC885,'Cost and Score'!$B$27:$O$40,11,0)</f>
        <v>0</v>
      </c>
      <c r="BQ885" s="48">
        <f>$G885/5280*VLOOKUP($AC885,'Cost and Score'!$B$27:$O$40,12,0)</f>
        <v>0</v>
      </c>
      <c r="BR885" s="48">
        <f>$G885/5280*VLOOKUP($AC885,'Cost and Score'!$B$27:$O$40,13,0)</f>
        <v>0</v>
      </c>
      <c r="BS885" s="48">
        <f>$G885/5280*VLOOKUP($AC885,'Cost and Score'!$B$27:$O$40,14,0)</f>
        <v>0</v>
      </c>
      <c r="BT885" s="220">
        <f t="shared" si="439"/>
        <v>0.11003787878787878</v>
      </c>
      <c r="CF885" s="112"/>
      <c r="CG885" s="112"/>
      <c r="CH885" s="112"/>
      <c r="CI885" s="112"/>
      <c r="CJ885" s="112"/>
      <c r="CK885" s="112"/>
      <c r="CL885" s="112"/>
      <c r="CM885" s="112"/>
      <c r="CR885" s="112"/>
      <c r="CS885" s="112"/>
      <c r="CT885" s="112"/>
      <c r="CU885" s="112"/>
    </row>
    <row r="886" spans="1:103" s="112" customFormat="1" ht="14.45" hidden="1" customHeight="1" x14ac:dyDescent="0.25">
      <c r="A886" s="31" t="s">
        <v>2102</v>
      </c>
      <c r="B886" s="226" t="s">
        <v>1703</v>
      </c>
      <c r="C886" s="106" t="s">
        <v>1703</v>
      </c>
      <c r="D886" s="116" t="s">
        <v>2284</v>
      </c>
      <c r="E886" s="106" t="s">
        <v>1458</v>
      </c>
      <c r="F886" s="106" t="s">
        <v>1701</v>
      </c>
      <c r="G886" s="109">
        <v>739</v>
      </c>
      <c r="H886" s="109">
        <f t="shared" si="455"/>
        <v>26</v>
      </c>
      <c r="I886" s="106" t="s">
        <v>2098</v>
      </c>
      <c r="J886" s="106" t="s">
        <v>160</v>
      </c>
      <c r="K886" s="106">
        <f>VLOOKUP(J886,TOWNSHIPS,2,FALSE)</f>
        <v>0</v>
      </c>
      <c r="L886" s="110">
        <v>7</v>
      </c>
      <c r="M886" s="110">
        <v>8</v>
      </c>
      <c r="N886" s="110">
        <v>8</v>
      </c>
      <c r="O886" s="110">
        <v>8</v>
      </c>
      <c r="P886" s="110">
        <v>8</v>
      </c>
      <c r="Q886" s="110">
        <v>7</v>
      </c>
      <c r="R886" s="110">
        <v>7</v>
      </c>
      <c r="S886" s="110">
        <v>7</v>
      </c>
      <c r="T886" s="110">
        <v>7</v>
      </c>
      <c r="U886" s="110">
        <v>7</v>
      </c>
      <c r="V886" s="110"/>
      <c r="W886" s="110"/>
      <c r="X886" s="110"/>
      <c r="Y886" s="106">
        <v>580</v>
      </c>
      <c r="Z886" s="106">
        <f t="shared" si="462"/>
        <v>0.5</v>
      </c>
      <c r="AA886" s="106" t="s">
        <v>1703</v>
      </c>
      <c r="AB886" s="111">
        <f t="shared" si="463"/>
        <v>2.5</v>
      </c>
      <c r="AC886" s="106" t="s">
        <v>2425</v>
      </c>
      <c r="AD886" s="107">
        <f t="shared" si="451"/>
        <v>3499.0530303030305</v>
      </c>
      <c r="AE886" s="198"/>
      <c r="AF886" s="113">
        <f t="shared" si="452"/>
        <v>0</v>
      </c>
      <c r="AG886" s="85">
        <v>2026</v>
      </c>
      <c r="AH886" s="26" t="str">
        <f t="shared" si="440"/>
        <v/>
      </c>
      <c r="AI886" s="26" t="str">
        <f t="shared" si="457"/>
        <v/>
      </c>
      <c r="AJ886" s="26" t="str">
        <f t="shared" si="460"/>
        <v/>
      </c>
      <c r="AK886" s="26" t="str">
        <f t="shared" si="458"/>
        <v/>
      </c>
      <c r="AL886" s="26" t="str">
        <f t="shared" si="458"/>
        <v>Liquid Road</v>
      </c>
      <c r="AM886" s="26" t="str">
        <f t="shared" si="458"/>
        <v/>
      </c>
      <c r="AN886" s="26" t="str">
        <f t="shared" si="449"/>
        <v>Liquid Road</v>
      </c>
      <c r="AO886" s="26" t="str">
        <f t="shared" si="461"/>
        <v/>
      </c>
      <c r="AP886" s="26" t="str">
        <f t="shared" si="459"/>
        <v/>
      </c>
      <c r="AQ886" s="68">
        <f t="shared" si="453"/>
        <v>12</v>
      </c>
      <c r="AR886" s="68">
        <f t="shared" si="454"/>
        <v>10</v>
      </c>
      <c r="AS886" s="68">
        <f t="shared" si="443"/>
        <v>1.05</v>
      </c>
      <c r="AT886" s="68">
        <f t="shared" si="444"/>
        <v>1</v>
      </c>
      <c r="AU886" s="68">
        <f t="shared" si="445"/>
        <v>1</v>
      </c>
      <c r="AV886" s="68">
        <f t="shared" si="446"/>
        <v>1</v>
      </c>
      <c r="AW886" s="68">
        <f t="shared" si="447"/>
        <v>1</v>
      </c>
      <c r="AX886" s="68">
        <f t="shared" ca="1" si="464"/>
        <v>2</v>
      </c>
      <c r="AY886" s="106">
        <v>2017</v>
      </c>
      <c r="AZ886" s="106" t="s">
        <v>2086</v>
      </c>
      <c r="BA886" s="106" t="str">
        <f t="shared" si="438"/>
        <v/>
      </c>
      <c r="BB886" s="177"/>
      <c r="BC886" s="177"/>
      <c r="BD886" s="177"/>
      <c r="BE886" s="177"/>
      <c r="BF886" s="177"/>
      <c r="BG886" s="177">
        <v>4</v>
      </c>
      <c r="BH886" s="177"/>
      <c r="BI886" s="33"/>
      <c r="BJ886" s="2"/>
      <c r="BK886" s="48">
        <f>$G886/5280*VLOOKUP($AC886,'Cost and Score'!$B$27:$O$40,6,0)</f>
        <v>0.1399621212121212</v>
      </c>
      <c r="BL886" s="48">
        <f>$G886/5280*VLOOKUP($AC886,'Cost and Score'!$B$27:$O$40,7,0)</f>
        <v>2.2393939393939393</v>
      </c>
      <c r="BM886" s="48">
        <f>$G886/5280*VLOOKUP($AC886,'Cost and Score'!$B$27:$O$40,8,0)</f>
        <v>0</v>
      </c>
      <c r="BN886" s="48">
        <f>$G886/5280*VLOOKUP($AC886,'Cost and Score'!$B$27:$O$40,9,0)</f>
        <v>0</v>
      </c>
      <c r="BO886" s="48">
        <f>$G886/5280*VLOOKUP($AC886,'Cost and Score'!$B$27:$O$40,10,0)</f>
        <v>0</v>
      </c>
      <c r="BP886" s="48">
        <f>$G886/5280*VLOOKUP($AC886,'Cost and Score'!$B$27:$O$40,11,0)</f>
        <v>0</v>
      </c>
      <c r="BQ886" s="48">
        <f>$G886/5280*VLOOKUP($AC886,'Cost and Score'!$B$27:$O$40,12,0)</f>
        <v>0</v>
      </c>
      <c r="BR886" s="48">
        <f>$G886/5280*VLOOKUP($AC886,'Cost and Score'!$B$27:$O$40,13,0)</f>
        <v>0</v>
      </c>
      <c r="BS886" s="48">
        <f>$G886/5280*VLOOKUP($AC886,'Cost and Score'!$B$27:$O$40,14,0)</f>
        <v>0</v>
      </c>
      <c r="BT886" s="220">
        <f t="shared" si="439"/>
        <v>0.1399621212121212</v>
      </c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N886" s="2"/>
      <c r="CO886" s="2"/>
      <c r="CP886" s="2"/>
      <c r="CQ886" s="2"/>
      <c r="CR886" s="2"/>
      <c r="CV886" s="2"/>
      <c r="CW886" s="2"/>
      <c r="CX886" s="2"/>
      <c r="CY886" s="2"/>
    </row>
    <row r="887" spans="1:103" s="112" customFormat="1" ht="14.45" hidden="1" customHeight="1" x14ac:dyDescent="0.25">
      <c r="A887" s="31" t="s">
        <v>2102</v>
      </c>
      <c r="B887" s="226" t="s">
        <v>1704</v>
      </c>
      <c r="C887" s="106" t="s">
        <v>1704</v>
      </c>
      <c r="D887" s="116" t="s">
        <v>2284</v>
      </c>
      <c r="E887" s="106" t="s">
        <v>1458</v>
      </c>
      <c r="F887" s="106" t="s">
        <v>1701</v>
      </c>
      <c r="G887" s="109">
        <v>581</v>
      </c>
      <c r="H887" s="109">
        <f t="shared" si="455"/>
        <v>26</v>
      </c>
      <c r="I887" s="106" t="s">
        <v>2098</v>
      </c>
      <c r="J887" s="106" t="s">
        <v>160</v>
      </c>
      <c r="K887" s="106">
        <f>VLOOKUP(J887,TOWNSHIPS,2,FALSE)</f>
        <v>0</v>
      </c>
      <c r="L887" s="110">
        <v>7</v>
      </c>
      <c r="M887" s="110">
        <v>8</v>
      </c>
      <c r="N887" s="110">
        <v>8</v>
      </c>
      <c r="O887" s="110">
        <v>8</v>
      </c>
      <c r="P887" s="110">
        <v>8</v>
      </c>
      <c r="Q887" s="110">
        <v>7</v>
      </c>
      <c r="R887" s="110">
        <v>7</v>
      </c>
      <c r="S887" s="110">
        <v>7</v>
      </c>
      <c r="T887" s="110">
        <v>7</v>
      </c>
      <c r="U887" s="110">
        <v>7</v>
      </c>
      <c r="V887" s="110"/>
      <c r="W887" s="110"/>
      <c r="X887" s="110"/>
      <c r="Y887" s="106">
        <v>580</v>
      </c>
      <c r="Z887" s="106">
        <f t="shared" si="462"/>
        <v>0.5</v>
      </c>
      <c r="AA887" s="106" t="s">
        <v>1704</v>
      </c>
      <c r="AB887" s="111">
        <f t="shared" si="463"/>
        <v>2.5</v>
      </c>
      <c r="AC887" s="106" t="s">
        <v>2425</v>
      </c>
      <c r="AD887" s="107">
        <f t="shared" si="451"/>
        <v>2750.9469696969695</v>
      </c>
      <c r="AE887" s="198"/>
      <c r="AF887" s="113">
        <f t="shared" si="452"/>
        <v>0</v>
      </c>
      <c r="AG887" s="85">
        <v>2026</v>
      </c>
      <c r="AH887" s="26" t="str">
        <f t="shared" si="440"/>
        <v/>
      </c>
      <c r="AI887" s="26" t="str">
        <f t="shared" si="457"/>
        <v/>
      </c>
      <c r="AJ887" s="26" t="str">
        <f t="shared" si="460"/>
        <v/>
      </c>
      <c r="AK887" s="26" t="str">
        <f t="shared" si="458"/>
        <v/>
      </c>
      <c r="AL887" s="26" t="str">
        <f t="shared" si="458"/>
        <v>Liquid Road</v>
      </c>
      <c r="AM887" s="26" t="str">
        <f t="shared" si="458"/>
        <v/>
      </c>
      <c r="AN887" s="26" t="str">
        <f t="shared" si="449"/>
        <v>Liquid Road</v>
      </c>
      <c r="AO887" s="26" t="str">
        <f t="shared" si="461"/>
        <v/>
      </c>
      <c r="AP887" s="26" t="str">
        <f t="shared" si="459"/>
        <v/>
      </c>
      <c r="AQ887" s="68">
        <f t="shared" si="453"/>
        <v>12</v>
      </c>
      <c r="AR887" s="68">
        <f t="shared" si="454"/>
        <v>10</v>
      </c>
      <c r="AS887" s="68">
        <f t="shared" si="443"/>
        <v>1.05</v>
      </c>
      <c r="AT887" s="68">
        <f t="shared" si="444"/>
        <v>1</v>
      </c>
      <c r="AU887" s="68">
        <f t="shared" si="445"/>
        <v>1</v>
      </c>
      <c r="AV887" s="68">
        <f t="shared" si="446"/>
        <v>1</v>
      </c>
      <c r="AW887" s="68">
        <f t="shared" si="447"/>
        <v>1</v>
      </c>
      <c r="AX887" s="68">
        <f t="shared" ca="1" si="464"/>
        <v>2</v>
      </c>
      <c r="AY887" s="106">
        <v>2017</v>
      </c>
      <c r="AZ887" s="106" t="s">
        <v>2086</v>
      </c>
      <c r="BA887" s="106" t="str">
        <f t="shared" si="438"/>
        <v/>
      </c>
      <c r="BB887" s="177"/>
      <c r="BC887" s="177"/>
      <c r="BD887" s="177"/>
      <c r="BE887" s="177"/>
      <c r="BF887" s="177"/>
      <c r="BG887" s="177">
        <v>4</v>
      </c>
      <c r="BH887" s="177"/>
      <c r="BI887" s="33"/>
      <c r="BJ887" s="2"/>
      <c r="BK887" s="48">
        <f>$G887/5280*VLOOKUP($AC887,'Cost and Score'!$B$27:$O$40,6,0)</f>
        <v>0.11003787878787878</v>
      </c>
      <c r="BL887" s="48">
        <f>$G887/5280*VLOOKUP($AC887,'Cost and Score'!$B$27:$O$40,7,0)</f>
        <v>1.7606060606060605</v>
      </c>
      <c r="BM887" s="48">
        <f>$G887/5280*VLOOKUP($AC887,'Cost and Score'!$B$27:$O$40,8,0)</f>
        <v>0</v>
      </c>
      <c r="BN887" s="48">
        <f>$G887/5280*VLOOKUP($AC887,'Cost and Score'!$B$27:$O$40,9,0)</f>
        <v>0</v>
      </c>
      <c r="BO887" s="48">
        <f>$G887/5280*VLOOKUP($AC887,'Cost and Score'!$B$27:$O$40,10,0)</f>
        <v>0</v>
      </c>
      <c r="BP887" s="48">
        <f>$G887/5280*VLOOKUP($AC887,'Cost and Score'!$B$27:$O$40,11,0)</f>
        <v>0</v>
      </c>
      <c r="BQ887" s="48">
        <f>$G887/5280*VLOOKUP($AC887,'Cost and Score'!$B$27:$O$40,12,0)</f>
        <v>0</v>
      </c>
      <c r="BR887" s="48">
        <f>$G887/5280*VLOOKUP($AC887,'Cost and Score'!$B$27:$O$40,13,0)</f>
        <v>0</v>
      </c>
      <c r="BS887" s="48">
        <f>$G887/5280*VLOOKUP($AC887,'Cost and Score'!$B$27:$O$40,14,0)</f>
        <v>0</v>
      </c>
      <c r="BT887" s="220">
        <f t="shared" si="439"/>
        <v>0.11003787878787878</v>
      </c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W887" s="2"/>
      <c r="CX887" s="2"/>
      <c r="CY887" s="2"/>
    </row>
    <row r="888" spans="1:103" s="112" customFormat="1" ht="14.45" hidden="1" customHeight="1" x14ac:dyDescent="0.25">
      <c r="A888" s="31" t="s">
        <v>2102</v>
      </c>
      <c r="B888" s="226" t="s">
        <v>1705</v>
      </c>
      <c r="C888" s="106" t="s">
        <v>1705</v>
      </c>
      <c r="D888" s="116" t="s">
        <v>2249</v>
      </c>
      <c r="E888" s="106" t="s">
        <v>1706</v>
      </c>
      <c r="F888" s="106" t="s">
        <v>1707</v>
      </c>
      <c r="G888" s="109">
        <v>3379</v>
      </c>
      <c r="H888" s="109">
        <f t="shared" si="455"/>
        <v>26</v>
      </c>
      <c r="I888" s="106" t="s">
        <v>2098</v>
      </c>
      <c r="J888" s="106" t="s">
        <v>101</v>
      </c>
      <c r="K888" s="106">
        <v>0</v>
      </c>
      <c r="L888" s="110">
        <v>6</v>
      </c>
      <c r="M888" s="110">
        <v>7</v>
      </c>
      <c r="N888" s="110">
        <v>6</v>
      </c>
      <c r="O888" s="110">
        <v>6</v>
      </c>
      <c r="P888" s="110">
        <v>9</v>
      </c>
      <c r="Q888" s="110">
        <v>8</v>
      </c>
      <c r="R888" s="110">
        <v>8</v>
      </c>
      <c r="S888" s="110">
        <v>6</v>
      </c>
      <c r="T888" s="110">
        <v>6</v>
      </c>
      <c r="U888" s="110">
        <v>6</v>
      </c>
      <c r="V888" s="110"/>
      <c r="W888" s="110"/>
      <c r="X888" s="110"/>
      <c r="Y888" s="106">
        <v>50</v>
      </c>
      <c r="Z888" s="106">
        <f t="shared" si="462"/>
        <v>0</v>
      </c>
      <c r="AA888" s="106" t="s">
        <v>1705</v>
      </c>
      <c r="AB888" s="111">
        <f t="shared" si="463"/>
        <v>1</v>
      </c>
      <c r="AC888" s="85" t="s">
        <v>2425</v>
      </c>
      <c r="AD888" s="107">
        <f t="shared" si="451"/>
        <v>15999.05303030303</v>
      </c>
      <c r="AE888" s="198"/>
      <c r="AF888" s="113">
        <f t="shared" si="452"/>
        <v>0</v>
      </c>
      <c r="AG888" s="85">
        <v>2026</v>
      </c>
      <c r="AH888" s="26" t="str">
        <f t="shared" si="440"/>
        <v/>
      </c>
      <c r="AI888" s="26" t="str">
        <f t="shared" si="457"/>
        <v/>
      </c>
      <c r="AJ888" s="26" t="str">
        <f t="shared" si="460"/>
        <v/>
      </c>
      <c r="AK888" s="26" t="str">
        <f t="shared" ref="AK888:AM907" si="465">IF($AG888=AK$1,VLOOKUP($AC888,RSL,3,FALSE),"")</f>
        <v/>
      </c>
      <c r="AL888" s="26" t="str">
        <f t="shared" si="465"/>
        <v>Liquid Road</v>
      </c>
      <c r="AM888" s="26" t="str">
        <f t="shared" si="465"/>
        <v/>
      </c>
      <c r="AN888" s="26" t="str">
        <f t="shared" si="449"/>
        <v>Liquid Road</v>
      </c>
      <c r="AO888" s="26" t="str">
        <f t="shared" si="461"/>
        <v/>
      </c>
      <c r="AP888" s="26" t="str">
        <f t="shared" si="459"/>
        <v/>
      </c>
      <c r="AQ888" s="68">
        <f t="shared" si="453"/>
        <v>8</v>
      </c>
      <c r="AR888" s="68">
        <f t="shared" si="454"/>
        <v>10</v>
      </c>
      <c r="AS888" s="68">
        <f t="shared" si="443"/>
        <v>1.1000000000000001</v>
      </c>
      <c r="AT888" s="68">
        <f t="shared" si="444"/>
        <v>1.05</v>
      </c>
      <c r="AU888" s="68">
        <f t="shared" si="445"/>
        <v>1.1000000000000001</v>
      </c>
      <c r="AV888" s="68">
        <f t="shared" si="446"/>
        <v>1.1000000000000001</v>
      </c>
      <c r="AW888" s="68">
        <f t="shared" si="447"/>
        <v>1</v>
      </c>
      <c r="AX888" s="68">
        <f t="shared" ca="1" si="464"/>
        <v>2.2000000000000002</v>
      </c>
      <c r="AY888" s="106">
        <v>2017</v>
      </c>
      <c r="AZ888" s="68" t="s">
        <v>2371</v>
      </c>
      <c r="BA888" s="106" t="str">
        <f t="shared" si="438"/>
        <v/>
      </c>
      <c r="BB888" s="178"/>
      <c r="BC888" s="178"/>
      <c r="BD888" s="178"/>
      <c r="BE888" s="178"/>
      <c r="BF888" s="178">
        <v>3</v>
      </c>
      <c r="BG888" s="178"/>
      <c r="BH888" s="178"/>
      <c r="BI888" s="33"/>
      <c r="BJ888" s="2"/>
      <c r="BK888" s="48">
        <f>$G888/5280*VLOOKUP($AC888,'Cost and Score'!$B$27:$O$40,6,0)</f>
        <v>0.63996212121212126</v>
      </c>
      <c r="BL888" s="48">
        <f>$G888/5280*VLOOKUP($AC888,'Cost and Score'!$B$27:$O$40,7,0)</f>
        <v>10.23939393939394</v>
      </c>
      <c r="BM888" s="48">
        <f>$G888/5280*VLOOKUP($AC888,'Cost and Score'!$B$27:$O$40,8,0)</f>
        <v>0</v>
      </c>
      <c r="BN888" s="48">
        <f>$G888/5280*VLOOKUP($AC888,'Cost and Score'!$B$27:$O$40,9,0)</f>
        <v>0</v>
      </c>
      <c r="BO888" s="48">
        <f>$G888/5280*VLOOKUP($AC888,'Cost and Score'!$B$27:$O$40,10,0)</f>
        <v>0</v>
      </c>
      <c r="BP888" s="48">
        <f>$G888/5280*VLOOKUP($AC888,'Cost and Score'!$B$27:$O$40,11,0)</f>
        <v>0</v>
      </c>
      <c r="BQ888" s="48">
        <f>$G888/5280*VLOOKUP($AC888,'Cost and Score'!$B$27:$O$40,12,0)</f>
        <v>0</v>
      </c>
      <c r="BR888" s="48">
        <f>$G888/5280*VLOOKUP($AC888,'Cost and Score'!$B$27:$O$40,13,0)</f>
        <v>0</v>
      </c>
      <c r="BS888" s="48">
        <f>$G888/5280*VLOOKUP($AC888,'Cost and Score'!$B$27:$O$40,14,0)</f>
        <v>0</v>
      </c>
      <c r="BT888" s="220">
        <f t="shared" si="439"/>
        <v>0.63996212121212126</v>
      </c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R888" s="2"/>
      <c r="CW888" s="2"/>
      <c r="CX888" s="2"/>
      <c r="CY888" s="2"/>
    </row>
    <row r="889" spans="1:103" s="112" customFormat="1" ht="14.45" hidden="1" customHeight="1" x14ac:dyDescent="0.25">
      <c r="A889" s="31" t="s">
        <v>2102</v>
      </c>
      <c r="B889" s="225" t="s">
        <v>2328</v>
      </c>
      <c r="C889" s="85" t="s">
        <v>2328</v>
      </c>
      <c r="D889" s="86" t="s">
        <v>2261</v>
      </c>
      <c r="E889" s="85" t="s">
        <v>155</v>
      </c>
      <c r="F889" s="85" t="s">
        <v>1495</v>
      </c>
      <c r="G889" s="29">
        <v>950</v>
      </c>
      <c r="H889" s="29">
        <f t="shared" si="455"/>
        <v>26</v>
      </c>
      <c r="I889" s="85" t="s">
        <v>2098</v>
      </c>
      <c r="J889" s="85" t="s">
        <v>101</v>
      </c>
      <c r="K889" s="85">
        <v>0</v>
      </c>
      <c r="L889" s="74">
        <v>7</v>
      </c>
      <c r="M889" s="74">
        <v>7</v>
      </c>
      <c r="N889" s="74">
        <v>7</v>
      </c>
      <c r="O889" s="74"/>
      <c r="P889" s="74">
        <v>6</v>
      </c>
      <c r="Q889" s="74">
        <v>6</v>
      </c>
      <c r="R889" s="74">
        <v>5</v>
      </c>
      <c r="S889" s="74">
        <v>5</v>
      </c>
      <c r="T889" s="74">
        <v>6</v>
      </c>
      <c r="U889" s="74">
        <v>6</v>
      </c>
      <c r="V889" s="74"/>
      <c r="W889" s="74"/>
      <c r="X889" s="74"/>
      <c r="Y889" s="85">
        <v>48</v>
      </c>
      <c r="Z889" s="85">
        <f t="shared" si="462"/>
        <v>0</v>
      </c>
      <c r="AA889" s="85" t="s">
        <v>1708</v>
      </c>
      <c r="AB889" s="111">
        <f t="shared" si="463"/>
        <v>4</v>
      </c>
      <c r="AC889" s="85" t="s">
        <v>2425</v>
      </c>
      <c r="AD889" s="47">
        <f t="shared" si="451"/>
        <v>4498.106060606061</v>
      </c>
      <c r="AE889" s="140"/>
      <c r="AF889" s="113">
        <f t="shared" si="452"/>
        <v>0</v>
      </c>
      <c r="AG889" s="85">
        <v>2026</v>
      </c>
      <c r="AH889" s="26" t="str">
        <f t="shared" si="440"/>
        <v/>
      </c>
      <c r="AI889" s="26" t="str">
        <f t="shared" si="457"/>
        <v/>
      </c>
      <c r="AJ889" s="26" t="str">
        <f t="shared" si="460"/>
        <v/>
      </c>
      <c r="AK889" s="26" t="str">
        <f t="shared" si="465"/>
        <v/>
      </c>
      <c r="AL889" s="26" t="str">
        <f t="shared" si="465"/>
        <v>Liquid Road</v>
      </c>
      <c r="AM889" s="26" t="str">
        <f t="shared" si="465"/>
        <v/>
      </c>
      <c r="AN889" s="26" t="str">
        <f t="shared" si="449"/>
        <v>Liquid Road</v>
      </c>
      <c r="AO889" s="26" t="str">
        <f t="shared" si="461"/>
        <v/>
      </c>
      <c r="AP889" s="26" t="str">
        <f t="shared" si="459"/>
        <v/>
      </c>
      <c r="AQ889" s="68" t="e">
        <f t="shared" si="453"/>
        <v>#N/A</v>
      </c>
      <c r="AR889" s="68">
        <f t="shared" si="454"/>
        <v>10</v>
      </c>
      <c r="AS889" s="68">
        <f t="shared" si="443"/>
        <v>1.05</v>
      </c>
      <c r="AT889" s="68">
        <f t="shared" si="444"/>
        <v>1.05</v>
      </c>
      <c r="AU889" s="68">
        <f t="shared" si="445"/>
        <v>1.05</v>
      </c>
      <c r="AV889" s="68">
        <f t="shared" si="446"/>
        <v>0</v>
      </c>
      <c r="AW889" s="68">
        <f t="shared" si="447"/>
        <v>1.1000000000000001</v>
      </c>
      <c r="AX889" s="68">
        <f t="shared" ca="1" si="464"/>
        <v>2.1</v>
      </c>
      <c r="AY889" s="68"/>
      <c r="AZ889" s="68"/>
      <c r="BA889" s="106" t="str">
        <f t="shared" si="438"/>
        <v/>
      </c>
      <c r="BB889" s="178"/>
      <c r="BC889" s="178"/>
      <c r="BD889" s="178"/>
      <c r="BE889" s="178"/>
      <c r="BF889" s="178">
        <v>3</v>
      </c>
      <c r="BG889" s="178"/>
      <c r="BH889" s="178"/>
      <c r="BI889" s="33"/>
      <c r="BJ889" s="2"/>
      <c r="BK889" s="48">
        <f>$G889/5280*VLOOKUP($AC889,'Cost and Score'!$B$27:$O$40,6,0)</f>
        <v>0.17992424242424243</v>
      </c>
      <c r="BL889" s="48">
        <f>$G889/5280*VLOOKUP($AC889,'Cost and Score'!$B$27:$O$40,7,0)</f>
        <v>2.8787878787878789</v>
      </c>
      <c r="BM889" s="48">
        <f>$G889/5280*VLOOKUP($AC889,'Cost and Score'!$B$27:$O$40,8,0)</f>
        <v>0</v>
      </c>
      <c r="BN889" s="48">
        <f>$G889/5280*VLOOKUP($AC889,'Cost and Score'!$B$27:$O$40,9,0)</f>
        <v>0</v>
      </c>
      <c r="BO889" s="48">
        <f>$G889/5280*VLOOKUP($AC889,'Cost and Score'!$B$27:$O$40,10,0)</f>
        <v>0</v>
      </c>
      <c r="BP889" s="48">
        <f>$G889/5280*VLOOKUP($AC889,'Cost and Score'!$B$27:$O$40,11,0)</f>
        <v>0</v>
      </c>
      <c r="BQ889" s="48">
        <f>$G889/5280*VLOOKUP($AC889,'Cost and Score'!$B$27:$O$40,12,0)</f>
        <v>0</v>
      </c>
      <c r="BR889" s="48">
        <f>$G889/5280*VLOOKUP($AC889,'Cost and Score'!$B$27:$O$40,13,0)</f>
        <v>0</v>
      </c>
      <c r="BS889" s="48">
        <f>$G889/5280*VLOOKUP($AC889,'Cost and Score'!$B$27:$O$40,14,0)</f>
        <v>0</v>
      </c>
      <c r="BT889" s="220">
        <f t="shared" si="439"/>
        <v>0.17992424242424243</v>
      </c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S889" s="2"/>
      <c r="CT889" s="2"/>
      <c r="CU889" s="2"/>
    </row>
    <row r="890" spans="1:103" s="112" customFormat="1" ht="14.45" hidden="1" customHeight="1" x14ac:dyDescent="0.25">
      <c r="A890" s="31" t="s">
        <v>2102</v>
      </c>
      <c r="B890" s="227" t="s">
        <v>2327</v>
      </c>
      <c r="C890" s="106" t="s">
        <v>2327</v>
      </c>
      <c r="D890" s="116" t="s">
        <v>2250</v>
      </c>
      <c r="E890" s="106" t="s">
        <v>1706</v>
      </c>
      <c r="F890" s="106" t="s">
        <v>1707</v>
      </c>
      <c r="G890" s="109">
        <v>1320</v>
      </c>
      <c r="H890" s="109">
        <f t="shared" si="455"/>
        <v>26</v>
      </c>
      <c r="I890" s="106" t="s">
        <v>2098</v>
      </c>
      <c r="J890" s="106" t="s">
        <v>101</v>
      </c>
      <c r="K890" s="106">
        <v>0</v>
      </c>
      <c r="L890" s="110">
        <v>6</v>
      </c>
      <c r="M890" s="110">
        <v>7</v>
      </c>
      <c r="N890" s="110">
        <v>6</v>
      </c>
      <c r="O890" s="110">
        <v>6</v>
      </c>
      <c r="P890" s="110">
        <v>9</v>
      </c>
      <c r="Q890" s="110">
        <v>8</v>
      </c>
      <c r="R890" s="110">
        <v>8</v>
      </c>
      <c r="S890" s="110">
        <v>7</v>
      </c>
      <c r="T890" s="110">
        <v>7</v>
      </c>
      <c r="U890" s="110">
        <v>7</v>
      </c>
      <c r="V890" s="110"/>
      <c r="W890" s="110"/>
      <c r="X890" s="110"/>
      <c r="Y890" s="106">
        <v>50</v>
      </c>
      <c r="Z890" s="106">
        <f t="shared" si="462"/>
        <v>0</v>
      </c>
      <c r="AA890" s="106" t="s">
        <v>1709</v>
      </c>
      <c r="AB890" s="111">
        <f t="shared" si="463"/>
        <v>1</v>
      </c>
      <c r="AC890" s="85" t="s">
        <v>2425</v>
      </c>
      <c r="AD890" s="107">
        <f t="shared" si="451"/>
        <v>6250</v>
      </c>
      <c r="AE890" s="198"/>
      <c r="AF890" s="113">
        <f t="shared" si="452"/>
        <v>0</v>
      </c>
      <c r="AG890" s="85">
        <v>2026</v>
      </c>
      <c r="AH890" s="26" t="str">
        <f t="shared" si="440"/>
        <v/>
      </c>
      <c r="AI890" s="26" t="str">
        <f t="shared" si="457"/>
        <v/>
      </c>
      <c r="AJ890" s="26" t="str">
        <f t="shared" si="460"/>
        <v/>
      </c>
      <c r="AK890" s="26" t="str">
        <f t="shared" si="465"/>
        <v/>
      </c>
      <c r="AL890" s="26" t="str">
        <f t="shared" si="465"/>
        <v>Liquid Road</v>
      </c>
      <c r="AM890" s="26" t="str">
        <f t="shared" si="465"/>
        <v/>
      </c>
      <c r="AN890" s="26" t="str">
        <f t="shared" si="449"/>
        <v>Liquid Road</v>
      </c>
      <c r="AO890" s="26" t="str">
        <f t="shared" si="461"/>
        <v/>
      </c>
      <c r="AP890" s="26" t="str">
        <f t="shared" si="459"/>
        <v/>
      </c>
      <c r="AQ890" s="68">
        <f t="shared" si="453"/>
        <v>8</v>
      </c>
      <c r="AR890" s="68">
        <f t="shared" si="454"/>
        <v>10</v>
      </c>
      <c r="AS890" s="68">
        <f t="shared" si="443"/>
        <v>1.1000000000000001</v>
      </c>
      <c r="AT890" s="68">
        <f t="shared" si="444"/>
        <v>1.05</v>
      </c>
      <c r="AU890" s="68">
        <f t="shared" si="445"/>
        <v>1.1000000000000001</v>
      </c>
      <c r="AV890" s="68">
        <f t="shared" si="446"/>
        <v>1.1000000000000001</v>
      </c>
      <c r="AW890" s="68">
        <f t="shared" si="447"/>
        <v>1</v>
      </c>
      <c r="AX890" s="68">
        <f t="shared" ca="1" si="464"/>
        <v>2.2000000000000002</v>
      </c>
      <c r="AY890" s="106">
        <v>2017</v>
      </c>
      <c r="AZ890" s="68" t="s">
        <v>2371</v>
      </c>
      <c r="BA890" s="106" t="str">
        <f t="shared" si="438"/>
        <v/>
      </c>
      <c r="BB890" s="178"/>
      <c r="BC890" s="178"/>
      <c r="BD890" s="178"/>
      <c r="BE890" s="178"/>
      <c r="BF890" s="178">
        <v>3</v>
      </c>
      <c r="BG890" s="178"/>
      <c r="BH890" s="178"/>
      <c r="BI890" s="33"/>
      <c r="BJ890" s="2"/>
      <c r="BK890" s="48">
        <f>$G890/5280*VLOOKUP($AC890,'Cost and Score'!$B$27:$O$40,6,0)</f>
        <v>0.25</v>
      </c>
      <c r="BL890" s="48">
        <f>$G890/5280*VLOOKUP($AC890,'Cost and Score'!$B$27:$O$40,7,0)</f>
        <v>4</v>
      </c>
      <c r="BM890" s="48">
        <f>$G890/5280*VLOOKUP($AC890,'Cost and Score'!$B$27:$O$40,8,0)</f>
        <v>0</v>
      </c>
      <c r="BN890" s="48">
        <f>$G890/5280*VLOOKUP($AC890,'Cost and Score'!$B$27:$O$40,9,0)</f>
        <v>0</v>
      </c>
      <c r="BO890" s="48">
        <f>$G890/5280*VLOOKUP($AC890,'Cost and Score'!$B$27:$O$40,10,0)</f>
        <v>0</v>
      </c>
      <c r="BP890" s="48">
        <f>$G890/5280*VLOOKUP($AC890,'Cost and Score'!$B$27:$O$40,11,0)</f>
        <v>0</v>
      </c>
      <c r="BQ890" s="48">
        <f>$G890/5280*VLOOKUP($AC890,'Cost and Score'!$B$27:$O$40,12,0)</f>
        <v>0</v>
      </c>
      <c r="BR890" s="48">
        <f>$G890/5280*VLOOKUP($AC890,'Cost and Score'!$B$27:$O$40,13,0)</f>
        <v>0</v>
      </c>
      <c r="BS890" s="48">
        <f>$G890/5280*VLOOKUP($AC890,'Cost and Score'!$B$27:$O$40,14,0)</f>
        <v>0</v>
      </c>
      <c r="BT890" s="220">
        <f t="shared" si="439"/>
        <v>0.25</v>
      </c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W890" s="2"/>
      <c r="CX890" s="2"/>
      <c r="CY890" s="2"/>
    </row>
    <row r="891" spans="1:103" s="2" customFormat="1" ht="14.45" hidden="1" customHeight="1" x14ac:dyDescent="0.25">
      <c r="A891" s="31" t="s">
        <v>2102</v>
      </c>
      <c r="B891" s="45" t="s">
        <v>1710</v>
      </c>
      <c r="C891" s="26" t="s">
        <v>1710</v>
      </c>
      <c r="D891" s="36" t="s">
        <v>2291</v>
      </c>
      <c r="E891" s="26" t="s">
        <v>1711</v>
      </c>
      <c r="F891" s="26" t="s">
        <v>1712</v>
      </c>
      <c r="G891" s="29">
        <v>475</v>
      </c>
      <c r="H891" s="29">
        <f t="shared" ref="H891:H922" si="466">IF(I891="NC",26,20)</f>
        <v>26</v>
      </c>
      <c r="I891" s="26" t="s">
        <v>2098</v>
      </c>
      <c r="J891" s="26" t="s">
        <v>125</v>
      </c>
      <c r="K891" s="26">
        <f t="shared" ref="K891:K896" si="467">VLOOKUP(J891,TOWNSHIPS,2,FALSE)</f>
        <v>0</v>
      </c>
      <c r="L891" s="42">
        <v>7</v>
      </c>
      <c r="M891" s="42">
        <v>8</v>
      </c>
      <c r="N891" s="42">
        <v>8</v>
      </c>
      <c r="O891" s="42">
        <v>8</v>
      </c>
      <c r="P891" s="42">
        <v>8</v>
      </c>
      <c r="Q891" s="42">
        <v>8</v>
      </c>
      <c r="R891" s="42">
        <v>7</v>
      </c>
      <c r="S891" s="42">
        <v>7</v>
      </c>
      <c r="T891" s="42">
        <v>7</v>
      </c>
      <c r="U891" s="42">
        <v>7</v>
      </c>
      <c r="V891" s="42"/>
      <c r="W891" s="42"/>
      <c r="X891" s="42"/>
      <c r="Y891" s="26">
        <v>50</v>
      </c>
      <c r="Z891" s="26">
        <f t="shared" si="462"/>
        <v>0</v>
      </c>
      <c r="AA891" s="26" t="s">
        <v>1710</v>
      </c>
      <c r="AB891" s="111">
        <f t="shared" si="463"/>
        <v>2</v>
      </c>
      <c r="AC891" s="26" t="s">
        <v>2086</v>
      </c>
      <c r="AD891" s="47">
        <v>3842.2</v>
      </c>
      <c r="AE891" s="140"/>
      <c r="AF891" s="113">
        <f t="shared" si="452"/>
        <v>0</v>
      </c>
      <c r="AG891" s="26">
        <v>2024</v>
      </c>
      <c r="AH891" s="26" t="str">
        <f t="shared" si="440"/>
        <v/>
      </c>
      <c r="AI891" s="26" t="str">
        <f t="shared" si="457"/>
        <v/>
      </c>
      <c r="AJ891" s="26" t="str">
        <f t="shared" si="460"/>
        <v>Fog Seal</v>
      </c>
      <c r="AK891" s="26" t="str">
        <f t="shared" si="465"/>
        <v/>
      </c>
      <c r="AL891" s="26" t="str">
        <f t="shared" si="465"/>
        <v/>
      </c>
      <c r="AM891" s="26" t="str">
        <f t="shared" si="465"/>
        <v/>
      </c>
      <c r="AN891" s="26" t="str">
        <f t="shared" si="449"/>
        <v>Fog Seal</v>
      </c>
      <c r="AO891" s="26" t="str">
        <f t="shared" si="461"/>
        <v/>
      </c>
      <c r="AP891" s="26" t="str">
        <f t="shared" si="459"/>
        <v/>
      </c>
      <c r="AQ891" s="68">
        <f t="shared" si="453"/>
        <v>12</v>
      </c>
      <c r="AR891" s="68">
        <f t="shared" si="454"/>
        <v>2</v>
      </c>
      <c r="AS891" s="68">
        <f t="shared" si="443"/>
        <v>1.05</v>
      </c>
      <c r="AT891" s="68">
        <f t="shared" si="444"/>
        <v>1</v>
      </c>
      <c r="AU891" s="68">
        <f t="shared" si="445"/>
        <v>1</v>
      </c>
      <c r="AV891" s="68">
        <f t="shared" si="446"/>
        <v>1</v>
      </c>
      <c r="AW891" s="68">
        <f t="shared" si="447"/>
        <v>1</v>
      </c>
      <c r="AX891" s="68">
        <f t="shared" ca="1" si="464"/>
        <v>0</v>
      </c>
      <c r="AY891" s="68">
        <v>2018</v>
      </c>
      <c r="AZ891" s="68" t="s">
        <v>2371</v>
      </c>
      <c r="BA891" s="106" t="str">
        <f t="shared" si="438"/>
        <v>MICRO</v>
      </c>
      <c r="BB891" s="178"/>
      <c r="BC891" s="178"/>
      <c r="BD891" s="178"/>
      <c r="BE891" s="178"/>
      <c r="BF891" s="178"/>
      <c r="BG891" s="178"/>
      <c r="BH891" s="178"/>
      <c r="BI891" s="33"/>
      <c r="BK891" s="48">
        <f>$G891/5280*VLOOKUP($AC891,'Cost and Score'!$B$27:$O$40,6,0)</f>
        <v>8.9962121212121219E-3</v>
      </c>
      <c r="BL891" s="48">
        <f>$G891/5280*VLOOKUP($AC891,'Cost and Score'!$B$27:$O$40,7,0)</f>
        <v>1.7992424242424244E-2</v>
      </c>
      <c r="BM891" s="48">
        <f>$G891/5280*VLOOKUP($AC891,'Cost and Score'!$B$27:$O$40,8,0)</f>
        <v>0</v>
      </c>
      <c r="BN891" s="48">
        <f>$G891/5280*VLOOKUP($AC891,'Cost and Score'!$B$27:$O$40,9,0)</f>
        <v>0</v>
      </c>
      <c r="BO891" s="48">
        <f>$G891/5280*VLOOKUP($AC891,'Cost and Score'!$B$27:$O$40,10,0)</f>
        <v>89.962121212121218</v>
      </c>
      <c r="BP891" s="48">
        <f>$G891/5280*VLOOKUP($AC891,'Cost and Score'!$B$27:$O$40,11,0)</f>
        <v>0</v>
      </c>
      <c r="BQ891" s="48">
        <f>$G891/5280*VLOOKUP($AC891,'Cost and Score'!$B$27:$O$40,12,0)</f>
        <v>0</v>
      </c>
      <c r="BR891" s="48">
        <f>$G891/5280*VLOOKUP($AC891,'Cost and Score'!$B$27:$O$40,13,0)</f>
        <v>0</v>
      </c>
      <c r="BS891" s="48">
        <f>$G891/5280*VLOOKUP($AC891,'Cost and Score'!$B$27:$O$40,14,0)</f>
        <v>0</v>
      </c>
      <c r="BT891" s="220">
        <f t="shared" si="439"/>
        <v>8.9962121212121215E-2</v>
      </c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V891" s="112"/>
    </row>
    <row r="892" spans="1:103" s="112" customFormat="1" ht="14.45" hidden="1" customHeight="1" x14ac:dyDescent="0.25">
      <c r="A892" s="31" t="s">
        <v>2102</v>
      </c>
      <c r="B892" s="227" t="s">
        <v>2319</v>
      </c>
      <c r="C892" s="106" t="s">
        <v>2319</v>
      </c>
      <c r="D892" s="116" t="s">
        <v>2251</v>
      </c>
      <c r="E892" s="106" t="s">
        <v>1614</v>
      </c>
      <c r="F892" s="106" t="s">
        <v>1416</v>
      </c>
      <c r="G892" s="109">
        <v>1267</v>
      </c>
      <c r="H892" s="109">
        <f t="shared" si="466"/>
        <v>26</v>
      </c>
      <c r="I892" s="106" t="s">
        <v>2098</v>
      </c>
      <c r="J892" s="106" t="s">
        <v>160</v>
      </c>
      <c r="K892" s="106">
        <f t="shared" si="467"/>
        <v>0</v>
      </c>
      <c r="L892" s="110">
        <v>7</v>
      </c>
      <c r="M892" s="110">
        <v>6</v>
      </c>
      <c r="N892" s="110">
        <v>6</v>
      </c>
      <c r="O892" s="110">
        <v>6</v>
      </c>
      <c r="P892" s="110">
        <v>8</v>
      </c>
      <c r="Q892" s="110">
        <v>7</v>
      </c>
      <c r="R892" s="110">
        <v>7</v>
      </c>
      <c r="S892" s="110">
        <v>7</v>
      </c>
      <c r="T892" s="110">
        <v>7</v>
      </c>
      <c r="U892" s="110">
        <v>7</v>
      </c>
      <c r="V892" s="110"/>
      <c r="W892" s="110"/>
      <c r="X892" s="110"/>
      <c r="Y892" s="106">
        <v>156</v>
      </c>
      <c r="Z892" s="106">
        <f t="shared" si="462"/>
        <v>0</v>
      </c>
      <c r="AA892" s="106" t="s">
        <v>1613</v>
      </c>
      <c r="AB892" s="111">
        <f t="shared" si="463"/>
        <v>2</v>
      </c>
      <c r="AC892" s="85" t="s">
        <v>2489</v>
      </c>
      <c r="AD892" s="107">
        <f t="shared" ref="AD892:AD913" si="468">VLOOKUP(AC892,Cost,2,FALSE)*G892/5280</f>
        <v>5999.05303030303</v>
      </c>
      <c r="AE892" s="198"/>
      <c r="AF892" s="113">
        <f t="shared" si="452"/>
        <v>0</v>
      </c>
      <c r="AG892" s="85">
        <v>2026</v>
      </c>
      <c r="AH892" s="26" t="str">
        <f t="shared" si="440"/>
        <v/>
      </c>
      <c r="AI892" s="26" t="str">
        <f t="shared" si="457"/>
        <v/>
      </c>
      <c r="AJ892" s="26" t="str">
        <f t="shared" si="460"/>
        <v/>
      </c>
      <c r="AK892" s="26" t="str">
        <f t="shared" si="465"/>
        <v/>
      </c>
      <c r="AL892" s="26" t="str">
        <f t="shared" si="465"/>
        <v>Liquid Road</v>
      </c>
      <c r="AM892" s="26" t="str">
        <f t="shared" si="465"/>
        <v/>
      </c>
      <c r="AN892" s="26" t="str">
        <f t="shared" si="449"/>
        <v>Liquid Road</v>
      </c>
      <c r="AO892" s="26" t="str">
        <f t="shared" si="461"/>
        <v/>
      </c>
      <c r="AP892" s="26" t="str">
        <f t="shared" si="459"/>
        <v/>
      </c>
      <c r="AQ892" s="68">
        <f t="shared" si="453"/>
        <v>8</v>
      </c>
      <c r="AR892" s="68">
        <f t="shared" si="454"/>
        <v>10</v>
      </c>
      <c r="AS892" s="68">
        <f t="shared" si="443"/>
        <v>1.05</v>
      </c>
      <c r="AT892" s="68">
        <f t="shared" si="444"/>
        <v>1.1000000000000001</v>
      </c>
      <c r="AU892" s="68">
        <f t="shared" si="445"/>
        <v>1.1000000000000001</v>
      </c>
      <c r="AV892" s="68">
        <f t="shared" si="446"/>
        <v>1.1000000000000001</v>
      </c>
      <c r="AW892" s="68">
        <f t="shared" si="447"/>
        <v>1</v>
      </c>
      <c r="AX892" s="68">
        <f t="shared" ca="1" si="464"/>
        <v>2.2000000000000002</v>
      </c>
      <c r="AY892" s="106">
        <v>2017</v>
      </c>
      <c r="AZ892" s="68" t="s">
        <v>2371</v>
      </c>
      <c r="BA892" s="106" t="str">
        <f t="shared" si="438"/>
        <v/>
      </c>
      <c r="BB892" s="178"/>
      <c r="BC892" s="178"/>
      <c r="BD892" s="178"/>
      <c r="BE892" s="178"/>
      <c r="BF892" s="178">
        <v>3</v>
      </c>
      <c r="BG892" s="178"/>
      <c r="BH892" s="178"/>
      <c r="BI892" s="33"/>
      <c r="BJ892" s="2"/>
      <c r="BK892" s="48">
        <f>$G892/5280*VLOOKUP($AC892,'Cost and Score'!$B$27:$O$40,6,0)</f>
        <v>0.23996212121212121</v>
      </c>
      <c r="BL892" s="48">
        <f>$G892/5280*VLOOKUP($AC892,'Cost and Score'!$B$27:$O$40,7,0)</f>
        <v>3.8393939393939394</v>
      </c>
      <c r="BM892" s="48">
        <f>$G892/5280*VLOOKUP($AC892,'Cost and Score'!$B$27:$O$40,8,0)</f>
        <v>0</v>
      </c>
      <c r="BN892" s="48">
        <f>$G892/5280*VLOOKUP($AC892,'Cost and Score'!$B$27:$O$40,9,0)</f>
        <v>0</v>
      </c>
      <c r="BO892" s="48">
        <f>$G892/5280*VLOOKUP($AC892,'Cost and Score'!$B$27:$O$40,10,0)</f>
        <v>0</v>
      </c>
      <c r="BP892" s="48">
        <f>$G892/5280*VLOOKUP($AC892,'Cost and Score'!$B$27:$O$40,11,0)</f>
        <v>0</v>
      </c>
      <c r="BQ892" s="48">
        <f>$G892/5280*VLOOKUP($AC892,'Cost and Score'!$B$27:$O$40,12,0)</f>
        <v>0</v>
      </c>
      <c r="BR892" s="48">
        <f>$G892/5280*VLOOKUP($AC892,'Cost and Score'!$B$27:$O$40,13,0)</f>
        <v>0</v>
      </c>
      <c r="BS892" s="48">
        <f>$G892/5280*VLOOKUP($AC892,'Cost and Score'!$B$27:$O$40,14,0)</f>
        <v>0</v>
      </c>
      <c r="BT892" s="220">
        <f t="shared" si="439"/>
        <v>0.23996212121212121</v>
      </c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V892" s="2"/>
    </row>
    <row r="893" spans="1:103" s="2" customFormat="1" ht="14.45" hidden="1" customHeight="1" x14ac:dyDescent="0.25">
      <c r="A893" s="31" t="s">
        <v>2102</v>
      </c>
      <c r="B893" s="227" t="s">
        <v>2320</v>
      </c>
      <c r="C893" s="106" t="s">
        <v>2320</v>
      </c>
      <c r="D893" s="116" t="s">
        <v>2251</v>
      </c>
      <c r="E893" s="106" t="s">
        <v>1614</v>
      </c>
      <c r="F893" s="106" t="s">
        <v>1416</v>
      </c>
      <c r="G893" s="109">
        <v>370</v>
      </c>
      <c r="H893" s="109">
        <f t="shared" si="466"/>
        <v>26</v>
      </c>
      <c r="I893" s="106" t="s">
        <v>2098</v>
      </c>
      <c r="J893" s="106" t="s">
        <v>160</v>
      </c>
      <c r="K893" s="106">
        <f t="shared" si="467"/>
        <v>0</v>
      </c>
      <c r="L893" s="110">
        <v>7</v>
      </c>
      <c r="M893" s="110">
        <v>7</v>
      </c>
      <c r="N893" s="110">
        <v>7</v>
      </c>
      <c r="O893" s="110">
        <v>7</v>
      </c>
      <c r="P893" s="110">
        <v>8</v>
      </c>
      <c r="Q893" s="110">
        <v>8</v>
      </c>
      <c r="R893" s="110">
        <v>7</v>
      </c>
      <c r="S893" s="110">
        <v>7</v>
      </c>
      <c r="T893" s="110">
        <v>7</v>
      </c>
      <c r="U893" s="110">
        <v>7</v>
      </c>
      <c r="V893" s="110"/>
      <c r="W893" s="110"/>
      <c r="X893" s="110"/>
      <c r="Y893" s="106">
        <v>156</v>
      </c>
      <c r="Z893" s="106">
        <f t="shared" si="462"/>
        <v>0</v>
      </c>
      <c r="AA893" s="106" t="s">
        <v>1849</v>
      </c>
      <c r="AB893" s="111">
        <f t="shared" si="463"/>
        <v>2</v>
      </c>
      <c r="AC893" s="85" t="s">
        <v>2489</v>
      </c>
      <c r="AD893" s="107">
        <f t="shared" si="468"/>
        <v>1751.8939393939395</v>
      </c>
      <c r="AE893" s="198"/>
      <c r="AF893" s="113">
        <f t="shared" si="452"/>
        <v>0</v>
      </c>
      <c r="AG893" s="85">
        <v>2026</v>
      </c>
      <c r="AH893" s="26" t="str">
        <f t="shared" si="440"/>
        <v/>
      </c>
      <c r="AI893" s="26" t="str">
        <f t="shared" si="457"/>
        <v/>
      </c>
      <c r="AJ893" s="26" t="str">
        <f t="shared" si="460"/>
        <v/>
      </c>
      <c r="AK893" s="26" t="str">
        <f t="shared" si="465"/>
        <v/>
      </c>
      <c r="AL893" s="26" t="str">
        <f t="shared" si="465"/>
        <v>Liquid Road</v>
      </c>
      <c r="AM893" s="26" t="str">
        <f t="shared" si="465"/>
        <v/>
      </c>
      <c r="AN893" s="26" t="str">
        <f t="shared" si="449"/>
        <v>Liquid Road</v>
      </c>
      <c r="AO893" s="26" t="str">
        <f t="shared" si="461"/>
        <v/>
      </c>
      <c r="AP893" s="26" t="str">
        <f t="shared" si="459"/>
        <v/>
      </c>
      <c r="AQ893" s="68">
        <f t="shared" si="453"/>
        <v>10</v>
      </c>
      <c r="AR893" s="68">
        <f t="shared" si="454"/>
        <v>10</v>
      </c>
      <c r="AS893" s="68">
        <f t="shared" si="443"/>
        <v>1.05</v>
      </c>
      <c r="AT893" s="68">
        <f t="shared" si="444"/>
        <v>1.05</v>
      </c>
      <c r="AU893" s="68">
        <f t="shared" si="445"/>
        <v>1.05</v>
      </c>
      <c r="AV893" s="68">
        <f t="shared" si="446"/>
        <v>1.05</v>
      </c>
      <c r="AW893" s="68">
        <f t="shared" si="447"/>
        <v>1</v>
      </c>
      <c r="AX893" s="68">
        <f t="shared" ca="1" si="464"/>
        <v>2.1</v>
      </c>
      <c r="AY893" s="106">
        <v>2017</v>
      </c>
      <c r="AZ893" s="68" t="s">
        <v>2371</v>
      </c>
      <c r="BA893" s="106" t="str">
        <f t="shared" si="438"/>
        <v/>
      </c>
      <c r="BB893" s="178"/>
      <c r="BC893" s="178"/>
      <c r="BD893" s="178"/>
      <c r="BE893" s="178"/>
      <c r="BF893" s="178">
        <v>3</v>
      </c>
      <c r="BG893" s="178"/>
      <c r="BH893" s="178"/>
      <c r="BI893" s="33"/>
      <c r="BK893" s="48">
        <f>$G893/5280*VLOOKUP($AC893,'Cost and Score'!$B$27:$O$40,6,0)</f>
        <v>7.0075757575757569E-2</v>
      </c>
      <c r="BL893" s="48">
        <f>$G893/5280*VLOOKUP($AC893,'Cost and Score'!$B$27:$O$40,7,0)</f>
        <v>1.1212121212121211</v>
      </c>
      <c r="BM893" s="48">
        <f>$G893/5280*VLOOKUP($AC893,'Cost and Score'!$B$27:$O$40,8,0)</f>
        <v>0</v>
      </c>
      <c r="BN893" s="48">
        <f>$G893/5280*VLOOKUP($AC893,'Cost and Score'!$B$27:$O$40,9,0)</f>
        <v>0</v>
      </c>
      <c r="BO893" s="48">
        <f>$G893/5280*VLOOKUP($AC893,'Cost and Score'!$B$27:$O$40,10,0)</f>
        <v>0</v>
      </c>
      <c r="BP893" s="48">
        <f>$G893/5280*VLOOKUP($AC893,'Cost and Score'!$B$27:$O$40,11,0)</f>
        <v>0</v>
      </c>
      <c r="BQ893" s="48">
        <f>$G893/5280*VLOOKUP($AC893,'Cost and Score'!$B$27:$O$40,12,0)</f>
        <v>0</v>
      </c>
      <c r="BR893" s="48">
        <f>$G893/5280*VLOOKUP($AC893,'Cost and Score'!$B$27:$O$40,13,0)</f>
        <v>0</v>
      </c>
      <c r="BS893" s="48">
        <f>$G893/5280*VLOOKUP($AC893,'Cost and Score'!$B$27:$O$40,14,0)</f>
        <v>0</v>
      </c>
      <c r="BT893" s="220">
        <f t="shared" si="439"/>
        <v>7.0075757575757569E-2</v>
      </c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</row>
    <row r="894" spans="1:103" s="112" customFormat="1" ht="14.45" hidden="1" customHeight="1" x14ac:dyDescent="0.25">
      <c r="A894" s="31" t="s">
        <v>2102</v>
      </c>
      <c r="B894" s="227" t="s">
        <v>2318</v>
      </c>
      <c r="C894" s="106" t="s">
        <v>2318</v>
      </c>
      <c r="D894" s="116" t="s">
        <v>2251</v>
      </c>
      <c r="E894" s="106" t="s">
        <v>1614</v>
      </c>
      <c r="F894" s="106" t="s">
        <v>1416</v>
      </c>
      <c r="G894" s="109">
        <v>370</v>
      </c>
      <c r="H894" s="109">
        <f t="shared" si="466"/>
        <v>26</v>
      </c>
      <c r="I894" s="106" t="s">
        <v>2098</v>
      </c>
      <c r="J894" s="106" t="s">
        <v>160</v>
      </c>
      <c r="K894" s="106">
        <f t="shared" si="467"/>
        <v>0</v>
      </c>
      <c r="L894" s="110">
        <v>7</v>
      </c>
      <c r="M894" s="110">
        <v>7</v>
      </c>
      <c r="N894" s="110">
        <v>7</v>
      </c>
      <c r="O894" s="110">
        <v>7</v>
      </c>
      <c r="P894" s="110">
        <v>8</v>
      </c>
      <c r="Q894" s="110">
        <v>8</v>
      </c>
      <c r="R894" s="110">
        <v>7</v>
      </c>
      <c r="S894" s="110">
        <v>7</v>
      </c>
      <c r="T894" s="110">
        <v>7</v>
      </c>
      <c r="U894" s="110">
        <v>7</v>
      </c>
      <c r="V894" s="110"/>
      <c r="W894" s="110"/>
      <c r="X894" s="110"/>
      <c r="Y894" s="106">
        <v>156</v>
      </c>
      <c r="Z894" s="106">
        <f t="shared" si="462"/>
        <v>0</v>
      </c>
      <c r="AA894" s="106" t="s">
        <v>1938</v>
      </c>
      <c r="AB894" s="111">
        <f t="shared" si="463"/>
        <v>2</v>
      </c>
      <c r="AC894" s="85" t="s">
        <v>2489</v>
      </c>
      <c r="AD894" s="107">
        <f t="shared" si="468"/>
        <v>1751.8939393939395</v>
      </c>
      <c r="AE894" s="198"/>
      <c r="AF894" s="113">
        <f t="shared" si="452"/>
        <v>0</v>
      </c>
      <c r="AG894" s="85">
        <v>2026</v>
      </c>
      <c r="AH894" s="26" t="str">
        <f t="shared" si="440"/>
        <v/>
      </c>
      <c r="AI894" s="26" t="str">
        <f t="shared" si="457"/>
        <v/>
      </c>
      <c r="AJ894" s="26" t="str">
        <f t="shared" si="460"/>
        <v/>
      </c>
      <c r="AK894" s="26" t="str">
        <f t="shared" si="465"/>
        <v/>
      </c>
      <c r="AL894" s="26" t="str">
        <f t="shared" si="465"/>
        <v>Liquid Road</v>
      </c>
      <c r="AM894" s="26" t="str">
        <f t="shared" si="465"/>
        <v/>
      </c>
      <c r="AN894" s="26" t="str">
        <f t="shared" si="449"/>
        <v>Liquid Road</v>
      </c>
      <c r="AO894" s="26" t="str">
        <f t="shared" si="461"/>
        <v/>
      </c>
      <c r="AP894" s="26" t="str">
        <f t="shared" si="459"/>
        <v/>
      </c>
      <c r="AQ894" s="68">
        <f t="shared" si="453"/>
        <v>10</v>
      </c>
      <c r="AR894" s="68">
        <f t="shared" si="454"/>
        <v>10</v>
      </c>
      <c r="AS894" s="68">
        <f t="shared" si="443"/>
        <v>1.05</v>
      </c>
      <c r="AT894" s="68">
        <f t="shared" si="444"/>
        <v>1.05</v>
      </c>
      <c r="AU894" s="68">
        <f t="shared" si="445"/>
        <v>1.05</v>
      </c>
      <c r="AV894" s="68">
        <f t="shared" si="446"/>
        <v>1.05</v>
      </c>
      <c r="AW894" s="68">
        <f t="shared" si="447"/>
        <v>1</v>
      </c>
      <c r="AX894" s="68">
        <f t="shared" ca="1" si="464"/>
        <v>2.1</v>
      </c>
      <c r="AY894" s="106">
        <v>2017</v>
      </c>
      <c r="AZ894" s="68" t="s">
        <v>2371</v>
      </c>
      <c r="BA894" s="106" t="str">
        <f t="shared" si="438"/>
        <v/>
      </c>
      <c r="BB894" s="178"/>
      <c r="BC894" s="178"/>
      <c r="BD894" s="178"/>
      <c r="BE894" s="178"/>
      <c r="BF894" s="178">
        <v>3</v>
      </c>
      <c r="BG894" s="178"/>
      <c r="BH894" s="178"/>
      <c r="BI894" s="33"/>
      <c r="BJ894" s="2"/>
      <c r="BK894" s="48">
        <f>$G894/5280*VLOOKUP($AC894,'Cost and Score'!$B$27:$O$40,6,0)</f>
        <v>7.0075757575757569E-2</v>
      </c>
      <c r="BL894" s="48">
        <f>$G894/5280*VLOOKUP($AC894,'Cost and Score'!$B$27:$O$40,7,0)</f>
        <v>1.1212121212121211</v>
      </c>
      <c r="BM894" s="48">
        <f>$G894/5280*VLOOKUP($AC894,'Cost and Score'!$B$27:$O$40,8,0)</f>
        <v>0</v>
      </c>
      <c r="BN894" s="48">
        <f>$G894/5280*VLOOKUP($AC894,'Cost and Score'!$B$27:$O$40,9,0)</f>
        <v>0</v>
      </c>
      <c r="BO894" s="48">
        <f>$G894/5280*VLOOKUP($AC894,'Cost and Score'!$B$27:$O$40,10,0)</f>
        <v>0</v>
      </c>
      <c r="BP894" s="48">
        <f>$G894/5280*VLOOKUP($AC894,'Cost and Score'!$B$27:$O$40,11,0)</f>
        <v>0</v>
      </c>
      <c r="BQ894" s="48">
        <f>$G894/5280*VLOOKUP($AC894,'Cost and Score'!$B$27:$O$40,12,0)</f>
        <v>0</v>
      </c>
      <c r="BR894" s="48">
        <f>$G894/5280*VLOOKUP($AC894,'Cost and Score'!$B$27:$O$40,13,0)</f>
        <v>0</v>
      </c>
      <c r="BS894" s="48">
        <f>$G894/5280*VLOOKUP($AC894,'Cost and Score'!$B$27:$O$40,14,0)</f>
        <v>0</v>
      </c>
      <c r="BT894" s="220">
        <f t="shared" si="439"/>
        <v>7.0075757575757569E-2</v>
      </c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N894" s="2"/>
      <c r="CO894" s="2"/>
      <c r="CP894" s="2"/>
      <c r="CQ894" s="2"/>
      <c r="CV894" s="2"/>
    </row>
    <row r="895" spans="1:103" s="112" customFormat="1" ht="14.45" hidden="1" customHeight="1" x14ac:dyDescent="0.25">
      <c r="A895" s="31" t="s">
        <v>2102</v>
      </c>
      <c r="B895" s="227" t="s">
        <v>2317</v>
      </c>
      <c r="C895" s="106" t="s">
        <v>2317</v>
      </c>
      <c r="D895" s="116" t="s">
        <v>2251</v>
      </c>
      <c r="E895" s="106" t="s">
        <v>1614</v>
      </c>
      <c r="F895" s="106" t="s">
        <v>1416</v>
      </c>
      <c r="G895" s="109">
        <v>317</v>
      </c>
      <c r="H895" s="109">
        <f t="shared" si="466"/>
        <v>26</v>
      </c>
      <c r="I895" s="106" t="s">
        <v>2098</v>
      </c>
      <c r="J895" s="106" t="s">
        <v>160</v>
      </c>
      <c r="K895" s="106">
        <f t="shared" si="467"/>
        <v>0</v>
      </c>
      <c r="L895" s="110">
        <v>7</v>
      </c>
      <c r="M895" s="110">
        <v>7</v>
      </c>
      <c r="N895" s="110">
        <v>7</v>
      </c>
      <c r="O895" s="110">
        <v>7</v>
      </c>
      <c r="P895" s="110">
        <v>8</v>
      </c>
      <c r="Q895" s="110">
        <v>8</v>
      </c>
      <c r="R895" s="110">
        <v>7</v>
      </c>
      <c r="S895" s="110">
        <v>7</v>
      </c>
      <c r="T895" s="110">
        <v>7</v>
      </c>
      <c r="U895" s="110">
        <v>7</v>
      </c>
      <c r="V895" s="110"/>
      <c r="W895" s="110"/>
      <c r="X895" s="110"/>
      <c r="Y895" s="106">
        <v>156</v>
      </c>
      <c r="Z895" s="106">
        <f t="shared" si="462"/>
        <v>0</v>
      </c>
      <c r="AA895" s="106" t="s">
        <v>2036</v>
      </c>
      <c r="AB895" s="111">
        <f t="shared" si="463"/>
        <v>2</v>
      </c>
      <c r="AC895" s="85" t="s">
        <v>2489</v>
      </c>
      <c r="AD895" s="107">
        <f t="shared" si="468"/>
        <v>1500.9469696969697</v>
      </c>
      <c r="AE895" s="198"/>
      <c r="AF895" s="113">
        <f t="shared" si="452"/>
        <v>0</v>
      </c>
      <c r="AG895" s="85">
        <v>2026</v>
      </c>
      <c r="AH895" s="26" t="str">
        <f t="shared" si="440"/>
        <v/>
      </c>
      <c r="AI895" s="26" t="str">
        <f t="shared" si="457"/>
        <v/>
      </c>
      <c r="AJ895" s="26" t="str">
        <f t="shared" si="460"/>
        <v/>
      </c>
      <c r="AK895" s="26" t="str">
        <f t="shared" si="465"/>
        <v/>
      </c>
      <c r="AL895" s="26" t="str">
        <f t="shared" si="465"/>
        <v>Liquid Road</v>
      </c>
      <c r="AM895" s="26" t="str">
        <f t="shared" si="465"/>
        <v/>
      </c>
      <c r="AN895" s="26" t="str">
        <f t="shared" si="449"/>
        <v>Liquid Road</v>
      </c>
      <c r="AO895" s="26" t="str">
        <f t="shared" si="461"/>
        <v/>
      </c>
      <c r="AP895" s="26" t="str">
        <f t="shared" si="459"/>
        <v/>
      </c>
      <c r="AQ895" s="68">
        <f t="shared" si="453"/>
        <v>10</v>
      </c>
      <c r="AR895" s="68">
        <f t="shared" si="454"/>
        <v>10</v>
      </c>
      <c r="AS895" s="68">
        <f t="shared" si="443"/>
        <v>1.05</v>
      </c>
      <c r="AT895" s="68">
        <f t="shared" si="444"/>
        <v>1.05</v>
      </c>
      <c r="AU895" s="68">
        <f t="shared" si="445"/>
        <v>1.05</v>
      </c>
      <c r="AV895" s="68">
        <f t="shared" si="446"/>
        <v>1.05</v>
      </c>
      <c r="AW895" s="68">
        <f t="shared" si="447"/>
        <v>1</v>
      </c>
      <c r="AX895" s="68">
        <f t="shared" ca="1" si="464"/>
        <v>2.1</v>
      </c>
      <c r="AY895" s="106">
        <v>2017</v>
      </c>
      <c r="AZ895" s="68" t="s">
        <v>2371</v>
      </c>
      <c r="BA895" s="106" t="str">
        <f t="shared" si="438"/>
        <v/>
      </c>
      <c r="BB895" s="178"/>
      <c r="BC895" s="178"/>
      <c r="BD895" s="178"/>
      <c r="BE895" s="178"/>
      <c r="BF895" s="178">
        <v>3</v>
      </c>
      <c r="BG895" s="178"/>
      <c r="BH895" s="178"/>
      <c r="BI895" s="33"/>
      <c r="BJ895" s="2"/>
      <c r="BK895" s="48">
        <f>$G895/5280*VLOOKUP($AC895,'Cost and Score'!$B$27:$O$40,6,0)</f>
        <v>6.0037878787878786E-2</v>
      </c>
      <c r="BL895" s="48">
        <f>$G895/5280*VLOOKUP($AC895,'Cost and Score'!$B$27:$O$40,7,0)</f>
        <v>0.96060606060606057</v>
      </c>
      <c r="BM895" s="48">
        <f>$G895/5280*VLOOKUP($AC895,'Cost and Score'!$B$27:$O$40,8,0)</f>
        <v>0</v>
      </c>
      <c r="BN895" s="48">
        <f>$G895/5280*VLOOKUP($AC895,'Cost and Score'!$B$27:$O$40,9,0)</f>
        <v>0</v>
      </c>
      <c r="BO895" s="48">
        <f>$G895/5280*VLOOKUP($AC895,'Cost and Score'!$B$27:$O$40,10,0)</f>
        <v>0</v>
      </c>
      <c r="BP895" s="48">
        <f>$G895/5280*VLOOKUP($AC895,'Cost and Score'!$B$27:$O$40,11,0)</f>
        <v>0</v>
      </c>
      <c r="BQ895" s="48">
        <f>$G895/5280*VLOOKUP($AC895,'Cost and Score'!$B$27:$O$40,12,0)</f>
        <v>0</v>
      </c>
      <c r="BR895" s="48">
        <f>$G895/5280*VLOOKUP($AC895,'Cost and Score'!$B$27:$O$40,13,0)</f>
        <v>0</v>
      </c>
      <c r="BS895" s="48">
        <f>$G895/5280*VLOOKUP($AC895,'Cost and Score'!$B$27:$O$40,14,0)</f>
        <v>0</v>
      </c>
      <c r="BT895" s="220">
        <f t="shared" si="439"/>
        <v>6.0037878787878786E-2</v>
      </c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W895" s="2"/>
      <c r="CX895" s="2"/>
      <c r="CY895" s="2"/>
    </row>
    <row r="896" spans="1:103" s="112" customFormat="1" ht="14.45" hidden="1" customHeight="1" x14ac:dyDescent="0.25">
      <c r="A896" s="31" t="s">
        <v>2102</v>
      </c>
      <c r="B896" s="227" t="s">
        <v>2316</v>
      </c>
      <c r="C896" s="106" t="s">
        <v>2316</v>
      </c>
      <c r="D896" s="116" t="s">
        <v>2251</v>
      </c>
      <c r="E896" s="106" t="s">
        <v>1614</v>
      </c>
      <c r="F896" s="106" t="s">
        <v>1416</v>
      </c>
      <c r="G896" s="109">
        <v>1214</v>
      </c>
      <c r="H896" s="109">
        <f t="shared" si="466"/>
        <v>26</v>
      </c>
      <c r="I896" s="106" t="s">
        <v>2098</v>
      </c>
      <c r="J896" s="106" t="s">
        <v>160</v>
      </c>
      <c r="K896" s="106">
        <f t="shared" si="467"/>
        <v>0</v>
      </c>
      <c r="L896" s="110">
        <v>7</v>
      </c>
      <c r="M896" s="110">
        <v>7</v>
      </c>
      <c r="N896" s="110">
        <v>7</v>
      </c>
      <c r="O896" s="110">
        <v>7</v>
      </c>
      <c r="P896" s="110">
        <v>8</v>
      </c>
      <c r="Q896" s="110">
        <v>8</v>
      </c>
      <c r="R896" s="110">
        <v>7</v>
      </c>
      <c r="S896" s="110">
        <v>7</v>
      </c>
      <c r="T896" s="110">
        <v>7</v>
      </c>
      <c r="U896" s="110">
        <v>7</v>
      </c>
      <c r="V896" s="110"/>
      <c r="W896" s="110"/>
      <c r="X896" s="110"/>
      <c r="Y896" s="106">
        <v>156</v>
      </c>
      <c r="Z896" s="106">
        <f t="shared" si="462"/>
        <v>0</v>
      </c>
      <c r="AA896" s="106" t="s">
        <v>1420</v>
      </c>
      <c r="AB896" s="111">
        <f t="shared" si="463"/>
        <v>2</v>
      </c>
      <c r="AC896" s="85" t="s">
        <v>2489</v>
      </c>
      <c r="AD896" s="107">
        <f t="shared" si="468"/>
        <v>5748.106060606061</v>
      </c>
      <c r="AE896" s="198"/>
      <c r="AF896" s="113">
        <f t="shared" si="452"/>
        <v>0</v>
      </c>
      <c r="AG896" s="85">
        <v>2026</v>
      </c>
      <c r="AH896" s="26" t="str">
        <f t="shared" si="440"/>
        <v/>
      </c>
      <c r="AI896" s="26" t="str">
        <f t="shared" si="457"/>
        <v/>
      </c>
      <c r="AJ896" s="26" t="str">
        <f t="shared" si="460"/>
        <v/>
      </c>
      <c r="AK896" s="26" t="str">
        <f t="shared" si="465"/>
        <v/>
      </c>
      <c r="AL896" s="26" t="str">
        <f t="shared" si="465"/>
        <v>Liquid Road</v>
      </c>
      <c r="AM896" s="26" t="str">
        <f t="shared" si="465"/>
        <v/>
      </c>
      <c r="AN896" s="26" t="str">
        <f t="shared" si="449"/>
        <v>Liquid Road</v>
      </c>
      <c r="AO896" s="26" t="str">
        <f t="shared" si="461"/>
        <v/>
      </c>
      <c r="AP896" s="26" t="str">
        <f t="shared" si="459"/>
        <v/>
      </c>
      <c r="AQ896" s="68">
        <f t="shared" si="453"/>
        <v>10</v>
      </c>
      <c r="AR896" s="68">
        <f t="shared" si="454"/>
        <v>10</v>
      </c>
      <c r="AS896" s="68">
        <f t="shared" si="443"/>
        <v>1.05</v>
      </c>
      <c r="AT896" s="68">
        <f t="shared" si="444"/>
        <v>1.05</v>
      </c>
      <c r="AU896" s="68">
        <f t="shared" si="445"/>
        <v>1.05</v>
      </c>
      <c r="AV896" s="68">
        <f t="shared" si="446"/>
        <v>1.05</v>
      </c>
      <c r="AW896" s="68">
        <f t="shared" si="447"/>
        <v>1</v>
      </c>
      <c r="AX896" s="68">
        <f t="shared" ca="1" si="464"/>
        <v>2.1</v>
      </c>
      <c r="AY896" s="106">
        <v>2017</v>
      </c>
      <c r="AZ896" s="68" t="s">
        <v>2371</v>
      </c>
      <c r="BA896" s="106" t="str">
        <f t="shared" si="438"/>
        <v/>
      </c>
      <c r="BB896" s="178"/>
      <c r="BC896" s="178"/>
      <c r="BD896" s="178"/>
      <c r="BE896" s="178"/>
      <c r="BF896" s="178">
        <v>3</v>
      </c>
      <c r="BG896" s="178"/>
      <c r="BH896" s="178"/>
      <c r="BI896" s="33"/>
      <c r="BJ896" s="2"/>
      <c r="BK896" s="48">
        <f>$G896/5280*VLOOKUP($AC896,'Cost and Score'!$B$27:$O$40,6,0)</f>
        <v>0.22992424242424242</v>
      </c>
      <c r="BL896" s="48">
        <f>$G896/5280*VLOOKUP($AC896,'Cost and Score'!$B$27:$O$40,7,0)</f>
        <v>3.6787878787878787</v>
      </c>
      <c r="BM896" s="48">
        <f>$G896/5280*VLOOKUP($AC896,'Cost and Score'!$B$27:$O$40,8,0)</f>
        <v>0</v>
      </c>
      <c r="BN896" s="48">
        <f>$G896/5280*VLOOKUP($AC896,'Cost and Score'!$B$27:$O$40,9,0)</f>
        <v>0</v>
      </c>
      <c r="BO896" s="48">
        <f>$G896/5280*VLOOKUP($AC896,'Cost and Score'!$B$27:$O$40,10,0)</f>
        <v>0</v>
      </c>
      <c r="BP896" s="48">
        <f>$G896/5280*VLOOKUP($AC896,'Cost and Score'!$B$27:$O$40,11,0)</f>
        <v>0</v>
      </c>
      <c r="BQ896" s="48">
        <f>$G896/5280*VLOOKUP($AC896,'Cost and Score'!$B$27:$O$40,12,0)</f>
        <v>0</v>
      </c>
      <c r="BR896" s="48">
        <f>$G896/5280*VLOOKUP($AC896,'Cost and Score'!$B$27:$O$40,13,0)</f>
        <v>0</v>
      </c>
      <c r="BS896" s="48">
        <f>$G896/5280*VLOOKUP($AC896,'Cost and Score'!$B$27:$O$40,14,0)</f>
        <v>0</v>
      </c>
      <c r="BT896" s="220">
        <f t="shared" si="439"/>
        <v>0.22992424242424242</v>
      </c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</row>
    <row r="897" spans="1:103" s="112" customFormat="1" ht="14.45" hidden="1" customHeight="1" x14ac:dyDescent="0.25">
      <c r="A897" s="31" t="s">
        <v>2102</v>
      </c>
      <c r="B897" s="226" t="s">
        <v>1713</v>
      </c>
      <c r="C897" s="106" t="s">
        <v>1713</v>
      </c>
      <c r="D897" s="116" t="s">
        <v>2249</v>
      </c>
      <c r="E897" s="106" t="s">
        <v>1706</v>
      </c>
      <c r="F897" s="106" t="s">
        <v>1707</v>
      </c>
      <c r="G897" s="109">
        <v>528</v>
      </c>
      <c r="H897" s="109">
        <f t="shared" si="466"/>
        <v>26</v>
      </c>
      <c r="I897" s="106" t="s">
        <v>2098</v>
      </c>
      <c r="J897" s="106" t="s">
        <v>101</v>
      </c>
      <c r="K897" s="106">
        <v>0</v>
      </c>
      <c r="L897" s="110">
        <v>6</v>
      </c>
      <c r="M897" s="110">
        <v>7</v>
      </c>
      <c r="N897" s="110">
        <v>6</v>
      </c>
      <c r="O897" s="110">
        <v>6</v>
      </c>
      <c r="P897" s="110">
        <v>9</v>
      </c>
      <c r="Q897" s="110">
        <v>8</v>
      </c>
      <c r="R897" s="110">
        <v>8</v>
      </c>
      <c r="S897" s="110">
        <v>7</v>
      </c>
      <c r="T897" s="110">
        <v>7</v>
      </c>
      <c r="U897" s="110">
        <v>7</v>
      </c>
      <c r="V897" s="110"/>
      <c r="W897" s="110"/>
      <c r="X897" s="110"/>
      <c r="Y897" s="106">
        <v>50</v>
      </c>
      <c r="Z897" s="106">
        <f t="shared" si="462"/>
        <v>0</v>
      </c>
      <c r="AA897" s="106" t="s">
        <v>1713</v>
      </c>
      <c r="AB897" s="111">
        <f t="shared" si="463"/>
        <v>1</v>
      </c>
      <c r="AC897" s="85" t="s">
        <v>2425</v>
      </c>
      <c r="AD897" s="107">
        <f t="shared" si="468"/>
        <v>2500</v>
      </c>
      <c r="AE897" s="198"/>
      <c r="AF897" s="113">
        <f t="shared" si="452"/>
        <v>0</v>
      </c>
      <c r="AG897" s="85">
        <v>2026</v>
      </c>
      <c r="AH897" s="26" t="str">
        <f t="shared" si="440"/>
        <v/>
      </c>
      <c r="AI897" s="26" t="str">
        <f t="shared" si="457"/>
        <v/>
      </c>
      <c r="AJ897" s="26" t="str">
        <f t="shared" si="460"/>
        <v/>
      </c>
      <c r="AK897" s="26" t="str">
        <f t="shared" si="465"/>
        <v/>
      </c>
      <c r="AL897" s="26" t="str">
        <f t="shared" si="465"/>
        <v>Liquid Road</v>
      </c>
      <c r="AM897" s="26" t="str">
        <f t="shared" si="465"/>
        <v/>
      </c>
      <c r="AN897" s="26" t="str">
        <f t="shared" si="449"/>
        <v>Liquid Road</v>
      </c>
      <c r="AO897" s="26" t="str">
        <f t="shared" si="461"/>
        <v/>
      </c>
      <c r="AP897" s="26" t="str">
        <f t="shared" si="459"/>
        <v/>
      </c>
      <c r="AQ897" s="68">
        <f t="shared" si="453"/>
        <v>8</v>
      </c>
      <c r="AR897" s="68">
        <f t="shared" si="454"/>
        <v>10</v>
      </c>
      <c r="AS897" s="68">
        <f t="shared" si="443"/>
        <v>1.1000000000000001</v>
      </c>
      <c r="AT897" s="68">
        <f t="shared" si="444"/>
        <v>1.05</v>
      </c>
      <c r="AU897" s="68">
        <f t="shared" si="445"/>
        <v>1.1000000000000001</v>
      </c>
      <c r="AV897" s="68">
        <f t="shared" si="446"/>
        <v>1.1000000000000001</v>
      </c>
      <c r="AW897" s="68">
        <f t="shared" si="447"/>
        <v>1</v>
      </c>
      <c r="AX897" s="68">
        <f t="shared" ca="1" si="464"/>
        <v>2.2000000000000002</v>
      </c>
      <c r="AY897" s="106">
        <v>2017</v>
      </c>
      <c r="AZ897" s="68" t="s">
        <v>2371</v>
      </c>
      <c r="BA897" s="106" t="str">
        <f t="shared" si="438"/>
        <v/>
      </c>
      <c r="BB897" s="178"/>
      <c r="BC897" s="178"/>
      <c r="BD897" s="178"/>
      <c r="BE897" s="178"/>
      <c r="BF897" s="178">
        <v>3</v>
      </c>
      <c r="BG897" s="178"/>
      <c r="BH897" s="178"/>
      <c r="BI897" s="33"/>
      <c r="BJ897" s="2"/>
      <c r="BK897" s="48">
        <f>$G897/5280*VLOOKUP($AC897,'Cost and Score'!$B$27:$O$40,6,0)</f>
        <v>0.1</v>
      </c>
      <c r="BL897" s="48">
        <f>$G897/5280*VLOOKUP($AC897,'Cost and Score'!$B$27:$O$40,7,0)</f>
        <v>1.6</v>
      </c>
      <c r="BM897" s="48">
        <f>$G897/5280*VLOOKUP($AC897,'Cost and Score'!$B$27:$O$40,8,0)</f>
        <v>0</v>
      </c>
      <c r="BN897" s="48">
        <f>$G897/5280*VLOOKUP($AC897,'Cost and Score'!$B$27:$O$40,9,0)</f>
        <v>0</v>
      </c>
      <c r="BO897" s="48">
        <f>$G897/5280*VLOOKUP($AC897,'Cost and Score'!$B$27:$O$40,10,0)</f>
        <v>0</v>
      </c>
      <c r="BP897" s="48">
        <f>$G897/5280*VLOOKUP($AC897,'Cost and Score'!$B$27:$O$40,11,0)</f>
        <v>0</v>
      </c>
      <c r="BQ897" s="48">
        <f>$G897/5280*VLOOKUP($AC897,'Cost and Score'!$B$27:$O$40,12,0)</f>
        <v>0</v>
      </c>
      <c r="BR897" s="48">
        <f>$G897/5280*VLOOKUP($AC897,'Cost and Score'!$B$27:$O$40,13,0)</f>
        <v>0</v>
      </c>
      <c r="BS897" s="48">
        <f>$G897/5280*VLOOKUP($AC897,'Cost and Score'!$B$27:$O$40,14,0)</f>
        <v>0</v>
      </c>
      <c r="BT897" s="220">
        <f t="shared" si="439"/>
        <v>0.1</v>
      </c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W897" s="2"/>
      <c r="CX897" s="2"/>
      <c r="CY897" s="2"/>
    </row>
    <row r="898" spans="1:103" s="112" customFormat="1" ht="14.45" hidden="1" customHeight="1" x14ac:dyDescent="0.25">
      <c r="A898" s="31"/>
      <c r="B898" s="226" t="s">
        <v>1714</v>
      </c>
      <c r="C898" s="106" t="s">
        <v>1714</v>
      </c>
      <c r="D898" s="116" t="s">
        <v>2224</v>
      </c>
      <c r="E898" s="106" t="s">
        <v>1527</v>
      </c>
      <c r="F898" s="106" t="s">
        <v>1465</v>
      </c>
      <c r="G898" s="109">
        <v>792</v>
      </c>
      <c r="H898" s="109">
        <f t="shared" si="466"/>
        <v>26</v>
      </c>
      <c r="I898" s="106" t="s">
        <v>2098</v>
      </c>
      <c r="J898" s="106" t="s">
        <v>160</v>
      </c>
      <c r="K898" s="106">
        <f>VLOOKUP(J898,TOWNSHIPS,2,FALSE)</f>
        <v>0</v>
      </c>
      <c r="L898" s="110">
        <v>8</v>
      </c>
      <c r="M898" s="110">
        <v>8</v>
      </c>
      <c r="N898" s="110">
        <v>8</v>
      </c>
      <c r="O898" s="110">
        <v>8</v>
      </c>
      <c r="P898" s="110">
        <v>8</v>
      </c>
      <c r="Q898" s="110">
        <v>8</v>
      </c>
      <c r="R898" s="110">
        <v>8</v>
      </c>
      <c r="S898" s="110">
        <v>8</v>
      </c>
      <c r="T898" s="110">
        <v>8</v>
      </c>
      <c r="U898" s="110">
        <v>8</v>
      </c>
      <c r="V898" s="110"/>
      <c r="W898" s="110"/>
      <c r="X898" s="110"/>
      <c r="Y898" s="106">
        <v>325</v>
      </c>
      <c r="Z898" s="106">
        <f t="shared" si="462"/>
        <v>0</v>
      </c>
      <c r="AA898" s="106" t="s">
        <v>1714</v>
      </c>
      <c r="AB898" s="111">
        <f t="shared" si="463"/>
        <v>2</v>
      </c>
      <c r="AC898" s="106" t="s">
        <v>2425</v>
      </c>
      <c r="AD898" s="107">
        <f t="shared" si="468"/>
        <v>3750</v>
      </c>
      <c r="AE898" s="198"/>
      <c r="AF898" s="113">
        <f t="shared" si="452"/>
        <v>0</v>
      </c>
      <c r="AG898" s="85">
        <v>2026</v>
      </c>
      <c r="AH898" s="26" t="str">
        <f t="shared" si="440"/>
        <v/>
      </c>
      <c r="AI898" s="26" t="str">
        <f t="shared" si="457"/>
        <v/>
      </c>
      <c r="AJ898" s="26" t="str">
        <f t="shared" si="460"/>
        <v/>
      </c>
      <c r="AK898" s="26" t="str">
        <f t="shared" si="465"/>
        <v/>
      </c>
      <c r="AL898" s="26" t="str">
        <f t="shared" si="465"/>
        <v>Liquid Road</v>
      </c>
      <c r="AM898" s="26" t="str">
        <f t="shared" si="465"/>
        <v/>
      </c>
      <c r="AN898" s="26" t="str">
        <f t="shared" si="449"/>
        <v>Liquid Road</v>
      </c>
      <c r="AO898" s="26" t="str">
        <f t="shared" si="461"/>
        <v/>
      </c>
      <c r="AP898" s="26" t="str">
        <f t="shared" si="459"/>
        <v/>
      </c>
      <c r="AQ898" s="68">
        <f t="shared" si="453"/>
        <v>12</v>
      </c>
      <c r="AR898" s="68">
        <f t="shared" si="454"/>
        <v>10</v>
      </c>
      <c r="AS898" s="68">
        <f t="shared" si="443"/>
        <v>1</v>
      </c>
      <c r="AT898" s="68">
        <f t="shared" si="444"/>
        <v>1</v>
      </c>
      <c r="AU898" s="68">
        <f t="shared" si="445"/>
        <v>1</v>
      </c>
      <c r="AV898" s="68">
        <f t="shared" si="446"/>
        <v>1</v>
      </c>
      <c r="AW898" s="68">
        <f t="shared" si="447"/>
        <v>1</v>
      </c>
      <c r="AX898" s="68">
        <f t="shared" ca="1" si="464"/>
        <v>2</v>
      </c>
      <c r="AY898" s="106">
        <v>2017</v>
      </c>
      <c r="AZ898" s="106" t="s">
        <v>2086</v>
      </c>
      <c r="BA898" s="106" t="str">
        <f t="shared" ref="BA898:BA961" si="469">IF(AY898=2018,AZ898,"")</f>
        <v/>
      </c>
      <c r="BB898" s="177"/>
      <c r="BC898" s="177"/>
      <c r="BD898" s="177"/>
      <c r="BE898" s="177">
        <v>2</v>
      </c>
      <c r="BF898" s="177"/>
      <c r="BG898" s="177"/>
      <c r="BH898" s="177"/>
      <c r="BI898" s="33"/>
      <c r="BJ898" s="2"/>
      <c r="BK898" s="48">
        <f>$G898/5280*VLOOKUP($AC898,'Cost and Score'!$B$27:$O$40,6,0)</f>
        <v>0.15</v>
      </c>
      <c r="BL898" s="48">
        <f>$G898/5280*VLOOKUP($AC898,'Cost and Score'!$B$27:$O$40,7,0)</f>
        <v>2.4</v>
      </c>
      <c r="BM898" s="48">
        <f>$G898/5280*VLOOKUP($AC898,'Cost and Score'!$B$27:$O$40,8,0)</f>
        <v>0</v>
      </c>
      <c r="BN898" s="48">
        <f>$G898/5280*VLOOKUP($AC898,'Cost and Score'!$B$27:$O$40,9,0)</f>
        <v>0</v>
      </c>
      <c r="BO898" s="48">
        <f>$G898/5280*VLOOKUP($AC898,'Cost and Score'!$B$27:$O$40,10,0)</f>
        <v>0</v>
      </c>
      <c r="BP898" s="48">
        <f>$G898/5280*VLOOKUP($AC898,'Cost and Score'!$B$27:$O$40,11,0)</f>
        <v>0</v>
      </c>
      <c r="BQ898" s="48">
        <f>$G898/5280*VLOOKUP($AC898,'Cost and Score'!$B$27:$O$40,12,0)</f>
        <v>0</v>
      </c>
      <c r="BR898" s="48">
        <f>$G898/5280*VLOOKUP($AC898,'Cost and Score'!$B$27:$O$40,13,0)</f>
        <v>0</v>
      </c>
      <c r="BS898" s="48">
        <f>$G898/5280*VLOOKUP($AC898,'Cost and Score'!$B$27:$O$40,14,0)</f>
        <v>0</v>
      </c>
      <c r="BT898" s="220">
        <f t="shared" ref="BT898:BT961" si="470">G898/5280</f>
        <v>0.15</v>
      </c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W898" s="2"/>
      <c r="CX898" s="2"/>
      <c r="CY898" s="2"/>
    </row>
    <row r="899" spans="1:103" s="112" customFormat="1" ht="14.45" hidden="1" customHeight="1" x14ac:dyDescent="0.25">
      <c r="A899" s="31" t="s">
        <v>2102</v>
      </c>
      <c r="B899" s="226" t="s">
        <v>1715</v>
      </c>
      <c r="C899" s="106" t="s">
        <v>1715</v>
      </c>
      <c r="D899" s="116" t="s">
        <v>2237</v>
      </c>
      <c r="E899" s="106" t="s">
        <v>1548</v>
      </c>
      <c r="F899" s="106" t="s">
        <v>1416</v>
      </c>
      <c r="G899" s="109">
        <v>317</v>
      </c>
      <c r="H899" s="109">
        <f t="shared" si="466"/>
        <v>26</v>
      </c>
      <c r="I899" s="106" t="s">
        <v>2098</v>
      </c>
      <c r="J899" s="106" t="s">
        <v>160</v>
      </c>
      <c r="K899" s="106">
        <f>VLOOKUP(J899,TOWNSHIPS,2,FALSE)</f>
        <v>0</v>
      </c>
      <c r="L899" s="110">
        <v>8</v>
      </c>
      <c r="M899" s="110">
        <v>7</v>
      </c>
      <c r="N899" s="110">
        <v>7</v>
      </c>
      <c r="O899" s="110">
        <v>7</v>
      </c>
      <c r="P899" s="110">
        <v>7</v>
      </c>
      <c r="Q899" s="110">
        <v>7</v>
      </c>
      <c r="R899" s="110">
        <v>7</v>
      </c>
      <c r="S899" s="110">
        <v>7</v>
      </c>
      <c r="T899" s="110">
        <v>7</v>
      </c>
      <c r="U899" s="110">
        <v>7</v>
      </c>
      <c r="V899" s="110"/>
      <c r="W899" s="110"/>
      <c r="X899" s="110"/>
      <c r="Y899" s="106">
        <v>392</v>
      </c>
      <c r="Z899" s="106">
        <f t="shared" si="462"/>
        <v>0</v>
      </c>
      <c r="AA899" s="106" t="s">
        <v>1715</v>
      </c>
      <c r="AB899" s="111">
        <f t="shared" si="463"/>
        <v>3</v>
      </c>
      <c r="AC899" s="106" t="s">
        <v>2425</v>
      </c>
      <c r="AD899" s="107">
        <f t="shared" si="468"/>
        <v>1500.9469696969697</v>
      </c>
      <c r="AE899" s="198"/>
      <c r="AF899" s="113">
        <f t="shared" si="452"/>
        <v>0</v>
      </c>
      <c r="AG899" s="85">
        <v>2026</v>
      </c>
      <c r="AH899" s="26" t="str">
        <f t="shared" si="440"/>
        <v/>
      </c>
      <c r="AI899" s="26" t="str">
        <f t="shared" si="457"/>
        <v/>
      </c>
      <c r="AJ899" s="26" t="str">
        <f t="shared" si="460"/>
        <v/>
      </c>
      <c r="AK899" s="26" t="str">
        <f t="shared" si="465"/>
        <v/>
      </c>
      <c r="AL899" s="26" t="str">
        <f t="shared" si="465"/>
        <v>Liquid Road</v>
      </c>
      <c r="AM899" s="26" t="str">
        <f t="shared" si="465"/>
        <v/>
      </c>
      <c r="AN899" s="26" t="str">
        <f t="shared" si="449"/>
        <v>Liquid Road</v>
      </c>
      <c r="AO899" s="26" t="str">
        <f t="shared" si="461"/>
        <v/>
      </c>
      <c r="AP899" s="26" t="str">
        <f t="shared" si="459"/>
        <v/>
      </c>
      <c r="AQ899" s="68">
        <f t="shared" si="453"/>
        <v>10</v>
      </c>
      <c r="AR899" s="68">
        <f t="shared" si="454"/>
        <v>10</v>
      </c>
      <c r="AS899" s="68">
        <f t="shared" si="443"/>
        <v>1</v>
      </c>
      <c r="AT899" s="68">
        <f t="shared" si="444"/>
        <v>1.05</v>
      </c>
      <c r="AU899" s="68">
        <f t="shared" si="445"/>
        <v>1.05</v>
      </c>
      <c r="AV899" s="68">
        <f t="shared" si="446"/>
        <v>1.05</v>
      </c>
      <c r="AW899" s="68">
        <f t="shared" si="447"/>
        <v>1.05</v>
      </c>
      <c r="AX899" s="68">
        <f t="shared" ca="1" si="464"/>
        <v>2.1</v>
      </c>
      <c r="AY899" s="106">
        <v>2017</v>
      </c>
      <c r="AZ899" s="106" t="s">
        <v>2086</v>
      </c>
      <c r="BA899" s="106" t="str">
        <f t="shared" si="469"/>
        <v/>
      </c>
      <c r="BB899" s="177"/>
      <c r="BC899" s="177"/>
      <c r="BD899" s="177"/>
      <c r="BE899" s="177">
        <v>2</v>
      </c>
      <c r="BF899" s="177"/>
      <c r="BG899" s="177"/>
      <c r="BH899" s="177"/>
      <c r="BI899" s="33"/>
      <c r="BJ899" s="2"/>
      <c r="BK899" s="48">
        <f>$G899/5280*VLOOKUP($AC899,'Cost and Score'!$B$27:$O$40,6,0)</f>
        <v>6.0037878787878786E-2</v>
      </c>
      <c r="BL899" s="48">
        <f>$G899/5280*VLOOKUP($AC899,'Cost and Score'!$B$27:$O$40,7,0)</f>
        <v>0.96060606060606057</v>
      </c>
      <c r="BM899" s="48">
        <f>$G899/5280*VLOOKUP($AC899,'Cost and Score'!$B$27:$O$40,8,0)</f>
        <v>0</v>
      </c>
      <c r="BN899" s="48">
        <f>$G899/5280*VLOOKUP($AC899,'Cost and Score'!$B$27:$O$40,9,0)</f>
        <v>0</v>
      </c>
      <c r="BO899" s="48">
        <f>$G899/5280*VLOOKUP($AC899,'Cost and Score'!$B$27:$O$40,10,0)</f>
        <v>0</v>
      </c>
      <c r="BP899" s="48">
        <f>$G899/5280*VLOOKUP($AC899,'Cost and Score'!$B$27:$O$40,11,0)</f>
        <v>0</v>
      </c>
      <c r="BQ899" s="48">
        <f>$G899/5280*VLOOKUP($AC899,'Cost and Score'!$B$27:$O$40,12,0)</f>
        <v>0</v>
      </c>
      <c r="BR899" s="48">
        <f>$G899/5280*VLOOKUP($AC899,'Cost and Score'!$B$27:$O$40,13,0)</f>
        <v>0</v>
      </c>
      <c r="BS899" s="48">
        <f>$G899/5280*VLOOKUP($AC899,'Cost and Score'!$B$27:$O$40,14,0)</f>
        <v>0</v>
      </c>
      <c r="BT899" s="220">
        <f t="shared" si="470"/>
        <v>6.0037878787878786E-2</v>
      </c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</row>
    <row r="900" spans="1:103" s="112" customFormat="1" ht="14.45" customHeight="1" x14ac:dyDescent="0.25">
      <c r="A900" s="31" t="s">
        <v>2102</v>
      </c>
      <c r="B900" s="45" t="s">
        <v>1882</v>
      </c>
      <c r="C900" s="26" t="s">
        <v>1882</v>
      </c>
      <c r="D900" s="119" t="s">
        <v>2285</v>
      </c>
      <c r="E900" s="82" t="s">
        <v>1487</v>
      </c>
      <c r="F900" s="82" t="s">
        <v>1462</v>
      </c>
      <c r="G900" s="149">
        <v>792</v>
      </c>
      <c r="H900" s="29">
        <f t="shared" si="466"/>
        <v>26</v>
      </c>
      <c r="I900" s="26" t="s">
        <v>2098</v>
      </c>
      <c r="J900" s="26" t="s">
        <v>125</v>
      </c>
      <c r="K900" s="26">
        <f>VLOOKUP(J900,TOWNSHIPS,2,FALSE)</f>
        <v>0</v>
      </c>
      <c r="L900" s="42">
        <v>7</v>
      </c>
      <c r="M900" s="42">
        <v>5</v>
      </c>
      <c r="N900" s="42">
        <v>5</v>
      </c>
      <c r="O900" s="83">
        <v>8</v>
      </c>
      <c r="P900" s="83">
        <v>8</v>
      </c>
      <c r="Q900" s="83">
        <v>8</v>
      </c>
      <c r="R900" s="83">
        <v>8</v>
      </c>
      <c r="S900" s="83">
        <v>8</v>
      </c>
      <c r="T900" s="83">
        <v>8</v>
      </c>
      <c r="U900" s="83">
        <v>8</v>
      </c>
      <c r="V900" s="42"/>
      <c r="W900" s="42"/>
      <c r="X900" s="42"/>
      <c r="Y900" s="26">
        <v>50</v>
      </c>
      <c r="Z900" s="26">
        <f t="shared" si="462"/>
        <v>0</v>
      </c>
      <c r="AA900" s="82" t="s">
        <v>1882</v>
      </c>
      <c r="AB900" s="111">
        <f t="shared" si="463"/>
        <v>2</v>
      </c>
      <c r="AC900" s="85" t="s">
        <v>2425</v>
      </c>
      <c r="AD900" s="84">
        <f t="shared" si="468"/>
        <v>3750</v>
      </c>
      <c r="AE900" s="140"/>
      <c r="AF900" s="113">
        <f t="shared" si="452"/>
        <v>0</v>
      </c>
      <c r="AG900" s="106">
        <v>2025</v>
      </c>
      <c r="AH900" s="26" t="str">
        <f t="shared" si="440"/>
        <v/>
      </c>
      <c r="AI900" s="26" t="str">
        <f t="shared" si="457"/>
        <v/>
      </c>
      <c r="AJ900" s="26" t="str">
        <f t="shared" si="460"/>
        <v/>
      </c>
      <c r="AK900" s="26" t="str">
        <f t="shared" si="465"/>
        <v>Liquid Road</v>
      </c>
      <c r="AL900" s="26" t="str">
        <f t="shared" si="465"/>
        <v/>
      </c>
      <c r="AM900" s="26" t="str">
        <f t="shared" si="465"/>
        <v/>
      </c>
      <c r="AN900" s="26" t="str">
        <f t="shared" si="449"/>
        <v>Liquid Road</v>
      </c>
      <c r="AO900" s="26" t="str">
        <f t="shared" si="461"/>
        <v/>
      </c>
      <c r="AP900" s="26" t="str">
        <f t="shared" si="459"/>
        <v/>
      </c>
      <c r="AQ900" s="68">
        <f t="shared" si="453"/>
        <v>12</v>
      </c>
      <c r="AR900" s="68">
        <f t="shared" si="454"/>
        <v>10</v>
      </c>
      <c r="AS900" s="68">
        <f t="shared" si="443"/>
        <v>1.05</v>
      </c>
      <c r="AT900" s="68">
        <f t="shared" si="444"/>
        <v>1.25</v>
      </c>
      <c r="AU900" s="68">
        <f t="shared" si="445"/>
        <v>1.25</v>
      </c>
      <c r="AV900" s="68">
        <f t="shared" si="446"/>
        <v>1</v>
      </c>
      <c r="AW900" s="68">
        <f t="shared" si="447"/>
        <v>1</v>
      </c>
      <c r="AX900" s="68">
        <f t="shared" ca="1" si="464"/>
        <v>1.25</v>
      </c>
      <c r="AY900" s="68">
        <v>2019</v>
      </c>
      <c r="AZ900" s="85" t="s">
        <v>2075</v>
      </c>
      <c r="BA900" s="106" t="str">
        <f t="shared" si="469"/>
        <v/>
      </c>
      <c r="BB900" s="203"/>
      <c r="BC900" s="178"/>
      <c r="BD900" s="178"/>
      <c r="BE900" s="178"/>
      <c r="BF900" s="178"/>
      <c r="BG900" s="178"/>
      <c r="BH900" s="178"/>
      <c r="BI900" s="33" t="s">
        <v>2192</v>
      </c>
      <c r="BJ900" s="2"/>
      <c r="BK900" s="48">
        <f>$G900/5280*VLOOKUP($AC900,'Cost and Score'!$B$27:$O$40,6,0)</f>
        <v>0.15</v>
      </c>
      <c r="BL900" s="48">
        <f>$G900/5280*VLOOKUP($AC900,'Cost and Score'!$B$27:$O$40,7,0)</f>
        <v>2.4</v>
      </c>
      <c r="BM900" s="48">
        <f>$G900/5280*VLOOKUP($AC900,'Cost and Score'!$B$27:$O$40,8,0)</f>
        <v>0</v>
      </c>
      <c r="BN900" s="48">
        <f>$G900/5280*VLOOKUP($AC900,'Cost and Score'!$B$27:$O$40,9,0)</f>
        <v>0</v>
      </c>
      <c r="BO900" s="48">
        <f>$G900/5280*VLOOKUP($AC900,'Cost and Score'!$B$27:$O$40,10,0)</f>
        <v>0</v>
      </c>
      <c r="BP900" s="48">
        <f>$G900/5280*VLOOKUP($AC900,'Cost and Score'!$B$27:$O$40,11,0)</f>
        <v>0</v>
      </c>
      <c r="BQ900" s="48">
        <f>$G900/5280*VLOOKUP($AC900,'Cost and Score'!$B$27:$O$40,12,0)</f>
        <v>0</v>
      </c>
      <c r="BR900" s="48">
        <f>$G900/5280*VLOOKUP($AC900,'Cost and Score'!$B$27:$O$40,13,0)</f>
        <v>0</v>
      </c>
      <c r="BS900" s="48">
        <f>$G900/5280*VLOOKUP($AC900,'Cost and Score'!$B$27:$O$40,14,0)</f>
        <v>0</v>
      </c>
      <c r="BT900" s="220">
        <f t="shared" si="470"/>
        <v>0.15</v>
      </c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S900" s="2"/>
      <c r="CT900" s="2"/>
      <c r="CU900" s="2"/>
      <c r="CV900" s="2"/>
      <c r="CW900" s="2"/>
      <c r="CX900" s="2"/>
      <c r="CY900" s="2"/>
    </row>
    <row r="901" spans="1:103" s="112" customFormat="1" ht="14.45" hidden="1" customHeight="1" x14ac:dyDescent="0.25">
      <c r="A901" s="31" t="s">
        <v>2102</v>
      </c>
      <c r="B901" s="226" t="s">
        <v>1717</v>
      </c>
      <c r="C901" s="106" t="s">
        <v>1717</v>
      </c>
      <c r="D901" s="116" t="s">
        <v>2237</v>
      </c>
      <c r="E901" s="106" t="s">
        <v>1548</v>
      </c>
      <c r="F901" s="106" t="s">
        <v>1416</v>
      </c>
      <c r="G901" s="109">
        <v>317</v>
      </c>
      <c r="H901" s="109">
        <f t="shared" si="466"/>
        <v>26</v>
      </c>
      <c r="I901" s="106" t="s">
        <v>2098</v>
      </c>
      <c r="J901" s="106" t="s">
        <v>160</v>
      </c>
      <c r="K901" s="106">
        <f>VLOOKUP(J901,TOWNSHIPS,2,FALSE)</f>
        <v>0</v>
      </c>
      <c r="L901" s="110">
        <v>8</v>
      </c>
      <c r="M901" s="110">
        <v>8</v>
      </c>
      <c r="N901" s="110">
        <v>8</v>
      </c>
      <c r="O901" s="110">
        <v>8</v>
      </c>
      <c r="P901" s="110">
        <v>8</v>
      </c>
      <c r="Q901" s="110">
        <v>7</v>
      </c>
      <c r="R901" s="110">
        <v>7</v>
      </c>
      <c r="S901" s="110">
        <v>7</v>
      </c>
      <c r="T901" s="110">
        <v>7</v>
      </c>
      <c r="U901" s="110">
        <v>7</v>
      </c>
      <c r="V901" s="110"/>
      <c r="W901" s="110"/>
      <c r="X901" s="110"/>
      <c r="Y901" s="106">
        <v>392</v>
      </c>
      <c r="Z901" s="106">
        <f t="shared" si="462"/>
        <v>0</v>
      </c>
      <c r="AA901" s="106" t="s">
        <v>1717</v>
      </c>
      <c r="AB901" s="111">
        <f t="shared" si="463"/>
        <v>2</v>
      </c>
      <c r="AC901" s="106" t="s">
        <v>2425</v>
      </c>
      <c r="AD901" s="107">
        <f t="shared" si="468"/>
        <v>1500.9469696969697</v>
      </c>
      <c r="AE901" s="198"/>
      <c r="AF901" s="113">
        <f t="shared" si="452"/>
        <v>0</v>
      </c>
      <c r="AG901" s="85">
        <v>2026</v>
      </c>
      <c r="AH901" s="26" t="str">
        <f t="shared" si="440"/>
        <v/>
      </c>
      <c r="AI901" s="26" t="str">
        <f t="shared" si="457"/>
        <v/>
      </c>
      <c r="AJ901" s="26" t="str">
        <f t="shared" si="460"/>
        <v/>
      </c>
      <c r="AK901" s="26" t="str">
        <f t="shared" si="465"/>
        <v/>
      </c>
      <c r="AL901" s="26" t="str">
        <f t="shared" si="465"/>
        <v>Liquid Road</v>
      </c>
      <c r="AM901" s="26" t="str">
        <f t="shared" si="465"/>
        <v/>
      </c>
      <c r="AN901" s="26" t="str">
        <f t="shared" si="449"/>
        <v>Liquid Road</v>
      </c>
      <c r="AO901" s="26" t="str">
        <f t="shared" si="461"/>
        <v/>
      </c>
      <c r="AP901" s="26" t="str">
        <f t="shared" si="459"/>
        <v/>
      </c>
      <c r="AQ901" s="68">
        <f t="shared" si="453"/>
        <v>12</v>
      </c>
      <c r="AR901" s="68">
        <f t="shared" si="454"/>
        <v>10</v>
      </c>
      <c r="AS901" s="68">
        <f t="shared" si="443"/>
        <v>1</v>
      </c>
      <c r="AT901" s="68">
        <f t="shared" si="444"/>
        <v>1</v>
      </c>
      <c r="AU901" s="68">
        <f t="shared" si="445"/>
        <v>1</v>
      </c>
      <c r="AV901" s="68">
        <f t="shared" si="446"/>
        <v>1</v>
      </c>
      <c r="AW901" s="68">
        <f t="shared" si="447"/>
        <v>1</v>
      </c>
      <c r="AX901" s="68">
        <f t="shared" ca="1" si="464"/>
        <v>2</v>
      </c>
      <c r="AY901" s="106">
        <v>2017</v>
      </c>
      <c r="AZ901" s="106" t="s">
        <v>2086</v>
      </c>
      <c r="BA901" s="106" t="str">
        <f t="shared" si="469"/>
        <v/>
      </c>
      <c r="BB901" s="177"/>
      <c r="BC901" s="177"/>
      <c r="BD901" s="177"/>
      <c r="BE901" s="177">
        <v>2</v>
      </c>
      <c r="BF901" s="177"/>
      <c r="BG901" s="177"/>
      <c r="BH901" s="177"/>
      <c r="BI901" s="33"/>
      <c r="BJ901" s="2"/>
      <c r="BK901" s="48">
        <f>$G901/5280*VLOOKUP($AC901,'Cost and Score'!$B$27:$O$40,6,0)</f>
        <v>6.0037878787878786E-2</v>
      </c>
      <c r="BL901" s="48">
        <f>$G901/5280*VLOOKUP($AC901,'Cost and Score'!$B$27:$O$40,7,0)</f>
        <v>0.96060606060606057</v>
      </c>
      <c r="BM901" s="48">
        <f>$G901/5280*VLOOKUP($AC901,'Cost and Score'!$B$27:$O$40,8,0)</f>
        <v>0</v>
      </c>
      <c r="BN901" s="48">
        <f>$G901/5280*VLOOKUP($AC901,'Cost and Score'!$B$27:$O$40,9,0)</f>
        <v>0</v>
      </c>
      <c r="BO901" s="48">
        <f>$G901/5280*VLOOKUP($AC901,'Cost and Score'!$B$27:$O$40,10,0)</f>
        <v>0</v>
      </c>
      <c r="BP901" s="48">
        <f>$G901/5280*VLOOKUP($AC901,'Cost and Score'!$B$27:$O$40,11,0)</f>
        <v>0</v>
      </c>
      <c r="BQ901" s="48">
        <f>$G901/5280*VLOOKUP($AC901,'Cost and Score'!$B$27:$O$40,12,0)</f>
        <v>0</v>
      </c>
      <c r="BR901" s="48">
        <f>$G901/5280*VLOOKUP($AC901,'Cost and Score'!$B$27:$O$40,13,0)</f>
        <v>0</v>
      </c>
      <c r="BS901" s="48">
        <f>$G901/5280*VLOOKUP($AC901,'Cost and Score'!$B$27:$O$40,14,0)</f>
        <v>0</v>
      </c>
      <c r="BT901" s="220">
        <f t="shared" si="470"/>
        <v>6.0037878787878786E-2</v>
      </c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</row>
    <row r="902" spans="1:103" s="112" customFormat="1" ht="14.45" hidden="1" customHeight="1" x14ac:dyDescent="0.25">
      <c r="A902" s="31" t="s">
        <v>2102</v>
      </c>
      <c r="B902" s="45" t="s">
        <v>1718</v>
      </c>
      <c r="C902" s="26" t="s">
        <v>1718</v>
      </c>
      <c r="D902" s="36" t="s">
        <v>2231</v>
      </c>
      <c r="E902" s="26" t="s">
        <v>1458</v>
      </c>
      <c r="F902" s="26" t="s">
        <v>1459</v>
      </c>
      <c r="G902" s="29">
        <v>1637</v>
      </c>
      <c r="H902" s="29">
        <f t="shared" si="466"/>
        <v>26</v>
      </c>
      <c r="I902" s="26" t="s">
        <v>2098</v>
      </c>
      <c r="J902" s="26" t="s">
        <v>160</v>
      </c>
      <c r="K902" s="26">
        <f>VLOOKUP(J902,TOWNSHIPS,2,FALSE)</f>
        <v>0</v>
      </c>
      <c r="L902" s="42">
        <v>6</v>
      </c>
      <c r="M902" s="42">
        <v>8</v>
      </c>
      <c r="N902" s="42">
        <v>7</v>
      </c>
      <c r="O902" s="42">
        <v>6</v>
      </c>
      <c r="P902" s="42">
        <v>6</v>
      </c>
      <c r="Q902" s="42">
        <v>8</v>
      </c>
      <c r="R902" s="42">
        <v>8</v>
      </c>
      <c r="S902" s="42">
        <v>7</v>
      </c>
      <c r="T902" s="42">
        <v>6</v>
      </c>
      <c r="U902" s="42">
        <v>7</v>
      </c>
      <c r="V902" s="42"/>
      <c r="W902" s="42"/>
      <c r="X902" s="42"/>
      <c r="Y902" s="26">
        <v>889</v>
      </c>
      <c r="Z902" s="26">
        <f t="shared" si="462"/>
        <v>0.5</v>
      </c>
      <c r="AA902" s="26" t="s">
        <v>1718</v>
      </c>
      <c r="AB902" s="111">
        <f t="shared" si="463"/>
        <v>4.5</v>
      </c>
      <c r="AC902" s="26" t="s">
        <v>2086</v>
      </c>
      <c r="AD902" s="47">
        <f t="shared" si="468"/>
        <v>775.094696969697</v>
      </c>
      <c r="AE902" s="198"/>
      <c r="AF902" s="113">
        <f t="shared" si="452"/>
        <v>0</v>
      </c>
      <c r="AG902" s="26">
        <v>2024</v>
      </c>
      <c r="AH902" s="26" t="str">
        <f t="shared" si="440"/>
        <v/>
      </c>
      <c r="AI902" s="26" t="str">
        <f t="shared" si="457"/>
        <v/>
      </c>
      <c r="AJ902" s="26" t="str">
        <f t="shared" si="460"/>
        <v>Fog Seal</v>
      </c>
      <c r="AK902" s="26" t="str">
        <f t="shared" si="465"/>
        <v/>
      </c>
      <c r="AL902" s="26" t="str">
        <f t="shared" si="465"/>
        <v/>
      </c>
      <c r="AM902" s="26" t="str">
        <f t="shared" si="465"/>
        <v/>
      </c>
      <c r="AN902" s="26" t="str">
        <f t="shared" si="449"/>
        <v>Fog Seal</v>
      </c>
      <c r="AO902" s="26" t="str">
        <f t="shared" si="461"/>
        <v/>
      </c>
      <c r="AP902" s="26" t="str">
        <f t="shared" si="459"/>
        <v/>
      </c>
      <c r="AQ902" s="68">
        <f t="shared" si="453"/>
        <v>8</v>
      </c>
      <c r="AR902" s="68">
        <f t="shared" si="454"/>
        <v>2</v>
      </c>
      <c r="AS902" s="68">
        <f t="shared" si="443"/>
        <v>1.1000000000000001</v>
      </c>
      <c r="AT902" s="68">
        <f t="shared" si="444"/>
        <v>1</v>
      </c>
      <c r="AU902" s="68">
        <f t="shared" si="445"/>
        <v>1.05</v>
      </c>
      <c r="AV902" s="68">
        <f t="shared" si="446"/>
        <v>1.1000000000000001</v>
      </c>
      <c r="AW902" s="68">
        <f t="shared" si="447"/>
        <v>1.1000000000000001</v>
      </c>
      <c r="AX902" s="68">
        <f t="shared" ca="1" si="464"/>
        <v>0</v>
      </c>
      <c r="AY902" s="68">
        <v>2018</v>
      </c>
      <c r="AZ902" s="68" t="s">
        <v>2425</v>
      </c>
      <c r="BA902" s="106" t="str">
        <f t="shared" si="469"/>
        <v>MICROSEAL</v>
      </c>
      <c r="BB902" s="178"/>
      <c r="BC902" s="178"/>
      <c r="BD902" s="178"/>
      <c r="BE902" s="178"/>
      <c r="BF902" s="178"/>
      <c r="BG902" s="178"/>
      <c r="BH902" s="178"/>
      <c r="BI902" s="33"/>
      <c r="BJ902" s="2"/>
      <c r="BK902" s="48">
        <f>$G902/5280*VLOOKUP($AC902,'Cost and Score'!$B$27:$O$40,6,0)</f>
        <v>3.1003787878787881E-2</v>
      </c>
      <c r="BL902" s="48">
        <f>$G902/5280*VLOOKUP($AC902,'Cost and Score'!$B$27:$O$40,7,0)</f>
        <v>6.2007575757575761E-2</v>
      </c>
      <c r="BM902" s="48">
        <f>$G902/5280*VLOOKUP($AC902,'Cost and Score'!$B$27:$O$40,8,0)</f>
        <v>0</v>
      </c>
      <c r="BN902" s="48">
        <f>$G902/5280*VLOOKUP($AC902,'Cost and Score'!$B$27:$O$40,9,0)</f>
        <v>0</v>
      </c>
      <c r="BO902" s="48">
        <f>$G902/5280*VLOOKUP($AC902,'Cost and Score'!$B$27:$O$40,10,0)</f>
        <v>310.03787878787881</v>
      </c>
      <c r="BP902" s="48">
        <f>$G902/5280*VLOOKUP($AC902,'Cost and Score'!$B$27:$O$40,11,0)</f>
        <v>0</v>
      </c>
      <c r="BQ902" s="48">
        <f>$G902/5280*VLOOKUP($AC902,'Cost and Score'!$B$27:$O$40,12,0)</f>
        <v>0</v>
      </c>
      <c r="BR902" s="48">
        <f>$G902/5280*VLOOKUP($AC902,'Cost and Score'!$B$27:$O$40,13,0)</f>
        <v>0</v>
      </c>
      <c r="BS902" s="48">
        <f>$G902/5280*VLOOKUP($AC902,'Cost and Score'!$B$27:$O$40,14,0)</f>
        <v>0</v>
      </c>
      <c r="BT902" s="220">
        <f t="shared" si="470"/>
        <v>0.31003787878787881</v>
      </c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</row>
    <row r="903" spans="1:103" s="112" customFormat="1" ht="14.45" hidden="1" customHeight="1" x14ac:dyDescent="0.25">
      <c r="A903" s="31" t="s">
        <v>2102</v>
      </c>
      <c r="B903" s="226" t="s">
        <v>1719</v>
      </c>
      <c r="C903" s="106" t="s">
        <v>1719</v>
      </c>
      <c r="D903" s="116" t="s">
        <v>2263</v>
      </c>
      <c r="E903" s="106" t="s">
        <v>1668</v>
      </c>
      <c r="F903" s="106" t="s">
        <v>1495</v>
      </c>
      <c r="G903" s="109">
        <v>264</v>
      </c>
      <c r="H903" s="109">
        <f t="shared" si="466"/>
        <v>26</v>
      </c>
      <c r="I903" s="106" t="s">
        <v>2098</v>
      </c>
      <c r="J903" s="106" t="s">
        <v>101</v>
      </c>
      <c r="K903" s="106">
        <v>0</v>
      </c>
      <c r="L903" s="110">
        <v>7</v>
      </c>
      <c r="M903" s="110">
        <v>7</v>
      </c>
      <c r="N903" s="110">
        <v>7</v>
      </c>
      <c r="O903" s="110">
        <v>7</v>
      </c>
      <c r="P903" s="110">
        <v>7</v>
      </c>
      <c r="Q903" s="110">
        <v>7</v>
      </c>
      <c r="R903" s="110">
        <v>7</v>
      </c>
      <c r="S903" s="110">
        <v>7</v>
      </c>
      <c r="T903" s="110">
        <v>7</v>
      </c>
      <c r="U903" s="110">
        <v>7</v>
      </c>
      <c r="V903" s="110"/>
      <c r="W903" s="110"/>
      <c r="X903" s="110"/>
      <c r="Y903" s="106">
        <v>321</v>
      </c>
      <c r="Z903" s="106">
        <f t="shared" si="462"/>
        <v>0</v>
      </c>
      <c r="AA903" s="106" t="s">
        <v>1719</v>
      </c>
      <c r="AB903" s="111">
        <f t="shared" si="463"/>
        <v>3</v>
      </c>
      <c r="AC903" s="85" t="s">
        <v>2425</v>
      </c>
      <c r="AD903" s="107">
        <f t="shared" si="468"/>
        <v>1250</v>
      </c>
      <c r="AE903" s="198"/>
      <c r="AF903" s="113">
        <f t="shared" si="452"/>
        <v>0</v>
      </c>
      <c r="AG903" s="85">
        <v>2026</v>
      </c>
      <c r="AH903" s="26" t="str">
        <f t="shared" si="440"/>
        <v/>
      </c>
      <c r="AI903" s="26" t="str">
        <f t="shared" si="457"/>
        <v/>
      </c>
      <c r="AJ903" s="26" t="str">
        <f t="shared" si="460"/>
        <v/>
      </c>
      <c r="AK903" s="26" t="str">
        <f t="shared" si="465"/>
        <v/>
      </c>
      <c r="AL903" s="26" t="str">
        <f t="shared" si="465"/>
        <v>Liquid Road</v>
      </c>
      <c r="AM903" s="26" t="str">
        <f t="shared" si="465"/>
        <v/>
      </c>
      <c r="AN903" s="26" t="str">
        <f t="shared" si="449"/>
        <v>Liquid Road</v>
      </c>
      <c r="AO903" s="26" t="str">
        <f t="shared" si="461"/>
        <v/>
      </c>
      <c r="AP903" s="26" t="str">
        <f t="shared" si="459"/>
        <v/>
      </c>
      <c r="AQ903" s="68">
        <f t="shared" si="453"/>
        <v>10</v>
      </c>
      <c r="AR903" s="68">
        <f t="shared" si="454"/>
        <v>10</v>
      </c>
      <c r="AS903" s="68">
        <f t="shared" si="443"/>
        <v>1.05</v>
      </c>
      <c r="AT903" s="68">
        <f t="shared" si="444"/>
        <v>1.05</v>
      </c>
      <c r="AU903" s="68">
        <f t="shared" si="445"/>
        <v>1.05</v>
      </c>
      <c r="AV903" s="68">
        <f t="shared" si="446"/>
        <v>1.05</v>
      </c>
      <c r="AW903" s="68">
        <f t="shared" si="447"/>
        <v>1.05</v>
      </c>
      <c r="AX903" s="68">
        <f t="shared" ca="1" si="464"/>
        <v>2.1</v>
      </c>
      <c r="AY903" s="106">
        <v>2017</v>
      </c>
      <c r="AZ903" s="68" t="s">
        <v>2371</v>
      </c>
      <c r="BA903" s="106" t="str">
        <f t="shared" si="469"/>
        <v/>
      </c>
      <c r="BB903" s="178"/>
      <c r="BC903" s="178"/>
      <c r="BD903" s="178"/>
      <c r="BE903" s="178"/>
      <c r="BF903" s="178">
        <v>3</v>
      </c>
      <c r="BG903" s="178"/>
      <c r="BH903" s="178"/>
      <c r="BI903" s="33"/>
      <c r="BJ903" s="2"/>
      <c r="BK903" s="48">
        <f>$G903/5280*VLOOKUP($AC903,'Cost and Score'!$B$27:$O$40,6,0)</f>
        <v>0.05</v>
      </c>
      <c r="BL903" s="48">
        <f>$G903/5280*VLOOKUP($AC903,'Cost and Score'!$B$27:$O$40,7,0)</f>
        <v>0.8</v>
      </c>
      <c r="BM903" s="48">
        <f>$G903/5280*VLOOKUP($AC903,'Cost and Score'!$B$27:$O$40,8,0)</f>
        <v>0</v>
      </c>
      <c r="BN903" s="48">
        <f>$G903/5280*VLOOKUP($AC903,'Cost and Score'!$B$27:$O$40,9,0)</f>
        <v>0</v>
      </c>
      <c r="BO903" s="48">
        <f>$G903/5280*VLOOKUP($AC903,'Cost and Score'!$B$27:$O$40,10,0)</f>
        <v>0</v>
      </c>
      <c r="BP903" s="48">
        <f>$G903/5280*VLOOKUP($AC903,'Cost and Score'!$B$27:$O$40,11,0)</f>
        <v>0</v>
      </c>
      <c r="BQ903" s="48">
        <f>$G903/5280*VLOOKUP($AC903,'Cost and Score'!$B$27:$O$40,12,0)</f>
        <v>0</v>
      </c>
      <c r="BR903" s="48">
        <f>$G903/5280*VLOOKUP($AC903,'Cost and Score'!$B$27:$O$40,13,0)</f>
        <v>0</v>
      </c>
      <c r="BS903" s="48">
        <f>$G903/5280*VLOOKUP($AC903,'Cost and Score'!$B$27:$O$40,14,0)</f>
        <v>0</v>
      </c>
      <c r="BT903" s="220">
        <f t="shared" si="470"/>
        <v>0.05</v>
      </c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G903" s="2"/>
      <c r="CH903" s="2"/>
      <c r="CI903" s="2"/>
      <c r="CJ903" s="2"/>
      <c r="CK903" s="2"/>
      <c r="CL903" s="2"/>
      <c r="CM903" s="2"/>
      <c r="CS903" s="2"/>
      <c r="CT903" s="2"/>
      <c r="CU903" s="2"/>
    </row>
    <row r="904" spans="1:103" s="112" customFormat="1" ht="14.45" hidden="1" customHeight="1" x14ac:dyDescent="0.25">
      <c r="A904" s="31" t="s">
        <v>2102</v>
      </c>
      <c r="B904" s="120" t="s">
        <v>1720</v>
      </c>
      <c r="C904" s="106" t="s">
        <v>1720</v>
      </c>
      <c r="D904" s="116" t="s">
        <v>2232</v>
      </c>
      <c r="E904" s="106" t="s">
        <v>1580</v>
      </c>
      <c r="F904" s="106" t="s">
        <v>1553</v>
      </c>
      <c r="G904" s="109">
        <v>264</v>
      </c>
      <c r="H904" s="109">
        <f t="shared" si="466"/>
        <v>26</v>
      </c>
      <c r="I904" s="106" t="s">
        <v>2098</v>
      </c>
      <c r="J904" s="106" t="s">
        <v>101</v>
      </c>
      <c r="K904" s="106">
        <v>0</v>
      </c>
      <c r="L904" s="110">
        <v>7</v>
      </c>
      <c r="M904" s="110">
        <v>7</v>
      </c>
      <c r="N904" s="110">
        <v>7</v>
      </c>
      <c r="O904" s="110">
        <v>7</v>
      </c>
      <c r="P904" s="110">
        <v>7</v>
      </c>
      <c r="Q904" s="110">
        <v>7</v>
      </c>
      <c r="R904" s="110">
        <v>7</v>
      </c>
      <c r="S904" s="110">
        <v>7</v>
      </c>
      <c r="T904" s="110">
        <v>7</v>
      </c>
      <c r="U904" s="110">
        <v>7</v>
      </c>
      <c r="V904" s="110"/>
      <c r="W904" s="110"/>
      <c r="X904" s="110"/>
      <c r="Y904" s="106">
        <v>50</v>
      </c>
      <c r="Z904" s="106">
        <f t="shared" si="462"/>
        <v>0</v>
      </c>
      <c r="AA904" s="106" t="s">
        <v>1720</v>
      </c>
      <c r="AB904" s="111">
        <f t="shared" si="463"/>
        <v>3</v>
      </c>
      <c r="AC904" s="85" t="s">
        <v>13</v>
      </c>
      <c r="AD904" s="107">
        <f t="shared" si="468"/>
        <v>1050</v>
      </c>
      <c r="AE904" s="140"/>
      <c r="AF904" s="113">
        <f t="shared" si="452"/>
        <v>0</v>
      </c>
      <c r="AG904" s="85">
        <v>2024</v>
      </c>
      <c r="AH904" s="26" t="str">
        <f t="shared" si="440"/>
        <v/>
      </c>
      <c r="AI904" s="26" t="str">
        <f t="shared" si="457"/>
        <v/>
      </c>
      <c r="AJ904" s="26" t="str">
        <f t="shared" si="460"/>
        <v>Chip Seal and Fog</v>
      </c>
      <c r="AK904" s="26" t="str">
        <f t="shared" si="465"/>
        <v/>
      </c>
      <c r="AL904" s="26" t="str">
        <f t="shared" si="465"/>
        <v/>
      </c>
      <c r="AM904" s="26" t="str">
        <f t="shared" si="465"/>
        <v/>
      </c>
      <c r="AN904" s="26" t="str">
        <f t="shared" si="449"/>
        <v>Chip Seal and Fog</v>
      </c>
      <c r="AO904" s="26" t="str">
        <f t="shared" si="461"/>
        <v/>
      </c>
      <c r="AP904" s="26" t="str">
        <f t="shared" si="459"/>
        <v/>
      </c>
      <c r="AQ904" s="68">
        <f t="shared" si="453"/>
        <v>10</v>
      </c>
      <c r="AR904" s="68">
        <f t="shared" si="454"/>
        <v>6</v>
      </c>
      <c r="AS904" s="68">
        <f t="shared" si="443"/>
        <v>1.05</v>
      </c>
      <c r="AT904" s="68">
        <f t="shared" si="444"/>
        <v>1.05</v>
      </c>
      <c r="AU904" s="68">
        <f t="shared" si="445"/>
        <v>1.05</v>
      </c>
      <c r="AV904" s="68">
        <f t="shared" si="446"/>
        <v>1.05</v>
      </c>
      <c r="AW904" s="68">
        <f t="shared" si="447"/>
        <v>1.05</v>
      </c>
      <c r="AX904" s="68">
        <f t="shared" ca="1" si="464"/>
        <v>0</v>
      </c>
      <c r="AY904" s="106">
        <v>2018</v>
      </c>
      <c r="AZ904" s="106" t="s">
        <v>2075</v>
      </c>
      <c r="BA904" s="106" t="str">
        <f t="shared" si="469"/>
        <v>CRACK</v>
      </c>
      <c r="BB904" s="177"/>
      <c r="BC904" s="177"/>
      <c r="BD904" s="177"/>
      <c r="BE904" s="177"/>
      <c r="BF904" s="177"/>
      <c r="BG904" s="177"/>
      <c r="BH904" s="177"/>
      <c r="BI904" s="33"/>
      <c r="BJ904" s="2"/>
      <c r="BK904" s="48">
        <f>$G904/5280*VLOOKUP($AC904,'Cost and Score'!$B$27:$O$40,6,0)</f>
        <v>1.0000000000000002E-2</v>
      </c>
      <c r="BL904" s="48">
        <f>$G904/5280*VLOOKUP($AC904,'Cost and Score'!$B$27:$O$40,7,0)</f>
        <v>1.1000000000000001</v>
      </c>
      <c r="BM904" s="48">
        <f>$G904/5280*VLOOKUP($AC904,'Cost and Score'!$B$27:$O$40,8,0)</f>
        <v>0</v>
      </c>
      <c r="BN904" s="48">
        <f>$G904/5280*VLOOKUP($AC904,'Cost and Score'!$B$27:$O$40,9,0)</f>
        <v>225</v>
      </c>
      <c r="BO904" s="48">
        <f>$G904/5280*VLOOKUP($AC904,'Cost and Score'!$B$27:$O$40,10,0)</f>
        <v>50</v>
      </c>
      <c r="BP904" s="48">
        <f>$G904/5280*VLOOKUP($AC904,'Cost and Score'!$B$27:$O$40,11,0)</f>
        <v>0</v>
      </c>
      <c r="BQ904" s="48">
        <f>$G904/5280*VLOOKUP($AC904,'Cost and Score'!$B$27:$O$40,12,0)</f>
        <v>5</v>
      </c>
      <c r="BR904" s="48">
        <f>$G904/5280*VLOOKUP($AC904,'Cost and Score'!$B$27:$O$40,13,0)</f>
        <v>6</v>
      </c>
      <c r="BS904" s="48">
        <f>$G904/5280*VLOOKUP($AC904,'Cost and Score'!$B$27:$O$40,14,0)</f>
        <v>0</v>
      </c>
      <c r="BT904" s="220">
        <f t="shared" si="470"/>
        <v>0.05</v>
      </c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W904" s="2"/>
      <c r="CX904" s="2"/>
      <c r="CY904" s="2"/>
    </row>
    <row r="905" spans="1:103" s="2" customFormat="1" ht="14.45" hidden="1" customHeight="1" x14ac:dyDescent="0.25">
      <c r="A905" s="31"/>
      <c r="B905" s="120" t="s">
        <v>2601</v>
      </c>
      <c r="C905" s="120" t="s">
        <v>2601</v>
      </c>
      <c r="D905" s="116"/>
      <c r="E905" s="106" t="s">
        <v>2602</v>
      </c>
      <c r="F905" s="106" t="s">
        <v>10</v>
      </c>
      <c r="G905" s="109">
        <v>883</v>
      </c>
      <c r="H905" s="109">
        <v>20</v>
      </c>
      <c r="I905" s="106" t="s">
        <v>13</v>
      </c>
      <c r="J905" s="106" t="s">
        <v>125</v>
      </c>
      <c r="K905" s="106">
        <v>0</v>
      </c>
      <c r="L905" s="110"/>
      <c r="M905" s="110"/>
      <c r="N905" s="110"/>
      <c r="O905" s="110"/>
      <c r="P905" s="110"/>
      <c r="Q905" s="110"/>
      <c r="R905" s="110">
        <v>4</v>
      </c>
      <c r="S905" s="110">
        <v>9</v>
      </c>
      <c r="T905" s="110">
        <v>8</v>
      </c>
      <c r="U905" s="110">
        <v>8</v>
      </c>
      <c r="V905" s="110"/>
      <c r="W905" s="110"/>
      <c r="X905" s="110"/>
      <c r="Y905" s="106">
        <v>50</v>
      </c>
      <c r="Z905" s="106"/>
      <c r="AA905" s="120" t="s">
        <v>2601</v>
      </c>
      <c r="AB905" s="111">
        <f t="shared" si="463"/>
        <v>10</v>
      </c>
      <c r="AC905" s="85" t="s">
        <v>13</v>
      </c>
      <c r="AD905" s="107">
        <f t="shared" si="468"/>
        <v>3511.931818181818</v>
      </c>
      <c r="AE905" s="140"/>
      <c r="AF905" s="113"/>
      <c r="AG905" s="85">
        <v>2026</v>
      </c>
      <c r="AH905" s="26" t="str">
        <f t="shared" si="440"/>
        <v/>
      </c>
      <c r="AI905" s="26" t="str">
        <f t="shared" si="457"/>
        <v/>
      </c>
      <c r="AJ905" s="26" t="str">
        <f t="shared" si="460"/>
        <v/>
      </c>
      <c r="AK905" s="26" t="str">
        <f t="shared" si="465"/>
        <v/>
      </c>
      <c r="AL905" s="26" t="str">
        <f t="shared" si="465"/>
        <v>Chip Seal and Fog</v>
      </c>
      <c r="AM905" s="26" t="str">
        <f t="shared" si="465"/>
        <v/>
      </c>
      <c r="AN905" s="26" t="str">
        <f t="shared" si="449"/>
        <v>Chip Seal and Fog</v>
      </c>
      <c r="AO905" s="26" t="str">
        <f t="shared" si="461"/>
        <v/>
      </c>
      <c r="AP905" s="26" t="str">
        <f t="shared" si="459"/>
        <v/>
      </c>
      <c r="AQ905" s="68"/>
      <c r="AR905" s="68"/>
      <c r="AS905" s="68"/>
      <c r="AT905" s="68"/>
      <c r="AU905" s="68"/>
      <c r="AV905" s="68"/>
      <c r="AW905" s="68"/>
      <c r="AX905" s="68"/>
      <c r="AY905" s="106">
        <v>2020</v>
      </c>
      <c r="AZ905" s="106" t="s">
        <v>751</v>
      </c>
      <c r="BA905" s="106"/>
      <c r="BB905" s="177"/>
      <c r="BC905" s="177"/>
      <c r="BD905" s="177"/>
      <c r="BE905" s="177"/>
      <c r="BF905" s="177"/>
      <c r="BG905" s="177"/>
      <c r="BH905" s="177"/>
      <c r="BI905" s="33"/>
      <c r="BK905" s="48"/>
      <c r="BL905" s="48"/>
      <c r="BM905" s="48"/>
      <c r="BN905" s="48"/>
      <c r="BO905" s="48"/>
      <c r="BP905" s="48"/>
      <c r="BQ905" s="48"/>
      <c r="BR905" s="48"/>
      <c r="BS905" s="48"/>
      <c r="BT905" s="220">
        <f t="shared" si="470"/>
        <v>0.16723484848484849</v>
      </c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S905" s="112"/>
      <c r="CT905" s="112"/>
      <c r="CU905" s="112"/>
      <c r="CV905" s="112"/>
      <c r="CW905" s="112"/>
      <c r="CX905" s="112"/>
      <c r="CY905" s="112"/>
    </row>
    <row r="906" spans="1:103" s="112" customFormat="1" ht="14.45" hidden="1" customHeight="1" x14ac:dyDescent="0.25">
      <c r="A906" s="31" t="s">
        <v>2102</v>
      </c>
      <c r="B906" s="226" t="s">
        <v>1721</v>
      </c>
      <c r="C906" s="106" t="s">
        <v>1721</v>
      </c>
      <c r="D906" s="116" t="s">
        <v>2255</v>
      </c>
      <c r="E906" s="106" t="s">
        <v>1465</v>
      </c>
      <c r="F906" s="106" t="s">
        <v>1451</v>
      </c>
      <c r="G906" s="109">
        <v>1584</v>
      </c>
      <c r="H906" s="109">
        <f t="shared" ref="H906:H928" si="471">IF(I906="NC",26,20)</f>
        <v>26</v>
      </c>
      <c r="I906" s="106" t="s">
        <v>2098</v>
      </c>
      <c r="J906" s="106" t="s">
        <v>160</v>
      </c>
      <c r="K906" s="106">
        <f>VLOOKUP(J906,TOWNSHIPS,2,FALSE)</f>
        <v>0</v>
      </c>
      <c r="L906" s="110">
        <v>7</v>
      </c>
      <c r="M906" s="110">
        <v>7</v>
      </c>
      <c r="N906" s="110">
        <v>7</v>
      </c>
      <c r="O906" s="110">
        <v>7</v>
      </c>
      <c r="P906" s="110">
        <v>7</v>
      </c>
      <c r="Q906" s="110">
        <v>7</v>
      </c>
      <c r="R906" s="110">
        <v>7</v>
      </c>
      <c r="S906" s="110">
        <v>7</v>
      </c>
      <c r="T906" s="110">
        <v>7</v>
      </c>
      <c r="U906" s="110">
        <v>7</v>
      </c>
      <c r="V906" s="110"/>
      <c r="W906" s="110"/>
      <c r="X906" s="110"/>
      <c r="Y906" s="106">
        <v>366</v>
      </c>
      <c r="Z906" s="106">
        <f t="shared" ref="Z906:Z937" si="472">VLOOKUP(Y906,AADT,2)</f>
        <v>0</v>
      </c>
      <c r="AA906" s="106" t="s">
        <v>1721</v>
      </c>
      <c r="AB906" s="111">
        <f t="shared" si="463"/>
        <v>3</v>
      </c>
      <c r="AC906" s="106" t="s">
        <v>2425</v>
      </c>
      <c r="AD906" s="107">
        <f t="shared" si="468"/>
        <v>7500</v>
      </c>
      <c r="AE906" s="198"/>
      <c r="AF906" s="113">
        <f t="shared" ref="AF906:AF969" si="473">AD906*AE906</f>
        <v>0</v>
      </c>
      <c r="AG906" s="85">
        <v>2026</v>
      </c>
      <c r="AH906" s="26" t="str">
        <f t="shared" si="440"/>
        <v/>
      </c>
      <c r="AI906" s="26" t="str">
        <f t="shared" si="457"/>
        <v/>
      </c>
      <c r="AJ906" s="26" t="str">
        <f t="shared" si="460"/>
        <v/>
      </c>
      <c r="AK906" s="26" t="str">
        <f t="shared" si="465"/>
        <v/>
      </c>
      <c r="AL906" s="26" t="str">
        <f t="shared" si="465"/>
        <v>Liquid Road</v>
      </c>
      <c r="AM906" s="26" t="str">
        <f t="shared" si="465"/>
        <v/>
      </c>
      <c r="AN906" s="26" t="str">
        <f t="shared" si="449"/>
        <v>Liquid Road</v>
      </c>
      <c r="AO906" s="26" t="str">
        <f t="shared" si="461"/>
        <v/>
      </c>
      <c r="AP906" s="26" t="str">
        <f t="shared" si="459"/>
        <v/>
      </c>
      <c r="AQ906" s="68">
        <f t="shared" ref="AQ906:AQ937" si="474">VLOOKUP(O906,RSLrem,2,FALSE)</f>
        <v>10</v>
      </c>
      <c r="AR906" s="68">
        <f t="shared" ref="AR906:AR937" si="475">VLOOKUP(AC906,RSL,5,FALSE)</f>
        <v>10</v>
      </c>
      <c r="AS906" s="68">
        <f t="shared" ref="AS906:AS969" si="476">IF(L906 &lt;&gt; "",VLOOKUP(L906,RSLloss,3,FALSE),0)</f>
        <v>1.05</v>
      </c>
      <c r="AT906" s="68">
        <f t="shared" ref="AT906:AT969" si="477">IF(M906 &lt;&gt; "",VLOOKUP(M906,RSLloss,3,FALSE),0)</f>
        <v>1.05</v>
      </c>
      <c r="AU906" s="68">
        <f t="shared" ref="AU906:AU969" si="478">IF(N906 &lt;&gt; "",VLOOKUP(N906,RSLloss,3,FALSE),0)</f>
        <v>1.05</v>
      </c>
      <c r="AV906" s="68">
        <f t="shared" ref="AV906:AV969" si="479">IF(O906 &lt;&gt; "",VLOOKUP(O906,RSLloss,3,FALSE),0)</f>
        <v>1.05</v>
      </c>
      <c r="AW906" s="68">
        <f t="shared" ref="AW906:AW969" si="480">IF(P906 &lt;&gt; "",VLOOKUP(P906,RSLloss,3,FALSE),0)</f>
        <v>1.05</v>
      </c>
      <c r="AX906" s="68">
        <f t="shared" ref="AX906:AX937" ca="1" si="481">AU906*(AG906-YEAR(TODAY()))</f>
        <v>2.1</v>
      </c>
      <c r="AY906" s="106">
        <v>2017</v>
      </c>
      <c r="AZ906" s="106" t="s">
        <v>2086</v>
      </c>
      <c r="BA906" s="106" t="str">
        <f t="shared" ref="BA906:BA937" si="482">IF(AY906=2018,AZ906,"")</f>
        <v/>
      </c>
      <c r="BB906" s="177"/>
      <c r="BC906" s="177"/>
      <c r="BD906" s="177"/>
      <c r="BE906" s="177"/>
      <c r="BF906" s="177">
        <v>3</v>
      </c>
      <c r="BG906" s="177"/>
      <c r="BH906" s="177"/>
      <c r="BI906" s="33"/>
      <c r="BJ906" s="2"/>
      <c r="BK906" s="48">
        <f>$G906/5280*VLOOKUP($AC906,'Cost and Score'!$B$27:$O$40,6,0)</f>
        <v>0.3</v>
      </c>
      <c r="BL906" s="48">
        <f>$G906/5280*VLOOKUP($AC906,'Cost and Score'!$B$27:$O$40,7,0)</f>
        <v>4.8</v>
      </c>
      <c r="BM906" s="48">
        <f>$G906/5280*VLOOKUP($AC906,'Cost and Score'!$B$27:$O$40,8,0)</f>
        <v>0</v>
      </c>
      <c r="BN906" s="48">
        <f>$G906/5280*VLOOKUP($AC906,'Cost and Score'!$B$27:$O$40,9,0)</f>
        <v>0</v>
      </c>
      <c r="BO906" s="48">
        <f>$G906/5280*VLOOKUP($AC906,'Cost and Score'!$B$27:$O$40,10,0)</f>
        <v>0</v>
      </c>
      <c r="BP906" s="48">
        <f>$G906/5280*VLOOKUP($AC906,'Cost and Score'!$B$27:$O$40,11,0)</f>
        <v>0</v>
      </c>
      <c r="BQ906" s="48">
        <f>$G906/5280*VLOOKUP($AC906,'Cost and Score'!$B$27:$O$40,12,0)</f>
        <v>0</v>
      </c>
      <c r="BR906" s="48">
        <f>$G906/5280*VLOOKUP($AC906,'Cost and Score'!$B$27:$O$40,13,0)</f>
        <v>0</v>
      </c>
      <c r="BS906" s="48">
        <f>$G906/5280*VLOOKUP($AC906,'Cost and Score'!$B$27:$O$40,14,0)</f>
        <v>0</v>
      </c>
      <c r="BT906" s="220">
        <f t="shared" si="470"/>
        <v>0.3</v>
      </c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</row>
    <row r="907" spans="1:103" s="112" customFormat="1" ht="14.45" hidden="1" customHeight="1" x14ac:dyDescent="0.25">
      <c r="A907" s="31" t="s">
        <v>2102</v>
      </c>
      <c r="B907" s="226" t="s">
        <v>1722</v>
      </c>
      <c r="C907" s="106" t="s">
        <v>1722</v>
      </c>
      <c r="D907" s="116" t="s">
        <v>2255</v>
      </c>
      <c r="E907" s="106" t="s">
        <v>1465</v>
      </c>
      <c r="F907" s="106" t="s">
        <v>1451</v>
      </c>
      <c r="G907" s="109">
        <v>3062</v>
      </c>
      <c r="H907" s="109">
        <f t="shared" si="471"/>
        <v>26</v>
      </c>
      <c r="I907" s="106" t="s">
        <v>2098</v>
      </c>
      <c r="J907" s="106" t="s">
        <v>160</v>
      </c>
      <c r="K907" s="106">
        <f>VLOOKUP(J907,TOWNSHIPS,2,FALSE)</f>
        <v>0</v>
      </c>
      <c r="L907" s="110">
        <v>7</v>
      </c>
      <c r="M907" s="110">
        <v>7</v>
      </c>
      <c r="N907" s="110">
        <v>7</v>
      </c>
      <c r="O907" s="110">
        <v>7</v>
      </c>
      <c r="P907" s="110">
        <v>7</v>
      </c>
      <c r="Q907" s="110">
        <v>7</v>
      </c>
      <c r="R907" s="110">
        <v>7</v>
      </c>
      <c r="S907" s="110">
        <v>7</v>
      </c>
      <c r="T907" s="110">
        <v>7</v>
      </c>
      <c r="U907" s="110">
        <v>7</v>
      </c>
      <c r="V907" s="110"/>
      <c r="W907" s="110"/>
      <c r="X907" s="110"/>
      <c r="Y907" s="106">
        <v>366</v>
      </c>
      <c r="Z907" s="106">
        <f t="shared" si="472"/>
        <v>0</v>
      </c>
      <c r="AA907" s="106" t="s">
        <v>1722</v>
      </c>
      <c r="AB907" s="111">
        <f t="shared" si="463"/>
        <v>3</v>
      </c>
      <c r="AC907" s="106" t="s">
        <v>2425</v>
      </c>
      <c r="AD907" s="107">
        <f t="shared" si="468"/>
        <v>14498.10606060606</v>
      </c>
      <c r="AE907" s="198"/>
      <c r="AF907" s="113">
        <f t="shared" si="473"/>
        <v>0</v>
      </c>
      <c r="AG907" s="85">
        <v>2026</v>
      </c>
      <c r="AH907" s="26" t="str">
        <f t="shared" si="440"/>
        <v/>
      </c>
      <c r="AI907" s="26" t="str">
        <f t="shared" si="457"/>
        <v/>
      </c>
      <c r="AJ907" s="26" t="str">
        <f t="shared" si="460"/>
        <v/>
      </c>
      <c r="AK907" s="26" t="str">
        <f t="shared" si="465"/>
        <v/>
      </c>
      <c r="AL907" s="26" t="str">
        <f t="shared" si="465"/>
        <v>Liquid Road</v>
      </c>
      <c r="AM907" s="26" t="str">
        <f t="shared" si="465"/>
        <v/>
      </c>
      <c r="AN907" s="26" t="str">
        <f t="shared" si="449"/>
        <v>Liquid Road</v>
      </c>
      <c r="AO907" s="26" t="str">
        <f t="shared" si="461"/>
        <v/>
      </c>
      <c r="AP907" s="26" t="str">
        <f t="shared" si="459"/>
        <v/>
      </c>
      <c r="AQ907" s="68">
        <f t="shared" si="474"/>
        <v>10</v>
      </c>
      <c r="AR907" s="68">
        <f t="shared" si="475"/>
        <v>10</v>
      </c>
      <c r="AS907" s="68">
        <f t="shared" si="476"/>
        <v>1.05</v>
      </c>
      <c r="AT907" s="68">
        <f t="shared" si="477"/>
        <v>1.05</v>
      </c>
      <c r="AU907" s="68">
        <f t="shared" si="478"/>
        <v>1.05</v>
      </c>
      <c r="AV907" s="68">
        <f t="shared" si="479"/>
        <v>1.05</v>
      </c>
      <c r="AW907" s="68">
        <f t="shared" si="480"/>
        <v>1.05</v>
      </c>
      <c r="AX907" s="68">
        <f t="shared" ca="1" si="481"/>
        <v>2.1</v>
      </c>
      <c r="AY907" s="106">
        <v>2017</v>
      </c>
      <c r="AZ907" s="106" t="s">
        <v>2086</v>
      </c>
      <c r="BA907" s="106" t="str">
        <f t="shared" si="482"/>
        <v/>
      </c>
      <c r="BB907" s="177"/>
      <c r="BC907" s="177"/>
      <c r="BD907" s="177"/>
      <c r="BE907" s="177"/>
      <c r="BF907" s="177">
        <v>3</v>
      </c>
      <c r="BG907" s="177"/>
      <c r="BH907" s="177"/>
      <c r="BI907" s="33"/>
      <c r="BJ907" s="2"/>
      <c r="BK907" s="48">
        <f>$G907/5280*VLOOKUP($AC907,'Cost and Score'!$B$27:$O$40,6,0)</f>
        <v>0.57992424242424245</v>
      </c>
      <c r="BL907" s="48">
        <f>$G907/5280*VLOOKUP($AC907,'Cost and Score'!$B$27:$O$40,7,0)</f>
        <v>9.2787878787878793</v>
      </c>
      <c r="BM907" s="48">
        <f>$G907/5280*VLOOKUP($AC907,'Cost and Score'!$B$27:$O$40,8,0)</f>
        <v>0</v>
      </c>
      <c r="BN907" s="48">
        <f>$G907/5280*VLOOKUP($AC907,'Cost and Score'!$B$27:$O$40,9,0)</f>
        <v>0</v>
      </c>
      <c r="BO907" s="48">
        <f>$G907/5280*VLOOKUP($AC907,'Cost and Score'!$B$27:$O$40,10,0)</f>
        <v>0</v>
      </c>
      <c r="BP907" s="48">
        <f>$G907/5280*VLOOKUP($AC907,'Cost and Score'!$B$27:$O$40,11,0)</f>
        <v>0</v>
      </c>
      <c r="BQ907" s="48">
        <f>$G907/5280*VLOOKUP($AC907,'Cost and Score'!$B$27:$O$40,12,0)</f>
        <v>0</v>
      </c>
      <c r="BR907" s="48">
        <f>$G907/5280*VLOOKUP($AC907,'Cost and Score'!$B$27:$O$40,13,0)</f>
        <v>0</v>
      </c>
      <c r="BS907" s="48">
        <f>$G907/5280*VLOOKUP($AC907,'Cost and Score'!$B$27:$O$40,14,0)</f>
        <v>0</v>
      </c>
      <c r="BT907" s="220">
        <f t="shared" si="470"/>
        <v>0.57992424242424245</v>
      </c>
      <c r="BU907" s="2"/>
      <c r="BV907" s="2"/>
      <c r="BW907" s="2"/>
      <c r="BX907" s="2" t="s">
        <v>2375</v>
      </c>
      <c r="BY907" s="2" t="s">
        <v>172</v>
      </c>
      <c r="BZ907" s="2">
        <v>0</v>
      </c>
      <c r="CA907" s="2"/>
      <c r="CB907" s="2"/>
      <c r="CC907" s="2">
        <v>1500</v>
      </c>
      <c r="CD907" s="2">
        <v>1</v>
      </c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</row>
    <row r="908" spans="1:103" s="112" customFormat="1" ht="14.45" hidden="1" customHeight="1" x14ac:dyDescent="0.25">
      <c r="A908" s="31" t="s">
        <v>2102</v>
      </c>
      <c r="B908" s="224" t="s">
        <v>2451</v>
      </c>
      <c r="C908" s="26" t="s">
        <v>2451</v>
      </c>
      <c r="D908" s="36" t="s">
        <v>2330</v>
      </c>
      <c r="E908" s="26" t="s">
        <v>1580</v>
      </c>
      <c r="F908" s="26" t="s">
        <v>1581</v>
      </c>
      <c r="G908" s="29">
        <v>581</v>
      </c>
      <c r="H908" s="29">
        <f t="shared" si="471"/>
        <v>26</v>
      </c>
      <c r="I908" s="26" t="s">
        <v>2098</v>
      </c>
      <c r="J908" s="26" t="s">
        <v>101</v>
      </c>
      <c r="K908" s="26">
        <v>0</v>
      </c>
      <c r="L908" s="42">
        <v>7</v>
      </c>
      <c r="M908" s="42">
        <v>6</v>
      </c>
      <c r="N908" s="42">
        <v>6</v>
      </c>
      <c r="O908" s="42">
        <v>8</v>
      </c>
      <c r="P908" s="42">
        <v>8</v>
      </c>
      <c r="Q908" s="42">
        <v>8</v>
      </c>
      <c r="R908" s="42">
        <v>7</v>
      </c>
      <c r="S908" s="42">
        <v>6</v>
      </c>
      <c r="T908" s="42">
        <v>7</v>
      </c>
      <c r="U908" s="42">
        <v>7</v>
      </c>
      <c r="V908" s="42"/>
      <c r="W908" s="42"/>
      <c r="X908" s="42"/>
      <c r="Y908" s="26">
        <v>50</v>
      </c>
      <c r="Z908" s="26">
        <f t="shared" si="472"/>
        <v>0</v>
      </c>
      <c r="AA908" s="26" t="s">
        <v>1725</v>
      </c>
      <c r="AB908" s="111">
        <f t="shared" si="463"/>
        <v>2</v>
      </c>
      <c r="AC908" s="85" t="s">
        <v>2425</v>
      </c>
      <c r="AD908" s="47">
        <f t="shared" si="468"/>
        <v>2750.9469696969695</v>
      </c>
      <c r="AE908" s="140"/>
      <c r="AF908" s="113">
        <f t="shared" si="473"/>
        <v>0</v>
      </c>
      <c r="AG908" s="85">
        <v>2026</v>
      </c>
      <c r="AH908" s="26" t="str">
        <f t="shared" si="440"/>
        <v/>
      </c>
      <c r="AI908" s="26" t="str">
        <f t="shared" si="457"/>
        <v/>
      </c>
      <c r="AJ908" s="26" t="str">
        <f t="shared" si="460"/>
        <v/>
      </c>
      <c r="AK908" s="26" t="str">
        <f t="shared" ref="AK908:AM927" si="483">IF($AG908=AK$1,VLOOKUP($AC908,RSL,3,FALSE),"")</f>
        <v/>
      </c>
      <c r="AL908" s="26" t="str">
        <f t="shared" si="483"/>
        <v>Liquid Road</v>
      </c>
      <c r="AM908" s="26" t="str">
        <f t="shared" si="483"/>
        <v/>
      </c>
      <c r="AN908" s="26" t="str">
        <f t="shared" si="449"/>
        <v>Liquid Road</v>
      </c>
      <c r="AO908" s="26" t="str">
        <f t="shared" si="461"/>
        <v/>
      </c>
      <c r="AP908" s="26" t="str">
        <f t="shared" si="459"/>
        <v/>
      </c>
      <c r="AQ908" s="68">
        <f t="shared" si="474"/>
        <v>12</v>
      </c>
      <c r="AR908" s="68">
        <f t="shared" si="475"/>
        <v>10</v>
      </c>
      <c r="AS908" s="68">
        <f t="shared" si="476"/>
        <v>1.05</v>
      </c>
      <c r="AT908" s="68">
        <f t="shared" si="477"/>
        <v>1.1000000000000001</v>
      </c>
      <c r="AU908" s="68">
        <f t="shared" si="478"/>
        <v>1.1000000000000001</v>
      </c>
      <c r="AV908" s="68">
        <f t="shared" si="479"/>
        <v>1</v>
      </c>
      <c r="AW908" s="68">
        <f t="shared" si="480"/>
        <v>1</v>
      </c>
      <c r="AX908" s="68">
        <f t="shared" ca="1" si="481"/>
        <v>2.2000000000000002</v>
      </c>
      <c r="AY908" s="68">
        <v>2016</v>
      </c>
      <c r="AZ908" s="68" t="s">
        <v>2086</v>
      </c>
      <c r="BA908" s="106" t="str">
        <f t="shared" si="482"/>
        <v/>
      </c>
      <c r="BB908" s="178"/>
      <c r="BC908" s="178"/>
      <c r="BD908" s="178"/>
      <c r="BE908" s="178">
        <v>2</v>
      </c>
      <c r="BF908" s="178"/>
      <c r="BG908" s="178"/>
      <c r="BH908" s="178"/>
      <c r="BI908" s="33"/>
      <c r="BJ908" s="2"/>
      <c r="BK908" s="48">
        <f>$G908/5280*VLOOKUP($AC908,'Cost and Score'!$B$27:$O$40,6,0)</f>
        <v>0.11003787878787878</v>
      </c>
      <c r="BL908" s="48">
        <f>$G908/5280*VLOOKUP($AC908,'Cost and Score'!$B$27:$O$40,7,0)</f>
        <v>1.7606060606060605</v>
      </c>
      <c r="BM908" s="48">
        <f>$G908/5280*VLOOKUP($AC908,'Cost and Score'!$B$27:$O$40,8,0)</f>
        <v>0</v>
      </c>
      <c r="BN908" s="48">
        <f>$G908/5280*VLOOKUP($AC908,'Cost and Score'!$B$27:$O$40,9,0)</f>
        <v>0</v>
      </c>
      <c r="BO908" s="48">
        <f>$G908/5280*VLOOKUP($AC908,'Cost and Score'!$B$27:$O$40,10,0)</f>
        <v>0</v>
      </c>
      <c r="BP908" s="48">
        <f>$G908/5280*VLOOKUP($AC908,'Cost and Score'!$B$27:$O$40,11,0)</f>
        <v>0</v>
      </c>
      <c r="BQ908" s="48">
        <f>$G908/5280*VLOOKUP($AC908,'Cost and Score'!$B$27:$O$40,12,0)</f>
        <v>0</v>
      </c>
      <c r="BR908" s="48">
        <f>$G908/5280*VLOOKUP($AC908,'Cost and Score'!$B$27:$O$40,13,0)</f>
        <v>0</v>
      </c>
      <c r="BS908" s="48">
        <f>$G908/5280*VLOOKUP($AC908,'Cost and Score'!$B$27:$O$40,14,0)</f>
        <v>0</v>
      </c>
      <c r="BT908" s="220">
        <f t="shared" si="470"/>
        <v>0.11003787878787878</v>
      </c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R908" s="2"/>
      <c r="CS908" s="2"/>
      <c r="CT908" s="2"/>
      <c r="CU908" s="2"/>
      <c r="CW908" s="2"/>
      <c r="CX908" s="2"/>
      <c r="CY908" s="2"/>
    </row>
    <row r="909" spans="1:103" s="112" customFormat="1" ht="14.45" hidden="1" customHeight="1" x14ac:dyDescent="0.25">
      <c r="A909" s="31" t="s">
        <v>2102</v>
      </c>
      <c r="B909" s="34" t="s">
        <v>1723</v>
      </c>
      <c r="C909" s="26" t="s">
        <v>1723</v>
      </c>
      <c r="D909" s="26"/>
      <c r="E909" s="26" t="s">
        <v>86</v>
      </c>
      <c r="F909" s="26" t="s">
        <v>1724</v>
      </c>
      <c r="G909" s="29">
        <v>694</v>
      </c>
      <c r="H909" s="29">
        <f t="shared" si="471"/>
        <v>20</v>
      </c>
      <c r="I909" s="26" t="s">
        <v>13</v>
      </c>
      <c r="J909" s="26" t="s">
        <v>101</v>
      </c>
      <c r="K909" s="26">
        <v>0</v>
      </c>
      <c r="L909" s="42">
        <v>7</v>
      </c>
      <c r="M909" s="42">
        <v>6</v>
      </c>
      <c r="N909" s="42">
        <v>6</v>
      </c>
      <c r="O909" s="42">
        <v>7</v>
      </c>
      <c r="P909" s="42">
        <v>7</v>
      </c>
      <c r="Q909" s="42">
        <v>7</v>
      </c>
      <c r="R909" s="42">
        <v>7</v>
      </c>
      <c r="S909" s="42">
        <v>7</v>
      </c>
      <c r="T909" s="42">
        <v>7</v>
      </c>
      <c r="U909" s="42">
        <v>7</v>
      </c>
      <c r="V909" s="42"/>
      <c r="W909" s="42"/>
      <c r="X909" s="42"/>
      <c r="Y909" s="26">
        <v>50</v>
      </c>
      <c r="Z909" s="26">
        <f t="shared" si="472"/>
        <v>0</v>
      </c>
      <c r="AA909" s="26" t="s">
        <v>1723</v>
      </c>
      <c r="AB909" s="111">
        <f t="shared" si="463"/>
        <v>3</v>
      </c>
      <c r="AC909" s="26" t="s">
        <v>2073</v>
      </c>
      <c r="AD909" s="47">
        <f t="shared" si="468"/>
        <v>4206.060606060606</v>
      </c>
      <c r="AE909" s="140"/>
      <c r="AF909" s="113">
        <f t="shared" si="473"/>
        <v>0</v>
      </c>
      <c r="AG909" s="26">
        <v>2023</v>
      </c>
      <c r="AH909" s="26" t="str">
        <f t="shared" ref="AH909:AH972" si="484">IF($AG909=AH$1,VLOOKUP($AC909,RSL,3,FALSE),"")</f>
        <v/>
      </c>
      <c r="AI909" s="26" t="str">
        <f t="shared" si="457"/>
        <v>Chip Seal - Double and Fog</v>
      </c>
      <c r="AJ909" s="26" t="str">
        <f t="shared" si="460"/>
        <v/>
      </c>
      <c r="AK909" s="26" t="str">
        <f t="shared" si="483"/>
        <v/>
      </c>
      <c r="AL909" s="26" t="str">
        <f t="shared" si="483"/>
        <v/>
      </c>
      <c r="AM909" s="26" t="str">
        <f t="shared" si="483"/>
        <v/>
      </c>
      <c r="AN909" s="26" t="str">
        <f t="shared" si="449"/>
        <v>Chip Seal - Double and Fog</v>
      </c>
      <c r="AO909" s="26" t="str">
        <f t="shared" si="461"/>
        <v/>
      </c>
      <c r="AP909" s="26" t="str">
        <f t="shared" si="459"/>
        <v/>
      </c>
      <c r="AQ909" s="68">
        <f t="shared" si="474"/>
        <v>10</v>
      </c>
      <c r="AR909" s="68">
        <f t="shared" si="475"/>
        <v>6</v>
      </c>
      <c r="AS909" s="68">
        <f t="shared" si="476"/>
        <v>1.05</v>
      </c>
      <c r="AT909" s="68">
        <f t="shared" si="477"/>
        <v>1.1000000000000001</v>
      </c>
      <c r="AU909" s="68">
        <f t="shared" si="478"/>
        <v>1.1000000000000001</v>
      </c>
      <c r="AV909" s="68">
        <f t="shared" si="479"/>
        <v>1.05</v>
      </c>
      <c r="AW909" s="68">
        <f t="shared" si="480"/>
        <v>1.05</v>
      </c>
      <c r="AX909" s="68">
        <f t="shared" ca="1" si="481"/>
        <v>-1.1000000000000001</v>
      </c>
      <c r="AY909" s="106">
        <v>2016</v>
      </c>
      <c r="AZ909" s="106" t="s">
        <v>2086</v>
      </c>
      <c r="BA909" s="106" t="str">
        <f t="shared" si="482"/>
        <v/>
      </c>
      <c r="BB909" s="178"/>
      <c r="BC909" s="178"/>
      <c r="BD909" s="178"/>
      <c r="BE909" s="178"/>
      <c r="BF909" s="178"/>
      <c r="BG909" s="178"/>
      <c r="BH909" s="178"/>
      <c r="BI909" s="33"/>
      <c r="BJ909" s="2"/>
      <c r="BK909" s="48">
        <f>$G909/5280*VLOOKUP($AC909,'Cost and Score'!$B$27:$O$40,6,0)</f>
        <v>6.571969696969697E-2</v>
      </c>
      <c r="BL909" s="48">
        <f>$G909/5280*VLOOKUP($AC909,'Cost and Score'!$B$27:$O$40,7,0)</f>
        <v>6.5719696969696972</v>
      </c>
      <c r="BM909" s="48">
        <f>$G909/5280*VLOOKUP($AC909,'Cost and Score'!$B$27:$O$40,8,0)</f>
        <v>0</v>
      </c>
      <c r="BN909" s="48">
        <f>$G909/5280*VLOOKUP($AC909,'Cost and Score'!$B$27:$O$40,9,0)</f>
        <v>1248.6742424242425</v>
      </c>
      <c r="BO909" s="48">
        <f>$G909/5280*VLOOKUP($AC909,'Cost and Score'!$B$27:$O$40,10,0)</f>
        <v>131.43939393939394</v>
      </c>
      <c r="BP909" s="48">
        <f>$G909/5280*VLOOKUP($AC909,'Cost and Score'!$B$27:$O$40,11,0)</f>
        <v>0</v>
      </c>
      <c r="BQ909" s="48">
        <f>$G909/5280*VLOOKUP($AC909,'Cost and Score'!$B$27:$O$40,12,0)</f>
        <v>26.287878787878789</v>
      </c>
      <c r="BR909" s="48">
        <f>$G909/5280*VLOOKUP($AC909,'Cost and Score'!$B$27:$O$40,13,0)</f>
        <v>23.65909090909091</v>
      </c>
      <c r="BS909" s="48">
        <f>$G909/5280*VLOOKUP($AC909,'Cost and Score'!$B$27:$O$40,14,0)</f>
        <v>31.545454545454547</v>
      </c>
      <c r="BT909" s="220">
        <f t="shared" si="470"/>
        <v>0.13143939393939394</v>
      </c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R909" s="2"/>
      <c r="CS909" s="2"/>
      <c r="CT909" s="2"/>
      <c r="CU909" s="2"/>
      <c r="CW909" s="2"/>
      <c r="CX909" s="2"/>
      <c r="CY909" s="2"/>
    </row>
    <row r="910" spans="1:103" s="2" customFormat="1" ht="14.45" hidden="1" customHeight="1" x14ac:dyDescent="0.25">
      <c r="A910" s="38" t="s">
        <v>1727</v>
      </c>
      <c r="B910" s="34" t="s">
        <v>1726</v>
      </c>
      <c r="C910" s="26" t="s">
        <v>1726</v>
      </c>
      <c r="D910" s="82"/>
      <c r="E910" s="82" t="s">
        <v>100</v>
      </c>
      <c r="F910" s="82" t="s">
        <v>99</v>
      </c>
      <c r="G910" s="29">
        <v>6640</v>
      </c>
      <c r="H910" s="29">
        <f t="shared" si="471"/>
        <v>20</v>
      </c>
      <c r="I910" s="26" t="s">
        <v>13</v>
      </c>
      <c r="J910" s="26" t="s">
        <v>160</v>
      </c>
      <c r="K910" s="26">
        <f>VLOOKUP(J910,TOWNSHIPS,2,FALSE)</f>
        <v>0</v>
      </c>
      <c r="L910" s="42">
        <v>8</v>
      </c>
      <c r="M910" s="42">
        <v>7</v>
      </c>
      <c r="N910" s="42">
        <v>8</v>
      </c>
      <c r="O910" s="83">
        <v>8</v>
      </c>
      <c r="P910" s="83">
        <v>7</v>
      </c>
      <c r="Q910" s="83">
        <v>7</v>
      </c>
      <c r="R910" s="83">
        <v>6</v>
      </c>
      <c r="S910" s="83">
        <v>6</v>
      </c>
      <c r="T910" s="83">
        <v>6</v>
      </c>
      <c r="U910" s="83">
        <v>8</v>
      </c>
      <c r="V910" s="42"/>
      <c r="W910" s="42"/>
      <c r="X910" s="42"/>
      <c r="Y910" s="26">
        <v>208</v>
      </c>
      <c r="Z910" s="26">
        <f t="shared" si="472"/>
        <v>0</v>
      </c>
      <c r="AA910" s="82" t="s">
        <v>1726</v>
      </c>
      <c r="AB910" s="111">
        <f t="shared" si="463"/>
        <v>3</v>
      </c>
      <c r="AC910" s="82" t="s">
        <v>13</v>
      </c>
      <c r="AD910" s="84">
        <f t="shared" si="468"/>
        <v>26409.090909090908</v>
      </c>
      <c r="AE910" s="140"/>
      <c r="AF910" s="113">
        <f t="shared" si="473"/>
        <v>0</v>
      </c>
      <c r="AG910" s="26">
        <v>2022</v>
      </c>
      <c r="AH910" s="26" t="str">
        <f t="shared" si="484"/>
        <v>Chip Seal and Fog</v>
      </c>
      <c r="AI910" s="26" t="str">
        <f t="shared" si="457"/>
        <v/>
      </c>
      <c r="AJ910" s="26" t="str">
        <f t="shared" si="460"/>
        <v/>
      </c>
      <c r="AK910" s="26" t="str">
        <f t="shared" si="483"/>
        <v/>
      </c>
      <c r="AL910" s="26" t="str">
        <f t="shared" si="483"/>
        <v/>
      </c>
      <c r="AM910" s="26" t="str">
        <f t="shared" si="483"/>
        <v/>
      </c>
      <c r="AN910" s="26" t="str">
        <f t="shared" si="449"/>
        <v>Chip Seal and Fog</v>
      </c>
      <c r="AO910" s="26" t="str">
        <f t="shared" si="461"/>
        <v>Overlay - 2"</v>
      </c>
      <c r="AP910" s="26" t="str">
        <f t="shared" si="459"/>
        <v/>
      </c>
      <c r="AQ910" s="68">
        <f t="shared" si="474"/>
        <v>12</v>
      </c>
      <c r="AR910" s="68">
        <f t="shared" si="475"/>
        <v>6</v>
      </c>
      <c r="AS910" s="68">
        <f t="shared" si="476"/>
        <v>1</v>
      </c>
      <c r="AT910" s="68">
        <f t="shared" si="477"/>
        <v>1.05</v>
      </c>
      <c r="AU910" s="68">
        <f t="shared" si="478"/>
        <v>1</v>
      </c>
      <c r="AV910" s="68">
        <f t="shared" si="479"/>
        <v>1</v>
      </c>
      <c r="AW910" s="68">
        <f t="shared" si="480"/>
        <v>1.05</v>
      </c>
      <c r="AX910" s="68">
        <f t="shared" ca="1" si="481"/>
        <v>-2</v>
      </c>
      <c r="AY910" s="106">
        <v>2021</v>
      </c>
      <c r="AZ910" s="106" t="s">
        <v>751</v>
      </c>
      <c r="BA910" s="106" t="str">
        <f t="shared" si="482"/>
        <v/>
      </c>
      <c r="BB910" s="178">
        <v>98</v>
      </c>
      <c r="BC910" s="178">
        <v>8</v>
      </c>
      <c r="BD910" s="178"/>
      <c r="BE910" s="178"/>
      <c r="BF910" s="178"/>
      <c r="BG910" s="178"/>
      <c r="BH910" s="178"/>
      <c r="BI910" s="33"/>
      <c r="BK910" s="48">
        <f>$G910/5280*VLOOKUP($AC910,'Cost and Score'!$B$27:$O$40,6,0)</f>
        <v>0.25151515151515152</v>
      </c>
      <c r="BL910" s="48">
        <f>$G910/5280*VLOOKUP($AC910,'Cost and Score'!$B$27:$O$40,7,0)</f>
        <v>27.666666666666668</v>
      </c>
      <c r="BM910" s="48">
        <f>$G910/5280*VLOOKUP($AC910,'Cost and Score'!$B$27:$O$40,8,0)</f>
        <v>0</v>
      </c>
      <c r="BN910" s="48">
        <f>$G910/5280*VLOOKUP($AC910,'Cost and Score'!$B$27:$O$40,9,0)</f>
        <v>5659.090909090909</v>
      </c>
      <c r="BO910" s="48">
        <f>$G910/5280*VLOOKUP($AC910,'Cost and Score'!$B$27:$O$40,10,0)</f>
        <v>1257.5757575757575</v>
      </c>
      <c r="BP910" s="48">
        <f>$G910/5280*VLOOKUP($AC910,'Cost and Score'!$B$27:$O$40,11,0)</f>
        <v>0</v>
      </c>
      <c r="BQ910" s="48">
        <f>$G910/5280*VLOOKUP($AC910,'Cost and Score'!$B$27:$O$40,12,0)</f>
        <v>125.75757575757575</v>
      </c>
      <c r="BR910" s="48">
        <f>$G910/5280*VLOOKUP($AC910,'Cost and Score'!$B$27:$O$40,13,0)</f>
        <v>150.90909090909091</v>
      </c>
      <c r="BS910" s="48">
        <f>$G910/5280*VLOOKUP($AC910,'Cost and Score'!$B$27:$O$40,14,0)</f>
        <v>0</v>
      </c>
      <c r="BT910" s="220">
        <f t="shared" si="470"/>
        <v>1.2575757575757576</v>
      </c>
      <c r="CN910" s="112"/>
      <c r="CO910" s="112"/>
      <c r="CP910" s="112"/>
      <c r="CQ910" s="112"/>
      <c r="CV910" s="112"/>
    </row>
    <row r="911" spans="1:103" s="2" customFormat="1" ht="14.45" hidden="1" customHeight="1" x14ac:dyDescent="0.25">
      <c r="A911" s="38" t="s">
        <v>1729</v>
      </c>
      <c r="B911" s="34" t="s">
        <v>1728</v>
      </c>
      <c r="C911" s="26" t="s">
        <v>1728</v>
      </c>
      <c r="D911" s="26"/>
      <c r="E911" s="26" t="s">
        <v>99</v>
      </c>
      <c r="F911" s="26" t="s">
        <v>104</v>
      </c>
      <c r="G911" s="29">
        <v>6673</v>
      </c>
      <c r="H911" s="29">
        <f t="shared" si="471"/>
        <v>20</v>
      </c>
      <c r="I911" s="26" t="s">
        <v>62</v>
      </c>
      <c r="J911" s="26" t="s">
        <v>160</v>
      </c>
      <c r="K911" s="26">
        <f>VLOOKUP(J911,TOWNSHIPS,2,FALSE)</f>
        <v>0</v>
      </c>
      <c r="L911" s="42">
        <v>8</v>
      </c>
      <c r="M911" s="42">
        <v>6</v>
      </c>
      <c r="N911" s="42">
        <v>5</v>
      </c>
      <c r="O911" s="42">
        <v>5</v>
      </c>
      <c r="P911" s="42">
        <v>6</v>
      </c>
      <c r="Q911" s="42">
        <v>6</v>
      </c>
      <c r="R911" s="42">
        <v>6</v>
      </c>
      <c r="S911" s="42">
        <v>6</v>
      </c>
      <c r="T911" s="42">
        <v>6</v>
      </c>
      <c r="U911" s="42">
        <v>6</v>
      </c>
      <c r="V911" s="42"/>
      <c r="W911" s="42"/>
      <c r="X911" s="42"/>
      <c r="Y911" s="26">
        <v>59</v>
      </c>
      <c r="Z911" s="26">
        <f t="shared" si="472"/>
        <v>0</v>
      </c>
      <c r="AA911" s="26" t="s">
        <v>1728</v>
      </c>
      <c r="AB911" s="111">
        <f t="shared" si="463"/>
        <v>4</v>
      </c>
      <c r="AC911" s="26" t="s">
        <v>13</v>
      </c>
      <c r="AD911" s="47">
        <f t="shared" si="468"/>
        <v>26540.340909090908</v>
      </c>
      <c r="AE911" s="140"/>
      <c r="AF911" s="113">
        <f t="shared" si="473"/>
        <v>0</v>
      </c>
      <c r="AG911" s="85">
        <v>2026</v>
      </c>
      <c r="AH911" s="26" t="str">
        <f t="shared" si="484"/>
        <v/>
      </c>
      <c r="AI911" s="26" t="str">
        <f t="shared" si="457"/>
        <v/>
      </c>
      <c r="AJ911" s="26" t="str">
        <f t="shared" si="460"/>
        <v/>
      </c>
      <c r="AK911" s="26" t="str">
        <f t="shared" si="483"/>
        <v/>
      </c>
      <c r="AL911" s="26" t="str">
        <f t="shared" si="483"/>
        <v>Chip Seal and Fog</v>
      </c>
      <c r="AM911" s="26" t="str">
        <f t="shared" si="483"/>
        <v/>
      </c>
      <c r="AN911" s="26" t="str">
        <f t="shared" si="449"/>
        <v>Chip Seal and Fog</v>
      </c>
      <c r="AO911" s="26" t="str">
        <f t="shared" si="461"/>
        <v/>
      </c>
      <c r="AP911" s="26" t="str">
        <f t="shared" si="459"/>
        <v/>
      </c>
      <c r="AQ911" s="68">
        <f t="shared" si="474"/>
        <v>6</v>
      </c>
      <c r="AR911" s="68">
        <f t="shared" si="475"/>
        <v>6</v>
      </c>
      <c r="AS911" s="68">
        <f t="shared" si="476"/>
        <v>1</v>
      </c>
      <c r="AT911" s="68">
        <f t="shared" si="477"/>
        <v>1.1000000000000001</v>
      </c>
      <c r="AU911" s="68">
        <f t="shared" si="478"/>
        <v>1.25</v>
      </c>
      <c r="AV911" s="68">
        <f t="shared" si="479"/>
        <v>1.25</v>
      </c>
      <c r="AW911" s="68">
        <f t="shared" si="480"/>
        <v>1.1000000000000001</v>
      </c>
      <c r="AX911" s="68">
        <f t="shared" ca="1" si="481"/>
        <v>2.5</v>
      </c>
      <c r="AY911" s="106">
        <v>2020</v>
      </c>
      <c r="AZ911" s="106" t="s">
        <v>13</v>
      </c>
      <c r="BA911" s="106" t="str">
        <f t="shared" si="482"/>
        <v/>
      </c>
      <c r="BB911" s="178"/>
      <c r="BC911" s="178">
        <v>8</v>
      </c>
      <c r="BD911" s="178"/>
      <c r="BE911" s="178"/>
      <c r="BF911" s="178"/>
      <c r="BG911" s="178"/>
      <c r="BH911" s="178"/>
      <c r="BI911" s="33"/>
      <c r="BK911" s="48">
        <f>$G911/5280*VLOOKUP($AC911,'Cost and Score'!$B$27:$O$40,6,0)</f>
        <v>0.25276515151515155</v>
      </c>
      <c r="BL911" s="48">
        <f>$G911/5280*VLOOKUP($AC911,'Cost and Score'!$B$27:$O$40,7,0)</f>
        <v>27.804166666666667</v>
      </c>
      <c r="BM911" s="48">
        <f>$G911/5280*VLOOKUP($AC911,'Cost and Score'!$B$27:$O$40,8,0)</f>
        <v>0</v>
      </c>
      <c r="BN911" s="48">
        <f>$G911/5280*VLOOKUP($AC911,'Cost and Score'!$B$27:$O$40,9,0)</f>
        <v>5687.215909090909</v>
      </c>
      <c r="BO911" s="48">
        <f>$G911/5280*VLOOKUP($AC911,'Cost and Score'!$B$27:$O$40,10,0)</f>
        <v>1263.8257575757577</v>
      </c>
      <c r="BP911" s="48">
        <f>$G911/5280*VLOOKUP($AC911,'Cost and Score'!$B$27:$O$40,11,0)</f>
        <v>0</v>
      </c>
      <c r="BQ911" s="48">
        <f>$G911/5280*VLOOKUP($AC911,'Cost and Score'!$B$27:$O$40,12,0)</f>
        <v>126.38257575757576</v>
      </c>
      <c r="BR911" s="48">
        <f>$G911/5280*VLOOKUP($AC911,'Cost and Score'!$B$27:$O$40,13,0)</f>
        <v>151.65909090909091</v>
      </c>
      <c r="BS911" s="48">
        <f>$G911/5280*VLOOKUP($AC911,'Cost and Score'!$B$27:$O$40,14,0)</f>
        <v>0</v>
      </c>
      <c r="BT911" s="220">
        <f t="shared" si="470"/>
        <v>1.2638257575757577</v>
      </c>
    </row>
    <row r="912" spans="1:103" s="2" customFormat="1" ht="14.45" customHeight="1" x14ac:dyDescent="0.25">
      <c r="A912" s="31" t="s">
        <v>2102</v>
      </c>
      <c r="B912" s="45" t="s">
        <v>1889</v>
      </c>
      <c r="C912" s="26" t="s">
        <v>1889</v>
      </c>
      <c r="D912" s="119" t="s">
        <v>2285</v>
      </c>
      <c r="E912" s="82" t="s">
        <v>1487</v>
      </c>
      <c r="F912" s="82" t="s">
        <v>1462</v>
      </c>
      <c r="G912" s="148">
        <v>840</v>
      </c>
      <c r="H912" s="29">
        <f t="shared" si="471"/>
        <v>26</v>
      </c>
      <c r="I912" s="26" t="s">
        <v>2098</v>
      </c>
      <c r="J912" s="26" t="s">
        <v>125</v>
      </c>
      <c r="K912" s="26">
        <f>VLOOKUP(J912,TOWNSHIPS,2,FALSE)</f>
        <v>0</v>
      </c>
      <c r="L912" s="42">
        <v>7</v>
      </c>
      <c r="M912" s="42">
        <v>8</v>
      </c>
      <c r="N912" s="42">
        <v>8</v>
      </c>
      <c r="O912" s="83">
        <v>8</v>
      </c>
      <c r="P912" s="83">
        <v>8</v>
      </c>
      <c r="Q912" s="83">
        <v>8</v>
      </c>
      <c r="R912" s="83">
        <v>8</v>
      </c>
      <c r="S912" s="83">
        <v>8</v>
      </c>
      <c r="T912" s="83">
        <v>7</v>
      </c>
      <c r="U912" s="83">
        <v>7</v>
      </c>
      <c r="V912" s="42"/>
      <c r="W912" s="42"/>
      <c r="X912" s="42"/>
      <c r="Y912" s="26">
        <v>50</v>
      </c>
      <c r="Z912" s="26">
        <f t="shared" si="472"/>
        <v>0</v>
      </c>
      <c r="AA912" s="82" t="s">
        <v>1889</v>
      </c>
      <c r="AB912" s="111">
        <f t="shared" si="463"/>
        <v>2</v>
      </c>
      <c r="AC912" s="85" t="s">
        <v>2425</v>
      </c>
      <c r="AD912" s="84">
        <f t="shared" si="468"/>
        <v>3977.2727272727275</v>
      </c>
      <c r="AE912" s="140"/>
      <c r="AF912" s="113">
        <f t="shared" si="473"/>
        <v>0</v>
      </c>
      <c r="AG912" s="106">
        <v>2025</v>
      </c>
      <c r="AH912" s="26" t="str">
        <f t="shared" si="484"/>
        <v/>
      </c>
      <c r="AI912" s="26" t="str">
        <f t="shared" si="457"/>
        <v/>
      </c>
      <c r="AJ912" s="26" t="str">
        <f t="shared" si="460"/>
        <v/>
      </c>
      <c r="AK912" s="26" t="str">
        <f t="shared" si="483"/>
        <v>Liquid Road</v>
      </c>
      <c r="AL912" s="26" t="str">
        <f t="shared" si="483"/>
        <v/>
      </c>
      <c r="AM912" s="26" t="str">
        <f t="shared" si="483"/>
        <v/>
      </c>
      <c r="AN912" s="26" t="str">
        <f t="shared" si="449"/>
        <v>Liquid Road</v>
      </c>
      <c r="AO912" s="26" t="str">
        <f t="shared" si="461"/>
        <v/>
      </c>
      <c r="AP912" s="26" t="str">
        <f t="shared" si="459"/>
        <v/>
      </c>
      <c r="AQ912" s="68">
        <f t="shared" si="474"/>
        <v>12</v>
      </c>
      <c r="AR912" s="68">
        <f t="shared" si="475"/>
        <v>10</v>
      </c>
      <c r="AS912" s="68">
        <f t="shared" si="476"/>
        <v>1.05</v>
      </c>
      <c r="AT912" s="68">
        <f t="shared" si="477"/>
        <v>1</v>
      </c>
      <c r="AU912" s="68">
        <f t="shared" si="478"/>
        <v>1</v>
      </c>
      <c r="AV912" s="68">
        <f t="shared" si="479"/>
        <v>1</v>
      </c>
      <c r="AW912" s="68">
        <f t="shared" si="480"/>
        <v>1</v>
      </c>
      <c r="AX912" s="68">
        <f t="shared" ca="1" si="481"/>
        <v>1</v>
      </c>
      <c r="AY912" s="68">
        <v>2019</v>
      </c>
      <c r="AZ912" s="85" t="s">
        <v>2075</v>
      </c>
      <c r="BA912" s="106" t="str">
        <f t="shared" si="482"/>
        <v/>
      </c>
      <c r="BB912" s="203"/>
      <c r="BC912" s="178"/>
      <c r="BD912" s="178"/>
      <c r="BE912" s="178"/>
      <c r="BF912" s="178"/>
      <c r="BG912" s="178"/>
      <c r="BH912" s="178"/>
      <c r="BI912" s="33"/>
      <c r="BK912" s="48">
        <f>$G912/5280*VLOOKUP($AC912,'Cost and Score'!$B$27:$O$40,6,0)</f>
        <v>0.15909090909090909</v>
      </c>
      <c r="BL912" s="48">
        <f>$G912/5280*VLOOKUP($AC912,'Cost and Score'!$B$27:$O$40,7,0)</f>
        <v>2.5454545454545454</v>
      </c>
      <c r="BM912" s="48">
        <f>$G912/5280*VLOOKUP($AC912,'Cost and Score'!$B$27:$O$40,8,0)</f>
        <v>0</v>
      </c>
      <c r="BN912" s="48">
        <f>$G912/5280*VLOOKUP($AC912,'Cost and Score'!$B$27:$O$40,9,0)</f>
        <v>0</v>
      </c>
      <c r="BO912" s="48">
        <f>$G912/5280*VLOOKUP($AC912,'Cost and Score'!$B$27:$O$40,10,0)</f>
        <v>0</v>
      </c>
      <c r="BP912" s="48">
        <f>$G912/5280*VLOOKUP($AC912,'Cost and Score'!$B$27:$O$40,11,0)</f>
        <v>0</v>
      </c>
      <c r="BQ912" s="48">
        <f>$G912/5280*VLOOKUP($AC912,'Cost and Score'!$B$27:$O$40,12,0)</f>
        <v>0</v>
      </c>
      <c r="BR912" s="48">
        <f>$G912/5280*VLOOKUP($AC912,'Cost and Score'!$B$27:$O$40,13,0)</f>
        <v>0</v>
      </c>
      <c r="BS912" s="48">
        <f>$G912/5280*VLOOKUP($AC912,'Cost and Score'!$B$27:$O$40,14,0)</f>
        <v>0</v>
      </c>
      <c r="BT912" s="220">
        <f t="shared" si="470"/>
        <v>0.15909090909090909</v>
      </c>
      <c r="CN912" s="112"/>
      <c r="CO912" s="112"/>
      <c r="CP912" s="112"/>
      <c r="CQ912" s="112"/>
      <c r="CV912" s="112"/>
    </row>
    <row r="913" spans="1:103" s="2" customFormat="1" ht="14.45" customHeight="1" x14ac:dyDescent="0.25">
      <c r="A913" s="31" t="s">
        <v>2102</v>
      </c>
      <c r="B913" s="45" t="s">
        <v>1892</v>
      </c>
      <c r="C913" s="26" t="s">
        <v>1892</v>
      </c>
      <c r="D913" s="119" t="s">
        <v>2285</v>
      </c>
      <c r="E913" s="82" t="s">
        <v>1487</v>
      </c>
      <c r="F913" s="82" t="s">
        <v>1462</v>
      </c>
      <c r="G913" s="148">
        <v>829</v>
      </c>
      <c r="H913" s="29">
        <f t="shared" si="471"/>
        <v>26</v>
      </c>
      <c r="I913" s="26" t="s">
        <v>2098</v>
      </c>
      <c r="J913" s="26" t="s">
        <v>125</v>
      </c>
      <c r="K913" s="26">
        <f>VLOOKUP(J913,TOWNSHIPS,2,FALSE)</f>
        <v>0</v>
      </c>
      <c r="L913" s="42">
        <v>8</v>
      </c>
      <c r="M913" s="42">
        <v>8</v>
      </c>
      <c r="N913" s="42">
        <v>8</v>
      </c>
      <c r="O913" s="83">
        <v>8</v>
      </c>
      <c r="P913" s="83">
        <v>8</v>
      </c>
      <c r="Q913" s="83">
        <v>8</v>
      </c>
      <c r="R913" s="83">
        <v>8</v>
      </c>
      <c r="S913" s="83">
        <v>8</v>
      </c>
      <c r="T913" s="83">
        <v>8</v>
      </c>
      <c r="U913" s="83">
        <v>8</v>
      </c>
      <c r="V913" s="42"/>
      <c r="W913" s="42"/>
      <c r="X913" s="42"/>
      <c r="Y913" s="26">
        <v>50</v>
      </c>
      <c r="Z913" s="26">
        <f t="shared" si="472"/>
        <v>0</v>
      </c>
      <c r="AA913" s="82" t="s">
        <v>1892</v>
      </c>
      <c r="AB913" s="111">
        <f t="shared" si="463"/>
        <v>2</v>
      </c>
      <c r="AC913" s="85" t="s">
        <v>2425</v>
      </c>
      <c r="AD913" s="84">
        <f t="shared" si="468"/>
        <v>3925.189393939394</v>
      </c>
      <c r="AE913" s="140"/>
      <c r="AF913" s="113">
        <f t="shared" si="473"/>
        <v>0</v>
      </c>
      <c r="AG913" s="106">
        <v>2025</v>
      </c>
      <c r="AH913" s="26" t="str">
        <f t="shared" si="484"/>
        <v/>
      </c>
      <c r="AI913" s="26" t="str">
        <f t="shared" si="457"/>
        <v/>
      </c>
      <c r="AJ913" s="26" t="str">
        <f t="shared" si="460"/>
        <v/>
      </c>
      <c r="AK913" s="26" t="str">
        <f t="shared" si="483"/>
        <v>Liquid Road</v>
      </c>
      <c r="AL913" s="26" t="str">
        <f t="shared" si="483"/>
        <v/>
      </c>
      <c r="AM913" s="26" t="str">
        <f t="shared" si="483"/>
        <v/>
      </c>
      <c r="AN913" s="26" t="str">
        <f t="shared" si="449"/>
        <v>Liquid Road</v>
      </c>
      <c r="AO913" s="26" t="str">
        <f t="shared" si="461"/>
        <v/>
      </c>
      <c r="AP913" s="26" t="str">
        <f t="shared" si="459"/>
        <v/>
      </c>
      <c r="AQ913" s="68">
        <f t="shared" si="474"/>
        <v>12</v>
      </c>
      <c r="AR913" s="68">
        <f t="shared" si="475"/>
        <v>10</v>
      </c>
      <c r="AS913" s="68">
        <f t="shared" si="476"/>
        <v>1</v>
      </c>
      <c r="AT913" s="68">
        <f t="shared" si="477"/>
        <v>1</v>
      </c>
      <c r="AU913" s="68">
        <f t="shared" si="478"/>
        <v>1</v>
      </c>
      <c r="AV913" s="68">
        <f t="shared" si="479"/>
        <v>1</v>
      </c>
      <c r="AW913" s="68">
        <f t="shared" si="480"/>
        <v>1</v>
      </c>
      <c r="AX913" s="68">
        <f t="shared" ca="1" si="481"/>
        <v>1</v>
      </c>
      <c r="AY913" s="68">
        <v>2019</v>
      </c>
      <c r="AZ913" s="85" t="s">
        <v>2075</v>
      </c>
      <c r="BA913" s="106" t="str">
        <f t="shared" si="482"/>
        <v/>
      </c>
      <c r="BB913" s="203"/>
      <c r="BC913" s="178"/>
      <c r="BD913" s="178"/>
      <c r="BE913" s="178"/>
      <c r="BF913" s="178"/>
      <c r="BG913" s="178"/>
      <c r="BH913" s="178"/>
      <c r="BI913" s="33"/>
      <c r="BK913" s="48">
        <f>$G913/5280*VLOOKUP($AC913,'Cost and Score'!$B$27:$O$40,6,0)</f>
        <v>0.15700757575757576</v>
      </c>
      <c r="BL913" s="48">
        <f>$G913/5280*VLOOKUP($AC913,'Cost and Score'!$B$27:$O$40,7,0)</f>
        <v>2.5121212121212122</v>
      </c>
      <c r="BM913" s="48">
        <f>$G913/5280*VLOOKUP($AC913,'Cost and Score'!$B$27:$O$40,8,0)</f>
        <v>0</v>
      </c>
      <c r="BN913" s="48">
        <f>$G913/5280*VLOOKUP($AC913,'Cost and Score'!$B$27:$O$40,9,0)</f>
        <v>0</v>
      </c>
      <c r="BO913" s="48">
        <f>$G913/5280*VLOOKUP($AC913,'Cost and Score'!$B$27:$O$40,10,0)</f>
        <v>0</v>
      </c>
      <c r="BP913" s="48">
        <f>$G913/5280*VLOOKUP($AC913,'Cost and Score'!$B$27:$O$40,11,0)</f>
        <v>0</v>
      </c>
      <c r="BQ913" s="48">
        <f>$G913/5280*VLOOKUP($AC913,'Cost and Score'!$B$27:$O$40,12,0)</f>
        <v>0</v>
      </c>
      <c r="BR913" s="48">
        <f>$G913/5280*VLOOKUP($AC913,'Cost and Score'!$B$27:$O$40,13,0)</f>
        <v>0</v>
      </c>
      <c r="BS913" s="48">
        <f>$G913/5280*VLOOKUP($AC913,'Cost and Score'!$B$27:$O$40,14,0)</f>
        <v>0</v>
      </c>
      <c r="BT913" s="220">
        <f t="shared" si="470"/>
        <v>0.15700757575757576</v>
      </c>
      <c r="CR913" s="112"/>
    </row>
    <row r="914" spans="1:103" s="2" customFormat="1" ht="14.45" hidden="1" customHeight="1" x14ac:dyDescent="0.25">
      <c r="A914" s="31" t="s">
        <v>2102</v>
      </c>
      <c r="B914" s="45" t="s">
        <v>1733</v>
      </c>
      <c r="C914" s="26" t="s">
        <v>1733</v>
      </c>
      <c r="D914" s="36" t="s">
        <v>2243</v>
      </c>
      <c r="E914" s="26" t="s">
        <v>1472</v>
      </c>
      <c r="F914" s="26" t="s">
        <v>1473</v>
      </c>
      <c r="G914" s="29">
        <v>720</v>
      </c>
      <c r="H914" s="29">
        <f t="shared" si="471"/>
        <v>26</v>
      </c>
      <c r="I914" s="26" t="s">
        <v>2098</v>
      </c>
      <c r="J914" s="26" t="s">
        <v>160</v>
      </c>
      <c r="K914" s="26">
        <f>VLOOKUP(J914,TOWNSHIPS,2,FALSE)</f>
        <v>0</v>
      </c>
      <c r="L914" s="42">
        <v>7</v>
      </c>
      <c r="M914" s="42">
        <v>7</v>
      </c>
      <c r="N914" s="42">
        <v>7</v>
      </c>
      <c r="O914" s="42">
        <v>7</v>
      </c>
      <c r="P914" s="42">
        <v>7</v>
      </c>
      <c r="Q914" s="42">
        <v>8</v>
      </c>
      <c r="R914" s="42">
        <v>8</v>
      </c>
      <c r="S914" s="42">
        <v>8</v>
      </c>
      <c r="T914" s="42">
        <v>7</v>
      </c>
      <c r="U914" s="42">
        <v>7</v>
      </c>
      <c r="V914" s="42"/>
      <c r="W914" s="42"/>
      <c r="X914" s="42"/>
      <c r="Y914" s="26">
        <v>667</v>
      </c>
      <c r="Z914" s="26">
        <f t="shared" si="472"/>
        <v>0.5</v>
      </c>
      <c r="AA914" s="26" t="s">
        <v>1733</v>
      </c>
      <c r="AB914" s="111">
        <f t="shared" si="463"/>
        <v>3.5</v>
      </c>
      <c r="AC914" s="26" t="s">
        <v>2086</v>
      </c>
      <c r="AD914" s="47">
        <v>5816</v>
      </c>
      <c r="AE914" s="140"/>
      <c r="AF914" s="113">
        <f t="shared" si="473"/>
        <v>0</v>
      </c>
      <c r="AG914" s="26">
        <v>2024</v>
      </c>
      <c r="AH914" s="26" t="str">
        <f t="shared" si="484"/>
        <v/>
      </c>
      <c r="AI914" s="26" t="str">
        <f t="shared" si="457"/>
        <v/>
      </c>
      <c r="AJ914" s="26" t="str">
        <f t="shared" si="460"/>
        <v>Fog Seal</v>
      </c>
      <c r="AK914" s="26" t="str">
        <f t="shared" si="483"/>
        <v/>
      </c>
      <c r="AL914" s="26" t="str">
        <f t="shared" si="483"/>
        <v/>
      </c>
      <c r="AM914" s="26" t="str">
        <f t="shared" si="483"/>
        <v/>
      </c>
      <c r="AN914" s="26" t="str">
        <f t="shared" si="449"/>
        <v>Fog Seal</v>
      </c>
      <c r="AO914" s="26" t="str">
        <f t="shared" si="461"/>
        <v/>
      </c>
      <c r="AP914" s="26" t="str">
        <f t="shared" si="459"/>
        <v/>
      </c>
      <c r="AQ914" s="68">
        <f t="shared" si="474"/>
        <v>10</v>
      </c>
      <c r="AR914" s="68">
        <f t="shared" si="475"/>
        <v>2</v>
      </c>
      <c r="AS914" s="68">
        <f t="shared" si="476"/>
        <v>1.05</v>
      </c>
      <c r="AT914" s="68">
        <f t="shared" si="477"/>
        <v>1.05</v>
      </c>
      <c r="AU914" s="68">
        <f t="shared" si="478"/>
        <v>1.05</v>
      </c>
      <c r="AV914" s="68">
        <f t="shared" si="479"/>
        <v>1.05</v>
      </c>
      <c r="AW914" s="68">
        <f t="shared" si="480"/>
        <v>1.05</v>
      </c>
      <c r="AX914" s="68">
        <f t="shared" ca="1" si="481"/>
        <v>0</v>
      </c>
      <c r="AY914" s="68">
        <v>2018</v>
      </c>
      <c r="AZ914" s="68" t="s">
        <v>2371</v>
      </c>
      <c r="BA914" s="106" t="str">
        <f t="shared" si="482"/>
        <v>MICRO</v>
      </c>
      <c r="BB914" s="178"/>
      <c r="BC914" s="178"/>
      <c r="BD914" s="178"/>
      <c r="BE914" s="178"/>
      <c r="BF914" s="178"/>
      <c r="BG914" s="178"/>
      <c r="BH914" s="178"/>
      <c r="BI914" s="33"/>
      <c r="BK914" s="48">
        <f>$G914/5280*VLOOKUP($AC914,'Cost and Score'!$B$27:$O$40,6,0)</f>
        <v>1.3636363636363636E-2</v>
      </c>
      <c r="BL914" s="48">
        <f>$G914/5280*VLOOKUP($AC914,'Cost and Score'!$B$27:$O$40,7,0)</f>
        <v>2.7272727272727271E-2</v>
      </c>
      <c r="BM914" s="48">
        <f>$G914/5280*VLOOKUP($AC914,'Cost and Score'!$B$27:$O$40,8,0)</f>
        <v>0</v>
      </c>
      <c r="BN914" s="48">
        <f>$G914/5280*VLOOKUP($AC914,'Cost and Score'!$B$27:$O$40,9,0)</f>
        <v>0</v>
      </c>
      <c r="BO914" s="48">
        <f>$G914/5280*VLOOKUP($AC914,'Cost and Score'!$B$27:$O$40,10,0)</f>
        <v>136.36363636363635</v>
      </c>
      <c r="BP914" s="48">
        <f>$G914/5280*VLOOKUP($AC914,'Cost and Score'!$B$27:$O$40,11,0)</f>
        <v>0</v>
      </c>
      <c r="BQ914" s="48">
        <f>$G914/5280*VLOOKUP($AC914,'Cost and Score'!$B$27:$O$40,12,0)</f>
        <v>0</v>
      </c>
      <c r="BR914" s="48">
        <f>$G914/5280*VLOOKUP($AC914,'Cost and Score'!$B$27:$O$40,13,0)</f>
        <v>0</v>
      </c>
      <c r="BS914" s="48">
        <f>$G914/5280*VLOOKUP($AC914,'Cost and Score'!$B$27:$O$40,14,0)</f>
        <v>0</v>
      </c>
      <c r="BT914" s="220">
        <f t="shared" si="470"/>
        <v>0.13636363636363635</v>
      </c>
    </row>
    <row r="915" spans="1:103" s="2" customFormat="1" ht="14.45" hidden="1" customHeight="1" x14ac:dyDescent="0.25">
      <c r="A915" s="38" t="s">
        <v>2102</v>
      </c>
      <c r="B915" s="34" t="s">
        <v>1734</v>
      </c>
      <c r="C915" s="26" t="s">
        <v>1734</v>
      </c>
      <c r="D915" s="26"/>
      <c r="E915" s="26" t="s">
        <v>86</v>
      </c>
      <c r="F915" s="26" t="s">
        <v>1418</v>
      </c>
      <c r="G915" s="29">
        <v>612</v>
      </c>
      <c r="H915" s="29">
        <f t="shared" si="471"/>
        <v>20</v>
      </c>
      <c r="I915" s="26" t="s">
        <v>13</v>
      </c>
      <c r="J915" s="26" t="s">
        <v>101</v>
      </c>
      <c r="K915" s="26">
        <v>0</v>
      </c>
      <c r="L915" s="42">
        <v>7</v>
      </c>
      <c r="M915" s="42">
        <v>7</v>
      </c>
      <c r="N915" s="42">
        <v>7</v>
      </c>
      <c r="O915" s="42">
        <v>7</v>
      </c>
      <c r="P915" s="42">
        <v>7</v>
      </c>
      <c r="Q915" s="42">
        <v>7</v>
      </c>
      <c r="R915" s="42">
        <v>7</v>
      </c>
      <c r="S915" s="42">
        <v>7</v>
      </c>
      <c r="T915" s="42">
        <v>7</v>
      </c>
      <c r="U915" s="42">
        <v>7</v>
      </c>
      <c r="V915" s="42"/>
      <c r="W915" s="42"/>
      <c r="X915" s="42"/>
      <c r="Y915" s="26">
        <v>50</v>
      </c>
      <c r="Z915" s="26">
        <f t="shared" si="472"/>
        <v>0</v>
      </c>
      <c r="AA915" s="26" t="s">
        <v>1734</v>
      </c>
      <c r="AB915" s="111">
        <f t="shared" si="463"/>
        <v>3</v>
      </c>
      <c r="AC915" s="26" t="s">
        <v>2073</v>
      </c>
      <c r="AD915" s="47">
        <f t="shared" ref="AD915:AD941" si="485">VLOOKUP(AC915,Cost,2,FALSE)*G915/5280</f>
        <v>3709.090909090909</v>
      </c>
      <c r="AE915" s="140"/>
      <c r="AF915" s="113">
        <f t="shared" si="473"/>
        <v>0</v>
      </c>
      <c r="AG915" s="26">
        <v>2023</v>
      </c>
      <c r="AH915" s="26" t="str">
        <f t="shared" si="484"/>
        <v/>
      </c>
      <c r="AI915" s="26" t="str">
        <f t="shared" si="457"/>
        <v>Chip Seal - Double and Fog</v>
      </c>
      <c r="AJ915" s="26" t="str">
        <f t="shared" si="460"/>
        <v/>
      </c>
      <c r="AK915" s="26" t="str">
        <f t="shared" si="483"/>
        <v/>
      </c>
      <c r="AL915" s="26" t="str">
        <f t="shared" si="483"/>
        <v/>
      </c>
      <c r="AM915" s="26" t="str">
        <f t="shared" si="483"/>
        <v/>
      </c>
      <c r="AN915" s="26" t="str">
        <f t="shared" si="449"/>
        <v>Chip Seal - Double and Fog</v>
      </c>
      <c r="AO915" s="26" t="str">
        <f t="shared" si="461"/>
        <v/>
      </c>
      <c r="AP915" s="26" t="str">
        <f t="shared" si="459"/>
        <v/>
      </c>
      <c r="AQ915" s="68">
        <f t="shared" si="474"/>
        <v>10</v>
      </c>
      <c r="AR915" s="68">
        <f t="shared" si="475"/>
        <v>6</v>
      </c>
      <c r="AS915" s="68">
        <f t="shared" si="476"/>
        <v>1.05</v>
      </c>
      <c r="AT915" s="68">
        <f t="shared" si="477"/>
        <v>1.05</v>
      </c>
      <c r="AU915" s="68">
        <f t="shared" si="478"/>
        <v>1.05</v>
      </c>
      <c r="AV915" s="68">
        <f t="shared" si="479"/>
        <v>1.05</v>
      </c>
      <c r="AW915" s="68">
        <f t="shared" si="480"/>
        <v>1.05</v>
      </c>
      <c r="AX915" s="68">
        <f t="shared" ca="1" si="481"/>
        <v>-1.05</v>
      </c>
      <c r="AY915" s="106">
        <v>2016</v>
      </c>
      <c r="AZ915" s="106" t="s">
        <v>2086</v>
      </c>
      <c r="BA915" s="106" t="str">
        <f t="shared" si="482"/>
        <v/>
      </c>
      <c r="BB915" s="178"/>
      <c r="BC915" s="178"/>
      <c r="BD915" s="178"/>
      <c r="BE915" s="178"/>
      <c r="BF915" s="178"/>
      <c r="BG915" s="178"/>
      <c r="BH915" s="178"/>
      <c r="BI915" s="33"/>
      <c r="BK915" s="48">
        <f>$G915/5280*VLOOKUP($AC915,'Cost and Score'!$B$27:$O$40,6,0)</f>
        <v>5.7954545454545453E-2</v>
      </c>
      <c r="BL915" s="48">
        <f>$G915/5280*VLOOKUP($AC915,'Cost and Score'!$B$27:$O$40,7,0)</f>
        <v>5.795454545454545</v>
      </c>
      <c r="BM915" s="48">
        <f>$G915/5280*VLOOKUP($AC915,'Cost and Score'!$B$27:$O$40,8,0)</f>
        <v>0</v>
      </c>
      <c r="BN915" s="48">
        <f>$G915/5280*VLOOKUP($AC915,'Cost and Score'!$B$27:$O$40,9,0)</f>
        <v>1101.1363636363635</v>
      </c>
      <c r="BO915" s="48">
        <f>$G915/5280*VLOOKUP($AC915,'Cost and Score'!$B$27:$O$40,10,0)</f>
        <v>115.90909090909091</v>
      </c>
      <c r="BP915" s="48">
        <f>$G915/5280*VLOOKUP($AC915,'Cost and Score'!$B$27:$O$40,11,0)</f>
        <v>0</v>
      </c>
      <c r="BQ915" s="48">
        <f>$G915/5280*VLOOKUP($AC915,'Cost and Score'!$B$27:$O$40,12,0)</f>
        <v>23.18181818181818</v>
      </c>
      <c r="BR915" s="48">
        <f>$G915/5280*VLOOKUP($AC915,'Cost and Score'!$B$27:$O$40,13,0)</f>
        <v>20.863636363636363</v>
      </c>
      <c r="BS915" s="48">
        <f>$G915/5280*VLOOKUP($AC915,'Cost and Score'!$B$27:$O$40,14,0)</f>
        <v>27.818181818181817</v>
      </c>
      <c r="BT915" s="220">
        <f t="shared" si="470"/>
        <v>0.11590909090909091</v>
      </c>
    </row>
    <row r="916" spans="1:103" s="2" customFormat="1" ht="14.45" customHeight="1" x14ac:dyDescent="0.25">
      <c r="A916" s="31" t="s">
        <v>2102</v>
      </c>
      <c r="B916" s="45" t="s">
        <v>1913</v>
      </c>
      <c r="C916" s="26" t="s">
        <v>1913</v>
      </c>
      <c r="D916" s="119" t="s">
        <v>2240</v>
      </c>
      <c r="E916" s="82" t="s">
        <v>1467</v>
      </c>
      <c r="F916" s="82" t="s">
        <v>1462</v>
      </c>
      <c r="G916" s="29">
        <v>2376</v>
      </c>
      <c r="H916" s="29">
        <f t="shared" si="471"/>
        <v>26</v>
      </c>
      <c r="I916" s="26" t="s">
        <v>2098</v>
      </c>
      <c r="J916" s="26" t="s">
        <v>125</v>
      </c>
      <c r="K916" s="26">
        <f t="shared" ref="K916:K924" si="486">VLOOKUP(J916,TOWNSHIPS,2,FALSE)</f>
        <v>0</v>
      </c>
      <c r="L916" s="42">
        <v>7</v>
      </c>
      <c r="M916" s="42">
        <v>8</v>
      </c>
      <c r="N916" s="42">
        <v>8</v>
      </c>
      <c r="O916" s="83">
        <v>8</v>
      </c>
      <c r="P916" s="83">
        <v>8</v>
      </c>
      <c r="Q916" s="83">
        <v>8</v>
      </c>
      <c r="R916" s="83">
        <v>8</v>
      </c>
      <c r="S916" s="83">
        <v>8</v>
      </c>
      <c r="T916" s="83">
        <v>7</v>
      </c>
      <c r="U916" s="83">
        <v>7</v>
      </c>
      <c r="V916" s="42"/>
      <c r="W916" s="42"/>
      <c r="X916" s="42"/>
      <c r="Y916" s="26">
        <v>50</v>
      </c>
      <c r="Z916" s="26">
        <f t="shared" si="472"/>
        <v>0</v>
      </c>
      <c r="AA916" s="82" t="s">
        <v>1913</v>
      </c>
      <c r="AB916" s="111">
        <f t="shared" si="463"/>
        <v>2</v>
      </c>
      <c r="AC916" s="85" t="s">
        <v>2425</v>
      </c>
      <c r="AD916" s="84">
        <f t="shared" si="485"/>
        <v>11250</v>
      </c>
      <c r="AE916" s="140"/>
      <c r="AF916" s="113">
        <f t="shared" si="473"/>
        <v>0</v>
      </c>
      <c r="AG916" s="106">
        <v>2025</v>
      </c>
      <c r="AH916" s="26" t="str">
        <f t="shared" si="484"/>
        <v/>
      </c>
      <c r="AI916" s="26" t="str">
        <f t="shared" si="457"/>
        <v/>
      </c>
      <c r="AJ916" s="26" t="str">
        <f t="shared" si="460"/>
        <v/>
      </c>
      <c r="AK916" s="26" t="str">
        <f t="shared" si="483"/>
        <v>Liquid Road</v>
      </c>
      <c r="AL916" s="26" t="str">
        <f t="shared" si="483"/>
        <v/>
      </c>
      <c r="AM916" s="26" t="str">
        <f t="shared" si="483"/>
        <v/>
      </c>
      <c r="AN916" s="26" t="str">
        <f t="shared" si="449"/>
        <v>Liquid Road</v>
      </c>
      <c r="AO916" s="26" t="str">
        <f t="shared" si="461"/>
        <v/>
      </c>
      <c r="AP916" s="26" t="str">
        <f t="shared" si="459"/>
        <v/>
      </c>
      <c r="AQ916" s="68">
        <f t="shared" si="474"/>
        <v>12</v>
      </c>
      <c r="AR916" s="68">
        <f t="shared" si="475"/>
        <v>10</v>
      </c>
      <c r="AS916" s="68">
        <f t="shared" si="476"/>
        <v>1.05</v>
      </c>
      <c r="AT916" s="68">
        <f t="shared" si="477"/>
        <v>1</v>
      </c>
      <c r="AU916" s="68">
        <f t="shared" si="478"/>
        <v>1</v>
      </c>
      <c r="AV916" s="68">
        <f t="shared" si="479"/>
        <v>1</v>
      </c>
      <c r="AW916" s="68">
        <f t="shared" si="480"/>
        <v>1</v>
      </c>
      <c r="AX916" s="68">
        <f t="shared" ca="1" si="481"/>
        <v>1</v>
      </c>
      <c r="AY916" s="68">
        <v>2019</v>
      </c>
      <c r="AZ916" s="68" t="s">
        <v>2075</v>
      </c>
      <c r="BA916" s="106" t="str">
        <f t="shared" si="482"/>
        <v/>
      </c>
      <c r="BB916" s="178"/>
      <c r="BC916" s="178"/>
      <c r="BD916" s="178"/>
      <c r="BE916" s="178"/>
      <c r="BF916" s="178"/>
      <c r="BG916" s="178"/>
      <c r="BH916" s="178"/>
      <c r="BI916" s="33"/>
      <c r="BK916" s="48">
        <f>$G916/5280*VLOOKUP($AC916,'Cost and Score'!$B$27:$O$40,6,0)</f>
        <v>0.45</v>
      </c>
      <c r="BL916" s="48">
        <f>$G916/5280*VLOOKUP($AC916,'Cost and Score'!$B$27:$O$40,7,0)</f>
        <v>7.2</v>
      </c>
      <c r="BM916" s="48">
        <f>$G916/5280*VLOOKUP($AC916,'Cost and Score'!$B$27:$O$40,8,0)</f>
        <v>0</v>
      </c>
      <c r="BN916" s="48">
        <f>$G916/5280*VLOOKUP($AC916,'Cost and Score'!$B$27:$O$40,9,0)</f>
        <v>0</v>
      </c>
      <c r="BO916" s="48">
        <f>$G916/5280*VLOOKUP($AC916,'Cost and Score'!$B$27:$O$40,10,0)</f>
        <v>0</v>
      </c>
      <c r="BP916" s="48">
        <f>$G916/5280*VLOOKUP($AC916,'Cost and Score'!$B$27:$O$40,11,0)</f>
        <v>0</v>
      </c>
      <c r="BQ916" s="48">
        <f>$G916/5280*VLOOKUP($AC916,'Cost and Score'!$B$27:$O$40,12,0)</f>
        <v>0</v>
      </c>
      <c r="BR916" s="48">
        <f>$G916/5280*VLOOKUP($AC916,'Cost and Score'!$B$27:$O$40,13,0)</f>
        <v>0</v>
      </c>
      <c r="BS916" s="48">
        <f>$G916/5280*VLOOKUP($AC916,'Cost and Score'!$B$27:$O$40,14,0)</f>
        <v>0</v>
      </c>
      <c r="BT916" s="220">
        <f t="shared" si="470"/>
        <v>0.45</v>
      </c>
      <c r="CG916" s="112"/>
      <c r="CH916" s="112"/>
      <c r="CI916" s="112"/>
      <c r="CJ916" s="112"/>
      <c r="CK916" s="112"/>
      <c r="CL916" s="112"/>
      <c r="CM916" s="112"/>
      <c r="CR916" s="112"/>
    </row>
    <row r="917" spans="1:103" s="2" customFormat="1" ht="14.45" customHeight="1" x14ac:dyDescent="0.25">
      <c r="A917" s="31" t="s">
        <v>2102</v>
      </c>
      <c r="B917" s="45" t="s">
        <v>2215</v>
      </c>
      <c r="C917" s="26" t="s">
        <v>2215</v>
      </c>
      <c r="D917" s="119" t="s">
        <v>2285</v>
      </c>
      <c r="E917" s="82" t="s">
        <v>1487</v>
      </c>
      <c r="F917" s="82" t="s">
        <v>1462</v>
      </c>
      <c r="G917" s="147">
        <v>3878</v>
      </c>
      <c r="H917" s="29">
        <f t="shared" si="471"/>
        <v>26</v>
      </c>
      <c r="I917" s="26" t="s">
        <v>2098</v>
      </c>
      <c r="J917" s="26" t="s">
        <v>125</v>
      </c>
      <c r="K917" s="26">
        <f t="shared" si="486"/>
        <v>0</v>
      </c>
      <c r="L917" s="42">
        <v>6</v>
      </c>
      <c r="M917" s="42">
        <v>8</v>
      </c>
      <c r="N917" s="42">
        <v>7</v>
      </c>
      <c r="O917" s="83">
        <v>7</v>
      </c>
      <c r="P917" s="83">
        <v>7</v>
      </c>
      <c r="Q917" s="83">
        <v>6</v>
      </c>
      <c r="R917" s="83">
        <v>8</v>
      </c>
      <c r="S917" s="83">
        <v>8</v>
      </c>
      <c r="T917" s="83">
        <v>7</v>
      </c>
      <c r="U917" s="83">
        <v>7</v>
      </c>
      <c r="V917" s="42"/>
      <c r="W917" s="42"/>
      <c r="X917" s="42"/>
      <c r="Y917" s="26">
        <v>50</v>
      </c>
      <c r="Z917" s="26">
        <f t="shared" si="472"/>
        <v>0</v>
      </c>
      <c r="AA917" s="82" t="s">
        <v>1949</v>
      </c>
      <c r="AB917" s="111">
        <f t="shared" si="463"/>
        <v>3</v>
      </c>
      <c r="AC917" s="85" t="s">
        <v>2425</v>
      </c>
      <c r="AD917" s="84">
        <f t="shared" si="485"/>
        <v>18361.742424242424</v>
      </c>
      <c r="AE917" s="140"/>
      <c r="AF917" s="113">
        <f t="shared" si="473"/>
        <v>0</v>
      </c>
      <c r="AG917" s="106">
        <v>2025</v>
      </c>
      <c r="AH917" s="26" t="str">
        <f t="shared" si="484"/>
        <v/>
      </c>
      <c r="AI917" s="26" t="str">
        <f t="shared" si="457"/>
        <v/>
      </c>
      <c r="AJ917" s="26" t="str">
        <f t="shared" si="460"/>
        <v/>
      </c>
      <c r="AK917" s="26" t="str">
        <f t="shared" si="483"/>
        <v>Liquid Road</v>
      </c>
      <c r="AL917" s="26" t="str">
        <f t="shared" si="483"/>
        <v/>
      </c>
      <c r="AM917" s="26" t="str">
        <f t="shared" si="483"/>
        <v/>
      </c>
      <c r="AN917" s="26" t="str">
        <f t="shared" ref="AN917:AN980" si="487">VLOOKUP($AC917,RSL,3,FALSE)</f>
        <v>Liquid Road</v>
      </c>
      <c r="AO917" s="26" t="str">
        <f t="shared" si="461"/>
        <v/>
      </c>
      <c r="AP917" s="26" t="str">
        <f t="shared" si="459"/>
        <v/>
      </c>
      <c r="AQ917" s="68">
        <f t="shared" si="474"/>
        <v>10</v>
      </c>
      <c r="AR917" s="68">
        <f t="shared" si="475"/>
        <v>10</v>
      </c>
      <c r="AS917" s="68">
        <f t="shared" si="476"/>
        <v>1.1000000000000001</v>
      </c>
      <c r="AT917" s="68">
        <f t="shared" si="477"/>
        <v>1</v>
      </c>
      <c r="AU917" s="68">
        <f t="shared" si="478"/>
        <v>1.05</v>
      </c>
      <c r="AV917" s="68">
        <f t="shared" si="479"/>
        <v>1.05</v>
      </c>
      <c r="AW917" s="68">
        <f t="shared" si="480"/>
        <v>1.05</v>
      </c>
      <c r="AX917" s="68">
        <f t="shared" ca="1" si="481"/>
        <v>1.05</v>
      </c>
      <c r="AY917" s="68">
        <v>2019</v>
      </c>
      <c r="AZ917" s="85" t="s">
        <v>2075</v>
      </c>
      <c r="BA917" s="106" t="str">
        <f t="shared" si="482"/>
        <v/>
      </c>
      <c r="BB917" s="203"/>
      <c r="BC917" s="110"/>
      <c r="BD917" s="110"/>
      <c r="BE917" s="110"/>
      <c r="BF917" s="110"/>
      <c r="BG917" s="110"/>
      <c r="BH917" s="110"/>
      <c r="BI917" s="33"/>
      <c r="BK917" s="48">
        <f>$G917/5280*VLOOKUP($AC917,'Cost and Score'!$B$27:$O$40,6,0)</f>
        <v>0.73446969696969699</v>
      </c>
      <c r="BL917" s="48">
        <f>$G917/5280*VLOOKUP($AC917,'Cost and Score'!$B$27:$O$40,7,0)</f>
        <v>11.751515151515152</v>
      </c>
      <c r="BM917" s="48">
        <f>$G917/5280*VLOOKUP($AC917,'Cost and Score'!$B$27:$O$40,8,0)</f>
        <v>0</v>
      </c>
      <c r="BN917" s="48">
        <f>$G917/5280*VLOOKUP($AC917,'Cost and Score'!$B$27:$O$40,9,0)</f>
        <v>0</v>
      </c>
      <c r="BO917" s="48">
        <f>$G917/5280*VLOOKUP($AC917,'Cost and Score'!$B$27:$O$40,10,0)</f>
        <v>0</v>
      </c>
      <c r="BP917" s="48">
        <f>$G917/5280*VLOOKUP($AC917,'Cost and Score'!$B$27:$O$40,11,0)</f>
        <v>0</v>
      </c>
      <c r="BQ917" s="48">
        <f>$G917/5280*VLOOKUP($AC917,'Cost and Score'!$B$27:$O$40,12,0)</f>
        <v>0</v>
      </c>
      <c r="BR917" s="48">
        <f>$G917/5280*VLOOKUP($AC917,'Cost and Score'!$B$27:$O$40,13,0)</f>
        <v>0</v>
      </c>
      <c r="BS917" s="48">
        <f>$G917/5280*VLOOKUP($AC917,'Cost and Score'!$B$27:$O$40,14,0)</f>
        <v>0</v>
      </c>
      <c r="BT917" s="220">
        <f t="shared" si="470"/>
        <v>0.73446969696969699</v>
      </c>
    </row>
    <row r="918" spans="1:103" s="2" customFormat="1" ht="14.45" customHeight="1" x14ac:dyDescent="0.25">
      <c r="A918" s="31" t="s">
        <v>2102</v>
      </c>
      <c r="B918" s="45" t="s">
        <v>1952</v>
      </c>
      <c r="C918" s="85" t="s">
        <v>1952</v>
      </c>
      <c r="D918" s="86" t="s">
        <v>2344</v>
      </c>
      <c r="E918" s="85" t="s">
        <v>1953</v>
      </c>
      <c r="F918" s="85" t="s">
        <v>2343</v>
      </c>
      <c r="G918" s="29">
        <v>392</v>
      </c>
      <c r="H918" s="29">
        <f t="shared" si="471"/>
        <v>26</v>
      </c>
      <c r="I918" s="85" t="s">
        <v>2098</v>
      </c>
      <c r="J918" s="85" t="s">
        <v>17</v>
      </c>
      <c r="K918" s="85">
        <f t="shared" si="486"/>
        <v>0</v>
      </c>
      <c r="L918" s="74">
        <v>8</v>
      </c>
      <c r="M918" s="74">
        <v>6</v>
      </c>
      <c r="N918" s="74">
        <v>6</v>
      </c>
      <c r="O918" s="74">
        <v>5</v>
      </c>
      <c r="P918" s="74">
        <v>5</v>
      </c>
      <c r="Q918" s="74">
        <v>4</v>
      </c>
      <c r="R918" s="74">
        <v>9</v>
      </c>
      <c r="S918" s="74">
        <v>8</v>
      </c>
      <c r="T918" s="74">
        <v>7</v>
      </c>
      <c r="U918" s="74">
        <v>7</v>
      </c>
      <c r="V918" s="74"/>
      <c r="W918" s="74"/>
      <c r="X918" s="74"/>
      <c r="Y918" s="85">
        <v>50</v>
      </c>
      <c r="Z918" s="85">
        <f t="shared" si="472"/>
        <v>0</v>
      </c>
      <c r="AA918" s="85" t="s">
        <v>1952</v>
      </c>
      <c r="AB918" s="111">
        <f t="shared" si="463"/>
        <v>5</v>
      </c>
      <c r="AC918" s="85" t="s">
        <v>2425</v>
      </c>
      <c r="AD918" s="47">
        <f t="shared" si="485"/>
        <v>1856.060606060606</v>
      </c>
      <c r="AE918" s="140"/>
      <c r="AF918" s="113">
        <f t="shared" si="473"/>
        <v>0</v>
      </c>
      <c r="AG918" s="106">
        <v>2025</v>
      </c>
      <c r="AH918" s="26" t="str">
        <f t="shared" si="484"/>
        <v/>
      </c>
      <c r="AI918" s="26" t="str">
        <f t="shared" si="457"/>
        <v/>
      </c>
      <c r="AJ918" s="26" t="str">
        <f t="shared" si="460"/>
        <v/>
      </c>
      <c r="AK918" s="26" t="str">
        <f t="shared" si="483"/>
        <v>Liquid Road</v>
      </c>
      <c r="AL918" s="26" t="str">
        <f t="shared" si="483"/>
        <v/>
      </c>
      <c r="AM918" s="26" t="str">
        <f t="shared" si="483"/>
        <v/>
      </c>
      <c r="AN918" s="26" t="str">
        <f t="shared" si="487"/>
        <v>Liquid Road</v>
      </c>
      <c r="AO918" s="26" t="str">
        <f t="shared" si="461"/>
        <v/>
      </c>
      <c r="AP918" s="26" t="str">
        <f t="shared" si="459"/>
        <v/>
      </c>
      <c r="AQ918" s="68">
        <f t="shared" si="474"/>
        <v>6</v>
      </c>
      <c r="AR918" s="68">
        <f t="shared" si="475"/>
        <v>10</v>
      </c>
      <c r="AS918" s="68">
        <f t="shared" si="476"/>
        <v>1</v>
      </c>
      <c r="AT918" s="68">
        <f t="shared" si="477"/>
        <v>1.1000000000000001</v>
      </c>
      <c r="AU918" s="68">
        <f t="shared" si="478"/>
        <v>1.1000000000000001</v>
      </c>
      <c r="AV918" s="68">
        <f t="shared" si="479"/>
        <v>1.25</v>
      </c>
      <c r="AW918" s="68">
        <f t="shared" si="480"/>
        <v>1.25</v>
      </c>
      <c r="AX918" s="68">
        <f t="shared" ca="1" si="481"/>
        <v>1.1000000000000001</v>
      </c>
      <c r="AY918" s="68">
        <v>2019</v>
      </c>
      <c r="AZ918" s="68" t="s">
        <v>751</v>
      </c>
      <c r="BA918" s="106" t="str">
        <f t="shared" si="482"/>
        <v/>
      </c>
      <c r="BB918" s="178"/>
      <c r="BC918" s="177"/>
      <c r="BD918" s="177"/>
      <c r="BE918" s="177"/>
      <c r="BF918" s="177"/>
      <c r="BG918" s="177"/>
      <c r="BH918" s="177"/>
      <c r="BI918" s="33"/>
      <c r="BK918" s="48">
        <f>$G918/5280*VLOOKUP($AC918,'Cost and Score'!$B$27:$O$40,6,0)</f>
        <v>7.4242424242424249E-2</v>
      </c>
      <c r="BL918" s="48">
        <f>$G918/5280*VLOOKUP($AC918,'Cost and Score'!$B$27:$O$40,7,0)</f>
        <v>1.187878787878788</v>
      </c>
      <c r="BM918" s="48">
        <f>$G918/5280*VLOOKUP($AC918,'Cost and Score'!$B$27:$O$40,8,0)</f>
        <v>0</v>
      </c>
      <c r="BN918" s="48">
        <f>$G918/5280*VLOOKUP($AC918,'Cost and Score'!$B$27:$O$40,9,0)</f>
        <v>0</v>
      </c>
      <c r="BO918" s="48">
        <f>$G918/5280*VLOOKUP($AC918,'Cost and Score'!$B$27:$O$40,10,0)</f>
        <v>0</v>
      </c>
      <c r="BP918" s="48">
        <f>$G918/5280*VLOOKUP($AC918,'Cost and Score'!$B$27:$O$40,11,0)</f>
        <v>0</v>
      </c>
      <c r="BQ918" s="48">
        <f>$G918/5280*VLOOKUP($AC918,'Cost and Score'!$B$27:$O$40,12,0)</f>
        <v>0</v>
      </c>
      <c r="BR918" s="48">
        <f>$G918/5280*VLOOKUP($AC918,'Cost and Score'!$B$27:$O$40,13,0)</f>
        <v>0</v>
      </c>
      <c r="BS918" s="48">
        <f>$G918/5280*VLOOKUP($AC918,'Cost and Score'!$B$27:$O$40,14,0)</f>
        <v>0</v>
      </c>
      <c r="BT918" s="220">
        <f t="shared" si="470"/>
        <v>7.4242424242424249E-2</v>
      </c>
      <c r="CF918" s="112"/>
      <c r="CW918" s="112"/>
      <c r="CX918" s="112"/>
      <c r="CY918" s="112"/>
    </row>
    <row r="919" spans="1:103" s="2" customFormat="1" ht="14.45" hidden="1" customHeight="1" x14ac:dyDescent="0.25">
      <c r="A919" s="31" t="s">
        <v>2102</v>
      </c>
      <c r="B919" s="224" t="s">
        <v>1738</v>
      </c>
      <c r="C919" s="26" t="s">
        <v>1738</v>
      </c>
      <c r="D919" s="36" t="s">
        <v>2226</v>
      </c>
      <c r="E919" s="26" t="s">
        <v>1451</v>
      </c>
      <c r="F919" s="26" t="s">
        <v>1505</v>
      </c>
      <c r="G919" s="29">
        <v>211</v>
      </c>
      <c r="H919" s="29">
        <f t="shared" si="471"/>
        <v>26</v>
      </c>
      <c r="I919" s="26" t="s">
        <v>2098</v>
      </c>
      <c r="J919" s="26" t="s">
        <v>125</v>
      </c>
      <c r="K919" s="26">
        <f t="shared" si="486"/>
        <v>0</v>
      </c>
      <c r="L919" s="42">
        <v>5</v>
      </c>
      <c r="M919" s="42">
        <v>5</v>
      </c>
      <c r="N919" s="42">
        <v>9</v>
      </c>
      <c r="O919" s="42">
        <v>9</v>
      </c>
      <c r="P919" s="42">
        <v>8</v>
      </c>
      <c r="Q919" s="42">
        <v>7</v>
      </c>
      <c r="R919" s="42">
        <v>6</v>
      </c>
      <c r="S919" s="42">
        <v>7</v>
      </c>
      <c r="T919" s="42">
        <v>6</v>
      </c>
      <c r="U919" s="42">
        <v>7</v>
      </c>
      <c r="V919" s="42"/>
      <c r="W919" s="42"/>
      <c r="X919" s="42"/>
      <c r="Y919" s="26">
        <v>50</v>
      </c>
      <c r="Z919" s="26">
        <f t="shared" si="472"/>
        <v>0</v>
      </c>
      <c r="AA919" s="26" t="s">
        <v>1738</v>
      </c>
      <c r="AB919" s="111">
        <f t="shared" si="463"/>
        <v>2</v>
      </c>
      <c r="AC919" s="85" t="s">
        <v>2425</v>
      </c>
      <c r="AD919" s="47">
        <f t="shared" si="485"/>
        <v>999.05303030303025</v>
      </c>
      <c r="AE919" s="140"/>
      <c r="AF919" s="113">
        <f t="shared" si="473"/>
        <v>0</v>
      </c>
      <c r="AG919" s="85">
        <v>2026</v>
      </c>
      <c r="AH919" s="26" t="str">
        <f t="shared" si="484"/>
        <v/>
      </c>
      <c r="AI919" s="26" t="str">
        <f t="shared" si="457"/>
        <v/>
      </c>
      <c r="AJ919" s="26" t="str">
        <f t="shared" si="460"/>
        <v/>
      </c>
      <c r="AK919" s="26" t="str">
        <f t="shared" si="483"/>
        <v/>
      </c>
      <c r="AL919" s="26" t="str">
        <f t="shared" si="483"/>
        <v>Liquid Road</v>
      </c>
      <c r="AM919" s="26" t="str">
        <f t="shared" si="483"/>
        <v/>
      </c>
      <c r="AN919" s="26" t="str">
        <f t="shared" si="487"/>
        <v>Liquid Road</v>
      </c>
      <c r="AO919" s="26" t="str">
        <f t="shared" si="461"/>
        <v/>
      </c>
      <c r="AP919" s="26" t="str">
        <f t="shared" si="459"/>
        <v/>
      </c>
      <c r="AQ919" s="68">
        <f t="shared" si="474"/>
        <v>14</v>
      </c>
      <c r="AR919" s="68">
        <f t="shared" si="475"/>
        <v>10</v>
      </c>
      <c r="AS919" s="68">
        <f t="shared" si="476"/>
        <v>1.25</v>
      </c>
      <c r="AT919" s="68">
        <f t="shared" si="477"/>
        <v>1.25</v>
      </c>
      <c r="AU919" s="68">
        <f t="shared" si="478"/>
        <v>1</v>
      </c>
      <c r="AV919" s="68">
        <f t="shared" si="479"/>
        <v>1</v>
      </c>
      <c r="AW919" s="68">
        <f t="shared" si="480"/>
        <v>1</v>
      </c>
      <c r="AX919" s="68">
        <f t="shared" ca="1" si="481"/>
        <v>2</v>
      </c>
      <c r="AY919" s="68">
        <v>2016</v>
      </c>
      <c r="AZ919" s="68" t="s">
        <v>2371</v>
      </c>
      <c r="BA919" s="106" t="str">
        <f t="shared" si="482"/>
        <v/>
      </c>
      <c r="BB919" s="178"/>
      <c r="BC919" s="178"/>
      <c r="BD919" s="178">
        <v>1</v>
      </c>
      <c r="BE919" s="178"/>
      <c r="BF919" s="178"/>
      <c r="BG919" s="178"/>
      <c r="BH919" s="178"/>
      <c r="BI919" s="33"/>
      <c r="BK919" s="48">
        <f>$G919/5280*VLOOKUP($AC919,'Cost and Score'!$B$27:$O$40,6,0)</f>
        <v>3.9962121212121213E-2</v>
      </c>
      <c r="BL919" s="48">
        <f>$G919/5280*VLOOKUP($AC919,'Cost and Score'!$B$27:$O$40,7,0)</f>
        <v>0.6393939393939394</v>
      </c>
      <c r="BM919" s="48">
        <f>$G919/5280*VLOOKUP($AC919,'Cost and Score'!$B$27:$O$40,8,0)</f>
        <v>0</v>
      </c>
      <c r="BN919" s="48">
        <f>$G919/5280*VLOOKUP($AC919,'Cost and Score'!$B$27:$O$40,9,0)</f>
        <v>0</v>
      </c>
      <c r="BO919" s="48">
        <f>$G919/5280*VLOOKUP($AC919,'Cost and Score'!$B$27:$O$40,10,0)</f>
        <v>0</v>
      </c>
      <c r="BP919" s="48">
        <f>$G919/5280*VLOOKUP($AC919,'Cost and Score'!$B$27:$O$40,11,0)</f>
        <v>0</v>
      </c>
      <c r="BQ919" s="48">
        <f>$G919/5280*VLOOKUP($AC919,'Cost and Score'!$B$27:$O$40,12,0)</f>
        <v>0</v>
      </c>
      <c r="BR919" s="48">
        <f>$G919/5280*VLOOKUP($AC919,'Cost and Score'!$B$27:$O$40,13,0)</f>
        <v>0</v>
      </c>
      <c r="BS919" s="48">
        <f>$G919/5280*VLOOKUP($AC919,'Cost and Score'!$B$27:$O$40,14,0)</f>
        <v>0</v>
      </c>
      <c r="BT919" s="220">
        <f t="shared" si="470"/>
        <v>3.9962121212121213E-2</v>
      </c>
      <c r="CR919" s="112"/>
    </row>
    <row r="920" spans="1:103" s="2" customFormat="1" ht="14.45" hidden="1" customHeight="1" x14ac:dyDescent="0.25">
      <c r="A920" s="31" t="s">
        <v>2102</v>
      </c>
      <c r="B920" s="224" t="s">
        <v>1739</v>
      </c>
      <c r="C920" s="26" t="s">
        <v>1739</v>
      </c>
      <c r="D920" s="36" t="s">
        <v>2226</v>
      </c>
      <c r="E920" s="26" t="s">
        <v>1451</v>
      </c>
      <c r="F920" s="26" t="s">
        <v>1505</v>
      </c>
      <c r="G920" s="29">
        <v>2323</v>
      </c>
      <c r="H920" s="29">
        <f t="shared" si="471"/>
        <v>26</v>
      </c>
      <c r="I920" s="26" t="s">
        <v>2098</v>
      </c>
      <c r="J920" s="26" t="s">
        <v>125</v>
      </c>
      <c r="K920" s="26">
        <f t="shared" si="486"/>
        <v>0</v>
      </c>
      <c r="L920" s="42">
        <v>6</v>
      </c>
      <c r="M920" s="42">
        <v>6</v>
      </c>
      <c r="N920" s="42">
        <v>9</v>
      </c>
      <c r="O920" s="42">
        <v>9</v>
      </c>
      <c r="P920" s="42">
        <v>8</v>
      </c>
      <c r="Q920" s="42">
        <v>7</v>
      </c>
      <c r="R920" s="42">
        <v>6</v>
      </c>
      <c r="S920" s="42">
        <v>7</v>
      </c>
      <c r="T920" s="42">
        <v>7</v>
      </c>
      <c r="U920" s="42">
        <v>6</v>
      </c>
      <c r="V920" s="42"/>
      <c r="W920" s="42"/>
      <c r="X920" s="42"/>
      <c r="Y920" s="26">
        <v>50</v>
      </c>
      <c r="Z920" s="26">
        <f t="shared" si="472"/>
        <v>0</v>
      </c>
      <c r="AA920" s="26" t="s">
        <v>1739</v>
      </c>
      <c r="AB920" s="111">
        <f t="shared" si="463"/>
        <v>2</v>
      </c>
      <c r="AC920" s="85" t="s">
        <v>2425</v>
      </c>
      <c r="AD920" s="47">
        <f t="shared" si="485"/>
        <v>10999.05303030303</v>
      </c>
      <c r="AE920" s="140"/>
      <c r="AF920" s="113">
        <f t="shared" si="473"/>
        <v>0</v>
      </c>
      <c r="AG920" s="85">
        <v>2026</v>
      </c>
      <c r="AH920" s="26" t="str">
        <f t="shared" si="484"/>
        <v/>
      </c>
      <c r="AI920" s="26" t="str">
        <f t="shared" si="457"/>
        <v/>
      </c>
      <c r="AJ920" s="26" t="str">
        <f t="shared" si="460"/>
        <v/>
      </c>
      <c r="AK920" s="26" t="str">
        <f t="shared" si="483"/>
        <v/>
      </c>
      <c r="AL920" s="26" t="str">
        <f t="shared" si="483"/>
        <v>Liquid Road</v>
      </c>
      <c r="AM920" s="26" t="str">
        <f t="shared" si="483"/>
        <v/>
      </c>
      <c r="AN920" s="26" t="str">
        <f t="shared" si="487"/>
        <v>Liquid Road</v>
      </c>
      <c r="AO920" s="26" t="str">
        <f t="shared" si="461"/>
        <v/>
      </c>
      <c r="AP920" s="26" t="str">
        <f t="shared" si="459"/>
        <v/>
      </c>
      <c r="AQ920" s="68">
        <f t="shared" si="474"/>
        <v>14</v>
      </c>
      <c r="AR920" s="68">
        <f t="shared" si="475"/>
        <v>10</v>
      </c>
      <c r="AS920" s="68">
        <f t="shared" si="476"/>
        <v>1.1000000000000001</v>
      </c>
      <c r="AT920" s="68">
        <f t="shared" si="477"/>
        <v>1.1000000000000001</v>
      </c>
      <c r="AU920" s="68">
        <f t="shared" si="478"/>
        <v>1</v>
      </c>
      <c r="AV920" s="68">
        <f t="shared" si="479"/>
        <v>1</v>
      </c>
      <c r="AW920" s="68">
        <f t="shared" si="480"/>
        <v>1</v>
      </c>
      <c r="AX920" s="68">
        <f t="shared" ca="1" si="481"/>
        <v>2</v>
      </c>
      <c r="AY920" s="68">
        <v>2016</v>
      </c>
      <c r="AZ920" s="68" t="s">
        <v>2371</v>
      </c>
      <c r="BA920" s="106" t="str">
        <f t="shared" si="482"/>
        <v/>
      </c>
      <c r="BB920" s="178"/>
      <c r="BC920" s="178"/>
      <c r="BD920" s="178">
        <v>1</v>
      </c>
      <c r="BE920" s="178"/>
      <c r="BF920" s="178"/>
      <c r="BG920" s="178"/>
      <c r="BH920" s="178"/>
      <c r="BI920" s="33"/>
      <c r="BK920" s="48">
        <f>$G920/5280*VLOOKUP($AC920,'Cost and Score'!$B$27:$O$40,6,0)</f>
        <v>0.43996212121212119</v>
      </c>
      <c r="BL920" s="48">
        <f>$G920/5280*VLOOKUP($AC920,'Cost and Score'!$B$27:$O$40,7,0)</f>
        <v>7.0393939393939391</v>
      </c>
      <c r="BM920" s="48">
        <f>$G920/5280*VLOOKUP($AC920,'Cost and Score'!$B$27:$O$40,8,0)</f>
        <v>0</v>
      </c>
      <c r="BN920" s="48">
        <f>$G920/5280*VLOOKUP($AC920,'Cost and Score'!$B$27:$O$40,9,0)</f>
        <v>0</v>
      </c>
      <c r="BO920" s="48">
        <f>$G920/5280*VLOOKUP($AC920,'Cost and Score'!$B$27:$O$40,10,0)</f>
        <v>0</v>
      </c>
      <c r="BP920" s="48">
        <f>$G920/5280*VLOOKUP($AC920,'Cost and Score'!$B$27:$O$40,11,0)</f>
        <v>0</v>
      </c>
      <c r="BQ920" s="48">
        <f>$G920/5280*VLOOKUP($AC920,'Cost and Score'!$B$27:$O$40,12,0)</f>
        <v>0</v>
      </c>
      <c r="BR920" s="48">
        <f>$G920/5280*VLOOKUP($AC920,'Cost and Score'!$B$27:$O$40,13,0)</f>
        <v>0</v>
      </c>
      <c r="BS920" s="48">
        <f>$G920/5280*VLOOKUP($AC920,'Cost and Score'!$B$27:$O$40,14,0)</f>
        <v>0</v>
      </c>
      <c r="BT920" s="220">
        <f t="shared" si="470"/>
        <v>0.43996212121212119</v>
      </c>
      <c r="CR920" s="112"/>
    </row>
    <row r="921" spans="1:103" s="2" customFormat="1" ht="14.45" hidden="1" customHeight="1" x14ac:dyDescent="0.25">
      <c r="A921" s="31" t="s">
        <v>2102</v>
      </c>
      <c r="B921" s="224" t="s">
        <v>1740</v>
      </c>
      <c r="C921" s="26" t="s">
        <v>1740</v>
      </c>
      <c r="D921" s="36" t="s">
        <v>2226</v>
      </c>
      <c r="E921" s="26" t="s">
        <v>1451</v>
      </c>
      <c r="F921" s="26" t="s">
        <v>1505</v>
      </c>
      <c r="G921" s="29">
        <v>422</v>
      </c>
      <c r="H921" s="29">
        <f t="shared" si="471"/>
        <v>26</v>
      </c>
      <c r="I921" s="26" t="s">
        <v>2098</v>
      </c>
      <c r="J921" s="26" t="s">
        <v>125</v>
      </c>
      <c r="K921" s="26">
        <f t="shared" si="486"/>
        <v>0</v>
      </c>
      <c r="L921" s="42">
        <v>5</v>
      </c>
      <c r="M921" s="42">
        <v>5</v>
      </c>
      <c r="N921" s="42">
        <v>9</v>
      </c>
      <c r="O921" s="42">
        <v>9</v>
      </c>
      <c r="P921" s="42">
        <v>8</v>
      </c>
      <c r="Q921" s="42">
        <v>7</v>
      </c>
      <c r="R921" s="42">
        <v>6</v>
      </c>
      <c r="S921" s="42">
        <v>7</v>
      </c>
      <c r="T921" s="42">
        <v>7</v>
      </c>
      <c r="U921" s="42">
        <v>7</v>
      </c>
      <c r="V921" s="42"/>
      <c r="W921" s="42"/>
      <c r="X921" s="42"/>
      <c r="Y921" s="26">
        <v>50</v>
      </c>
      <c r="Z921" s="26">
        <f t="shared" si="472"/>
        <v>0</v>
      </c>
      <c r="AA921" s="26" t="s">
        <v>1740</v>
      </c>
      <c r="AB921" s="111">
        <f t="shared" si="463"/>
        <v>2</v>
      </c>
      <c r="AC921" s="85" t="s">
        <v>2425</v>
      </c>
      <c r="AD921" s="47">
        <f t="shared" si="485"/>
        <v>1998.1060606060605</v>
      </c>
      <c r="AE921" s="140"/>
      <c r="AF921" s="113">
        <f t="shared" si="473"/>
        <v>0</v>
      </c>
      <c r="AG921" s="85">
        <v>2026</v>
      </c>
      <c r="AH921" s="26" t="str">
        <f t="shared" si="484"/>
        <v/>
      </c>
      <c r="AI921" s="26" t="str">
        <f t="shared" si="457"/>
        <v/>
      </c>
      <c r="AJ921" s="26" t="str">
        <f t="shared" si="460"/>
        <v/>
      </c>
      <c r="AK921" s="26" t="str">
        <f t="shared" si="483"/>
        <v/>
      </c>
      <c r="AL921" s="26" t="str">
        <f t="shared" si="483"/>
        <v>Liquid Road</v>
      </c>
      <c r="AM921" s="26" t="str">
        <f t="shared" si="483"/>
        <v/>
      </c>
      <c r="AN921" s="26" t="str">
        <f t="shared" si="487"/>
        <v>Liquid Road</v>
      </c>
      <c r="AO921" s="26" t="str">
        <f t="shared" si="461"/>
        <v/>
      </c>
      <c r="AP921" s="26" t="str">
        <f t="shared" si="459"/>
        <v/>
      </c>
      <c r="AQ921" s="68">
        <f t="shared" si="474"/>
        <v>14</v>
      </c>
      <c r="AR921" s="68">
        <f t="shared" si="475"/>
        <v>10</v>
      </c>
      <c r="AS921" s="68">
        <f t="shared" si="476"/>
        <v>1.25</v>
      </c>
      <c r="AT921" s="68">
        <f t="shared" si="477"/>
        <v>1.25</v>
      </c>
      <c r="AU921" s="68">
        <f t="shared" si="478"/>
        <v>1</v>
      </c>
      <c r="AV921" s="68">
        <f t="shared" si="479"/>
        <v>1</v>
      </c>
      <c r="AW921" s="68">
        <f t="shared" si="480"/>
        <v>1</v>
      </c>
      <c r="AX921" s="68">
        <f t="shared" ca="1" si="481"/>
        <v>2</v>
      </c>
      <c r="AY921" s="68">
        <v>2016</v>
      </c>
      <c r="AZ921" s="68" t="s">
        <v>2371</v>
      </c>
      <c r="BA921" s="106" t="str">
        <f t="shared" si="482"/>
        <v/>
      </c>
      <c r="BB921" s="178"/>
      <c r="BC921" s="178"/>
      <c r="BD921" s="178">
        <v>1</v>
      </c>
      <c r="BE921" s="178"/>
      <c r="BF921" s="178"/>
      <c r="BG921" s="178"/>
      <c r="BH921" s="178"/>
      <c r="BI921" s="33"/>
      <c r="BK921" s="48">
        <f>$G921/5280*VLOOKUP($AC921,'Cost and Score'!$B$27:$O$40,6,0)</f>
        <v>7.9924242424242425E-2</v>
      </c>
      <c r="BL921" s="48">
        <f>$G921/5280*VLOOKUP($AC921,'Cost and Score'!$B$27:$O$40,7,0)</f>
        <v>1.2787878787878788</v>
      </c>
      <c r="BM921" s="48">
        <f>$G921/5280*VLOOKUP($AC921,'Cost and Score'!$B$27:$O$40,8,0)</f>
        <v>0</v>
      </c>
      <c r="BN921" s="48">
        <f>$G921/5280*VLOOKUP($AC921,'Cost and Score'!$B$27:$O$40,9,0)</f>
        <v>0</v>
      </c>
      <c r="BO921" s="48">
        <f>$G921/5280*VLOOKUP($AC921,'Cost and Score'!$B$27:$O$40,10,0)</f>
        <v>0</v>
      </c>
      <c r="BP921" s="48">
        <f>$G921/5280*VLOOKUP($AC921,'Cost and Score'!$B$27:$O$40,11,0)</f>
        <v>0</v>
      </c>
      <c r="BQ921" s="48">
        <f>$G921/5280*VLOOKUP($AC921,'Cost and Score'!$B$27:$O$40,12,0)</f>
        <v>0</v>
      </c>
      <c r="BR921" s="48">
        <f>$G921/5280*VLOOKUP($AC921,'Cost and Score'!$B$27:$O$40,13,0)</f>
        <v>0</v>
      </c>
      <c r="BS921" s="48">
        <f>$G921/5280*VLOOKUP($AC921,'Cost and Score'!$B$27:$O$40,14,0)</f>
        <v>0</v>
      </c>
      <c r="BT921" s="220">
        <f t="shared" si="470"/>
        <v>7.9924242424242425E-2</v>
      </c>
      <c r="CF921" s="112"/>
    </row>
    <row r="922" spans="1:103" s="2" customFormat="1" ht="14.45" hidden="1" customHeight="1" x14ac:dyDescent="0.25">
      <c r="A922" s="31"/>
      <c r="B922" s="226" t="s">
        <v>2206</v>
      </c>
      <c r="C922" s="106" t="s">
        <v>2206</v>
      </c>
      <c r="D922" s="116" t="s">
        <v>2303</v>
      </c>
      <c r="E922" s="106" t="s">
        <v>135</v>
      </c>
      <c r="F922" s="106" t="s">
        <v>104</v>
      </c>
      <c r="G922" s="109">
        <v>168</v>
      </c>
      <c r="H922" s="109">
        <f t="shared" si="471"/>
        <v>26</v>
      </c>
      <c r="I922" s="106" t="s">
        <v>2098</v>
      </c>
      <c r="J922" s="106" t="s">
        <v>160</v>
      </c>
      <c r="K922" s="106">
        <f t="shared" si="486"/>
        <v>0</v>
      </c>
      <c r="L922" s="110"/>
      <c r="M922" s="110">
        <v>8</v>
      </c>
      <c r="N922" s="110">
        <v>8</v>
      </c>
      <c r="O922" s="110">
        <v>8</v>
      </c>
      <c r="P922" s="110">
        <v>8</v>
      </c>
      <c r="Q922" s="110">
        <v>8</v>
      </c>
      <c r="R922" s="110">
        <v>8</v>
      </c>
      <c r="S922" s="110">
        <v>8</v>
      </c>
      <c r="T922" s="110">
        <v>8</v>
      </c>
      <c r="U922" s="110">
        <v>8</v>
      </c>
      <c r="V922" s="110"/>
      <c r="W922" s="110"/>
      <c r="X922" s="110"/>
      <c r="Y922" s="106">
        <v>740</v>
      </c>
      <c r="Z922" s="106">
        <f t="shared" si="472"/>
        <v>0.5</v>
      </c>
      <c r="AA922" s="106" t="s">
        <v>2206</v>
      </c>
      <c r="AB922" s="111">
        <f t="shared" si="463"/>
        <v>2.5</v>
      </c>
      <c r="AC922" s="106" t="s">
        <v>2425</v>
      </c>
      <c r="AD922" s="107">
        <f t="shared" si="485"/>
        <v>795.4545454545455</v>
      </c>
      <c r="AE922" s="198"/>
      <c r="AF922" s="113">
        <f t="shared" si="473"/>
        <v>0</v>
      </c>
      <c r="AG922" s="85">
        <v>2026</v>
      </c>
      <c r="AH922" s="26" t="str">
        <f t="shared" si="484"/>
        <v/>
      </c>
      <c r="AI922" s="26" t="str">
        <f t="shared" si="457"/>
        <v/>
      </c>
      <c r="AJ922" s="26" t="str">
        <f t="shared" si="460"/>
        <v/>
      </c>
      <c r="AK922" s="26" t="str">
        <f t="shared" si="483"/>
        <v/>
      </c>
      <c r="AL922" s="26" t="str">
        <f t="shared" si="483"/>
        <v>Liquid Road</v>
      </c>
      <c r="AM922" s="26" t="str">
        <f t="shared" si="483"/>
        <v/>
      </c>
      <c r="AN922" s="26" t="str">
        <f t="shared" si="487"/>
        <v>Liquid Road</v>
      </c>
      <c r="AO922" s="26" t="str">
        <f t="shared" si="461"/>
        <v/>
      </c>
      <c r="AP922" s="26" t="str">
        <f t="shared" si="459"/>
        <v/>
      </c>
      <c r="AQ922" s="68">
        <f t="shared" si="474"/>
        <v>12</v>
      </c>
      <c r="AR922" s="68">
        <f t="shared" si="475"/>
        <v>10</v>
      </c>
      <c r="AS922" s="68">
        <f t="shared" si="476"/>
        <v>0</v>
      </c>
      <c r="AT922" s="68">
        <f t="shared" si="477"/>
        <v>1</v>
      </c>
      <c r="AU922" s="68">
        <f t="shared" si="478"/>
        <v>1</v>
      </c>
      <c r="AV922" s="68">
        <f t="shared" si="479"/>
        <v>1</v>
      </c>
      <c r="AW922" s="68">
        <f t="shared" si="480"/>
        <v>1</v>
      </c>
      <c r="AX922" s="68">
        <f t="shared" ca="1" si="481"/>
        <v>2</v>
      </c>
      <c r="AY922" s="106">
        <v>2017</v>
      </c>
      <c r="AZ922" s="106" t="s">
        <v>2086</v>
      </c>
      <c r="BA922" s="106" t="str">
        <f t="shared" si="482"/>
        <v/>
      </c>
      <c r="BB922" s="177"/>
      <c r="BC922" s="177"/>
      <c r="BD922" s="177"/>
      <c r="BE922" s="177"/>
      <c r="BF922" s="177"/>
      <c r="BG922" s="177"/>
      <c r="BH922" s="177">
        <v>5</v>
      </c>
      <c r="BI922" s="33"/>
      <c r="BK922" s="48">
        <f>$G922/5280*VLOOKUP($AC922,'Cost and Score'!$B$27:$O$40,6,0)</f>
        <v>3.1818181818181815E-2</v>
      </c>
      <c r="BL922" s="48">
        <f>$G922/5280*VLOOKUP($AC922,'Cost and Score'!$B$27:$O$40,7,0)</f>
        <v>0.50909090909090904</v>
      </c>
      <c r="BM922" s="48">
        <f>$G922/5280*VLOOKUP($AC922,'Cost and Score'!$B$27:$O$40,8,0)</f>
        <v>0</v>
      </c>
      <c r="BN922" s="48">
        <f>$G922/5280*VLOOKUP($AC922,'Cost and Score'!$B$27:$O$40,9,0)</f>
        <v>0</v>
      </c>
      <c r="BO922" s="48">
        <f>$G922/5280*VLOOKUP($AC922,'Cost and Score'!$B$27:$O$40,10,0)</f>
        <v>0</v>
      </c>
      <c r="BP922" s="48">
        <f>$G922/5280*VLOOKUP($AC922,'Cost and Score'!$B$27:$O$40,11,0)</f>
        <v>0</v>
      </c>
      <c r="BQ922" s="48">
        <f>$G922/5280*VLOOKUP($AC922,'Cost and Score'!$B$27:$O$40,12,0)</f>
        <v>0</v>
      </c>
      <c r="BR922" s="48">
        <f>$G922/5280*VLOOKUP($AC922,'Cost and Score'!$B$27:$O$40,13,0)</f>
        <v>0</v>
      </c>
      <c r="BS922" s="48">
        <f>$G922/5280*VLOOKUP($AC922,'Cost and Score'!$B$27:$O$40,14,0)</f>
        <v>0</v>
      </c>
      <c r="BT922" s="220">
        <f t="shared" si="470"/>
        <v>3.1818181818181815E-2</v>
      </c>
      <c r="CF922" s="112"/>
      <c r="CR922" s="112"/>
      <c r="CS922" s="112"/>
      <c r="CT922" s="112"/>
      <c r="CU922" s="112"/>
    </row>
    <row r="923" spans="1:103" s="2" customFormat="1" ht="14.45" hidden="1" customHeight="1" x14ac:dyDescent="0.25">
      <c r="A923" s="31"/>
      <c r="B923" s="226" t="s">
        <v>2207</v>
      </c>
      <c r="C923" s="106" t="s">
        <v>2207</v>
      </c>
      <c r="D923" s="116" t="s">
        <v>2303</v>
      </c>
      <c r="E923" s="106" t="s">
        <v>135</v>
      </c>
      <c r="F923" s="106" t="s">
        <v>104</v>
      </c>
      <c r="G923" s="109">
        <v>442</v>
      </c>
      <c r="H923" s="109">
        <f t="shared" si="471"/>
        <v>26</v>
      </c>
      <c r="I923" s="106" t="s">
        <v>2098</v>
      </c>
      <c r="J923" s="106" t="s">
        <v>160</v>
      </c>
      <c r="K923" s="106">
        <f t="shared" si="486"/>
        <v>0</v>
      </c>
      <c r="L923" s="110"/>
      <c r="M923" s="110">
        <v>8</v>
      </c>
      <c r="N923" s="110">
        <v>8</v>
      </c>
      <c r="O923" s="110">
        <v>8</v>
      </c>
      <c r="P923" s="110">
        <v>8</v>
      </c>
      <c r="Q923" s="110">
        <v>8</v>
      </c>
      <c r="R923" s="110">
        <v>8</v>
      </c>
      <c r="S923" s="110">
        <v>8</v>
      </c>
      <c r="T923" s="110">
        <v>8</v>
      </c>
      <c r="U923" s="110">
        <v>7</v>
      </c>
      <c r="V923" s="110"/>
      <c r="W923" s="110"/>
      <c r="X923" s="110"/>
      <c r="Y923" s="106">
        <v>740</v>
      </c>
      <c r="Z923" s="106">
        <f t="shared" si="472"/>
        <v>0.5</v>
      </c>
      <c r="AA923" s="106" t="s">
        <v>2207</v>
      </c>
      <c r="AB923" s="111">
        <f t="shared" si="463"/>
        <v>2.5</v>
      </c>
      <c r="AC923" s="106" t="s">
        <v>2425</v>
      </c>
      <c r="AD923" s="107">
        <f t="shared" si="485"/>
        <v>2092.8030303030305</v>
      </c>
      <c r="AE923" s="198"/>
      <c r="AF923" s="113">
        <f t="shared" si="473"/>
        <v>0</v>
      </c>
      <c r="AG923" s="85">
        <v>2026</v>
      </c>
      <c r="AH923" s="26" t="str">
        <f t="shared" si="484"/>
        <v/>
      </c>
      <c r="AI923" s="26" t="str">
        <f t="shared" si="457"/>
        <v/>
      </c>
      <c r="AJ923" s="26" t="str">
        <f t="shared" si="460"/>
        <v/>
      </c>
      <c r="AK923" s="26" t="str">
        <f t="shared" si="483"/>
        <v/>
      </c>
      <c r="AL923" s="26" t="str">
        <f t="shared" si="483"/>
        <v>Liquid Road</v>
      </c>
      <c r="AM923" s="26" t="str">
        <f t="shared" si="483"/>
        <v/>
      </c>
      <c r="AN923" s="26" t="str">
        <f t="shared" si="487"/>
        <v>Liquid Road</v>
      </c>
      <c r="AO923" s="26" t="str">
        <f t="shared" si="461"/>
        <v/>
      </c>
      <c r="AP923" s="26" t="str">
        <f t="shared" si="459"/>
        <v/>
      </c>
      <c r="AQ923" s="68">
        <f t="shared" si="474"/>
        <v>12</v>
      </c>
      <c r="AR923" s="68">
        <f t="shared" si="475"/>
        <v>10</v>
      </c>
      <c r="AS923" s="68">
        <f t="shared" si="476"/>
        <v>0</v>
      </c>
      <c r="AT923" s="68">
        <f t="shared" si="477"/>
        <v>1</v>
      </c>
      <c r="AU923" s="68">
        <f t="shared" si="478"/>
        <v>1</v>
      </c>
      <c r="AV923" s="68">
        <f t="shared" si="479"/>
        <v>1</v>
      </c>
      <c r="AW923" s="68">
        <f t="shared" si="480"/>
        <v>1</v>
      </c>
      <c r="AX923" s="68">
        <f t="shared" ca="1" si="481"/>
        <v>2</v>
      </c>
      <c r="AY923" s="106">
        <v>2017</v>
      </c>
      <c r="AZ923" s="106" t="s">
        <v>2086</v>
      </c>
      <c r="BA923" s="106" t="str">
        <f t="shared" si="482"/>
        <v/>
      </c>
      <c r="BB923" s="177"/>
      <c r="BC923" s="177"/>
      <c r="BD923" s="177"/>
      <c r="BE923" s="177"/>
      <c r="BF923" s="177"/>
      <c r="BG923" s="177"/>
      <c r="BH923" s="177">
        <v>5</v>
      </c>
      <c r="BI923" s="33"/>
      <c r="BK923" s="48">
        <f>$G923/5280*VLOOKUP($AC923,'Cost and Score'!$B$27:$O$40,6,0)</f>
        <v>8.371212121212121E-2</v>
      </c>
      <c r="BL923" s="48">
        <f>$G923/5280*VLOOKUP($AC923,'Cost and Score'!$B$27:$O$40,7,0)</f>
        <v>1.3393939393939394</v>
      </c>
      <c r="BM923" s="48">
        <f>$G923/5280*VLOOKUP($AC923,'Cost and Score'!$B$27:$O$40,8,0)</f>
        <v>0</v>
      </c>
      <c r="BN923" s="48">
        <f>$G923/5280*VLOOKUP($AC923,'Cost and Score'!$B$27:$O$40,9,0)</f>
        <v>0</v>
      </c>
      <c r="BO923" s="48">
        <f>$G923/5280*VLOOKUP($AC923,'Cost and Score'!$B$27:$O$40,10,0)</f>
        <v>0</v>
      </c>
      <c r="BP923" s="48">
        <f>$G923/5280*VLOOKUP($AC923,'Cost and Score'!$B$27:$O$40,11,0)</f>
        <v>0</v>
      </c>
      <c r="BQ923" s="48">
        <f>$G923/5280*VLOOKUP($AC923,'Cost and Score'!$B$27:$O$40,12,0)</f>
        <v>0</v>
      </c>
      <c r="BR923" s="48">
        <f>$G923/5280*VLOOKUP($AC923,'Cost and Score'!$B$27:$O$40,13,0)</f>
        <v>0</v>
      </c>
      <c r="BS923" s="48">
        <f>$G923/5280*VLOOKUP($AC923,'Cost and Score'!$B$27:$O$40,14,0)</f>
        <v>0</v>
      </c>
      <c r="BT923" s="220">
        <f t="shared" si="470"/>
        <v>8.371212121212121E-2</v>
      </c>
      <c r="CG923" s="112"/>
      <c r="CH923" s="112"/>
      <c r="CI923" s="112"/>
      <c r="CJ923" s="112"/>
      <c r="CK923" s="112"/>
      <c r="CL923" s="112"/>
      <c r="CM923" s="112"/>
      <c r="CS923" s="112"/>
      <c r="CT923" s="112"/>
      <c r="CU923" s="112"/>
    </row>
    <row r="924" spans="1:103" s="112" customFormat="1" ht="14.45" hidden="1" customHeight="1" x14ac:dyDescent="0.25">
      <c r="A924" s="31" t="s">
        <v>2102</v>
      </c>
      <c r="B924" s="224" t="s">
        <v>1741</v>
      </c>
      <c r="C924" s="26" t="s">
        <v>1741</v>
      </c>
      <c r="D924" s="36" t="s">
        <v>2270</v>
      </c>
      <c r="E924" s="26" t="s">
        <v>1512</v>
      </c>
      <c r="F924" s="26" t="s">
        <v>1742</v>
      </c>
      <c r="G924" s="29">
        <v>898</v>
      </c>
      <c r="H924" s="29">
        <f t="shared" si="471"/>
        <v>26</v>
      </c>
      <c r="I924" s="26" t="s">
        <v>2098</v>
      </c>
      <c r="J924" s="26" t="s">
        <v>125</v>
      </c>
      <c r="K924" s="26">
        <f t="shared" si="486"/>
        <v>0</v>
      </c>
      <c r="L924" s="42">
        <v>5</v>
      </c>
      <c r="M924" s="42">
        <v>5</v>
      </c>
      <c r="N924" s="42">
        <v>5</v>
      </c>
      <c r="O924" s="42">
        <v>9</v>
      </c>
      <c r="P924" s="42">
        <v>9</v>
      </c>
      <c r="Q924" s="42">
        <v>9</v>
      </c>
      <c r="R924" s="42">
        <v>8</v>
      </c>
      <c r="S924" s="42">
        <v>8</v>
      </c>
      <c r="T924" s="42">
        <v>7</v>
      </c>
      <c r="U924" s="42">
        <v>7</v>
      </c>
      <c r="V924" s="42"/>
      <c r="W924" s="42"/>
      <c r="X924" s="42"/>
      <c r="Y924" s="26">
        <v>50</v>
      </c>
      <c r="Z924" s="26">
        <f t="shared" si="472"/>
        <v>0</v>
      </c>
      <c r="AA924" s="26" t="s">
        <v>1741</v>
      </c>
      <c r="AB924" s="111">
        <f t="shared" si="463"/>
        <v>1</v>
      </c>
      <c r="AC924" s="85" t="s">
        <v>2425</v>
      </c>
      <c r="AD924" s="47">
        <f t="shared" si="485"/>
        <v>4251.893939393939</v>
      </c>
      <c r="AE924" s="140"/>
      <c r="AF924" s="113">
        <f t="shared" si="473"/>
        <v>0</v>
      </c>
      <c r="AG924" s="85">
        <v>2026</v>
      </c>
      <c r="AH924" s="26" t="str">
        <f t="shared" si="484"/>
        <v/>
      </c>
      <c r="AI924" s="26" t="str">
        <f t="shared" si="457"/>
        <v/>
      </c>
      <c r="AJ924" s="26" t="str">
        <f t="shared" si="460"/>
        <v/>
      </c>
      <c r="AK924" s="26" t="str">
        <f t="shared" si="483"/>
        <v/>
      </c>
      <c r="AL924" s="26" t="str">
        <f t="shared" si="483"/>
        <v>Liquid Road</v>
      </c>
      <c r="AM924" s="26" t="str">
        <f t="shared" si="483"/>
        <v/>
      </c>
      <c r="AN924" s="26" t="str">
        <f t="shared" si="487"/>
        <v>Liquid Road</v>
      </c>
      <c r="AO924" s="26" t="str">
        <f t="shared" si="461"/>
        <v/>
      </c>
      <c r="AP924" s="26" t="str">
        <f t="shared" si="459"/>
        <v/>
      </c>
      <c r="AQ924" s="68">
        <f t="shared" si="474"/>
        <v>14</v>
      </c>
      <c r="AR924" s="68">
        <f t="shared" si="475"/>
        <v>10</v>
      </c>
      <c r="AS924" s="68">
        <f t="shared" si="476"/>
        <v>1.25</v>
      </c>
      <c r="AT924" s="68">
        <f t="shared" si="477"/>
        <v>1.25</v>
      </c>
      <c r="AU924" s="68">
        <f t="shared" si="478"/>
        <v>1.25</v>
      </c>
      <c r="AV924" s="68">
        <f t="shared" si="479"/>
        <v>1</v>
      </c>
      <c r="AW924" s="68">
        <f t="shared" si="480"/>
        <v>1</v>
      </c>
      <c r="AX924" s="68">
        <f t="shared" ca="1" si="481"/>
        <v>2.5</v>
      </c>
      <c r="AY924" s="68">
        <v>2016</v>
      </c>
      <c r="AZ924" s="68" t="s">
        <v>751</v>
      </c>
      <c r="BA924" s="106" t="str">
        <f t="shared" si="482"/>
        <v/>
      </c>
      <c r="BB924" s="178"/>
      <c r="BC924" s="178"/>
      <c r="BD924" s="178"/>
      <c r="BE924" s="178"/>
      <c r="BF924" s="178">
        <v>3</v>
      </c>
      <c r="BG924" s="178"/>
      <c r="BH924" s="178"/>
      <c r="BI924" s="33"/>
      <c r="BJ924" s="2"/>
      <c r="BK924" s="48">
        <f>$G924/5280*VLOOKUP($AC924,'Cost and Score'!$B$27:$O$40,6,0)</f>
        <v>0.17007575757575757</v>
      </c>
      <c r="BL924" s="48">
        <f>$G924/5280*VLOOKUP($AC924,'Cost and Score'!$B$27:$O$40,7,0)</f>
        <v>2.7212121212121212</v>
      </c>
      <c r="BM924" s="48">
        <f>$G924/5280*VLOOKUP($AC924,'Cost and Score'!$B$27:$O$40,8,0)</f>
        <v>0</v>
      </c>
      <c r="BN924" s="48">
        <f>$G924/5280*VLOOKUP($AC924,'Cost and Score'!$B$27:$O$40,9,0)</f>
        <v>0</v>
      </c>
      <c r="BO924" s="48">
        <f>$G924/5280*VLOOKUP($AC924,'Cost and Score'!$B$27:$O$40,10,0)</f>
        <v>0</v>
      </c>
      <c r="BP924" s="48">
        <f>$G924/5280*VLOOKUP($AC924,'Cost and Score'!$B$27:$O$40,11,0)</f>
        <v>0</v>
      </c>
      <c r="BQ924" s="48">
        <f>$G924/5280*VLOOKUP($AC924,'Cost and Score'!$B$27:$O$40,12,0)</f>
        <v>0</v>
      </c>
      <c r="BR924" s="48">
        <f>$G924/5280*VLOOKUP($AC924,'Cost and Score'!$B$27:$O$40,13,0)</f>
        <v>0</v>
      </c>
      <c r="BS924" s="48">
        <f>$G924/5280*VLOOKUP($AC924,'Cost and Score'!$B$27:$O$40,14,0)</f>
        <v>0</v>
      </c>
      <c r="BT924" s="220">
        <f t="shared" si="470"/>
        <v>0.17007575757575757</v>
      </c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</row>
    <row r="925" spans="1:103" s="112" customFormat="1" ht="14.45" hidden="1" customHeight="1" x14ac:dyDescent="0.25">
      <c r="A925" s="31" t="s">
        <v>2102</v>
      </c>
      <c r="B925" s="120" t="s">
        <v>1743</v>
      </c>
      <c r="C925" s="106" t="s">
        <v>1743</v>
      </c>
      <c r="D925" s="116" t="s">
        <v>2232</v>
      </c>
      <c r="E925" s="106" t="s">
        <v>1580</v>
      </c>
      <c r="F925" s="106" t="s">
        <v>1553</v>
      </c>
      <c r="G925" s="109">
        <v>1056</v>
      </c>
      <c r="H925" s="109">
        <f t="shared" si="471"/>
        <v>26</v>
      </c>
      <c r="I925" s="106" t="s">
        <v>2098</v>
      </c>
      <c r="J925" s="106" t="s">
        <v>101</v>
      </c>
      <c r="K925" s="106">
        <v>0</v>
      </c>
      <c r="L925" s="110">
        <v>7</v>
      </c>
      <c r="M925" s="110">
        <v>7</v>
      </c>
      <c r="N925" s="110">
        <v>7</v>
      </c>
      <c r="O925" s="110">
        <v>7</v>
      </c>
      <c r="P925" s="110">
        <v>7</v>
      </c>
      <c r="Q925" s="110">
        <v>7</v>
      </c>
      <c r="R925" s="110">
        <v>6</v>
      </c>
      <c r="S925" s="110">
        <v>6</v>
      </c>
      <c r="T925" s="110">
        <v>6</v>
      </c>
      <c r="U925" s="110">
        <v>6</v>
      </c>
      <c r="V925" s="110"/>
      <c r="W925" s="110"/>
      <c r="X925" s="110"/>
      <c r="Y925" s="106">
        <v>50</v>
      </c>
      <c r="Z925" s="106">
        <f t="shared" si="472"/>
        <v>0</v>
      </c>
      <c r="AA925" s="106" t="s">
        <v>1743</v>
      </c>
      <c r="AB925" s="111">
        <f t="shared" si="463"/>
        <v>3</v>
      </c>
      <c r="AC925" s="82" t="s">
        <v>2072</v>
      </c>
      <c r="AD925" s="107">
        <f t="shared" si="485"/>
        <v>9200</v>
      </c>
      <c r="AE925" s="140"/>
      <c r="AF925" s="113">
        <f t="shared" si="473"/>
        <v>0</v>
      </c>
      <c r="AG925" s="85">
        <v>2023</v>
      </c>
      <c r="AH925" s="26" t="str">
        <f t="shared" si="484"/>
        <v/>
      </c>
      <c r="AI925" s="26" t="str">
        <f t="shared" si="457"/>
        <v>Chip Seal - Triple</v>
      </c>
      <c r="AJ925" s="26" t="str">
        <f t="shared" si="460"/>
        <v/>
      </c>
      <c r="AK925" s="26" t="str">
        <f t="shared" si="483"/>
        <v/>
      </c>
      <c r="AL925" s="26" t="str">
        <f t="shared" si="483"/>
        <v/>
      </c>
      <c r="AM925" s="26" t="str">
        <f t="shared" si="483"/>
        <v/>
      </c>
      <c r="AN925" s="26" t="str">
        <f t="shared" si="487"/>
        <v>Chip Seal - Triple</v>
      </c>
      <c r="AO925" s="26" t="str">
        <f t="shared" si="461"/>
        <v/>
      </c>
      <c r="AP925" s="26" t="str">
        <f t="shared" si="459"/>
        <v/>
      </c>
      <c r="AQ925" s="68">
        <f t="shared" si="474"/>
        <v>10</v>
      </c>
      <c r="AR925" s="68">
        <f t="shared" si="475"/>
        <v>8</v>
      </c>
      <c r="AS925" s="68">
        <f t="shared" si="476"/>
        <v>1.05</v>
      </c>
      <c r="AT925" s="68">
        <f t="shared" si="477"/>
        <v>1.05</v>
      </c>
      <c r="AU925" s="68">
        <f t="shared" si="478"/>
        <v>1.05</v>
      </c>
      <c r="AV925" s="68">
        <f t="shared" si="479"/>
        <v>1.05</v>
      </c>
      <c r="AW925" s="68">
        <f t="shared" si="480"/>
        <v>1.05</v>
      </c>
      <c r="AX925" s="68">
        <f t="shared" ca="1" si="481"/>
        <v>-1.05</v>
      </c>
      <c r="AY925" s="106">
        <v>2018</v>
      </c>
      <c r="AZ925" s="106" t="s">
        <v>2075</v>
      </c>
      <c r="BA925" s="106" t="str">
        <f t="shared" si="482"/>
        <v>CRACK</v>
      </c>
      <c r="BB925" s="177"/>
      <c r="BC925" s="177"/>
      <c r="BD925" s="177"/>
      <c r="BE925" s="177"/>
      <c r="BF925" s="177"/>
      <c r="BG925" s="177"/>
      <c r="BH925" s="177"/>
      <c r="BI925" s="33"/>
      <c r="BJ925" s="2"/>
      <c r="BK925" s="48">
        <f>$G925/5280*VLOOKUP($AC925,'Cost and Score'!$B$27:$O$40,6,0)</f>
        <v>0.12</v>
      </c>
      <c r="BL925" s="48">
        <f>$G925/5280*VLOOKUP($AC925,'Cost and Score'!$B$27:$O$40,7,0)</f>
        <v>25</v>
      </c>
      <c r="BM925" s="48">
        <f>$G925/5280*VLOOKUP($AC925,'Cost and Score'!$B$27:$O$40,8,0)</f>
        <v>40</v>
      </c>
      <c r="BN925" s="48">
        <f>$G925/5280*VLOOKUP($AC925,'Cost and Score'!$B$27:$O$40,9,0)</f>
        <v>400</v>
      </c>
      <c r="BO925" s="48">
        <f>$G925/5280*VLOOKUP($AC925,'Cost and Score'!$B$27:$O$40,10,0)</f>
        <v>100</v>
      </c>
      <c r="BP925" s="48">
        <f>$G925/5280*VLOOKUP($AC925,'Cost and Score'!$B$27:$O$40,11,0)</f>
        <v>20</v>
      </c>
      <c r="BQ925" s="48">
        <f>$G925/5280*VLOOKUP($AC925,'Cost and Score'!$B$27:$O$40,12,0)</f>
        <v>160</v>
      </c>
      <c r="BR925" s="48">
        <f>$G925/5280*VLOOKUP($AC925,'Cost and Score'!$B$27:$O$40,13,0)</f>
        <v>16</v>
      </c>
      <c r="BS925" s="48">
        <f>$G925/5280*VLOOKUP($AC925,'Cost and Score'!$B$27:$O$40,14,0)</f>
        <v>0</v>
      </c>
      <c r="BT925" s="220">
        <f t="shared" si="470"/>
        <v>0.2</v>
      </c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R925" s="2"/>
      <c r="CW925" s="2"/>
      <c r="CX925" s="2"/>
      <c r="CY925" s="2"/>
    </row>
    <row r="926" spans="1:103" s="2" customFormat="1" ht="14.45" customHeight="1" x14ac:dyDescent="0.25">
      <c r="A926" s="31" t="s">
        <v>2102</v>
      </c>
      <c r="B926" s="45" t="s">
        <v>1977</v>
      </c>
      <c r="C926" s="85" t="s">
        <v>1977</v>
      </c>
      <c r="D926" s="86" t="s">
        <v>2300</v>
      </c>
      <c r="E926" s="85" t="s">
        <v>1668</v>
      </c>
      <c r="F926" s="85" t="s">
        <v>1706</v>
      </c>
      <c r="G926" s="29">
        <v>1690</v>
      </c>
      <c r="H926" s="29">
        <f t="shared" si="471"/>
        <v>26</v>
      </c>
      <c r="I926" s="85" t="s">
        <v>2098</v>
      </c>
      <c r="J926" s="85" t="s">
        <v>101</v>
      </c>
      <c r="K926" s="85">
        <v>0</v>
      </c>
      <c r="L926" s="74">
        <v>7</v>
      </c>
      <c r="M926" s="74">
        <v>7</v>
      </c>
      <c r="N926" s="74">
        <v>7</v>
      </c>
      <c r="O926" s="74">
        <v>7</v>
      </c>
      <c r="P926" s="74">
        <v>6</v>
      </c>
      <c r="Q926" s="74">
        <v>6</v>
      </c>
      <c r="R926" s="74">
        <v>8</v>
      </c>
      <c r="S926" s="74">
        <v>8</v>
      </c>
      <c r="T926" s="74">
        <v>7</v>
      </c>
      <c r="U926" s="74">
        <v>7</v>
      </c>
      <c r="V926" s="74"/>
      <c r="W926" s="74"/>
      <c r="X926" s="74"/>
      <c r="Y926" s="85">
        <v>50</v>
      </c>
      <c r="Z926" s="85">
        <f t="shared" si="472"/>
        <v>0</v>
      </c>
      <c r="AA926" s="85" t="s">
        <v>1977</v>
      </c>
      <c r="AB926" s="111">
        <f t="shared" si="463"/>
        <v>4</v>
      </c>
      <c r="AC926" s="85" t="s">
        <v>2425</v>
      </c>
      <c r="AD926" s="47">
        <f t="shared" si="485"/>
        <v>8001.893939393939</v>
      </c>
      <c r="AE926" s="140"/>
      <c r="AF926" s="113">
        <f t="shared" si="473"/>
        <v>0</v>
      </c>
      <c r="AG926" s="106">
        <v>2025</v>
      </c>
      <c r="AH926" s="26" t="str">
        <f t="shared" si="484"/>
        <v/>
      </c>
      <c r="AI926" s="26" t="str">
        <f t="shared" ref="AI926:AI989" si="488">IF($AG926=AI$1,VLOOKUP($AC926,RSL,3,FALSE),"")</f>
        <v/>
      </c>
      <c r="AJ926" s="26" t="str">
        <f t="shared" si="460"/>
        <v/>
      </c>
      <c r="AK926" s="26" t="str">
        <f t="shared" si="483"/>
        <v>Liquid Road</v>
      </c>
      <c r="AL926" s="26" t="str">
        <f t="shared" si="483"/>
        <v/>
      </c>
      <c r="AM926" s="26" t="str">
        <f t="shared" si="483"/>
        <v/>
      </c>
      <c r="AN926" s="26" t="str">
        <f t="shared" si="487"/>
        <v>Liquid Road</v>
      </c>
      <c r="AO926" s="26" t="str">
        <f t="shared" si="461"/>
        <v/>
      </c>
      <c r="AP926" s="26" t="str">
        <f t="shared" si="459"/>
        <v/>
      </c>
      <c r="AQ926" s="68">
        <f t="shared" si="474"/>
        <v>10</v>
      </c>
      <c r="AR926" s="68">
        <f t="shared" si="475"/>
        <v>10</v>
      </c>
      <c r="AS926" s="68">
        <f t="shared" si="476"/>
        <v>1.05</v>
      </c>
      <c r="AT926" s="68">
        <f t="shared" si="477"/>
        <v>1.05</v>
      </c>
      <c r="AU926" s="68">
        <f t="shared" si="478"/>
        <v>1.05</v>
      </c>
      <c r="AV926" s="68">
        <f t="shared" si="479"/>
        <v>1.05</v>
      </c>
      <c r="AW926" s="68">
        <f t="shared" si="480"/>
        <v>1.1000000000000001</v>
      </c>
      <c r="AX926" s="68">
        <f t="shared" ca="1" si="481"/>
        <v>1.05</v>
      </c>
      <c r="AY926" s="68">
        <v>2019</v>
      </c>
      <c r="AZ926" s="68" t="s">
        <v>751</v>
      </c>
      <c r="BA926" s="106" t="str">
        <f t="shared" si="482"/>
        <v/>
      </c>
      <c r="BB926" s="178"/>
      <c r="BC926" s="177"/>
      <c r="BD926" s="177"/>
      <c r="BE926" s="177"/>
      <c r="BF926" s="177"/>
      <c r="BG926" s="177"/>
      <c r="BH926" s="177"/>
      <c r="BI926" s="33"/>
      <c r="BK926" s="48">
        <f>$G926/5280*VLOOKUP($AC926,'Cost and Score'!$B$27:$O$40,6,0)</f>
        <v>0.32007575757575757</v>
      </c>
      <c r="BL926" s="48">
        <f>$G926/5280*VLOOKUP($AC926,'Cost and Score'!$B$27:$O$40,7,0)</f>
        <v>5.1212121212121211</v>
      </c>
      <c r="BM926" s="48">
        <f>$G926/5280*VLOOKUP($AC926,'Cost and Score'!$B$27:$O$40,8,0)</f>
        <v>0</v>
      </c>
      <c r="BN926" s="48">
        <f>$G926/5280*VLOOKUP($AC926,'Cost and Score'!$B$27:$O$40,9,0)</f>
        <v>0</v>
      </c>
      <c r="BO926" s="48">
        <f>$G926/5280*VLOOKUP($AC926,'Cost and Score'!$B$27:$O$40,10,0)</f>
        <v>0</v>
      </c>
      <c r="BP926" s="48">
        <f>$G926/5280*VLOOKUP($AC926,'Cost and Score'!$B$27:$O$40,11,0)</f>
        <v>0</v>
      </c>
      <c r="BQ926" s="48">
        <f>$G926/5280*VLOOKUP($AC926,'Cost and Score'!$B$27:$O$40,12,0)</f>
        <v>0</v>
      </c>
      <c r="BR926" s="48">
        <f>$G926/5280*VLOOKUP($AC926,'Cost and Score'!$B$27:$O$40,13,0)</f>
        <v>0</v>
      </c>
      <c r="BS926" s="48">
        <f>$G926/5280*VLOOKUP($AC926,'Cost and Score'!$B$27:$O$40,14,0)</f>
        <v>0</v>
      </c>
      <c r="BT926" s="220">
        <f t="shared" si="470"/>
        <v>0.32007575757575757</v>
      </c>
      <c r="CN926" s="112"/>
      <c r="CO926" s="112"/>
      <c r="CP926" s="112"/>
      <c r="CQ926" s="112"/>
      <c r="CV926" s="112"/>
    </row>
    <row r="927" spans="1:103" s="112" customFormat="1" ht="14.45" hidden="1" customHeight="1" x14ac:dyDescent="0.25">
      <c r="A927" s="31" t="s">
        <v>2102</v>
      </c>
      <c r="B927" s="224" t="s">
        <v>1747</v>
      </c>
      <c r="C927" s="26" t="s">
        <v>1747</v>
      </c>
      <c r="D927" s="119" t="s">
        <v>2302</v>
      </c>
      <c r="E927" s="82" t="s">
        <v>155</v>
      </c>
      <c r="F927" s="82" t="s">
        <v>1748</v>
      </c>
      <c r="G927" s="29">
        <v>422</v>
      </c>
      <c r="H927" s="29">
        <f t="shared" si="471"/>
        <v>26</v>
      </c>
      <c r="I927" s="26" t="s">
        <v>2098</v>
      </c>
      <c r="J927" s="26" t="s">
        <v>11</v>
      </c>
      <c r="K927" s="26">
        <f>VLOOKUP(J927,TOWNSHIPS,2,FALSE)</f>
        <v>0</v>
      </c>
      <c r="L927" s="42">
        <v>8</v>
      </c>
      <c r="M927" s="42">
        <v>8</v>
      </c>
      <c r="N927" s="42">
        <v>8</v>
      </c>
      <c r="O927" s="83">
        <v>8</v>
      </c>
      <c r="P927" s="83">
        <v>8</v>
      </c>
      <c r="Q927" s="83">
        <v>8</v>
      </c>
      <c r="R927" s="83">
        <v>7</v>
      </c>
      <c r="S927" s="83">
        <v>7</v>
      </c>
      <c r="T927" s="83">
        <v>7</v>
      </c>
      <c r="U927" s="83">
        <v>7</v>
      </c>
      <c r="V927" s="42"/>
      <c r="W927" s="42"/>
      <c r="X927" s="42"/>
      <c r="Y927" s="26">
        <v>50</v>
      </c>
      <c r="Z927" s="26">
        <f t="shared" si="472"/>
        <v>0</v>
      </c>
      <c r="AA927" s="82" t="s">
        <v>1747</v>
      </c>
      <c r="AB927" s="111">
        <f t="shared" si="463"/>
        <v>2</v>
      </c>
      <c r="AC927" s="85" t="s">
        <v>2425</v>
      </c>
      <c r="AD927" s="84">
        <f t="shared" si="485"/>
        <v>1998.1060606060605</v>
      </c>
      <c r="AE927" s="140"/>
      <c r="AF927" s="113">
        <f t="shared" si="473"/>
        <v>0</v>
      </c>
      <c r="AG927" s="85">
        <v>2026</v>
      </c>
      <c r="AH927" s="26" t="str">
        <f t="shared" si="484"/>
        <v/>
      </c>
      <c r="AI927" s="26" t="str">
        <f t="shared" si="488"/>
        <v/>
      </c>
      <c r="AJ927" s="26" t="str">
        <f t="shared" si="460"/>
        <v/>
      </c>
      <c r="AK927" s="26" t="str">
        <f t="shared" si="483"/>
        <v/>
      </c>
      <c r="AL927" s="26" t="str">
        <f t="shared" si="483"/>
        <v>Liquid Road</v>
      </c>
      <c r="AM927" s="26" t="str">
        <f t="shared" si="483"/>
        <v/>
      </c>
      <c r="AN927" s="26" t="str">
        <f t="shared" si="487"/>
        <v>Liquid Road</v>
      </c>
      <c r="AO927" s="26" t="str">
        <f t="shared" si="461"/>
        <v/>
      </c>
      <c r="AP927" s="26" t="str">
        <f t="shared" si="459"/>
        <v/>
      </c>
      <c r="AQ927" s="68">
        <f t="shared" si="474"/>
        <v>12</v>
      </c>
      <c r="AR927" s="68">
        <f t="shared" si="475"/>
        <v>10</v>
      </c>
      <c r="AS927" s="68">
        <f t="shared" si="476"/>
        <v>1</v>
      </c>
      <c r="AT927" s="68">
        <f t="shared" si="477"/>
        <v>1</v>
      </c>
      <c r="AU927" s="68">
        <f t="shared" si="478"/>
        <v>1</v>
      </c>
      <c r="AV927" s="68">
        <f t="shared" si="479"/>
        <v>1</v>
      </c>
      <c r="AW927" s="68">
        <f t="shared" si="480"/>
        <v>1</v>
      </c>
      <c r="AX927" s="68">
        <f t="shared" ca="1" si="481"/>
        <v>2</v>
      </c>
      <c r="AY927" s="68"/>
      <c r="AZ927" s="68"/>
      <c r="BA927" s="106" t="str">
        <f t="shared" si="482"/>
        <v/>
      </c>
      <c r="BB927" s="178"/>
      <c r="BC927" s="178"/>
      <c r="BD927" s="178"/>
      <c r="BE927" s="178"/>
      <c r="BF927" s="178"/>
      <c r="BG927" s="178"/>
      <c r="BH927" s="178">
        <v>5</v>
      </c>
      <c r="BI927" s="33"/>
      <c r="BJ927" s="2"/>
      <c r="BK927" s="48">
        <f>$G927/5280*VLOOKUP($AC927,'Cost and Score'!$B$27:$O$40,6,0)</f>
        <v>7.9924242424242425E-2</v>
      </c>
      <c r="BL927" s="48">
        <f>$G927/5280*VLOOKUP($AC927,'Cost and Score'!$B$27:$O$40,7,0)</f>
        <v>1.2787878787878788</v>
      </c>
      <c r="BM927" s="48">
        <f>$G927/5280*VLOOKUP($AC927,'Cost and Score'!$B$27:$O$40,8,0)</f>
        <v>0</v>
      </c>
      <c r="BN927" s="48">
        <f>$G927/5280*VLOOKUP($AC927,'Cost and Score'!$B$27:$O$40,9,0)</f>
        <v>0</v>
      </c>
      <c r="BO927" s="48">
        <f>$G927/5280*VLOOKUP($AC927,'Cost and Score'!$B$27:$O$40,10,0)</f>
        <v>0</v>
      </c>
      <c r="BP927" s="48">
        <f>$G927/5280*VLOOKUP($AC927,'Cost and Score'!$B$27:$O$40,11,0)</f>
        <v>0</v>
      </c>
      <c r="BQ927" s="48">
        <f>$G927/5280*VLOOKUP($AC927,'Cost and Score'!$B$27:$O$40,12,0)</f>
        <v>0</v>
      </c>
      <c r="BR927" s="48">
        <f>$G927/5280*VLOOKUP($AC927,'Cost and Score'!$B$27:$O$40,13,0)</f>
        <v>0</v>
      </c>
      <c r="BS927" s="48">
        <f>$G927/5280*VLOOKUP($AC927,'Cost and Score'!$B$27:$O$40,14,0)</f>
        <v>0</v>
      </c>
      <c r="BT927" s="220">
        <f t="shared" si="470"/>
        <v>7.9924242424242425E-2</v>
      </c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S927" s="2"/>
      <c r="CT927" s="2"/>
      <c r="CU927" s="2"/>
      <c r="CV927" s="2"/>
    </row>
    <row r="928" spans="1:103" s="2" customFormat="1" ht="14.45" hidden="1" customHeight="1" x14ac:dyDescent="0.25">
      <c r="A928" s="31" t="s">
        <v>2102</v>
      </c>
      <c r="B928" s="224" t="s">
        <v>1749</v>
      </c>
      <c r="C928" s="26" t="s">
        <v>1749</v>
      </c>
      <c r="D928" s="119" t="s">
        <v>2302</v>
      </c>
      <c r="E928" s="82" t="s">
        <v>155</v>
      </c>
      <c r="F928" s="82" t="s">
        <v>1748</v>
      </c>
      <c r="G928" s="29">
        <v>1109</v>
      </c>
      <c r="H928" s="29">
        <f t="shared" si="471"/>
        <v>26</v>
      </c>
      <c r="I928" s="26" t="s">
        <v>2098</v>
      </c>
      <c r="J928" s="26" t="s">
        <v>11</v>
      </c>
      <c r="K928" s="26">
        <f>VLOOKUP(J928,TOWNSHIPS,2,FALSE)</f>
        <v>0</v>
      </c>
      <c r="L928" s="42">
        <v>8</v>
      </c>
      <c r="M928" s="42">
        <v>8</v>
      </c>
      <c r="N928" s="42">
        <v>8</v>
      </c>
      <c r="O928" s="83">
        <v>8</v>
      </c>
      <c r="P928" s="83">
        <v>8</v>
      </c>
      <c r="Q928" s="83">
        <v>8</v>
      </c>
      <c r="R928" s="83">
        <v>7</v>
      </c>
      <c r="S928" s="83">
        <v>7</v>
      </c>
      <c r="T928" s="83">
        <v>7</v>
      </c>
      <c r="U928" s="83">
        <v>7</v>
      </c>
      <c r="V928" s="42"/>
      <c r="W928" s="42"/>
      <c r="X928" s="42"/>
      <c r="Y928" s="26">
        <v>50</v>
      </c>
      <c r="Z928" s="26">
        <f t="shared" si="472"/>
        <v>0</v>
      </c>
      <c r="AA928" s="82" t="s">
        <v>1749</v>
      </c>
      <c r="AB928" s="111">
        <f t="shared" si="463"/>
        <v>2</v>
      </c>
      <c r="AC928" s="85" t="s">
        <v>2425</v>
      </c>
      <c r="AD928" s="84">
        <f t="shared" si="485"/>
        <v>5250.94696969697</v>
      </c>
      <c r="AE928" s="140"/>
      <c r="AF928" s="113">
        <f t="shared" si="473"/>
        <v>0</v>
      </c>
      <c r="AG928" s="85">
        <v>2026</v>
      </c>
      <c r="AH928" s="26" t="str">
        <f t="shared" si="484"/>
        <v/>
      </c>
      <c r="AI928" s="26" t="str">
        <f t="shared" si="488"/>
        <v/>
      </c>
      <c r="AJ928" s="26" t="str">
        <f t="shared" si="460"/>
        <v/>
      </c>
      <c r="AK928" s="26" t="str">
        <f t="shared" ref="AK928:AM947" si="489">IF($AG928=AK$1,VLOOKUP($AC928,RSL,3,FALSE),"")</f>
        <v/>
      </c>
      <c r="AL928" s="26" t="str">
        <f t="shared" si="489"/>
        <v>Liquid Road</v>
      </c>
      <c r="AM928" s="26" t="str">
        <f t="shared" si="489"/>
        <v/>
      </c>
      <c r="AN928" s="26" t="str">
        <f t="shared" si="487"/>
        <v>Liquid Road</v>
      </c>
      <c r="AO928" s="26" t="str">
        <f t="shared" si="461"/>
        <v/>
      </c>
      <c r="AP928" s="26" t="str">
        <f t="shared" si="459"/>
        <v/>
      </c>
      <c r="AQ928" s="68">
        <f t="shared" si="474"/>
        <v>12</v>
      </c>
      <c r="AR928" s="68">
        <f t="shared" si="475"/>
        <v>10</v>
      </c>
      <c r="AS928" s="68">
        <f t="shared" si="476"/>
        <v>1</v>
      </c>
      <c r="AT928" s="68">
        <f t="shared" si="477"/>
        <v>1</v>
      </c>
      <c r="AU928" s="68">
        <f t="shared" si="478"/>
        <v>1</v>
      </c>
      <c r="AV928" s="68">
        <f t="shared" si="479"/>
        <v>1</v>
      </c>
      <c r="AW928" s="68">
        <f t="shared" si="480"/>
        <v>1</v>
      </c>
      <c r="AX928" s="68">
        <f t="shared" ca="1" si="481"/>
        <v>2</v>
      </c>
      <c r="AY928" s="68"/>
      <c r="AZ928" s="68"/>
      <c r="BA928" s="106" t="str">
        <f t="shared" si="482"/>
        <v/>
      </c>
      <c r="BB928" s="178"/>
      <c r="BC928" s="178"/>
      <c r="BD928" s="178"/>
      <c r="BE928" s="178"/>
      <c r="BF928" s="178"/>
      <c r="BG928" s="178"/>
      <c r="BH928" s="178">
        <v>5</v>
      </c>
      <c r="BI928" s="33"/>
      <c r="BK928" s="48">
        <f>$G928/5280*VLOOKUP($AC928,'Cost and Score'!$B$27:$O$40,6,0)</f>
        <v>0.2100378787878788</v>
      </c>
      <c r="BL928" s="48">
        <f>$G928/5280*VLOOKUP($AC928,'Cost and Score'!$B$27:$O$40,7,0)</f>
        <v>3.3606060606060608</v>
      </c>
      <c r="BM928" s="48">
        <f>$G928/5280*VLOOKUP($AC928,'Cost and Score'!$B$27:$O$40,8,0)</f>
        <v>0</v>
      </c>
      <c r="BN928" s="48">
        <f>$G928/5280*VLOOKUP($AC928,'Cost and Score'!$B$27:$O$40,9,0)</f>
        <v>0</v>
      </c>
      <c r="BO928" s="48">
        <f>$G928/5280*VLOOKUP($AC928,'Cost and Score'!$B$27:$O$40,10,0)</f>
        <v>0</v>
      </c>
      <c r="BP928" s="48">
        <f>$G928/5280*VLOOKUP($AC928,'Cost and Score'!$B$27:$O$40,11,0)</f>
        <v>0</v>
      </c>
      <c r="BQ928" s="48">
        <f>$G928/5280*VLOOKUP($AC928,'Cost and Score'!$B$27:$O$40,12,0)</f>
        <v>0</v>
      </c>
      <c r="BR928" s="48">
        <f>$G928/5280*VLOOKUP($AC928,'Cost and Score'!$B$27:$O$40,13,0)</f>
        <v>0</v>
      </c>
      <c r="BS928" s="48">
        <f>$G928/5280*VLOOKUP($AC928,'Cost and Score'!$B$27:$O$40,14,0)</f>
        <v>0</v>
      </c>
      <c r="BT928" s="220">
        <f t="shared" si="470"/>
        <v>0.2100378787878788</v>
      </c>
      <c r="CN928" s="112"/>
      <c r="CO928" s="112"/>
      <c r="CP928" s="112"/>
      <c r="CQ928" s="112"/>
      <c r="CV928" s="112"/>
      <c r="CW928" s="112"/>
      <c r="CX928" s="112"/>
      <c r="CY928" s="112"/>
    </row>
    <row r="929" spans="1:103" s="2" customFormat="1" ht="14.45" customHeight="1" x14ac:dyDescent="0.25">
      <c r="A929" s="38"/>
      <c r="B929" s="45" t="s">
        <v>2456</v>
      </c>
      <c r="C929" s="26" t="s">
        <v>2456</v>
      </c>
      <c r="D929" s="86" t="s">
        <v>2457</v>
      </c>
      <c r="E929" s="85" t="s">
        <v>25</v>
      </c>
      <c r="F929" s="85" t="s">
        <v>147</v>
      </c>
      <c r="G929" s="29">
        <v>526</v>
      </c>
      <c r="H929" s="29">
        <v>20</v>
      </c>
      <c r="I929" s="26" t="s">
        <v>2111</v>
      </c>
      <c r="J929" s="26" t="s">
        <v>26</v>
      </c>
      <c r="K929" s="26">
        <f>VLOOKUP(J929,TOWNSHIPS,2,FALSE)</f>
        <v>0</v>
      </c>
      <c r="L929" s="42"/>
      <c r="M929" s="42"/>
      <c r="N929" s="42"/>
      <c r="O929" s="83">
        <v>8</v>
      </c>
      <c r="P929" s="83">
        <v>8</v>
      </c>
      <c r="Q929" s="83">
        <v>8</v>
      </c>
      <c r="R929" s="74"/>
      <c r="S929" s="74"/>
      <c r="T929" s="74"/>
      <c r="U929" s="74">
        <v>7</v>
      </c>
      <c r="V929" s="42"/>
      <c r="W929" s="42"/>
      <c r="X929" s="42"/>
      <c r="Y929" s="26">
        <v>50</v>
      </c>
      <c r="Z929" s="26">
        <f t="shared" si="472"/>
        <v>0</v>
      </c>
      <c r="AA929" s="85" t="s">
        <v>2456</v>
      </c>
      <c r="AB929" s="111">
        <f t="shared" si="463"/>
        <v>2</v>
      </c>
      <c r="AC929" s="85" t="s">
        <v>2425</v>
      </c>
      <c r="AD929" s="84">
        <f t="shared" si="485"/>
        <v>2490.530303030303</v>
      </c>
      <c r="AE929" s="140"/>
      <c r="AF929" s="113">
        <f t="shared" si="473"/>
        <v>0</v>
      </c>
      <c r="AG929" s="106">
        <v>2025</v>
      </c>
      <c r="AH929" s="26" t="str">
        <f t="shared" si="484"/>
        <v/>
      </c>
      <c r="AI929" s="26" t="str">
        <f t="shared" si="488"/>
        <v/>
      </c>
      <c r="AJ929" s="26" t="str">
        <f t="shared" si="460"/>
        <v/>
      </c>
      <c r="AK929" s="26" t="str">
        <f t="shared" si="489"/>
        <v>Liquid Road</v>
      </c>
      <c r="AL929" s="26" t="str">
        <f t="shared" si="489"/>
        <v/>
      </c>
      <c r="AM929" s="26" t="str">
        <f t="shared" si="489"/>
        <v/>
      </c>
      <c r="AN929" s="26" t="str">
        <f t="shared" si="487"/>
        <v>Liquid Road</v>
      </c>
      <c r="AO929" s="26" t="str">
        <f t="shared" si="461"/>
        <v/>
      </c>
      <c r="AP929" s="26" t="str">
        <f t="shared" si="459"/>
        <v/>
      </c>
      <c r="AQ929" s="68">
        <f t="shared" si="474"/>
        <v>12</v>
      </c>
      <c r="AR929" s="68">
        <f t="shared" si="475"/>
        <v>10</v>
      </c>
      <c r="AS929" s="68">
        <f t="shared" si="476"/>
        <v>0</v>
      </c>
      <c r="AT929" s="68">
        <f t="shared" si="477"/>
        <v>0</v>
      </c>
      <c r="AU929" s="68">
        <f t="shared" si="478"/>
        <v>0</v>
      </c>
      <c r="AV929" s="68">
        <f t="shared" si="479"/>
        <v>1</v>
      </c>
      <c r="AW929" s="68">
        <f t="shared" si="480"/>
        <v>1</v>
      </c>
      <c r="AX929" s="68">
        <f t="shared" ca="1" si="481"/>
        <v>0</v>
      </c>
      <c r="AY929" s="68">
        <v>2017</v>
      </c>
      <c r="AZ929" s="68" t="s">
        <v>2075</v>
      </c>
      <c r="BA929" s="106" t="str">
        <f t="shared" si="482"/>
        <v/>
      </c>
      <c r="BB929" s="178"/>
      <c r="BC929" s="177"/>
      <c r="BD929" s="177"/>
      <c r="BE929" s="177"/>
      <c r="BF929" s="177"/>
      <c r="BG929" s="177"/>
      <c r="BH929" s="177"/>
      <c r="BI929" s="33"/>
      <c r="BK929" s="48">
        <f>$G929/5280*VLOOKUP($AC929,'Cost and Score'!$B$27:$O$40,6,0)</f>
        <v>9.9621212121212124E-2</v>
      </c>
      <c r="BL929" s="48">
        <f>$G929/5280*VLOOKUP($AC929,'Cost and Score'!$B$27:$O$40,7,0)</f>
        <v>1.593939393939394</v>
      </c>
      <c r="BM929" s="48">
        <f>$G929/5280*VLOOKUP($AC929,'Cost and Score'!$B$27:$O$40,8,0)</f>
        <v>0</v>
      </c>
      <c r="BN929" s="48">
        <f>$G929/5280*VLOOKUP($AC929,'Cost and Score'!$B$27:$O$40,9,0)</f>
        <v>0</v>
      </c>
      <c r="BO929" s="48">
        <f>$G929/5280*VLOOKUP($AC929,'Cost and Score'!$B$27:$O$40,10,0)</f>
        <v>0</v>
      </c>
      <c r="BP929" s="48">
        <f>$G929/5280*VLOOKUP($AC929,'Cost and Score'!$B$27:$O$40,11,0)</f>
        <v>0</v>
      </c>
      <c r="BQ929" s="48">
        <f>$G929/5280*VLOOKUP($AC929,'Cost and Score'!$B$27:$O$40,12,0)</f>
        <v>0</v>
      </c>
      <c r="BR929" s="48">
        <f>$G929/5280*VLOOKUP($AC929,'Cost and Score'!$B$27:$O$40,13,0)</f>
        <v>0</v>
      </c>
      <c r="BS929" s="48">
        <f>$G929/5280*VLOOKUP($AC929,'Cost and Score'!$B$27:$O$40,14,0)</f>
        <v>0</v>
      </c>
      <c r="BT929" s="220">
        <f t="shared" si="470"/>
        <v>9.9621212121212124E-2</v>
      </c>
    </row>
    <row r="930" spans="1:103" s="2" customFormat="1" ht="14.45" hidden="1" customHeight="1" x14ac:dyDescent="0.25">
      <c r="A930" s="31" t="s">
        <v>2102</v>
      </c>
      <c r="B930" s="120" t="s">
        <v>1751</v>
      </c>
      <c r="C930" s="106" t="s">
        <v>1751</v>
      </c>
      <c r="D930" s="116" t="s">
        <v>2232</v>
      </c>
      <c r="E930" s="106" t="s">
        <v>1580</v>
      </c>
      <c r="F930" s="106" t="s">
        <v>1553</v>
      </c>
      <c r="G930" s="109">
        <v>264</v>
      </c>
      <c r="H930" s="109">
        <f>IF(I930="NC",26,20)</f>
        <v>26</v>
      </c>
      <c r="I930" s="106" t="s">
        <v>2098</v>
      </c>
      <c r="J930" s="106" t="s">
        <v>101</v>
      </c>
      <c r="K930" s="106">
        <v>0</v>
      </c>
      <c r="L930" s="110">
        <v>7</v>
      </c>
      <c r="M930" s="110">
        <v>7</v>
      </c>
      <c r="N930" s="110">
        <v>7</v>
      </c>
      <c r="O930" s="110">
        <v>7</v>
      </c>
      <c r="P930" s="110">
        <v>7</v>
      </c>
      <c r="Q930" s="110">
        <v>7</v>
      </c>
      <c r="R930" s="110">
        <v>7</v>
      </c>
      <c r="S930" s="110">
        <v>7</v>
      </c>
      <c r="T930" s="110">
        <v>7</v>
      </c>
      <c r="U930" s="110">
        <v>7</v>
      </c>
      <c r="V930" s="110"/>
      <c r="W930" s="110"/>
      <c r="X930" s="110"/>
      <c r="Y930" s="106">
        <v>50</v>
      </c>
      <c r="Z930" s="106">
        <f t="shared" si="472"/>
        <v>0</v>
      </c>
      <c r="AA930" s="106" t="s">
        <v>1751</v>
      </c>
      <c r="AB930" s="111">
        <f t="shared" si="463"/>
        <v>3</v>
      </c>
      <c r="AC930" s="85" t="s">
        <v>13</v>
      </c>
      <c r="AD930" s="107">
        <f t="shared" si="485"/>
        <v>1050</v>
      </c>
      <c r="AE930" s="140"/>
      <c r="AF930" s="113">
        <f t="shared" si="473"/>
        <v>0</v>
      </c>
      <c r="AG930" s="85">
        <v>2024</v>
      </c>
      <c r="AH930" s="26" t="str">
        <f t="shared" si="484"/>
        <v/>
      </c>
      <c r="AI930" s="26" t="str">
        <f t="shared" si="488"/>
        <v/>
      </c>
      <c r="AJ930" s="26" t="str">
        <f t="shared" si="460"/>
        <v>Chip Seal and Fog</v>
      </c>
      <c r="AK930" s="26" t="str">
        <f t="shared" si="489"/>
        <v/>
      </c>
      <c r="AL930" s="26" t="str">
        <f t="shared" si="489"/>
        <v/>
      </c>
      <c r="AM930" s="26" t="str">
        <f t="shared" si="489"/>
        <v/>
      </c>
      <c r="AN930" s="26" t="str">
        <f t="shared" si="487"/>
        <v>Chip Seal and Fog</v>
      </c>
      <c r="AO930" s="26" t="str">
        <f t="shared" si="461"/>
        <v/>
      </c>
      <c r="AP930" s="26" t="str">
        <f t="shared" si="459"/>
        <v/>
      </c>
      <c r="AQ930" s="68">
        <f t="shared" si="474"/>
        <v>10</v>
      </c>
      <c r="AR930" s="68">
        <f t="shared" si="475"/>
        <v>6</v>
      </c>
      <c r="AS930" s="68">
        <f t="shared" si="476"/>
        <v>1.05</v>
      </c>
      <c r="AT930" s="68">
        <f t="shared" si="477"/>
        <v>1.05</v>
      </c>
      <c r="AU930" s="68">
        <f t="shared" si="478"/>
        <v>1.05</v>
      </c>
      <c r="AV930" s="68">
        <f t="shared" si="479"/>
        <v>1.05</v>
      </c>
      <c r="AW930" s="68">
        <f t="shared" si="480"/>
        <v>1.05</v>
      </c>
      <c r="AX930" s="68">
        <f t="shared" ca="1" si="481"/>
        <v>0</v>
      </c>
      <c r="AY930" s="106">
        <v>2018</v>
      </c>
      <c r="AZ930" s="106" t="s">
        <v>2075</v>
      </c>
      <c r="BA930" s="106" t="str">
        <f t="shared" si="482"/>
        <v>CRACK</v>
      </c>
      <c r="BB930" s="177"/>
      <c r="BC930" s="177"/>
      <c r="BD930" s="177"/>
      <c r="BE930" s="177"/>
      <c r="BF930" s="177"/>
      <c r="BG930" s="177"/>
      <c r="BH930" s="177"/>
      <c r="BI930" s="33"/>
      <c r="BK930" s="48">
        <f>$G930/5280*VLOOKUP($AC930,'Cost and Score'!$B$27:$O$40,6,0)</f>
        <v>1.0000000000000002E-2</v>
      </c>
      <c r="BL930" s="48">
        <f>$G930/5280*VLOOKUP($AC930,'Cost and Score'!$B$27:$O$40,7,0)</f>
        <v>1.1000000000000001</v>
      </c>
      <c r="BM930" s="48">
        <f>$G930/5280*VLOOKUP($AC930,'Cost and Score'!$B$27:$O$40,8,0)</f>
        <v>0</v>
      </c>
      <c r="BN930" s="48">
        <f>$G930/5280*VLOOKUP($AC930,'Cost and Score'!$B$27:$O$40,9,0)</f>
        <v>225</v>
      </c>
      <c r="BO930" s="48">
        <f>$G930/5280*VLOOKUP($AC930,'Cost and Score'!$B$27:$O$40,10,0)</f>
        <v>50</v>
      </c>
      <c r="BP930" s="48">
        <f>$G930/5280*VLOOKUP($AC930,'Cost and Score'!$B$27:$O$40,11,0)</f>
        <v>0</v>
      </c>
      <c r="BQ930" s="48">
        <f>$G930/5280*VLOOKUP($AC930,'Cost and Score'!$B$27:$O$40,12,0)</f>
        <v>5</v>
      </c>
      <c r="BR930" s="48">
        <f>$G930/5280*VLOOKUP($AC930,'Cost and Score'!$B$27:$O$40,13,0)</f>
        <v>6</v>
      </c>
      <c r="BS930" s="48">
        <f>$G930/5280*VLOOKUP($AC930,'Cost and Score'!$B$27:$O$40,14,0)</f>
        <v>0</v>
      </c>
      <c r="BT930" s="220">
        <f t="shared" si="470"/>
        <v>0.05</v>
      </c>
      <c r="CR930" s="112"/>
      <c r="CS930" s="112"/>
      <c r="CT930" s="112"/>
      <c r="CU930" s="112"/>
    </row>
    <row r="931" spans="1:103" s="2" customFormat="1" ht="14.45" hidden="1" customHeight="1" x14ac:dyDescent="0.25">
      <c r="A931" s="31"/>
      <c r="B931" s="225" t="s">
        <v>2333</v>
      </c>
      <c r="C931" s="26" t="s">
        <v>2333</v>
      </c>
      <c r="D931" s="36" t="s">
        <v>2232</v>
      </c>
      <c r="E931" s="26" t="s">
        <v>1580</v>
      </c>
      <c r="F931" s="26" t="s">
        <v>1553</v>
      </c>
      <c r="G931" s="29">
        <v>262.5</v>
      </c>
      <c r="H931" s="29"/>
      <c r="I931" s="26" t="s">
        <v>2098</v>
      </c>
      <c r="J931" s="26" t="s">
        <v>101</v>
      </c>
      <c r="K931" s="26">
        <v>0</v>
      </c>
      <c r="L931" s="42"/>
      <c r="M931" s="42">
        <v>7</v>
      </c>
      <c r="N931" s="42">
        <v>7</v>
      </c>
      <c r="O931" s="42">
        <v>7</v>
      </c>
      <c r="P931" s="42">
        <v>7</v>
      </c>
      <c r="Q931" s="42">
        <v>7</v>
      </c>
      <c r="R931" s="42">
        <v>7</v>
      </c>
      <c r="S931" s="42">
        <v>7</v>
      </c>
      <c r="T931" s="42">
        <v>7</v>
      </c>
      <c r="U931" s="42">
        <v>7</v>
      </c>
      <c r="V931" s="42"/>
      <c r="W931" s="42"/>
      <c r="X931" s="42"/>
      <c r="Y931" s="26">
        <v>50</v>
      </c>
      <c r="Z931" s="26">
        <f t="shared" si="472"/>
        <v>0</v>
      </c>
      <c r="AA931" s="26"/>
      <c r="AB931" s="111">
        <f t="shared" si="463"/>
        <v>3</v>
      </c>
      <c r="AC931" s="85" t="s">
        <v>2425</v>
      </c>
      <c r="AD931" s="47">
        <f t="shared" si="485"/>
        <v>1242.8977272727273</v>
      </c>
      <c r="AE931" s="140"/>
      <c r="AF931" s="113">
        <f t="shared" si="473"/>
        <v>0</v>
      </c>
      <c r="AG931" s="85">
        <v>2026</v>
      </c>
      <c r="AH931" s="26" t="str">
        <f t="shared" si="484"/>
        <v/>
      </c>
      <c r="AI931" s="26" t="str">
        <f t="shared" si="488"/>
        <v/>
      </c>
      <c r="AJ931" s="26" t="str">
        <f t="shared" si="460"/>
        <v/>
      </c>
      <c r="AK931" s="26" t="str">
        <f t="shared" si="489"/>
        <v/>
      </c>
      <c r="AL931" s="26" t="str">
        <f t="shared" si="489"/>
        <v>Liquid Road</v>
      </c>
      <c r="AM931" s="26" t="str">
        <f t="shared" si="489"/>
        <v/>
      </c>
      <c r="AN931" s="26" t="str">
        <f t="shared" si="487"/>
        <v>Liquid Road</v>
      </c>
      <c r="AO931" s="26" t="str">
        <f t="shared" si="461"/>
        <v/>
      </c>
      <c r="AP931" s="26" t="str">
        <f t="shared" si="459"/>
        <v/>
      </c>
      <c r="AQ931" s="68">
        <f t="shared" si="474"/>
        <v>10</v>
      </c>
      <c r="AR931" s="68">
        <f t="shared" si="475"/>
        <v>10</v>
      </c>
      <c r="AS931" s="68">
        <f t="shared" si="476"/>
        <v>0</v>
      </c>
      <c r="AT931" s="68">
        <f t="shared" si="477"/>
        <v>1.05</v>
      </c>
      <c r="AU931" s="68">
        <f t="shared" si="478"/>
        <v>1.05</v>
      </c>
      <c r="AV931" s="68">
        <f t="shared" si="479"/>
        <v>1.05</v>
      </c>
      <c r="AW931" s="68">
        <f t="shared" si="480"/>
        <v>1.05</v>
      </c>
      <c r="AX931" s="68">
        <f t="shared" ca="1" si="481"/>
        <v>2.1</v>
      </c>
      <c r="AY931" s="68"/>
      <c r="AZ931" s="68"/>
      <c r="BA931" s="106" t="str">
        <f t="shared" si="482"/>
        <v/>
      </c>
      <c r="BB931" s="178"/>
      <c r="BC931" s="178"/>
      <c r="BD931" s="178">
        <v>1</v>
      </c>
      <c r="BE931" s="178"/>
      <c r="BF931" s="178"/>
      <c r="BG931" s="178"/>
      <c r="BH931" s="178"/>
      <c r="BI931" s="43"/>
      <c r="BJ931" s="26"/>
      <c r="BK931" s="48">
        <f>$G931/5280*VLOOKUP($AC931,'Cost and Score'!$B$27:$O$40,6,0)</f>
        <v>4.9715909090909088E-2</v>
      </c>
      <c r="BL931" s="48">
        <f>$G931/5280*VLOOKUP($AC931,'Cost and Score'!$B$27:$O$40,7,0)</f>
        <v>0.79545454545454541</v>
      </c>
      <c r="BM931" s="48">
        <f>$G931/5280*VLOOKUP($AC931,'Cost and Score'!$B$27:$O$40,8,0)</f>
        <v>0</v>
      </c>
      <c r="BN931" s="48">
        <f>$G931/5280*VLOOKUP($AC931,'Cost and Score'!$B$27:$O$40,9,0)</f>
        <v>0</v>
      </c>
      <c r="BO931" s="48">
        <f>$G931/5280*VLOOKUP($AC931,'Cost and Score'!$B$27:$O$40,10,0)</f>
        <v>0</v>
      </c>
      <c r="BP931" s="48">
        <f>$G931/5280*VLOOKUP($AC931,'Cost and Score'!$B$27:$O$40,11,0)</f>
        <v>0</v>
      </c>
      <c r="BQ931" s="48">
        <f>$G931/5280*VLOOKUP($AC931,'Cost and Score'!$B$27:$O$40,12,0)</f>
        <v>0</v>
      </c>
      <c r="BR931" s="48">
        <f>$G931/5280*VLOOKUP($AC931,'Cost and Score'!$B$27:$O$40,13,0)</f>
        <v>0</v>
      </c>
      <c r="BS931" s="48">
        <f>$G931/5280*VLOOKUP($AC931,'Cost and Score'!$B$27:$O$40,14,0)</f>
        <v>0</v>
      </c>
      <c r="BT931" s="220">
        <f t="shared" si="470"/>
        <v>4.9715909090909088E-2</v>
      </c>
      <c r="CF931" s="112"/>
      <c r="CG931" s="112"/>
      <c r="CH931" s="112"/>
      <c r="CI931" s="112"/>
      <c r="CJ931" s="112"/>
      <c r="CK931" s="112"/>
      <c r="CL931" s="112"/>
      <c r="CM931" s="112"/>
      <c r="CR931" s="112"/>
    </row>
    <row r="932" spans="1:103" s="112" customFormat="1" ht="14.45" hidden="1" customHeight="1" x14ac:dyDescent="0.25">
      <c r="A932" s="31" t="s">
        <v>2102</v>
      </c>
      <c r="B932" s="120" t="s">
        <v>1752</v>
      </c>
      <c r="C932" s="106" t="s">
        <v>1752</v>
      </c>
      <c r="D932" s="116" t="s">
        <v>2232</v>
      </c>
      <c r="E932" s="106" t="s">
        <v>1580</v>
      </c>
      <c r="F932" s="106" t="s">
        <v>1553</v>
      </c>
      <c r="G932" s="109">
        <v>1742</v>
      </c>
      <c r="H932" s="109">
        <f t="shared" ref="H932:H942" si="490">IF(I932="NC",26,20)</f>
        <v>26</v>
      </c>
      <c r="I932" s="106" t="s">
        <v>2098</v>
      </c>
      <c r="J932" s="106" t="s">
        <v>101</v>
      </c>
      <c r="K932" s="106">
        <v>0</v>
      </c>
      <c r="L932" s="110">
        <v>8</v>
      </c>
      <c r="M932" s="110">
        <v>7</v>
      </c>
      <c r="N932" s="110">
        <v>7</v>
      </c>
      <c r="O932" s="110">
        <v>7</v>
      </c>
      <c r="P932" s="110">
        <v>7</v>
      </c>
      <c r="Q932" s="110">
        <v>7</v>
      </c>
      <c r="R932" s="110">
        <v>7</v>
      </c>
      <c r="S932" s="110">
        <v>7</v>
      </c>
      <c r="T932" s="110">
        <v>7</v>
      </c>
      <c r="U932" s="110">
        <v>7</v>
      </c>
      <c r="V932" s="110"/>
      <c r="W932" s="110"/>
      <c r="X932" s="110"/>
      <c r="Y932" s="106">
        <v>50</v>
      </c>
      <c r="Z932" s="106">
        <f t="shared" si="472"/>
        <v>0</v>
      </c>
      <c r="AA932" s="106" t="s">
        <v>1752</v>
      </c>
      <c r="AB932" s="111">
        <f t="shared" si="463"/>
        <v>3</v>
      </c>
      <c r="AC932" s="85" t="s">
        <v>13</v>
      </c>
      <c r="AD932" s="107">
        <f t="shared" si="485"/>
        <v>6928.409090909091</v>
      </c>
      <c r="AE932" s="140"/>
      <c r="AF932" s="113">
        <f t="shared" si="473"/>
        <v>0</v>
      </c>
      <c r="AG932" s="85">
        <v>2024</v>
      </c>
      <c r="AH932" s="26" t="str">
        <f t="shared" si="484"/>
        <v/>
      </c>
      <c r="AI932" s="26" t="str">
        <f t="shared" si="488"/>
        <v/>
      </c>
      <c r="AJ932" s="26" t="str">
        <f t="shared" si="460"/>
        <v>Chip Seal and Fog</v>
      </c>
      <c r="AK932" s="26" t="str">
        <f t="shared" si="489"/>
        <v/>
      </c>
      <c r="AL932" s="26" t="str">
        <f t="shared" si="489"/>
        <v/>
      </c>
      <c r="AM932" s="26" t="str">
        <f t="shared" si="489"/>
        <v/>
      </c>
      <c r="AN932" s="26" t="str">
        <f t="shared" si="487"/>
        <v>Chip Seal and Fog</v>
      </c>
      <c r="AO932" s="26" t="str">
        <f t="shared" si="461"/>
        <v/>
      </c>
      <c r="AP932" s="26" t="str">
        <f t="shared" si="459"/>
        <v/>
      </c>
      <c r="AQ932" s="68">
        <f t="shared" si="474"/>
        <v>10</v>
      </c>
      <c r="AR932" s="68">
        <f t="shared" si="475"/>
        <v>6</v>
      </c>
      <c r="AS932" s="68">
        <f t="shared" si="476"/>
        <v>1</v>
      </c>
      <c r="AT932" s="68">
        <f t="shared" si="477"/>
        <v>1.05</v>
      </c>
      <c r="AU932" s="68">
        <f t="shared" si="478"/>
        <v>1.05</v>
      </c>
      <c r="AV932" s="68">
        <f t="shared" si="479"/>
        <v>1.05</v>
      </c>
      <c r="AW932" s="68">
        <f t="shared" si="480"/>
        <v>1.05</v>
      </c>
      <c r="AX932" s="68">
        <f t="shared" ca="1" si="481"/>
        <v>0</v>
      </c>
      <c r="AY932" s="106">
        <v>2018</v>
      </c>
      <c r="AZ932" s="106" t="s">
        <v>2075</v>
      </c>
      <c r="BA932" s="106" t="str">
        <f t="shared" si="482"/>
        <v>CRACK</v>
      </c>
      <c r="BB932" s="177"/>
      <c r="BC932" s="177"/>
      <c r="BD932" s="177"/>
      <c r="BE932" s="177"/>
      <c r="BF932" s="177"/>
      <c r="BG932" s="177"/>
      <c r="BH932" s="177"/>
      <c r="BI932" s="33"/>
      <c r="BJ932" s="2"/>
      <c r="BK932" s="48">
        <f>$G932/5280*VLOOKUP($AC932,'Cost and Score'!$B$27:$O$40,6,0)</f>
        <v>6.598484848484848E-2</v>
      </c>
      <c r="BL932" s="48">
        <f>$G932/5280*VLOOKUP($AC932,'Cost and Score'!$B$27:$O$40,7,0)</f>
        <v>7.2583333333333329</v>
      </c>
      <c r="BM932" s="48">
        <f>$G932/5280*VLOOKUP($AC932,'Cost and Score'!$B$27:$O$40,8,0)</f>
        <v>0</v>
      </c>
      <c r="BN932" s="48">
        <f>$G932/5280*VLOOKUP($AC932,'Cost and Score'!$B$27:$O$40,9,0)</f>
        <v>1484.6590909090908</v>
      </c>
      <c r="BO932" s="48">
        <f>$G932/5280*VLOOKUP($AC932,'Cost and Score'!$B$27:$O$40,10,0)</f>
        <v>329.92424242424238</v>
      </c>
      <c r="BP932" s="48">
        <f>$G932/5280*VLOOKUP($AC932,'Cost and Score'!$B$27:$O$40,11,0)</f>
        <v>0</v>
      </c>
      <c r="BQ932" s="48">
        <f>$G932/5280*VLOOKUP($AC932,'Cost and Score'!$B$27:$O$40,12,0)</f>
        <v>32.992424242424242</v>
      </c>
      <c r="BR932" s="48">
        <f>$G932/5280*VLOOKUP($AC932,'Cost and Score'!$B$27:$O$40,13,0)</f>
        <v>39.590909090909086</v>
      </c>
      <c r="BS932" s="48">
        <f>$G932/5280*VLOOKUP($AC932,'Cost and Score'!$B$27:$O$40,14,0)</f>
        <v>0</v>
      </c>
      <c r="BT932" s="220">
        <f t="shared" si="470"/>
        <v>0.3299242424242424</v>
      </c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V932" s="2"/>
      <c r="CW932" s="2"/>
      <c r="CX932" s="2"/>
      <c r="CY932" s="2"/>
    </row>
    <row r="933" spans="1:103" s="2" customFormat="1" ht="14.45" hidden="1" customHeight="1" x14ac:dyDescent="0.25">
      <c r="A933" s="31" t="s">
        <v>2102</v>
      </c>
      <c r="B933" s="226" t="s">
        <v>1753</v>
      </c>
      <c r="C933" s="106" t="s">
        <v>1753</v>
      </c>
      <c r="D933" s="116" t="s">
        <v>2223</v>
      </c>
      <c r="E933" s="106" t="s">
        <v>1451</v>
      </c>
      <c r="F933" s="106" t="s">
        <v>1502</v>
      </c>
      <c r="G933" s="109">
        <v>581</v>
      </c>
      <c r="H933" s="109">
        <f t="shared" si="490"/>
        <v>26</v>
      </c>
      <c r="I933" s="106" t="s">
        <v>2098</v>
      </c>
      <c r="J933" s="106" t="s">
        <v>160</v>
      </c>
      <c r="K933" s="106">
        <f t="shared" ref="K933:K939" si="491">VLOOKUP(J933,TOWNSHIPS,2,FALSE)</f>
        <v>0</v>
      </c>
      <c r="L933" s="110">
        <v>7</v>
      </c>
      <c r="M933" s="110">
        <v>7</v>
      </c>
      <c r="N933" s="110">
        <v>7</v>
      </c>
      <c r="O933" s="110">
        <v>7</v>
      </c>
      <c r="P933" s="110">
        <v>8</v>
      </c>
      <c r="Q933" s="110">
        <v>8</v>
      </c>
      <c r="R933" s="110">
        <v>8</v>
      </c>
      <c r="S933" s="110">
        <v>8</v>
      </c>
      <c r="T933" s="110">
        <v>7</v>
      </c>
      <c r="U933" s="110">
        <v>7</v>
      </c>
      <c r="V933" s="110"/>
      <c r="W933" s="110"/>
      <c r="X933" s="110"/>
      <c r="Y933" s="106">
        <v>232</v>
      </c>
      <c r="Z933" s="106">
        <f t="shared" si="472"/>
        <v>0</v>
      </c>
      <c r="AA933" s="106" t="s">
        <v>1753</v>
      </c>
      <c r="AB933" s="111">
        <f t="shared" si="463"/>
        <v>2</v>
      </c>
      <c r="AC933" s="85" t="s">
        <v>2425</v>
      </c>
      <c r="AD933" s="107">
        <f t="shared" si="485"/>
        <v>2750.9469696969695</v>
      </c>
      <c r="AE933" s="198"/>
      <c r="AF933" s="113">
        <f t="shared" si="473"/>
        <v>0</v>
      </c>
      <c r="AG933" s="85">
        <v>2026</v>
      </c>
      <c r="AH933" s="26" t="str">
        <f t="shared" si="484"/>
        <v/>
      </c>
      <c r="AI933" s="26" t="str">
        <f t="shared" si="488"/>
        <v/>
      </c>
      <c r="AJ933" s="26" t="str">
        <f t="shared" si="460"/>
        <v/>
      </c>
      <c r="AK933" s="26" t="str">
        <f t="shared" si="489"/>
        <v/>
      </c>
      <c r="AL933" s="26" t="str">
        <f t="shared" si="489"/>
        <v>Liquid Road</v>
      </c>
      <c r="AM933" s="26" t="str">
        <f t="shared" si="489"/>
        <v/>
      </c>
      <c r="AN933" s="26" t="str">
        <f t="shared" si="487"/>
        <v>Liquid Road</v>
      </c>
      <c r="AO933" s="26" t="str">
        <f t="shared" si="461"/>
        <v/>
      </c>
      <c r="AP933" s="26" t="str">
        <f t="shared" ref="AP933:AP996" si="492">IF(AY933=AP$1,VLOOKUP(AZ933,RSL,3,FALSE),"")</f>
        <v/>
      </c>
      <c r="AQ933" s="68">
        <f t="shared" si="474"/>
        <v>10</v>
      </c>
      <c r="AR933" s="68">
        <f t="shared" si="475"/>
        <v>10</v>
      </c>
      <c r="AS933" s="68">
        <f t="shared" si="476"/>
        <v>1.05</v>
      </c>
      <c r="AT933" s="68">
        <f t="shared" si="477"/>
        <v>1.05</v>
      </c>
      <c r="AU933" s="68">
        <f t="shared" si="478"/>
        <v>1.05</v>
      </c>
      <c r="AV933" s="68">
        <f t="shared" si="479"/>
        <v>1.05</v>
      </c>
      <c r="AW933" s="68">
        <f t="shared" si="480"/>
        <v>1</v>
      </c>
      <c r="AX933" s="68">
        <f t="shared" ca="1" si="481"/>
        <v>2.1</v>
      </c>
      <c r="AY933" s="106">
        <v>2017</v>
      </c>
      <c r="AZ933" s="68" t="s">
        <v>2425</v>
      </c>
      <c r="BA933" s="106" t="str">
        <f t="shared" si="482"/>
        <v/>
      </c>
      <c r="BB933" s="178"/>
      <c r="BC933" s="178"/>
      <c r="BD933" s="178"/>
      <c r="BE933" s="178">
        <v>2</v>
      </c>
      <c r="BF933" s="178"/>
      <c r="BG933" s="178"/>
      <c r="BH933" s="178"/>
      <c r="BI933" s="33" t="s">
        <v>2425</v>
      </c>
      <c r="BK933" s="48">
        <f>$G933/5280*VLOOKUP($AC933,'Cost and Score'!$B$27:$O$40,6,0)</f>
        <v>0.11003787878787878</v>
      </c>
      <c r="BL933" s="48">
        <f>$G933/5280*VLOOKUP($AC933,'Cost and Score'!$B$27:$O$40,7,0)</f>
        <v>1.7606060606060605</v>
      </c>
      <c r="BM933" s="48">
        <f>$G933/5280*VLOOKUP($AC933,'Cost and Score'!$B$27:$O$40,8,0)</f>
        <v>0</v>
      </c>
      <c r="BN933" s="48">
        <f>$G933/5280*VLOOKUP($AC933,'Cost and Score'!$B$27:$O$40,9,0)</f>
        <v>0</v>
      </c>
      <c r="BO933" s="48">
        <f>$G933/5280*VLOOKUP($AC933,'Cost and Score'!$B$27:$O$40,10,0)</f>
        <v>0</v>
      </c>
      <c r="BP933" s="48">
        <f>$G933/5280*VLOOKUP($AC933,'Cost and Score'!$B$27:$O$40,11,0)</f>
        <v>0</v>
      </c>
      <c r="BQ933" s="48">
        <f>$G933/5280*VLOOKUP($AC933,'Cost and Score'!$B$27:$O$40,12,0)</f>
        <v>0</v>
      </c>
      <c r="BR933" s="48">
        <f>$G933/5280*VLOOKUP($AC933,'Cost and Score'!$B$27:$O$40,13,0)</f>
        <v>0</v>
      </c>
      <c r="BS933" s="48">
        <f>$G933/5280*VLOOKUP($AC933,'Cost and Score'!$B$27:$O$40,14,0)</f>
        <v>0</v>
      </c>
      <c r="BT933" s="220">
        <f t="shared" si="470"/>
        <v>0.11003787878787878</v>
      </c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</row>
    <row r="934" spans="1:103" s="112" customFormat="1" ht="14.45" hidden="1" customHeight="1" x14ac:dyDescent="0.25">
      <c r="A934" s="31" t="s">
        <v>2102</v>
      </c>
      <c r="B934" s="226" t="s">
        <v>1754</v>
      </c>
      <c r="C934" s="106" t="s">
        <v>1754</v>
      </c>
      <c r="D934" s="116" t="s">
        <v>2223</v>
      </c>
      <c r="E934" s="106" t="s">
        <v>1451</v>
      </c>
      <c r="F934" s="106" t="s">
        <v>1502</v>
      </c>
      <c r="G934" s="109">
        <v>581</v>
      </c>
      <c r="H934" s="109">
        <f t="shared" si="490"/>
        <v>26</v>
      </c>
      <c r="I934" s="106" t="s">
        <v>2098</v>
      </c>
      <c r="J934" s="106" t="s">
        <v>160</v>
      </c>
      <c r="K934" s="106">
        <f t="shared" si="491"/>
        <v>0</v>
      </c>
      <c r="L934" s="110">
        <v>7</v>
      </c>
      <c r="M934" s="110">
        <v>7</v>
      </c>
      <c r="N934" s="110">
        <v>7</v>
      </c>
      <c r="O934" s="110">
        <v>7</v>
      </c>
      <c r="P934" s="110">
        <v>8</v>
      </c>
      <c r="Q934" s="110">
        <v>8</v>
      </c>
      <c r="R934" s="110">
        <v>8</v>
      </c>
      <c r="S934" s="110">
        <v>8</v>
      </c>
      <c r="T934" s="110">
        <v>7</v>
      </c>
      <c r="U934" s="110">
        <v>7</v>
      </c>
      <c r="V934" s="110"/>
      <c r="W934" s="110"/>
      <c r="X934" s="110"/>
      <c r="Y934" s="106">
        <v>232</v>
      </c>
      <c r="Z934" s="106">
        <f t="shared" si="472"/>
        <v>0</v>
      </c>
      <c r="AA934" s="106" t="s">
        <v>1754</v>
      </c>
      <c r="AB934" s="111">
        <f t="shared" si="463"/>
        <v>2</v>
      </c>
      <c r="AC934" s="85" t="s">
        <v>2425</v>
      </c>
      <c r="AD934" s="107">
        <f t="shared" si="485"/>
        <v>2750.9469696969695</v>
      </c>
      <c r="AE934" s="198"/>
      <c r="AF934" s="113">
        <f t="shared" si="473"/>
        <v>0</v>
      </c>
      <c r="AG934" s="85">
        <v>2026</v>
      </c>
      <c r="AH934" s="26" t="str">
        <f t="shared" si="484"/>
        <v/>
      </c>
      <c r="AI934" s="26" t="str">
        <f t="shared" si="488"/>
        <v/>
      </c>
      <c r="AJ934" s="26" t="str">
        <f t="shared" si="460"/>
        <v/>
      </c>
      <c r="AK934" s="26" t="str">
        <f t="shared" si="489"/>
        <v/>
      </c>
      <c r="AL934" s="26" t="str">
        <f t="shared" si="489"/>
        <v>Liquid Road</v>
      </c>
      <c r="AM934" s="26" t="str">
        <f t="shared" si="489"/>
        <v/>
      </c>
      <c r="AN934" s="26" t="str">
        <f t="shared" si="487"/>
        <v>Liquid Road</v>
      </c>
      <c r="AO934" s="26" t="str">
        <f t="shared" si="461"/>
        <v/>
      </c>
      <c r="AP934" s="26" t="str">
        <f t="shared" si="492"/>
        <v/>
      </c>
      <c r="AQ934" s="68">
        <f t="shared" si="474"/>
        <v>10</v>
      </c>
      <c r="AR934" s="68">
        <f t="shared" si="475"/>
        <v>10</v>
      </c>
      <c r="AS934" s="68">
        <f t="shared" si="476"/>
        <v>1.05</v>
      </c>
      <c r="AT934" s="68">
        <f t="shared" si="477"/>
        <v>1.05</v>
      </c>
      <c r="AU934" s="68">
        <f t="shared" si="478"/>
        <v>1.05</v>
      </c>
      <c r="AV934" s="68">
        <f t="shared" si="479"/>
        <v>1.05</v>
      </c>
      <c r="AW934" s="68">
        <f t="shared" si="480"/>
        <v>1</v>
      </c>
      <c r="AX934" s="68">
        <f t="shared" ca="1" si="481"/>
        <v>2.1</v>
      </c>
      <c r="AY934" s="106">
        <v>2017</v>
      </c>
      <c r="AZ934" s="68" t="s">
        <v>2425</v>
      </c>
      <c r="BA934" s="106" t="str">
        <f t="shared" si="482"/>
        <v/>
      </c>
      <c r="BB934" s="178"/>
      <c r="BC934" s="178"/>
      <c r="BD934" s="178"/>
      <c r="BE934" s="178">
        <v>2</v>
      </c>
      <c r="BF934" s="178"/>
      <c r="BG934" s="178"/>
      <c r="BH934" s="178"/>
      <c r="BI934" s="33" t="s">
        <v>2425</v>
      </c>
      <c r="BJ934" s="2"/>
      <c r="BK934" s="48">
        <f>$G934/5280*VLOOKUP($AC934,'Cost and Score'!$B$27:$O$40,6,0)</f>
        <v>0.11003787878787878</v>
      </c>
      <c r="BL934" s="48">
        <f>$G934/5280*VLOOKUP($AC934,'Cost and Score'!$B$27:$O$40,7,0)</f>
        <v>1.7606060606060605</v>
      </c>
      <c r="BM934" s="48">
        <f>$G934/5280*VLOOKUP($AC934,'Cost and Score'!$B$27:$O$40,8,0)</f>
        <v>0</v>
      </c>
      <c r="BN934" s="48">
        <f>$G934/5280*VLOOKUP($AC934,'Cost and Score'!$B$27:$O$40,9,0)</f>
        <v>0</v>
      </c>
      <c r="BO934" s="48">
        <f>$G934/5280*VLOOKUP($AC934,'Cost and Score'!$B$27:$O$40,10,0)</f>
        <v>0</v>
      </c>
      <c r="BP934" s="48">
        <f>$G934/5280*VLOOKUP($AC934,'Cost and Score'!$B$27:$O$40,11,0)</f>
        <v>0</v>
      </c>
      <c r="BQ934" s="48">
        <f>$G934/5280*VLOOKUP($AC934,'Cost and Score'!$B$27:$O$40,12,0)</f>
        <v>0</v>
      </c>
      <c r="BR934" s="48">
        <f>$G934/5280*VLOOKUP($AC934,'Cost and Score'!$B$27:$O$40,13,0)</f>
        <v>0</v>
      </c>
      <c r="BS934" s="48">
        <f>$G934/5280*VLOOKUP($AC934,'Cost and Score'!$B$27:$O$40,14,0)</f>
        <v>0</v>
      </c>
      <c r="BT934" s="220">
        <f t="shared" si="470"/>
        <v>0.11003787878787878</v>
      </c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N934" s="2"/>
      <c r="CO934" s="2"/>
      <c r="CP934" s="2"/>
      <c r="CQ934" s="2"/>
      <c r="CV934" s="2"/>
      <c r="CW934" s="2"/>
      <c r="CX934" s="2"/>
      <c r="CY934" s="2"/>
    </row>
    <row r="935" spans="1:103" s="112" customFormat="1" ht="14.45" customHeight="1" x14ac:dyDescent="0.25">
      <c r="A935" s="40" t="s">
        <v>2102</v>
      </c>
      <c r="B935" s="45" t="s">
        <v>2022</v>
      </c>
      <c r="C935" s="26" t="s">
        <v>2022</v>
      </c>
      <c r="D935" s="119" t="s">
        <v>2216</v>
      </c>
      <c r="E935" s="82" t="s">
        <v>14</v>
      </c>
      <c r="F935" s="82" t="s">
        <v>1407</v>
      </c>
      <c r="G935" s="29">
        <v>370</v>
      </c>
      <c r="H935" s="29">
        <f t="shared" si="490"/>
        <v>26</v>
      </c>
      <c r="I935" s="26" t="s">
        <v>2098</v>
      </c>
      <c r="J935" s="26" t="s">
        <v>11</v>
      </c>
      <c r="K935" s="26">
        <f t="shared" si="491"/>
        <v>0</v>
      </c>
      <c r="L935" s="42">
        <v>6</v>
      </c>
      <c r="M935" s="42">
        <v>8</v>
      </c>
      <c r="N935" s="42">
        <v>8</v>
      </c>
      <c r="O935" s="83">
        <v>8</v>
      </c>
      <c r="P935" s="83">
        <v>8</v>
      </c>
      <c r="Q935" s="83">
        <v>8</v>
      </c>
      <c r="R935" s="83">
        <v>8</v>
      </c>
      <c r="S935" s="83">
        <v>8</v>
      </c>
      <c r="T935" s="83">
        <v>7</v>
      </c>
      <c r="U935" s="83">
        <v>7</v>
      </c>
      <c r="V935" s="42"/>
      <c r="W935" s="42"/>
      <c r="X935" s="42"/>
      <c r="Y935" s="26">
        <v>50</v>
      </c>
      <c r="Z935" s="26">
        <f t="shared" si="472"/>
        <v>0</v>
      </c>
      <c r="AA935" s="82" t="s">
        <v>2022</v>
      </c>
      <c r="AB935" s="111">
        <f t="shared" si="463"/>
        <v>2</v>
      </c>
      <c r="AC935" s="85" t="s">
        <v>2425</v>
      </c>
      <c r="AD935" s="84">
        <f t="shared" si="485"/>
        <v>1751.8939393939395</v>
      </c>
      <c r="AE935" s="140"/>
      <c r="AF935" s="113">
        <f t="shared" si="473"/>
        <v>0</v>
      </c>
      <c r="AG935" s="106">
        <v>2025</v>
      </c>
      <c r="AH935" s="26" t="str">
        <f t="shared" si="484"/>
        <v/>
      </c>
      <c r="AI935" s="26" t="str">
        <f t="shared" si="488"/>
        <v/>
      </c>
      <c r="AJ935" s="26" t="str">
        <f t="shared" ref="AJ935:AJ998" si="493">IF($AG935=AJ$1,VLOOKUP($AC935,RSL,3,FALSE),"")</f>
        <v/>
      </c>
      <c r="AK935" s="26" t="str">
        <f t="shared" si="489"/>
        <v>Liquid Road</v>
      </c>
      <c r="AL935" s="26" t="str">
        <f t="shared" si="489"/>
        <v/>
      </c>
      <c r="AM935" s="26" t="str">
        <f t="shared" si="489"/>
        <v/>
      </c>
      <c r="AN935" s="26" t="str">
        <f t="shared" si="487"/>
        <v>Liquid Road</v>
      </c>
      <c r="AO935" s="26" t="str">
        <f t="shared" ref="AO935:AO998" si="494">IF(AY935=AO$1,VLOOKUP(AZ935,RSL,3,FALSE),"")</f>
        <v/>
      </c>
      <c r="AP935" s="26" t="str">
        <f t="shared" si="492"/>
        <v/>
      </c>
      <c r="AQ935" s="68">
        <f t="shared" si="474"/>
        <v>12</v>
      </c>
      <c r="AR935" s="68">
        <f t="shared" si="475"/>
        <v>10</v>
      </c>
      <c r="AS935" s="68">
        <f t="shared" si="476"/>
        <v>1.1000000000000001</v>
      </c>
      <c r="AT935" s="68">
        <f t="shared" si="477"/>
        <v>1</v>
      </c>
      <c r="AU935" s="68">
        <f t="shared" si="478"/>
        <v>1</v>
      </c>
      <c r="AV935" s="68">
        <f t="shared" si="479"/>
        <v>1</v>
      </c>
      <c r="AW935" s="68">
        <f t="shared" si="480"/>
        <v>1</v>
      </c>
      <c r="AX935" s="68">
        <f t="shared" ca="1" si="481"/>
        <v>1</v>
      </c>
      <c r="AY935" s="68">
        <v>2019</v>
      </c>
      <c r="AZ935" s="68" t="s">
        <v>2371</v>
      </c>
      <c r="BA935" s="106" t="str">
        <f t="shared" si="482"/>
        <v/>
      </c>
      <c r="BB935" s="178"/>
      <c r="BC935" s="177"/>
      <c r="BD935" s="177"/>
      <c r="BE935" s="177"/>
      <c r="BF935" s="177"/>
      <c r="BG935" s="177"/>
      <c r="BH935" s="177"/>
      <c r="BI935" s="46"/>
      <c r="BJ935" s="28"/>
      <c r="BK935" s="48">
        <f>$G935/5280*VLOOKUP($AC935,'Cost and Score'!$B$27:$O$40,6,0)</f>
        <v>7.0075757575757569E-2</v>
      </c>
      <c r="BL935" s="48">
        <f>$G935/5280*VLOOKUP($AC935,'Cost and Score'!$B$27:$O$40,7,0)</f>
        <v>1.1212121212121211</v>
      </c>
      <c r="BM935" s="48">
        <f>$G935/5280*VLOOKUP($AC935,'Cost and Score'!$B$27:$O$40,8,0)</f>
        <v>0</v>
      </c>
      <c r="BN935" s="48">
        <f>$G935/5280*VLOOKUP($AC935,'Cost and Score'!$B$27:$O$40,9,0)</f>
        <v>0</v>
      </c>
      <c r="BO935" s="48">
        <f>$G935/5280*VLOOKUP($AC935,'Cost and Score'!$B$27:$O$40,10,0)</f>
        <v>0</v>
      </c>
      <c r="BP935" s="48">
        <f>$G935/5280*VLOOKUP($AC935,'Cost and Score'!$B$27:$O$40,11,0)</f>
        <v>0</v>
      </c>
      <c r="BQ935" s="48">
        <f>$G935/5280*VLOOKUP($AC935,'Cost and Score'!$B$27:$O$40,12,0)</f>
        <v>0</v>
      </c>
      <c r="BR935" s="48">
        <f>$G935/5280*VLOOKUP($AC935,'Cost and Score'!$B$27:$O$40,13,0)</f>
        <v>0</v>
      </c>
      <c r="BS935" s="48">
        <f>$G935/5280*VLOOKUP($AC935,'Cost and Score'!$B$27:$O$40,14,0)</f>
        <v>0</v>
      </c>
      <c r="BT935" s="220">
        <f t="shared" si="470"/>
        <v>7.0075757575757569E-2</v>
      </c>
      <c r="BU935" s="28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N935" s="115"/>
      <c r="CO935" s="115"/>
      <c r="CP935" s="115"/>
      <c r="CQ935" s="115"/>
      <c r="CR935" s="2"/>
      <c r="CS935" s="2"/>
      <c r="CT935" s="2"/>
      <c r="CU935" s="2"/>
      <c r="CV935" s="115"/>
      <c r="CW935" s="2"/>
      <c r="CX935" s="2"/>
      <c r="CY935" s="2"/>
    </row>
    <row r="936" spans="1:103" s="112" customFormat="1" ht="14.45" hidden="1" customHeight="1" x14ac:dyDescent="0.25">
      <c r="A936" s="31" t="s">
        <v>2102</v>
      </c>
      <c r="B936" s="226" t="s">
        <v>1756</v>
      </c>
      <c r="C936" s="106" t="s">
        <v>1756</v>
      </c>
      <c r="D936" s="116" t="s">
        <v>2245</v>
      </c>
      <c r="E936" s="106" t="s">
        <v>1458</v>
      </c>
      <c r="F936" s="106" t="s">
        <v>1757</v>
      </c>
      <c r="G936" s="109">
        <v>422</v>
      </c>
      <c r="H936" s="109">
        <f t="shared" si="490"/>
        <v>26</v>
      </c>
      <c r="I936" s="106" t="s">
        <v>2098</v>
      </c>
      <c r="J936" s="106" t="s">
        <v>160</v>
      </c>
      <c r="K936" s="106">
        <f t="shared" si="491"/>
        <v>0</v>
      </c>
      <c r="L936" s="110">
        <v>7</v>
      </c>
      <c r="M936" s="110">
        <v>8</v>
      </c>
      <c r="N936" s="110">
        <v>8</v>
      </c>
      <c r="O936" s="110">
        <v>7</v>
      </c>
      <c r="P936" s="110">
        <v>8</v>
      </c>
      <c r="Q936" s="110">
        <v>8</v>
      </c>
      <c r="R936" s="110">
        <v>7</v>
      </c>
      <c r="S936" s="110">
        <v>7</v>
      </c>
      <c r="T936" s="110">
        <v>7</v>
      </c>
      <c r="U936" s="110">
        <v>7</v>
      </c>
      <c r="V936" s="110"/>
      <c r="W936" s="110"/>
      <c r="X936" s="110"/>
      <c r="Y936" s="106">
        <v>121</v>
      </c>
      <c r="Z936" s="106">
        <f t="shared" si="472"/>
        <v>0</v>
      </c>
      <c r="AA936" s="106" t="s">
        <v>1756</v>
      </c>
      <c r="AB936" s="111">
        <f t="shared" si="463"/>
        <v>2</v>
      </c>
      <c r="AC936" s="106" t="s">
        <v>2425</v>
      </c>
      <c r="AD936" s="107">
        <f t="shared" si="485"/>
        <v>1998.1060606060605</v>
      </c>
      <c r="AE936" s="198"/>
      <c r="AF936" s="113">
        <f t="shared" si="473"/>
        <v>0</v>
      </c>
      <c r="AG936" s="85">
        <v>2026</v>
      </c>
      <c r="AH936" s="26" t="str">
        <f t="shared" si="484"/>
        <v/>
      </c>
      <c r="AI936" s="26" t="str">
        <f t="shared" si="488"/>
        <v/>
      </c>
      <c r="AJ936" s="26" t="str">
        <f t="shared" si="493"/>
        <v/>
      </c>
      <c r="AK936" s="26" t="str">
        <f t="shared" si="489"/>
        <v/>
      </c>
      <c r="AL936" s="26" t="str">
        <f t="shared" si="489"/>
        <v>Liquid Road</v>
      </c>
      <c r="AM936" s="26" t="str">
        <f t="shared" si="489"/>
        <v/>
      </c>
      <c r="AN936" s="26" t="str">
        <f t="shared" si="487"/>
        <v>Liquid Road</v>
      </c>
      <c r="AO936" s="26" t="str">
        <f t="shared" si="494"/>
        <v/>
      </c>
      <c r="AP936" s="26" t="str">
        <f t="shared" si="492"/>
        <v/>
      </c>
      <c r="AQ936" s="68">
        <f t="shared" si="474"/>
        <v>10</v>
      </c>
      <c r="AR936" s="68">
        <f t="shared" si="475"/>
        <v>10</v>
      </c>
      <c r="AS936" s="68">
        <f t="shared" si="476"/>
        <v>1.05</v>
      </c>
      <c r="AT936" s="68">
        <f t="shared" si="477"/>
        <v>1</v>
      </c>
      <c r="AU936" s="68">
        <f t="shared" si="478"/>
        <v>1</v>
      </c>
      <c r="AV936" s="68">
        <f t="shared" si="479"/>
        <v>1.05</v>
      </c>
      <c r="AW936" s="68">
        <f t="shared" si="480"/>
        <v>1</v>
      </c>
      <c r="AX936" s="68">
        <f t="shared" ca="1" si="481"/>
        <v>2</v>
      </c>
      <c r="AY936" s="106">
        <v>2017</v>
      </c>
      <c r="AZ936" s="106" t="s">
        <v>2086</v>
      </c>
      <c r="BA936" s="106" t="str">
        <f t="shared" si="482"/>
        <v/>
      </c>
      <c r="BB936" s="177"/>
      <c r="BC936" s="177"/>
      <c r="BD936" s="177"/>
      <c r="BE936" s="177">
        <v>2</v>
      </c>
      <c r="BF936" s="177"/>
      <c r="BG936" s="177"/>
      <c r="BH936" s="177"/>
      <c r="BI936" s="33"/>
      <c r="BJ936" s="2"/>
      <c r="BK936" s="48">
        <f>$G936/5280*VLOOKUP($AC936,'Cost and Score'!$B$27:$O$40,6,0)</f>
        <v>7.9924242424242425E-2</v>
      </c>
      <c r="BL936" s="48">
        <f>$G936/5280*VLOOKUP($AC936,'Cost and Score'!$B$27:$O$40,7,0)</f>
        <v>1.2787878787878788</v>
      </c>
      <c r="BM936" s="48">
        <f>$G936/5280*VLOOKUP($AC936,'Cost and Score'!$B$27:$O$40,8,0)</f>
        <v>0</v>
      </c>
      <c r="BN936" s="48">
        <f>$G936/5280*VLOOKUP($AC936,'Cost and Score'!$B$27:$O$40,9,0)</f>
        <v>0</v>
      </c>
      <c r="BO936" s="48">
        <f>$G936/5280*VLOOKUP($AC936,'Cost and Score'!$B$27:$O$40,10,0)</f>
        <v>0</v>
      </c>
      <c r="BP936" s="48">
        <f>$G936/5280*VLOOKUP($AC936,'Cost and Score'!$B$27:$O$40,11,0)</f>
        <v>0</v>
      </c>
      <c r="BQ936" s="48">
        <f>$G936/5280*VLOOKUP($AC936,'Cost and Score'!$B$27:$O$40,12,0)</f>
        <v>0</v>
      </c>
      <c r="BR936" s="48">
        <f>$G936/5280*VLOOKUP($AC936,'Cost and Score'!$B$27:$O$40,13,0)</f>
        <v>0</v>
      </c>
      <c r="BS936" s="48">
        <f>$G936/5280*VLOOKUP($AC936,'Cost and Score'!$B$27:$O$40,14,0)</f>
        <v>0</v>
      </c>
      <c r="BT936" s="220">
        <f t="shared" si="470"/>
        <v>7.9924242424242425E-2</v>
      </c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G936" s="2"/>
      <c r="CH936" s="2"/>
      <c r="CI936" s="2"/>
      <c r="CJ936" s="2"/>
      <c r="CK936" s="2"/>
      <c r="CL936" s="2"/>
      <c r="CM936" s="2"/>
      <c r="CR936" s="2"/>
    </row>
    <row r="937" spans="1:103" s="2" customFormat="1" ht="14.45" hidden="1" customHeight="1" x14ac:dyDescent="0.25">
      <c r="A937" s="31" t="s">
        <v>2102</v>
      </c>
      <c r="B937" s="226" t="s">
        <v>1758</v>
      </c>
      <c r="C937" s="106" t="s">
        <v>1758</v>
      </c>
      <c r="D937" s="116" t="s">
        <v>2245</v>
      </c>
      <c r="E937" s="106" t="s">
        <v>1458</v>
      </c>
      <c r="F937" s="106" t="s">
        <v>1757</v>
      </c>
      <c r="G937" s="109">
        <v>1584</v>
      </c>
      <c r="H937" s="109">
        <f t="shared" si="490"/>
        <v>26</v>
      </c>
      <c r="I937" s="106" t="s">
        <v>2098</v>
      </c>
      <c r="J937" s="106" t="s">
        <v>160</v>
      </c>
      <c r="K937" s="106">
        <f t="shared" si="491"/>
        <v>0</v>
      </c>
      <c r="L937" s="110">
        <v>7</v>
      </c>
      <c r="M937" s="110">
        <v>8</v>
      </c>
      <c r="N937" s="110">
        <v>8</v>
      </c>
      <c r="O937" s="110">
        <v>7</v>
      </c>
      <c r="P937" s="110">
        <v>8</v>
      </c>
      <c r="Q937" s="110">
        <v>8</v>
      </c>
      <c r="R937" s="110">
        <v>7</v>
      </c>
      <c r="S937" s="110">
        <v>7</v>
      </c>
      <c r="T937" s="110">
        <v>7</v>
      </c>
      <c r="U937" s="110">
        <v>7</v>
      </c>
      <c r="V937" s="110"/>
      <c r="W937" s="110"/>
      <c r="X937" s="110"/>
      <c r="Y937" s="106">
        <v>121</v>
      </c>
      <c r="Z937" s="106">
        <f t="shared" si="472"/>
        <v>0</v>
      </c>
      <c r="AA937" s="106" t="s">
        <v>1758</v>
      </c>
      <c r="AB937" s="111">
        <f t="shared" si="463"/>
        <v>2</v>
      </c>
      <c r="AC937" s="106" t="s">
        <v>2425</v>
      </c>
      <c r="AD937" s="107">
        <f t="shared" si="485"/>
        <v>7500</v>
      </c>
      <c r="AE937" s="198"/>
      <c r="AF937" s="113">
        <f t="shared" si="473"/>
        <v>0</v>
      </c>
      <c r="AG937" s="85">
        <v>2026</v>
      </c>
      <c r="AH937" s="26" t="str">
        <f t="shared" si="484"/>
        <v/>
      </c>
      <c r="AI937" s="26" t="str">
        <f t="shared" si="488"/>
        <v/>
      </c>
      <c r="AJ937" s="26" t="str">
        <f t="shared" si="493"/>
        <v/>
      </c>
      <c r="AK937" s="26" t="str">
        <f t="shared" si="489"/>
        <v/>
      </c>
      <c r="AL937" s="26" t="str">
        <f t="shared" si="489"/>
        <v>Liquid Road</v>
      </c>
      <c r="AM937" s="26" t="str">
        <f t="shared" si="489"/>
        <v/>
      </c>
      <c r="AN937" s="26" t="str">
        <f t="shared" si="487"/>
        <v>Liquid Road</v>
      </c>
      <c r="AO937" s="26" t="str">
        <f t="shared" si="494"/>
        <v/>
      </c>
      <c r="AP937" s="26" t="str">
        <f t="shared" si="492"/>
        <v/>
      </c>
      <c r="AQ937" s="68">
        <f t="shared" si="474"/>
        <v>10</v>
      </c>
      <c r="AR937" s="68">
        <f t="shared" si="475"/>
        <v>10</v>
      </c>
      <c r="AS937" s="68">
        <f t="shared" si="476"/>
        <v>1.05</v>
      </c>
      <c r="AT937" s="68">
        <f t="shared" si="477"/>
        <v>1</v>
      </c>
      <c r="AU937" s="68">
        <f t="shared" si="478"/>
        <v>1</v>
      </c>
      <c r="AV937" s="68">
        <f t="shared" si="479"/>
        <v>1.05</v>
      </c>
      <c r="AW937" s="68">
        <f t="shared" si="480"/>
        <v>1</v>
      </c>
      <c r="AX937" s="68">
        <f t="shared" ca="1" si="481"/>
        <v>2</v>
      </c>
      <c r="AY937" s="106">
        <v>2017</v>
      </c>
      <c r="AZ937" s="106" t="s">
        <v>2086</v>
      </c>
      <c r="BA937" s="106" t="str">
        <f t="shared" si="482"/>
        <v/>
      </c>
      <c r="BB937" s="177"/>
      <c r="BC937" s="177"/>
      <c r="BD937" s="177"/>
      <c r="BE937" s="177">
        <v>2</v>
      </c>
      <c r="BF937" s="177"/>
      <c r="BG937" s="177"/>
      <c r="BH937" s="177"/>
      <c r="BI937" s="33"/>
      <c r="BK937" s="48">
        <f>$G937/5280*VLOOKUP($AC937,'Cost and Score'!$B$27:$O$40,6,0)</f>
        <v>0.3</v>
      </c>
      <c r="BL937" s="48">
        <f>$G937/5280*VLOOKUP($AC937,'Cost and Score'!$B$27:$O$40,7,0)</f>
        <v>4.8</v>
      </c>
      <c r="BM937" s="48">
        <f>$G937/5280*VLOOKUP($AC937,'Cost and Score'!$B$27:$O$40,8,0)</f>
        <v>0</v>
      </c>
      <c r="BN937" s="48">
        <f>$G937/5280*VLOOKUP($AC937,'Cost and Score'!$B$27:$O$40,9,0)</f>
        <v>0</v>
      </c>
      <c r="BO937" s="48">
        <f>$G937/5280*VLOOKUP($AC937,'Cost and Score'!$B$27:$O$40,10,0)</f>
        <v>0</v>
      </c>
      <c r="BP937" s="48">
        <f>$G937/5280*VLOOKUP($AC937,'Cost and Score'!$B$27:$O$40,11,0)</f>
        <v>0</v>
      </c>
      <c r="BQ937" s="48">
        <f>$G937/5280*VLOOKUP($AC937,'Cost and Score'!$B$27:$O$40,12,0)</f>
        <v>0</v>
      </c>
      <c r="BR937" s="48">
        <f>$G937/5280*VLOOKUP($AC937,'Cost and Score'!$B$27:$O$40,13,0)</f>
        <v>0</v>
      </c>
      <c r="BS937" s="48">
        <f>$G937/5280*VLOOKUP($AC937,'Cost and Score'!$B$27:$O$40,14,0)</f>
        <v>0</v>
      </c>
      <c r="BT937" s="220">
        <f t="shared" si="470"/>
        <v>0.3</v>
      </c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</row>
    <row r="938" spans="1:103" s="112" customFormat="1" ht="14.45" hidden="1" customHeight="1" x14ac:dyDescent="0.25">
      <c r="A938" s="31" t="s">
        <v>2102</v>
      </c>
      <c r="B938" s="224" t="s">
        <v>1759</v>
      </c>
      <c r="C938" s="26" t="s">
        <v>1759</v>
      </c>
      <c r="D938" s="119" t="s">
        <v>2244</v>
      </c>
      <c r="E938" s="82" t="s">
        <v>1760</v>
      </c>
      <c r="F938" s="82" t="s">
        <v>1529</v>
      </c>
      <c r="G938" s="29">
        <v>1214</v>
      </c>
      <c r="H938" s="29">
        <f t="shared" si="490"/>
        <v>26</v>
      </c>
      <c r="I938" s="26" t="s">
        <v>2098</v>
      </c>
      <c r="J938" s="26" t="s">
        <v>160</v>
      </c>
      <c r="K938" s="26">
        <f t="shared" si="491"/>
        <v>0</v>
      </c>
      <c r="L938" s="42">
        <v>8</v>
      </c>
      <c r="M938" s="42">
        <v>8</v>
      </c>
      <c r="N938" s="42">
        <v>8</v>
      </c>
      <c r="O938" s="83">
        <v>8</v>
      </c>
      <c r="P938" s="83">
        <v>8</v>
      </c>
      <c r="Q938" s="83">
        <v>7</v>
      </c>
      <c r="R938" s="83">
        <v>7</v>
      </c>
      <c r="S938" s="83">
        <v>7</v>
      </c>
      <c r="T938" s="83">
        <v>7</v>
      </c>
      <c r="U938" s="83">
        <v>7</v>
      </c>
      <c r="V938" s="42"/>
      <c r="W938" s="42"/>
      <c r="X938" s="42"/>
      <c r="Y938" s="26">
        <v>234</v>
      </c>
      <c r="Z938" s="26">
        <f t="shared" ref="Z938:Z969" si="495">VLOOKUP(Y938,AADT,2)</f>
        <v>0</v>
      </c>
      <c r="AA938" s="82" t="s">
        <v>1759</v>
      </c>
      <c r="AB938" s="111">
        <f t="shared" si="463"/>
        <v>2</v>
      </c>
      <c r="AC938" s="85" t="s">
        <v>2371</v>
      </c>
      <c r="AD938" s="84">
        <f t="shared" si="485"/>
        <v>18393.939393939392</v>
      </c>
      <c r="AE938" s="140"/>
      <c r="AF938" s="113">
        <f t="shared" si="473"/>
        <v>0</v>
      </c>
      <c r="AG938" s="85">
        <v>2028</v>
      </c>
      <c r="AH938" s="26" t="str">
        <f t="shared" si="484"/>
        <v/>
      </c>
      <c r="AI938" s="26" t="str">
        <f t="shared" si="488"/>
        <v/>
      </c>
      <c r="AJ938" s="26" t="str">
        <f t="shared" si="493"/>
        <v/>
      </c>
      <c r="AK938" s="26" t="str">
        <f t="shared" si="489"/>
        <v/>
      </c>
      <c r="AL938" s="26" t="str">
        <f t="shared" si="489"/>
        <v/>
      </c>
      <c r="AM938" s="26" t="str">
        <f t="shared" si="489"/>
        <v/>
      </c>
      <c r="AN938" s="26" t="str">
        <f t="shared" si="487"/>
        <v>Microsurface double</v>
      </c>
      <c r="AO938" s="26" t="str">
        <f t="shared" si="494"/>
        <v/>
      </c>
      <c r="AP938" s="26" t="str">
        <f t="shared" si="492"/>
        <v/>
      </c>
      <c r="AQ938" s="68">
        <f t="shared" ref="AQ938:AQ969" si="496">VLOOKUP(O938,RSLrem,2,FALSE)</f>
        <v>12</v>
      </c>
      <c r="AR938" s="68">
        <f t="shared" ref="AR938:AR969" si="497">VLOOKUP(AC938,RSL,5,FALSE)</f>
        <v>10</v>
      </c>
      <c r="AS938" s="68">
        <f t="shared" si="476"/>
        <v>1</v>
      </c>
      <c r="AT938" s="68">
        <f t="shared" si="477"/>
        <v>1</v>
      </c>
      <c r="AU938" s="68">
        <f t="shared" si="478"/>
        <v>1</v>
      </c>
      <c r="AV938" s="68">
        <f t="shared" si="479"/>
        <v>1</v>
      </c>
      <c r="AW938" s="68">
        <f t="shared" si="480"/>
        <v>1</v>
      </c>
      <c r="AX938" s="68">
        <f t="shared" ref="AX938:AX969" ca="1" si="498">AU938*(AG938-YEAR(TODAY()))</f>
        <v>4</v>
      </c>
      <c r="AY938" s="68">
        <v>2020</v>
      </c>
      <c r="AZ938" s="68" t="s">
        <v>2075</v>
      </c>
      <c r="BA938" s="106" t="str">
        <f t="shared" ref="BA938:BA969" si="499">IF(AY938=2018,AZ938,"")</f>
        <v/>
      </c>
      <c r="BB938" s="178"/>
      <c r="BC938" s="178"/>
      <c r="BD938" s="178"/>
      <c r="BE938" s="178"/>
      <c r="BF938" s="178"/>
      <c r="BG938" s="178"/>
      <c r="BH938" s="178"/>
      <c r="BI938" s="33"/>
      <c r="BJ938" s="2"/>
      <c r="BK938" s="48">
        <f>$G938/5280*VLOOKUP($AC938,'Cost and Score'!$B$27:$O$40,6,0)</f>
        <v>0.11496212121212121</v>
      </c>
      <c r="BL938" s="48">
        <f>$G938/5280*VLOOKUP($AC938,'Cost and Score'!$B$27:$O$40,7,0)</f>
        <v>0</v>
      </c>
      <c r="BM938" s="48">
        <f>$G938/5280*VLOOKUP($AC938,'Cost and Score'!$B$27:$O$40,8,0)</f>
        <v>0</v>
      </c>
      <c r="BN938" s="48">
        <f>$G938/5280*VLOOKUP($AC938,'Cost and Score'!$B$27:$O$40,9,0)</f>
        <v>0</v>
      </c>
      <c r="BO938" s="48">
        <f>$G938/5280*VLOOKUP($AC938,'Cost and Score'!$B$27:$O$40,10,0)</f>
        <v>0</v>
      </c>
      <c r="BP938" s="48">
        <f>$G938/5280*VLOOKUP($AC938,'Cost and Score'!$B$27:$O$40,11,0)</f>
        <v>0</v>
      </c>
      <c r="BQ938" s="48">
        <f>$G938/5280*VLOOKUP($AC938,'Cost and Score'!$B$27:$O$40,12,0)</f>
        <v>0</v>
      </c>
      <c r="BR938" s="48">
        <f>$G938/5280*VLOOKUP($AC938,'Cost and Score'!$B$27:$O$40,13,0)</f>
        <v>0</v>
      </c>
      <c r="BS938" s="48">
        <f>$G938/5280*VLOOKUP($AC938,'Cost and Score'!$B$27:$O$40,14,0)</f>
        <v>0</v>
      </c>
      <c r="BT938" s="220">
        <f t="shared" si="470"/>
        <v>0.22992424242424242</v>
      </c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N938" s="2"/>
      <c r="CO938" s="2"/>
      <c r="CP938" s="2"/>
      <c r="CQ938" s="2"/>
      <c r="CR938" s="2"/>
      <c r="CS938" s="2"/>
      <c r="CT938" s="2"/>
      <c r="CU938" s="2"/>
      <c r="CV938" s="2"/>
    </row>
    <row r="939" spans="1:103" s="112" customFormat="1" ht="14.45" hidden="1" customHeight="1" x14ac:dyDescent="0.25">
      <c r="A939" s="31" t="s">
        <v>2102</v>
      </c>
      <c r="B939" s="224" t="s">
        <v>1761</v>
      </c>
      <c r="C939" s="26" t="s">
        <v>1761</v>
      </c>
      <c r="D939" s="36" t="s">
        <v>2279</v>
      </c>
      <c r="E939" s="26" t="s">
        <v>1451</v>
      </c>
      <c r="F939" s="26" t="s">
        <v>1452</v>
      </c>
      <c r="G939" s="29">
        <v>317</v>
      </c>
      <c r="H939" s="29">
        <f t="shared" si="490"/>
        <v>26</v>
      </c>
      <c r="I939" s="26" t="s">
        <v>2098</v>
      </c>
      <c r="J939" s="26" t="s">
        <v>160</v>
      </c>
      <c r="K939" s="26">
        <f t="shared" si="491"/>
        <v>0</v>
      </c>
      <c r="L939" s="42">
        <v>9</v>
      </c>
      <c r="M939" s="42">
        <v>8</v>
      </c>
      <c r="N939" s="42">
        <v>10</v>
      </c>
      <c r="O939" s="42">
        <v>9</v>
      </c>
      <c r="P939" s="42">
        <v>8</v>
      </c>
      <c r="Q939" s="42">
        <v>8</v>
      </c>
      <c r="R939" s="42">
        <v>7</v>
      </c>
      <c r="S939" s="42">
        <v>8</v>
      </c>
      <c r="T939" s="42">
        <v>7</v>
      </c>
      <c r="U939" s="42">
        <v>7</v>
      </c>
      <c r="V939" s="42"/>
      <c r="W939" s="42"/>
      <c r="X939" s="42"/>
      <c r="Y939" s="26">
        <v>410</v>
      </c>
      <c r="Z939" s="26">
        <f t="shared" si="495"/>
        <v>0</v>
      </c>
      <c r="AA939" s="26" t="s">
        <v>1761</v>
      </c>
      <c r="AB939" s="111">
        <f t="shared" si="463"/>
        <v>2</v>
      </c>
      <c r="AC939" s="85" t="s">
        <v>2489</v>
      </c>
      <c r="AD939" s="47">
        <f t="shared" si="485"/>
        <v>1500.9469696969697</v>
      </c>
      <c r="AE939" s="140"/>
      <c r="AF939" s="113">
        <f t="shared" si="473"/>
        <v>0</v>
      </c>
      <c r="AG939" s="85">
        <v>2026</v>
      </c>
      <c r="AH939" s="26" t="str">
        <f t="shared" si="484"/>
        <v/>
      </c>
      <c r="AI939" s="26" t="str">
        <f t="shared" si="488"/>
        <v/>
      </c>
      <c r="AJ939" s="26" t="str">
        <f t="shared" si="493"/>
        <v/>
      </c>
      <c r="AK939" s="26" t="str">
        <f t="shared" si="489"/>
        <v/>
      </c>
      <c r="AL939" s="26" t="str">
        <f t="shared" si="489"/>
        <v>Liquid Road</v>
      </c>
      <c r="AM939" s="26" t="str">
        <f t="shared" si="489"/>
        <v/>
      </c>
      <c r="AN939" s="26" t="str">
        <f t="shared" si="487"/>
        <v>Liquid Road</v>
      </c>
      <c r="AO939" s="26" t="str">
        <f t="shared" si="494"/>
        <v/>
      </c>
      <c r="AP939" s="26" t="str">
        <f t="shared" si="492"/>
        <v/>
      </c>
      <c r="AQ939" s="68">
        <f t="shared" si="496"/>
        <v>14</v>
      </c>
      <c r="AR939" s="68">
        <f t="shared" si="497"/>
        <v>10</v>
      </c>
      <c r="AS939" s="68">
        <f t="shared" si="476"/>
        <v>1</v>
      </c>
      <c r="AT939" s="68">
        <f t="shared" si="477"/>
        <v>1</v>
      </c>
      <c r="AU939" s="68">
        <f t="shared" si="478"/>
        <v>1</v>
      </c>
      <c r="AV939" s="68">
        <f t="shared" si="479"/>
        <v>1</v>
      </c>
      <c r="AW939" s="68">
        <f t="shared" si="480"/>
        <v>1</v>
      </c>
      <c r="AX939" s="68">
        <f t="shared" ca="1" si="498"/>
        <v>2</v>
      </c>
      <c r="AY939" s="68">
        <v>2014</v>
      </c>
      <c r="AZ939" s="68" t="s">
        <v>2086</v>
      </c>
      <c r="BA939" s="106" t="str">
        <f t="shared" si="499"/>
        <v/>
      </c>
      <c r="BB939" s="178"/>
      <c r="BC939" s="178"/>
      <c r="BD939" s="178"/>
      <c r="BE939" s="178"/>
      <c r="BF939" s="178"/>
      <c r="BG939" s="178">
        <v>4</v>
      </c>
      <c r="BH939" s="178"/>
      <c r="BI939" s="33"/>
      <c r="BJ939" s="2"/>
      <c r="BK939" s="48">
        <f>$G939/5280*VLOOKUP($AC939,'Cost and Score'!$B$27:$O$40,6,0)</f>
        <v>6.0037878787878786E-2</v>
      </c>
      <c r="BL939" s="48">
        <f>$G939/5280*VLOOKUP($AC939,'Cost and Score'!$B$27:$O$40,7,0)</f>
        <v>0.96060606060606057</v>
      </c>
      <c r="BM939" s="48">
        <f>$G939/5280*VLOOKUP($AC939,'Cost and Score'!$B$27:$O$40,8,0)</f>
        <v>0</v>
      </c>
      <c r="BN939" s="48">
        <f>$G939/5280*VLOOKUP($AC939,'Cost and Score'!$B$27:$O$40,9,0)</f>
        <v>0</v>
      </c>
      <c r="BO939" s="48">
        <f>$G939/5280*VLOOKUP($AC939,'Cost and Score'!$B$27:$O$40,10,0)</f>
        <v>0</v>
      </c>
      <c r="BP939" s="48">
        <f>$G939/5280*VLOOKUP($AC939,'Cost and Score'!$B$27:$O$40,11,0)</f>
        <v>0</v>
      </c>
      <c r="BQ939" s="48">
        <f>$G939/5280*VLOOKUP($AC939,'Cost and Score'!$B$27:$O$40,12,0)</f>
        <v>0</v>
      </c>
      <c r="BR939" s="48">
        <f>$G939/5280*VLOOKUP($AC939,'Cost and Score'!$B$27:$O$40,13,0)</f>
        <v>0</v>
      </c>
      <c r="BS939" s="48">
        <f>$G939/5280*VLOOKUP($AC939,'Cost and Score'!$B$27:$O$40,14,0)</f>
        <v>0</v>
      </c>
      <c r="BT939" s="220">
        <f t="shared" si="470"/>
        <v>6.0037878787878786E-2</v>
      </c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G939" s="2"/>
      <c r="CH939" s="2"/>
      <c r="CI939" s="2"/>
      <c r="CJ939" s="2"/>
      <c r="CK939" s="2"/>
      <c r="CL939" s="2"/>
      <c r="CM939" s="2"/>
      <c r="CR939" s="2"/>
      <c r="CS939" s="2"/>
      <c r="CT939" s="2"/>
      <c r="CU939" s="2"/>
      <c r="CW939" s="2"/>
      <c r="CX939" s="2"/>
      <c r="CY939" s="2"/>
    </row>
    <row r="940" spans="1:103" s="2" customFormat="1" ht="14.45" hidden="1" customHeight="1" x14ac:dyDescent="0.25">
      <c r="A940" s="31" t="s">
        <v>2102</v>
      </c>
      <c r="B940" s="226" t="s">
        <v>1762</v>
      </c>
      <c r="C940" s="106" t="s">
        <v>1762</v>
      </c>
      <c r="D940" s="116" t="s">
        <v>2263</v>
      </c>
      <c r="E940" s="106" t="s">
        <v>1668</v>
      </c>
      <c r="F940" s="106" t="s">
        <v>1495</v>
      </c>
      <c r="G940" s="109">
        <v>211</v>
      </c>
      <c r="H940" s="109">
        <f t="shared" si="490"/>
        <v>26</v>
      </c>
      <c r="I940" s="106" t="s">
        <v>2098</v>
      </c>
      <c r="J940" s="106" t="s">
        <v>101</v>
      </c>
      <c r="K940" s="106">
        <v>0</v>
      </c>
      <c r="L940" s="110">
        <v>7</v>
      </c>
      <c r="M940" s="110">
        <v>7</v>
      </c>
      <c r="N940" s="110">
        <v>7</v>
      </c>
      <c r="O940" s="110">
        <v>7</v>
      </c>
      <c r="P940" s="110">
        <v>7</v>
      </c>
      <c r="Q940" s="110">
        <v>7</v>
      </c>
      <c r="R940" s="110">
        <v>7</v>
      </c>
      <c r="S940" s="110">
        <v>7</v>
      </c>
      <c r="T940" s="110">
        <v>7</v>
      </c>
      <c r="U940" s="110">
        <v>7</v>
      </c>
      <c r="V940" s="110"/>
      <c r="W940" s="110"/>
      <c r="X940" s="110"/>
      <c r="Y940" s="106">
        <v>321</v>
      </c>
      <c r="Z940" s="106">
        <f t="shared" si="495"/>
        <v>0</v>
      </c>
      <c r="AA940" s="106" t="s">
        <v>1762</v>
      </c>
      <c r="AB940" s="111">
        <f t="shared" si="463"/>
        <v>3</v>
      </c>
      <c r="AC940" s="85" t="s">
        <v>2425</v>
      </c>
      <c r="AD940" s="107">
        <f t="shared" si="485"/>
        <v>999.05303030303025</v>
      </c>
      <c r="AE940" s="198"/>
      <c r="AF940" s="113">
        <f t="shared" si="473"/>
        <v>0</v>
      </c>
      <c r="AG940" s="85">
        <v>2026</v>
      </c>
      <c r="AH940" s="26" t="str">
        <f t="shared" si="484"/>
        <v/>
      </c>
      <c r="AI940" s="26" t="str">
        <f t="shared" si="488"/>
        <v/>
      </c>
      <c r="AJ940" s="26" t="str">
        <f t="shared" si="493"/>
        <v/>
      </c>
      <c r="AK940" s="26" t="str">
        <f t="shared" si="489"/>
        <v/>
      </c>
      <c r="AL940" s="26" t="str">
        <f t="shared" si="489"/>
        <v>Liquid Road</v>
      </c>
      <c r="AM940" s="26" t="str">
        <f t="shared" si="489"/>
        <v/>
      </c>
      <c r="AN940" s="26" t="str">
        <f t="shared" si="487"/>
        <v>Liquid Road</v>
      </c>
      <c r="AO940" s="26" t="str">
        <f t="shared" si="494"/>
        <v/>
      </c>
      <c r="AP940" s="26" t="str">
        <f t="shared" si="492"/>
        <v/>
      </c>
      <c r="AQ940" s="68">
        <f t="shared" si="496"/>
        <v>10</v>
      </c>
      <c r="AR940" s="68">
        <f t="shared" si="497"/>
        <v>10</v>
      </c>
      <c r="AS940" s="68">
        <f t="shared" si="476"/>
        <v>1.05</v>
      </c>
      <c r="AT940" s="68">
        <f t="shared" si="477"/>
        <v>1.05</v>
      </c>
      <c r="AU940" s="68">
        <f t="shared" si="478"/>
        <v>1.05</v>
      </c>
      <c r="AV940" s="68">
        <f t="shared" si="479"/>
        <v>1.05</v>
      </c>
      <c r="AW940" s="68">
        <f t="shared" si="480"/>
        <v>1.05</v>
      </c>
      <c r="AX940" s="68">
        <f t="shared" ca="1" si="498"/>
        <v>2.1</v>
      </c>
      <c r="AY940" s="106">
        <v>2017</v>
      </c>
      <c r="AZ940" s="68" t="s">
        <v>2371</v>
      </c>
      <c r="BA940" s="106" t="str">
        <f t="shared" si="499"/>
        <v/>
      </c>
      <c r="BB940" s="178"/>
      <c r="BC940" s="178"/>
      <c r="BD940" s="178"/>
      <c r="BE940" s="178"/>
      <c r="BF940" s="178">
        <v>3</v>
      </c>
      <c r="BG940" s="178"/>
      <c r="BH940" s="178"/>
      <c r="BI940" s="33"/>
      <c r="BK940" s="48">
        <f>$G940/5280*VLOOKUP($AC940,'Cost and Score'!$B$27:$O$40,6,0)</f>
        <v>3.9962121212121213E-2</v>
      </c>
      <c r="BL940" s="48">
        <f>$G940/5280*VLOOKUP($AC940,'Cost and Score'!$B$27:$O$40,7,0)</f>
        <v>0.6393939393939394</v>
      </c>
      <c r="BM940" s="48">
        <f>$G940/5280*VLOOKUP($AC940,'Cost and Score'!$B$27:$O$40,8,0)</f>
        <v>0</v>
      </c>
      <c r="BN940" s="48">
        <f>$G940/5280*VLOOKUP($AC940,'Cost and Score'!$B$27:$O$40,9,0)</f>
        <v>0</v>
      </c>
      <c r="BO940" s="48">
        <f>$G940/5280*VLOOKUP($AC940,'Cost and Score'!$B$27:$O$40,10,0)</f>
        <v>0</v>
      </c>
      <c r="BP940" s="48">
        <f>$G940/5280*VLOOKUP($AC940,'Cost and Score'!$B$27:$O$40,11,0)</f>
        <v>0</v>
      </c>
      <c r="BQ940" s="48">
        <f>$G940/5280*VLOOKUP($AC940,'Cost and Score'!$B$27:$O$40,12,0)</f>
        <v>0</v>
      </c>
      <c r="BR940" s="48">
        <f>$G940/5280*VLOOKUP($AC940,'Cost and Score'!$B$27:$O$40,13,0)</f>
        <v>0</v>
      </c>
      <c r="BS940" s="48">
        <f>$G940/5280*VLOOKUP($AC940,'Cost and Score'!$B$27:$O$40,14,0)</f>
        <v>0</v>
      </c>
      <c r="BT940" s="220">
        <f t="shared" si="470"/>
        <v>3.9962121212121213E-2</v>
      </c>
      <c r="CN940" s="112"/>
      <c r="CO940" s="112"/>
      <c r="CP940" s="112"/>
      <c r="CQ940" s="112"/>
      <c r="CS940" s="112"/>
      <c r="CT940" s="112"/>
      <c r="CU940" s="112"/>
      <c r="CV940" s="112"/>
    </row>
    <row r="941" spans="1:103" s="2" customFormat="1" ht="14.45" customHeight="1" x14ac:dyDescent="0.25">
      <c r="A941" s="38" t="s">
        <v>2102</v>
      </c>
      <c r="B941" s="108" t="s">
        <v>2029</v>
      </c>
      <c r="C941" s="106" t="s">
        <v>2029</v>
      </c>
      <c r="D941" s="106"/>
      <c r="E941" s="106" t="s">
        <v>158</v>
      </c>
      <c r="F941" s="106" t="s">
        <v>307</v>
      </c>
      <c r="G941" s="109">
        <v>1797</v>
      </c>
      <c r="H941" s="109">
        <f t="shared" si="490"/>
        <v>20</v>
      </c>
      <c r="I941" s="106" t="s">
        <v>8</v>
      </c>
      <c r="J941" s="106" t="s">
        <v>160</v>
      </c>
      <c r="K941" s="106">
        <f t="shared" ref="K941:K959" si="500">VLOOKUP(J941,TOWNSHIPS,2,FALSE)</f>
        <v>0</v>
      </c>
      <c r="L941" s="110">
        <v>8</v>
      </c>
      <c r="M941" s="110">
        <v>6</v>
      </c>
      <c r="N941" s="110">
        <v>5</v>
      </c>
      <c r="O941" s="110">
        <v>4</v>
      </c>
      <c r="P941" s="110">
        <v>4</v>
      </c>
      <c r="Q941" s="110">
        <v>4</v>
      </c>
      <c r="R941" s="110">
        <v>8</v>
      </c>
      <c r="S941" s="110">
        <v>8</v>
      </c>
      <c r="T941" s="110">
        <v>8</v>
      </c>
      <c r="U941" s="110">
        <v>8</v>
      </c>
      <c r="V941" s="110"/>
      <c r="W941" s="110"/>
      <c r="X941" s="110"/>
      <c r="Y941" s="106">
        <v>50</v>
      </c>
      <c r="Z941" s="106">
        <f t="shared" si="495"/>
        <v>0</v>
      </c>
      <c r="AA941" s="106" t="s">
        <v>2028</v>
      </c>
      <c r="AB941" s="111">
        <f t="shared" si="463"/>
        <v>6</v>
      </c>
      <c r="AC941" s="85" t="s">
        <v>2425</v>
      </c>
      <c r="AD941" s="107">
        <f t="shared" si="485"/>
        <v>8508.5227272727279</v>
      </c>
      <c r="AE941" s="140"/>
      <c r="AF941" s="113">
        <f t="shared" si="473"/>
        <v>0</v>
      </c>
      <c r="AG941" s="106">
        <v>2025</v>
      </c>
      <c r="AH941" s="26" t="str">
        <f t="shared" si="484"/>
        <v/>
      </c>
      <c r="AI941" s="26" t="str">
        <f t="shared" si="488"/>
        <v/>
      </c>
      <c r="AJ941" s="26" t="str">
        <f t="shared" si="493"/>
        <v/>
      </c>
      <c r="AK941" s="26" t="str">
        <f t="shared" si="489"/>
        <v>Liquid Road</v>
      </c>
      <c r="AL941" s="26" t="str">
        <f t="shared" si="489"/>
        <v/>
      </c>
      <c r="AM941" s="26" t="str">
        <f t="shared" si="489"/>
        <v/>
      </c>
      <c r="AN941" s="26" t="str">
        <f t="shared" si="487"/>
        <v>Liquid Road</v>
      </c>
      <c r="AO941" s="26" t="str">
        <f t="shared" si="494"/>
        <v/>
      </c>
      <c r="AP941" s="26" t="str">
        <f t="shared" si="492"/>
        <v/>
      </c>
      <c r="AQ941" s="68">
        <f t="shared" si="496"/>
        <v>3</v>
      </c>
      <c r="AR941" s="68">
        <f t="shared" si="497"/>
        <v>10</v>
      </c>
      <c r="AS941" s="68">
        <f t="shared" si="476"/>
        <v>1</v>
      </c>
      <c r="AT941" s="68">
        <f t="shared" si="477"/>
        <v>1.1000000000000001</v>
      </c>
      <c r="AU941" s="68">
        <f t="shared" si="478"/>
        <v>1.25</v>
      </c>
      <c r="AV941" s="68">
        <f t="shared" si="479"/>
        <v>1.5</v>
      </c>
      <c r="AW941" s="68">
        <f t="shared" si="480"/>
        <v>1.5</v>
      </c>
      <c r="AX941" s="68">
        <f t="shared" ca="1" si="498"/>
        <v>1.25</v>
      </c>
      <c r="AY941" s="106">
        <v>2019</v>
      </c>
      <c r="AZ941" s="106" t="s">
        <v>751</v>
      </c>
      <c r="BA941" s="106" t="str">
        <f t="shared" si="499"/>
        <v/>
      </c>
      <c r="BB941" s="177"/>
      <c r="BC941" s="177"/>
      <c r="BD941" s="177"/>
      <c r="BE941" s="177"/>
      <c r="BF941" s="177"/>
      <c r="BG941" s="177"/>
      <c r="BH941" s="177"/>
      <c r="BI941" s="33"/>
      <c r="BK941" s="48">
        <f>$G941/5280*VLOOKUP($AC941,'Cost and Score'!$B$27:$O$40,6,0)</f>
        <v>0.34034090909090908</v>
      </c>
      <c r="BL941" s="48">
        <f>$G941/5280*VLOOKUP($AC941,'Cost and Score'!$B$27:$O$40,7,0)</f>
        <v>5.4454545454545453</v>
      </c>
      <c r="BM941" s="48">
        <f>$G941/5280*VLOOKUP($AC941,'Cost and Score'!$B$27:$O$40,8,0)</f>
        <v>0</v>
      </c>
      <c r="BN941" s="48">
        <f>$G941/5280*VLOOKUP($AC941,'Cost and Score'!$B$27:$O$40,9,0)</f>
        <v>0</v>
      </c>
      <c r="BO941" s="48">
        <f>$G941/5280*VLOOKUP($AC941,'Cost and Score'!$B$27:$O$40,10,0)</f>
        <v>0</v>
      </c>
      <c r="BP941" s="48">
        <f>$G941/5280*VLOOKUP($AC941,'Cost and Score'!$B$27:$O$40,11,0)</f>
        <v>0</v>
      </c>
      <c r="BQ941" s="48">
        <f>$G941/5280*VLOOKUP($AC941,'Cost and Score'!$B$27:$O$40,12,0)</f>
        <v>0</v>
      </c>
      <c r="BR941" s="48">
        <f>$G941/5280*VLOOKUP($AC941,'Cost and Score'!$B$27:$O$40,13,0)</f>
        <v>0</v>
      </c>
      <c r="BS941" s="48">
        <f>$G941/5280*VLOOKUP($AC941,'Cost and Score'!$B$27:$O$40,14,0)</f>
        <v>0</v>
      </c>
      <c r="BT941" s="220">
        <f t="shared" si="470"/>
        <v>0.34034090909090908</v>
      </c>
      <c r="CG941" s="112"/>
      <c r="CH941" s="112"/>
      <c r="CI941" s="112"/>
      <c r="CJ941" s="112"/>
      <c r="CK941" s="112"/>
      <c r="CL941" s="112"/>
      <c r="CM941" s="112"/>
    </row>
    <row r="942" spans="1:103" s="112" customFormat="1" ht="14.45" hidden="1" customHeight="1" x14ac:dyDescent="0.25">
      <c r="A942" s="31" t="s">
        <v>2102</v>
      </c>
      <c r="B942" s="45" t="s">
        <v>1764</v>
      </c>
      <c r="C942" s="26" t="s">
        <v>1764</v>
      </c>
      <c r="D942" s="36" t="s">
        <v>2222</v>
      </c>
      <c r="E942" s="26" t="s">
        <v>1451</v>
      </c>
      <c r="F942" s="26" t="s">
        <v>1522</v>
      </c>
      <c r="G942" s="29">
        <v>1262</v>
      </c>
      <c r="H942" s="29">
        <f t="shared" si="490"/>
        <v>26</v>
      </c>
      <c r="I942" s="26" t="s">
        <v>2098</v>
      </c>
      <c r="J942" s="26" t="s">
        <v>160</v>
      </c>
      <c r="K942" s="26">
        <f t="shared" si="500"/>
        <v>0</v>
      </c>
      <c r="L942" s="42">
        <v>7</v>
      </c>
      <c r="M942" s="42">
        <v>7</v>
      </c>
      <c r="N942" s="42">
        <v>7</v>
      </c>
      <c r="O942" s="42">
        <v>7</v>
      </c>
      <c r="P942" s="42">
        <v>7</v>
      </c>
      <c r="Q942" s="42">
        <v>7</v>
      </c>
      <c r="R942" s="42">
        <v>7</v>
      </c>
      <c r="S942" s="42">
        <v>7</v>
      </c>
      <c r="T942" s="42">
        <v>7</v>
      </c>
      <c r="U942" s="42">
        <v>7</v>
      </c>
      <c r="V942" s="42"/>
      <c r="W942" s="42"/>
      <c r="X942" s="42"/>
      <c r="Y942" s="26">
        <v>50</v>
      </c>
      <c r="Z942" s="26">
        <f t="shared" si="495"/>
        <v>0</v>
      </c>
      <c r="AA942" s="26" t="s">
        <v>1764</v>
      </c>
      <c r="AB942" s="111">
        <f t="shared" si="463"/>
        <v>3</v>
      </c>
      <c r="AC942" s="26" t="s">
        <v>2086</v>
      </c>
      <c r="AD942" s="47">
        <v>14218</v>
      </c>
      <c r="AE942" s="140"/>
      <c r="AF942" s="113">
        <f t="shared" si="473"/>
        <v>0</v>
      </c>
      <c r="AG942" s="26">
        <v>2024</v>
      </c>
      <c r="AH942" s="26" t="str">
        <f t="shared" si="484"/>
        <v/>
      </c>
      <c r="AI942" s="26" t="str">
        <f t="shared" si="488"/>
        <v/>
      </c>
      <c r="AJ942" s="26" t="str">
        <f t="shared" si="493"/>
        <v>Fog Seal</v>
      </c>
      <c r="AK942" s="26" t="str">
        <f t="shared" si="489"/>
        <v/>
      </c>
      <c r="AL942" s="26" t="str">
        <f t="shared" si="489"/>
        <v/>
      </c>
      <c r="AM942" s="26" t="str">
        <f t="shared" si="489"/>
        <v/>
      </c>
      <c r="AN942" s="26" t="str">
        <f t="shared" si="487"/>
        <v>Fog Seal</v>
      </c>
      <c r="AO942" s="26" t="str">
        <f t="shared" si="494"/>
        <v/>
      </c>
      <c r="AP942" s="26" t="str">
        <f t="shared" si="492"/>
        <v/>
      </c>
      <c r="AQ942" s="68">
        <f t="shared" si="496"/>
        <v>10</v>
      </c>
      <c r="AR942" s="68">
        <f t="shared" si="497"/>
        <v>2</v>
      </c>
      <c r="AS942" s="68">
        <f t="shared" si="476"/>
        <v>1.05</v>
      </c>
      <c r="AT942" s="68">
        <f t="shared" si="477"/>
        <v>1.05</v>
      </c>
      <c r="AU942" s="68">
        <f t="shared" si="478"/>
        <v>1.05</v>
      </c>
      <c r="AV942" s="68">
        <f t="shared" si="479"/>
        <v>1.05</v>
      </c>
      <c r="AW942" s="68">
        <f t="shared" si="480"/>
        <v>1.05</v>
      </c>
      <c r="AX942" s="68">
        <f t="shared" ca="1" si="498"/>
        <v>0</v>
      </c>
      <c r="AY942" s="68">
        <v>2018</v>
      </c>
      <c r="AZ942" s="68" t="s">
        <v>2371</v>
      </c>
      <c r="BA942" s="106" t="str">
        <f t="shared" si="499"/>
        <v>MICRO</v>
      </c>
      <c r="BB942" s="178"/>
      <c r="BC942" s="178"/>
      <c r="BD942" s="178"/>
      <c r="BE942" s="178"/>
      <c r="BF942" s="178"/>
      <c r="BG942" s="178"/>
      <c r="BH942" s="178"/>
      <c r="BI942" s="33"/>
      <c r="BJ942" s="2"/>
      <c r="BK942" s="48">
        <f>$G942/5280*VLOOKUP($AC942,'Cost and Score'!$B$27:$O$40,6,0)</f>
        <v>2.3901515151515153E-2</v>
      </c>
      <c r="BL942" s="48">
        <f>$G942/5280*VLOOKUP($AC942,'Cost and Score'!$B$27:$O$40,7,0)</f>
        <v>4.7803030303030306E-2</v>
      </c>
      <c r="BM942" s="48">
        <f>$G942/5280*VLOOKUP($AC942,'Cost and Score'!$B$27:$O$40,8,0)</f>
        <v>0</v>
      </c>
      <c r="BN942" s="48">
        <f>$G942/5280*VLOOKUP($AC942,'Cost and Score'!$B$27:$O$40,9,0)</f>
        <v>0</v>
      </c>
      <c r="BO942" s="48">
        <f>$G942/5280*VLOOKUP($AC942,'Cost and Score'!$B$27:$O$40,10,0)</f>
        <v>239.0151515151515</v>
      </c>
      <c r="BP942" s="48">
        <f>$G942/5280*VLOOKUP($AC942,'Cost and Score'!$B$27:$O$40,11,0)</f>
        <v>0</v>
      </c>
      <c r="BQ942" s="48">
        <f>$G942/5280*VLOOKUP($AC942,'Cost and Score'!$B$27:$O$40,12,0)</f>
        <v>0</v>
      </c>
      <c r="BR942" s="48">
        <f>$G942/5280*VLOOKUP($AC942,'Cost and Score'!$B$27:$O$40,13,0)</f>
        <v>0</v>
      </c>
      <c r="BS942" s="48">
        <f>$G942/5280*VLOOKUP($AC942,'Cost and Score'!$B$27:$O$40,14,0)</f>
        <v>0</v>
      </c>
      <c r="BT942" s="220">
        <f t="shared" si="470"/>
        <v>0.23901515151515151</v>
      </c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</row>
    <row r="943" spans="1:103" s="2" customFormat="1" ht="14.45" hidden="1" customHeight="1" x14ac:dyDescent="0.25">
      <c r="A943" s="31" t="s">
        <v>2102</v>
      </c>
      <c r="B943" s="225" t="s">
        <v>2336</v>
      </c>
      <c r="C943" s="26" t="s">
        <v>2336</v>
      </c>
      <c r="D943" s="36" t="s">
        <v>2226</v>
      </c>
      <c r="E943" s="26" t="s">
        <v>138</v>
      </c>
      <c r="F943" s="26" t="s">
        <v>119</v>
      </c>
      <c r="G943" s="29">
        <v>83.24</v>
      </c>
      <c r="H943" s="29"/>
      <c r="I943" s="26" t="s">
        <v>2098</v>
      </c>
      <c r="J943" s="26" t="s">
        <v>125</v>
      </c>
      <c r="K943" s="26">
        <f t="shared" si="500"/>
        <v>0</v>
      </c>
      <c r="L943" s="42"/>
      <c r="M943" s="42">
        <v>7</v>
      </c>
      <c r="N943" s="42">
        <v>8</v>
      </c>
      <c r="O943" s="42">
        <v>8</v>
      </c>
      <c r="P943" s="42">
        <v>7</v>
      </c>
      <c r="Q943" s="42">
        <v>6</v>
      </c>
      <c r="R943" s="42">
        <v>5</v>
      </c>
      <c r="S943" s="42">
        <v>7</v>
      </c>
      <c r="T943" s="42">
        <v>7</v>
      </c>
      <c r="U943" s="42">
        <v>7</v>
      </c>
      <c r="V943" s="42"/>
      <c r="W943" s="42"/>
      <c r="X943" s="42"/>
      <c r="Y943" s="26">
        <v>50</v>
      </c>
      <c r="Z943" s="26">
        <f t="shared" si="495"/>
        <v>0</v>
      </c>
      <c r="AA943" s="26" t="s">
        <v>2336</v>
      </c>
      <c r="AB943" s="111">
        <f t="shared" si="463"/>
        <v>3</v>
      </c>
      <c r="AC943" s="85" t="s">
        <v>2425</v>
      </c>
      <c r="AD943" s="47">
        <f t="shared" ref="AD943:AD953" si="501">VLOOKUP(AC943,Cost,2,FALSE)*G943/5280</f>
        <v>394.12878787878782</v>
      </c>
      <c r="AE943" s="140"/>
      <c r="AF943" s="113">
        <f t="shared" si="473"/>
        <v>0</v>
      </c>
      <c r="AG943" s="85">
        <v>2026</v>
      </c>
      <c r="AH943" s="26" t="str">
        <f t="shared" si="484"/>
        <v/>
      </c>
      <c r="AI943" s="26" t="str">
        <f t="shared" si="488"/>
        <v/>
      </c>
      <c r="AJ943" s="26" t="str">
        <f t="shared" si="493"/>
        <v/>
      </c>
      <c r="AK943" s="26" t="str">
        <f t="shared" si="489"/>
        <v/>
      </c>
      <c r="AL943" s="26" t="str">
        <f t="shared" si="489"/>
        <v>Liquid Road</v>
      </c>
      <c r="AM943" s="26" t="str">
        <f t="shared" si="489"/>
        <v/>
      </c>
      <c r="AN943" s="26" t="str">
        <f t="shared" si="487"/>
        <v>Liquid Road</v>
      </c>
      <c r="AO943" s="26" t="str">
        <f t="shared" si="494"/>
        <v/>
      </c>
      <c r="AP943" s="26" t="str">
        <f t="shared" si="492"/>
        <v/>
      </c>
      <c r="AQ943" s="68">
        <f t="shared" si="496"/>
        <v>12</v>
      </c>
      <c r="AR943" s="68">
        <f t="shared" si="497"/>
        <v>10</v>
      </c>
      <c r="AS943" s="68">
        <f t="shared" si="476"/>
        <v>0</v>
      </c>
      <c r="AT943" s="68">
        <f t="shared" si="477"/>
        <v>1.05</v>
      </c>
      <c r="AU943" s="68">
        <f t="shared" si="478"/>
        <v>1</v>
      </c>
      <c r="AV943" s="68">
        <f t="shared" si="479"/>
        <v>1</v>
      </c>
      <c r="AW943" s="68">
        <f t="shared" si="480"/>
        <v>1.05</v>
      </c>
      <c r="AX943" s="68">
        <f t="shared" ca="1" si="498"/>
        <v>2</v>
      </c>
      <c r="AY943" s="68">
        <v>2016</v>
      </c>
      <c r="AZ943" s="68" t="s">
        <v>2075</v>
      </c>
      <c r="BA943" s="106" t="str">
        <f t="shared" si="499"/>
        <v/>
      </c>
      <c r="BB943" s="178"/>
      <c r="BC943" s="178"/>
      <c r="BD943" s="178">
        <v>1</v>
      </c>
      <c r="BE943" s="178"/>
      <c r="BF943" s="178"/>
      <c r="BG943" s="178"/>
      <c r="BH943" s="178"/>
      <c r="BI943" s="43"/>
      <c r="BJ943" s="26"/>
      <c r="BK943" s="48">
        <f>$G943/5280*VLOOKUP($AC943,'Cost and Score'!$B$27:$O$40,6,0)</f>
        <v>1.5765151515151513E-2</v>
      </c>
      <c r="BL943" s="48">
        <f>$G943/5280*VLOOKUP($AC943,'Cost and Score'!$B$27:$O$40,7,0)</f>
        <v>0.25224242424242421</v>
      </c>
      <c r="BM943" s="48">
        <f>$G943/5280*VLOOKUP($AC943,'Cost and Score'!$B$27:$O$40,8,0)</f>
        <v>0</v>
      </c>
      <c r="BN943" s="48">
        <f>$G943/5280*VLOOKUP($AC943,'Cost and Score'!$B$27:$O$40,9,0)</f>
        <v>0</v>
      </c>
      <c r="BO943" s="48">
        <f>$G943/5280*VLOOKUP($AC943,'Cost and Score'!$B$27:$O$40,10,0)</f>
        <v>0</v>
      </c>
      <c r="BP943" s="48">
        <f>$G943/5280*VLOOKUP($AC943,'Cost and Score'!$B$27:$O$40,11,0)</f>
        <v>0</v>
      </c>
      <c r="BQ943" s="48">
        <f>$G943/5280*VLOOKUP($AC943,'Cost and Score'!$B$27:$O$40,12,0)</f>
        <v>0</v>
      </c>
      <c r="BR943" s="48">
        <f>$G943/5280*VLOOKUP($AC943,'Cost and Score'!$B$27:$O$40,13,0)</f>
        <v>0</v>
      </c>
      <c r="BS943" s="48">
        <f>$G943/5280*VLOOKUP($AC943,'Cost and Score'!$B$27:$O$40,14,0)</f>
        <v>0</v>
      </c>
      <c r="BT943" s="220">
        <f t="shared" si="470"/>
        <v>1.5765151515151513E-2</v>
      </c>
      <c r="CV943" s="112"/>
    </row>
    <row r="944" spans="1:103" s="2" customFormat="1" ht="14.45" hidden="1" customHeight="1" x14ac:dyDescent="0.25">
      <c r="A944" s="31" t="s">
        <v>2102</v>
      </c>
      <c r="B944" s="224" t="s">
        <v>1765</v>
      </c>
      <c r="C944" s="85" t="s">
        <v>1765</v>
      </c>
      <c r="D944" s="86" t="s">
        <v>2226</v>
      </c>
      <c r="E944" s="85" t="s">
        <v>1451</v>
      </c>
      <c r="F944" s="85" t="s">
        <v>1505</v>
      </c>
      <c r="G944" s="29">
        <v>1933</v>
      </c>
      <c r="H944" s="29">
        <f t="shared" ref="H944:H975" si="502">IF(I944="NC",26,20)</f>
        <v>26</v>
      </c>
      <c r="I944" s="85" t="s">
        <v>2098</v>
      </c>
      <c r="J944" s="85" t="s">
        <v>125</v>
      </c>
      <c r="K944" s="85">
        <f t="shared" si="500"/>
        <v>0</v>
      </c>
      <c r="L944" s="74">
        <v>7</v>
      </c>
      <c r="M944" s="74">
        <v>7</v>
      </c>
      <c r="N944" s="74">
        <v>7</v>
      </c>
      <c r="O944" s="74">
        <v>7</v>
      </c>
      <c r="P944" s="74">
        <v>6</v>
      </c>
      <c r="Q944" s="74">
        <v>6</v>
      </c>
      <c r="R944" s="74">
        <v>6</v>
      </c>
      <c r="S944" s="74">
        <v>7</v>
      </c>
      <c r="T944" s="74">
        <v>7</v>
      </c>
      <c r="U944" s="74">
        <v>7</v>
      </c>
      <c r="V944" s="74"/>
      <c r="W944" s="74"/>
      <c r="X944" s="74"/>
      <c r="Y944" s="85">
        <v>50</v>
      </c>
      <c r="Z944" s="85">
        <f t="shared" si="495"/>
        <v>0</v>
      </c>
      <c r="AA944" s="85" t="s">
        <v>1765</v>
      </c>
      <c r="AB944" s="111">
        <f t="shared" si="463"/>
        <v>4</v>
      </c>
      <c r="AC944" s="85" t="s">
        <v>2425</v>
      </c>
      <c r="AD944" s="47">
        <f t="shared" si="501"/>
        <v>9152.4621212121219</v>
      </c>
      <c r="AE944" s="140"/>
      <c r="AF944" s="113">
        <f t="shared" si="473"/>
        <v>0</v>
      </c>
      <c r="AG944" s="85">
        <v>2026</v>
      </c>
      <c r="AH944" s="26" t="str">
        <f t="shared" si="484"/>
        <v/>
      </c>
      <c r="AI944" s="26" t="str">
        <f t="shared" si="488"/>
        <v/>
      </c>
      <c r="AJ944" s="26" t="str">
        <f t="shared" si="493"/>
        <v/>
      </c>
      <c r="AK944" s="26" t="str">
        <f t="shared" si="489"/>
        <v/>
      </c>
      <c r="AL944" s="26" t="str">
        <f t="shared" si="489"/>
        <v>Liquid Road</v>
      </c>
      <c r="AM944" s="26" t="str">
        <f t="shared" si="489"/>
        <v/>
      </c>
      <c r="AN944" s="26" t="str">
        <f t="shared" si="487"/>
        <v>Liquid Road</v>
      </c>
      <c r="AO944" s="26" t="str">
        <f t="shared" si="494"/>
        <v/>
      </c>
      <c r="AP944" s="26" t="str">
        <f t="shared" si="492"/>
        <v/>
      </c>
      <c r="AQ944" s="68">
        <f t="shared" si="496"/>
        <v>10</v>
      </c>
      <c r="AR944" s="68">
        <f t="shared" si="497"/>
        <v>10</v>
      </c>
      <c r="AS944" s="68">
        <f t="shared" si="476"/>
        <v>1.05</v>
      </c>
      <c r="AT944" s="68">
        <f t="shared" si="477"/>
        <v>1.05</v>
      </c>
      <c r="AU944" s="68">
        <f t="shared" si="478"/>
        <v>1.05</v>
      </c>
      <c r="AV944" s="68">
        <f t="shared" si="479"/>
        <v>1.05</v>
      </c>
      <c r="AW944" s="68">
        <f t="shared" si="480"/>
        <v>1.1000000000000001</v>
      </c>
      <c r="AX944" s="68">
        <f t="shared" ca="1" si="498"/>
        <v>2.1</v>
      </c>
      <c r="AY944" s="68">
        <v>2016</v>
      </c>
      <c r="AZ944" s="68" t="s">
        <v>2075</v>
      </c>
      <c r="BA944" s="106" t="str">
        <f t="shared" si="499"/>
        <v/>
      </c>
      <c r="BB944" s="178"/>
      <c r="BC944" s="178"/>
      <c r="BD944" s="178">
        <v>1</v>
      </c>
      <c r="BE944" s="178"/>
      <c r="BF944" s="178"/>
      <c r="BG944" s="178"/>
      <c r="BH944" s="178"/>
      <c r="BI944" s="33"/>
      <c r="BK944" s="48">
        <f>$G944/5280*VLOOKUP($AC944,'Cost and Score'!$B$27:$O$40,6,0)</f>
        <v>0.36609848484848484</v>
      </c>
      <c r="BL944" s="48">
        <f>$G944/5280*VLOOKUP($AC944,'Cost and Score'!$B$27:$O$40,7,0)</f>
        <v>5.8575757575757574</v>
      </c>
      <c r="BM944" s="48">
        <f>$G944/5280*VLOOKUP($AC944,'Cost and Score'!$B$27:$O$40,8,0)</f>
        <v>0</v>
      </c>
      <c r="BN944" s="48">
        <f>$G944/5280*VLOOKUP($AC944,'Cost and Score'!$B$27:$O$40,9,0)</f>
        <v>0</v>
      </c>
      <c r="BO944" s="48">
        <f>$G944/5280*VLOOKUP($AC944,'Cost and Score'!$B$27:$O$40,10,0)</f>
        <v>0</v>
      </c>
      <c r="BP944" s="48">
        <f>$G944/5280*VLOOKUP($AC944,'Cost and Score'!$B$27:$O$40,11,0)</f>
        <v>0</v>
      </c>
      <c r="BQ944" s="48">
        <f>$G944/5280*VLOOKUP($AC944,'Cost and Score'!$B$27:$O$40,12,0)</f>
        <v>0</v>
      </c>
      <c r="BR944" s="48">
        <f>$G944/5280*VLOOKUP($AC944,'Cost and Score'!$B$27:$O$40,13,0)</f>
        <v>0</v>
      </c>
      <c r="BS944" s="48">
        <f>$G944/5280*VLOOKUP($AC944,'Cost and Score'!$B$27:$O$40,14,0)</f>
        <v>0</v>
      </c>
      <c r="BT944" s="220">
        <f t="shared" si="470"/>
        <v>0.36609848484848484</v>
      </c>
    </row>
    <row r="945" spans="1:103" s="2" customFormat="1" ht="14.45" hidden="1" customHeight="1" x14ac:dyDescent="0.25">
      <c r="A945" s="38" t="s">
        <v>2102</v>
      </c>
      <c r="B945" s="34" t="s">
        <v>1766</v>
      </c>
      <c r="C945" s="26" t="s">
        <v>1766</v>
      </c>
      <c r="D945" s="26"/>
      <c r="E945" s="26" t="s">
        <v>307</v>
      </c>
      <c r="F945" s="26" t="s">
        <v>1767</v>
      </c>
      <c r="G945" s="29">
        <v>612</v>
      </c>
      <c r="H945" s="29">
        <f t="shared" si="502"/>
        <v>20</v>
      </c>
      <c r="I945" s="26" t="s">
        <v>8</v>
      </c>
      <c r="J945" s="26" t="s">
        <v>160</v>
      </c>
      <c r="K945" s="26">
        <f t="shared" si="500"/>
        <v>0</v>
      </c>
      <c r="L945" s="42">
        <v>5</v>
      </c>
      <c r="M945" s="42">
        <v>5</v>
      </c>
      <c r="N945" s="42">
        <v>5</v>
      </c>
      <c r="O945" s="42">
        <v>8</v>
      </c>
      <c r="P945" s="42">
        <v>8</v>
      </c>
      <c r="Q945" s="42">
        <v>7</v>
      </c>
      <c r="R945" s="42">
        <v>7</v>
      </c>
      <c r="S945" s="42">
        <v>7</v>
      </c>
      <c r="T945" s="42">
        <v>7</v>
      </c>
      <c r="U945" s="42">
        <v>7</v>
      </c>
      <c r="V945" s="42"/>
      <c r="W945" s="42"/>
      <c r="X945" s="42"/>
      <c r="Y945" s="26">
        <v>50</v>
      </c>
      <c r="Z945" s="26">
        <f t="shared" si="495"/>
        <v>0</v>
      </c>
      <c r="AA945" s="26" t="s">
        <v>1766</v>
      </c>
      <c r="AB945" s="111">
        <f t="shared" si="463"/>
        <v>2</v>
      </c>
      <c r="AC945" s="26" t="s">
        <v>2086</v>
      </c>
      <c r="AD945" s="47">
        <f t="shared" si="501"/>
        <v>289.77272727272725</v>
      </c>
      <c r="AE945" s="140"/>
      <c r="AF945" s="113">
        <f t="shared" si="473"/>
        <v>0</v>
      </c>
      <c r="AG945" s="26">
        <v>2024</v>
      </c>
      <c r="AH945" s="26" t="str">
        <f t="shared" si="484"/>
        <v/>
      </c>
      <c r="AI945" s="26" t="str">
        <f t="shared" si="488"/>
        <v/>
      </c>
      <c r="AJ945" s="26" t="str">
        <f t="shared" si="493"/>
        <v>Fog Seal</v>
      </c>
      <c r="AK945" s="26" t="str">
        <f t="shared" si="489"/>
        <v/>
      </c>
      <c r="AL945" s="26" t="str">
        <f t="shared" si="489"/>
        <v/>
      </c>
      <c r="AM945" s="26" t="str">
        <f t="shared" si="489"/>
        <v/>
      </c>
      <c r="AN945" s="26" t="str">
        <f t="shared" si="487"/>
        <v>Fog Seal</v>
      </c>
      <c r="AO945" s="26" t="str">
        <f t="shared" si="494"/>
        <v/>
      </c>
      <c r="AP945" s="26" t="str">
        <f t="shared" si="492"/>
        <v/>
      </c>
      <c r="AQ945" s="68">
        <f t="shared" si="496"/>
        <v>12</v>
      </c>
      <c r="AR945" s="68">
        <f t="shared" si="497"/>
        <v>2</v>
      </c>
      <c r="AS945" s="68">
        <f t="shared" si="476"/>
        <v>1.25</v>
      </c>
      <c r="AT945" s="68">
        <f t="shared" si="477"/>
        <v>1.25</v>
      </c>
      <c r="AU945" s="68">
        <f t="shared" si="478"/>
        <v>1.25</v>
      </c>
      <c r="AV945" s="68">
        <f t="shared" si="479"/>
        <v>1</v>
      </c>
      <c r="AW945" s="68">
        <f t="shared" si="480"/>
        <v>1</v>
      </c>
      <c r="AX945" s="68">
        <f t="shared" ca="1" si="498"/>
        <v>0</v>
      </c>
      <c r="AY945" s="106">
        <v>2016</v>
      </c>
      <c r="AZ945" s="106" t="s">
        <v>2086</v>
      </c>
      <c r="BA945" s="106" t="str">
        <f t="shared" si="499"/>
        <v/>
      </c>
      <c r="BB945" s="178"/>
      <c r="BC945" s="178"/>
      <c r="BD945" s="178"/>
      <c r="BE945" s="178"/>
      <c r="BF945" s="178"/>
      <c r="BG945" s="178"/>
      <c r="BH945" s="178"/>
      <c r="BI945" s="33"/>
      <c r="BK945" s="48">
        <f>$G945/5280*VLOOKUP($AC945,'Cost and Score'!$B$27:$O$40,6,0)</f>
        <v>1.1590909090909091E-2</v>
      </c>
      <c r="BL945" s="48">
        <f>$G945/5280*VLOOKUP($AC945,'Cost and Score'!$B$27:$O$40,7,0)</f>
        <v>2.3181818181818182E-2</v>
      </c>
      <c r="BM945" s="48">
        <f>$G945/5280*VLOOKUP($AC945,'Cost and Score'!$B$27:$O$40,8,0)</f>
        <v>0</v>
      </c>
      <c r="BN945" s="48">
        <f>$G945/5280*VLOOKUP($AC945,'Cost and Score'!$B$27:$O$40,9,0)</f>
        <v>0</v>
      </c>
      <c r="BO945" s="48">
        <f>$G945/5280*VLOOKUP($AC945,'Cost and Score'!$B$27:$O$40,10,0)</f>
        <v>115.90909090909091</v>
      </c>
      <c r="BP945" s="48">
        <f>$G945/5280*VLOOKUP($AC945,'Cost and Score'!$B$27:$O$40,11,0)</f>
        <v>0</v>
      </c>
      <c r="BQ945" s="48">
        <f>$G945/5280*VLOOKUP($AC945,'Cost and Score'!$B$27:$O$40,12,0)</f>
        <v>0</v>
      </c>
      <c r="BR945" s="48">
        <f>$G945/5280*VLOOKUP($AC945,'Cost and Score'!$B$27:$O$40,13,0)</f>
        <v>0</v>
      </c>
      <c r="BS945" s="48">
        <f>$G945/5280*VLOOKUP($AC945,'Cost and Score'!$B$27:$O$40,14,0)</f>
        <v>0</v>
      </c>
      <c r="BT945" s="220">
        <f t="shared" si="470"/>
        <v>0.11590909090909091</v>
      </c>
      <c r="CW945" s="112"/>
      <c r="CX945" s="112"/>
      <c r="CY945" s="112"/>
    </row>
    <row r="946" spans="1:103" s="2" customFormat="1" ht="14.45" hidden="1" customHeight="1" x14ac:dyDescent="0.25">
      <c r="A946" s="38" t="s">
        <v>2102</v>
      </c>
      <c r="B946" s="34" t="s">
        <v>1768</v>
      </c>
      <c r="C946" s="26" t="s">
        <v>1768</v>
      </c>
      <c r="D946" s="26"/>
      <c r="E946" s="26" t="s">
        <v>307</v>
      </c>
      <c r="F946" s="26" t="s">
        <v>216</v>
      </c>
      <c r="G946" s="29">
        <v>1077</v>
      </c>
      <c r="H946" s="29">
        <f t="shared" si="502"/>
        <v>20</v>
      </c>
      <c r="I946" s="26" t="s">
        <v>8</v>
      </c>
      <c r="J946" s="26" t="s">
        <v>26</v>
      </c>
      <c r="K946" s="26">
        <f t="shared" si="500"/>
        <v>0</v>
      </c>
      <c r="L946" s="42">
        <v>6</v>
      </c>
      <c r="M946" s="42">
        <v>6</v>
      </c>
      <c r="N946" s="42">
        <v>6</v>
      </c>
      <c r="O946" s="42">
        <v>6</v>
      </c>
      <c r="P946" s="42">
        <v>6</v>
      </c>
      <c r="Q946" s="42">
        <v>6</v>
      </c>
      <c r="R946" s="42">
        <v>5</v>
      </c>
      <c r="S946" s="42">
        <v>5</v>
      </c>
      <c r="T946" s="42">
        <v>7</v>
      </c>
      <c r="U946" s="42">
        <v>7</v>
      </c>
      <c r="V946" s="42"/>
      <c r="W946" s="42"/>
      <c r="X946" s="42"/>
      <c r="Y946" s="26">
        <v>50</v>
      </c>
      <c r="Z946" s="26">
        <f t="shared" si="495"/>
        <v>0</v>
      </c>
      <c r="AA946" s="26" t="s">
        <v>1427</v>
      </c>
      <c r="AB946" s="111">
        <f t="shared" si="463"/>
        <v>4</v>
      </c>
      <c r="AC946" s="26" t="s">
        <v>2073</v>
      </c>
      <c r="AD946" s="47">
        <f t="shared" si="501"/>
        <v>6527.272727272727</v>
      </c>
      <c r="AE946" s="140"/>
      <c r="AF946" s="113">
        <f t="shared" si="473"/>
        <v>0</v>
      </c>
      <c r="AG946" s="26">
        <v>2022</v>
      </c>
      <c r="AH946" s="26" t="str">
        <f t="shared" si="484"/>
        <v>Chip Seal - Double and Fog</v>
      </c>
      <c r="AI946" s="26" t="str">
        <f t="shared" si="488"/>
        <v/>
      </c>
      <c r="AJ946" s="26" t="str">
        <f t="shared" si="493"/>
        <v/>
      </c>
      <c r="AK946" s="26" t="str">
        <f t="shared" si="489"/>
        <v/>
      </c>
      <c r="AL946" s="26" t="str">
        <f t="shared" si="489"/>
        <v/>
      </c>
      <c r="AM946" s="26" t="str">
        <f t="shared" si="489"/>
        <v/>
      </c>
      <c r="AN946" s="26" t="str">
        <f t="shared" si="487"/>
        <v>Chip Seal - Double and Fog</v>
      </c>
      <c r="AO946" s="26" t="str">
        <f t="shared" si="494"/>
        <v/>
      </c>
      <c r="AP946" s="26" t="str">
        <f t="shared" si="492"/>
        <v/>
      </c>
      <c r="AQ946" s="68">
        <f t="shared" si="496"/>
        <v>8</v>
      </c>
      <c r="AR946" s="68">
        <f t="shared" si="497"/>
        <v>6</v>
      </c>
      <c r="AS946" s="68">
        <f t="shared" si="476"/>
        <v>1.1000000000000001</v>
      </c>
      <c r="AT946" s="68">
        <f t="shared" si="477"/>
        <v>1.1000000000000001</v>
      </c>
      <c r="AU946" s="68">
        <f t="shared" si="478"/>
        <v>1.1000000000000001</v>
      </c>
      <c r="AV946" s="68">
        <f t="shared" si="479"/>
        <v>1.1000000000000001</v>
      </c>
      <c r="AW946" s="68">
        <f t="shared" si="480"/>
        <v>1.1000000000000001</v>
      </c>
      <c r="AX946" s="68">
        <f t="shared" ca="1" si="498"/>
        <v>-2.2000000000000002</v>
      </c>
      <c r="AY946" s="106">
        <v>2016</v>
      </c>
      <c r="AZ946" s="106" t="s">
        <v>2086</v>
      </c>
      <c r="BA946" s="106" t="str">
        <f t="shared" si="499"/>
        <v/>
      </c>
      <c r="BB946" s="178"/>
      <c r="BC946" s="178"/>
      <c r="BD946" s="178"/>
      <c r="BE946" s="178"/>
      <c r="BF946" s="178"/>
      <c r="BG946" s="178"/>
      <c r="BH946" s="178"/>
      <c r="BI946" s="33"/>
      <c r="BK946" s="48">
        <f>$G946/5280*VLOOKUP($AC946,'Cost and Score'!$B$27:$O$40,6,0)</f>
        <v>0.10198863636363636</v>
      </c>
      <c r="BL946" s="48">
        <f>$G946/5280*VLOOKUP($AC946,'Cost and Score'!$B$27:$O$40,7,0)</f>
        <v>10.198863636363637</v>
      </c>
      <c r="BM946" s="48">
        <f>$G946/5280*VLOOKUP($AC946,'Cost and Score'!$B$27:$O$40,8,0)</f>
        <v>0</v>
      </c>
      <c r="BN946" s="48">
        <f>$G946/5280*VLOOKUP($AC946,'Cost and Score'!$B$27:$O$40,9,0)</f>
        <v>1937.784090909091</v>
      </c>
      <c r="BO946" s="48">
        <f>$G946/5280*VLOOKUP($AC946,'Cost and Score'!$B$27:$O$40,10,0)</f>
        <v>203.97727272727272</v>
      </c>
      <c r="BP946" s="48">
        <f>$G946/5280*VLOOKUP($AC946,'Cost and Score'!$B$27:$O$40,11,0)</f>
        <v>0</v>
      </c>
      <c r="BQ946" s="48">
        <f>$G946/5280*VLOOKUP($AC946,'Cost and Score'!$B$27:$O$40,12,0)</f>
        <v>40.795454545454547</v>
      </c>
      <c r="BR946" s="48">
        <f>$G946/5280*VLOOKUP($AC946,'Cost and Score'!$B$27:$O$40,13,0)</f>
        <v>36.715909090909093</v>
      </c>
      <c r="BS946" s="48">
        <f>$G946/5280*VLOOKUP($AC946,'Cost and Score'!$B$27:$O$40,14,0)</f>
        <v>48.954545454545453</v>
      </c>
      <c r="BT946" s="220">
        <f t="shared" si="470"/>
        <v>0.20397727272727273</v>
      </c>
    </row>
    <row r="947" spans="1:103" s="2" customFormat="1" ht="14.45" hidden="1" customHeight="1" x14ac:dyDescent="0.25">
      <c r="A947" s="38" t="s">
        <v>2102</v>
      </c>
      <c r="B947" s="34" t="s">
        <v>1769</v>
      </c>
      <c r="C947" s="26" t="s">
        <v>1769</v>
      </c>
      <c r="D947" s="82"/>
      <c r="E947" s="82" t="s">
        <v>209</v>
      </c>
      <c r="F947" s="82" t="s">
        <v>1433</v>
      </c>
      <c r="G947" s="29">
        <v>634</v>
      </c>
      <c r="H947" s="29">
        <f t="shared" si="502"/>
        <v>20</v>
      </c>
      <c r="I947" s="26" t="s">
        <v>8</v>
      </c>
      <c r="J947" s="26" t="s">
        <v>6</v>
      </c>
      <c r="K947" s="26">
        <f t="shared" si="500"/>
        <v>0</v>
      </c>
      <c r="L947" s="42">
        <v>7</v>
      </c>
      <c r="M947" s="42">
        <v>7</v>
      </c>
      <c r="N947" s="42">
        <v>7</v>
      </c>
      <c r="O947" s="83">
        <v>7</v>
      </c>
      <c r="P947" s="83">
        <v>7</v>
      </c>
      <c r="Q947" s="83">
        <v>7</v>
      </c>
      <c r="R947" s="83">
        <v>6</v>
      </c>
      <c r="S947" s="83">
        <v>6</v>
      </c>
      <c r="T947" s="83">
        <v>6</v>
      </c>
      <c r="U947" s="83">
        <v>7</v>
      </c>
      <c r="V947" s="42"/>
      <c r="W947" s="42"/>
      <c r="X947" s="42"/>
      <c r="Y947" s="26">
        <v>35</v>
      </c>
      <c r="Z947" s="26">
        <f t="shared" si="495"/>
        <v>0</v>
      </c>
      <c r="AA947" s="82" t="s">
        <v>1427</v>
      </c>
      <c r="AB947" s="111">
        <f t="shared" si="463"/>
        <v>3</v>
      </c>
      <c r="AC947" s="82" t="s">
        <v>13</v>
      </c>
      <c r="AD947" s="84">
        <f t="shared" si="501"/>
        <v>2521.590909090909</v>
      </c>
      <c r="AE947" s="140"/>
      <c r="AF947" s="113">
        <f t="shared" si="473"/>
        <v>0</v>
      </c>
      <c r="AG947" s="82">
        <v>2022</v>
      </c>
      <c r="AH947" s="26" t="str">
        <f t="shared" si="484"/>
        <v>Chip Seal and Fog</v>
      </c>
      <c r="AI947" s="26" t="str">
        <f t="shared" si="488"/>
        <v/>
      </c>
      <c r="AJ947" s="26" t="str">
        <f t="shared" si="493"/>
        <v/>
      </c>
      <c r="AK947" s="26" t="str">
        <f t="shared" si="489"/>
        <v/>
      </c>
      <c r="AL947" s="26" t="str">
        <f t="shared" si="489"/>
        <v/>
      </c>
      <c r="AM947" s="26" t="str">
        <f t="shared" si="489"/>
        <v/>
      </c>
      <c r="AN947" s="26" t="str">
        <f t="shared" si="487"/>
        <v>Chip Seal and Fog</v>
      </c>
      <c r="AO947" s="26" t="str">
        <f t="shared" si="494"/>
        <v/>
      </c>
      <c r="AP947" s="26" t="str">
        <f t="shared" si="492"/>
        <v/>
      </c>
      <c r="AQ947" s="68">
        <f t="shared" si="496"/>
        <v>10</v>
      </c>
      <c r="AR947" s="68">
        <f t="shared" si="497"/>
        <v>6</v>
      </c>
      <c r="AS947" s="68">
        <f t="shared" si="476"/>
        <v>1.05</v>
      </c>
      <c r="AT947" s="68">
        <f t="shared" si="477"/>
        <v>1.05</v>
      </c>
      <c r="AU947" s="68">
        <f t="shared" si="478"/>
        <v>1.05</v>
      </c>
      <c r="AV947" s="68">
        <f t="shared" si="479"/>
        <v>1.05</v>
      </c>
      <c r="AW947" s="68">
        <f t="shared" si="480"/>
        <v>1.05</v>
      </c>
      <c r="AX947" s="68">
        <f t="shared" ca="1" si="498"/>
        <v>-2.1</v>
      </c>
      <c r="AY947" s="106">
        <v>2016</v>
      </c>
      <c r="AZ947" s="106" t="s">
        <v>2086</v>
      </c>
      <c r="BA947" s="106" t="str">
        <f t="shared" si="499"/>
        <v/>
      </c>
      <c r="BB947" s="178"/>
      <c r="BC947" s="178"/>
      <c r="BD947" s="178"/>
      <c r="BE947" s="178"/>
      <c r="BF947" s="178"/>
      <c r="BG947" s="178"/>
      <c r="BH947" s="178"/>
      <c r="BI947" s="33"/>
      <c r="BK947" s="48">
        <f>$G947/5280*VLOOKUP($AC947,'Cost and Score'!$B$27:$O$40,6,0)</f>
        <v>2.4015151515151517E-2</v>
      </c>
      <c r="BL947" s="48">
        <f>$G947/5280*VLOOKUP($AC947,'Cost and Score'!$B$27:$O$40,7,0)</f>
        <v>2.6416666666666666</v>
      </c>
      <c r="BM947" s="48">
        <f>$G947/5280*VLOOKUP($AC947,'Cost and Score'!$B$27:$O$40,8,0)</f>
        <v>0</v>
      </c>
      <c r="BN947" s="48">
        <f>$G947/5280*VLOOKUP($AC947,'Cost and Score'!$B$27:$O$40,9,0)</f>
        <v>540.34090909090912</v>
      </c>
      <c r="BO947" s="48">
        <f>$G947/5280*VLOOKUP($AC947,'Cost and Score'!$B$27:$O$40,10,0)</f>
        <v>120.07575757575758</v>
      </c>
      <c r="BP947" s="48">
        <f>$G947/5280*VLOOKUP($AC947,'Cost and Score'!$B$27:$O$40,11,0)</f>
        <v>0</v>
      </c>
      <c r="BQ947" s="48">
        <f>$G947/5280*VLOOKUP($AC947,'Cost and Score'!$B$27:$O$40,12,0)</f>
        <v>12.007575757575758</v>
      </c>
      <c r="BR947" s="48">
        <f>$G947/5280*VLOOKUP($AC947,'Cost and Score'!$B$27:$O$40,13,0)</f>
        <v>14.409090909090908</v>
      </c>
      <c r="BS947" s="48">
        <f>$G947/5280*VLOOKUP($AC947,'Cost and Score'!$B$27:$O$40,14,0)</f>
        <v>0</v>
      </c>
      <c r="BT947" s="220">
        <f t="shared" si="470"/>
        <v>0.12007575757575757</v>
      </c>
      <c r="CR947" s="112"/>
      <c r="CW947" s="112"/>
      <c r="CX947" s="112"/>
      <c r="CY947" s="112"/>
    </row>
    <row r="948" spans="1:103" s="2" customFormat="1" ht="14.45" hidden="1" customHeight="1" x14ac:dyDescent="0.25">
      <c r="A948" s="37" t="s">
        <v>1771</v>
      </c>
      <c r="B948" s="45" t="s">
        <v>1770</v>
      </c>
      <c r="C948" s="26" t="s">
        <v>1770</v>
      </c>
      <c r="D948" s="119" t="s">
        <v>2430</v>
      </c>
      <c r="E948" s="82" t="s">
        <v>35</v>
      </c>
      <c r="F948" s="82" t="s">
        <v>9</v>
      </c>
      <c r="G948" s="29">
        <v>2620</v>
      </c>
      <c r="H948" s="29">
        <f t="shared" si="502"/>
        <v>20</v>
      </c>
      <c r="I948" s="26" t="s">
        <v>8</v>
      </c>
      <c r="J948" s="26" t="s">
        <v>17</v>
      </c>
      <c r="K948" s="26">
        <f t="shared" si="500"/>
        <v>0</v>
      </c>
      <c r="L948" s="42">
        <v>6</v>
      </c>
      <c r="M948" s="42">
        <v>6</v>
      </c>
      <c r="N948" s="42">
        <v>6</v>
      </c>
      <c r="O948" s="83">
        <v>6</v>
      </c>
      <c r="P948" s="83">
        <v>5</v>
      </c>
      <c r="Q948" s="83">
        <v>9</v>
      </c>
      <c r="R948" s="83">
        <v>8</v>
      </c>
      <c r="S948" s="83">
        <v>8</v>
      </c>
      <c r="T948" s="83">
        <v>7</v>
      </c>
      <c r="U948" s="83">
        <v>7</v>
      </c>
      <c r="V948" s="42"/>
      <c r="W948" s="42"/>
      <c r="X948" s="42"/>
      <c r="Y948" s="26">
        <v>50</v>
      </c>
      <c r="Z948" s="26">
        <f t="shared" si="495"/>
        <v>0</v>
      </c>
      <c r="AA948" s="82" t="s">
        <v>1427</v>
      </c>
      <c r="AB948" s="111">
        <f t="shared" si="463"/>
        <v>5</v>
      </c>
      <c r="AC948" s="85" t="s">
        <v>13</v>
      </c>
      <c r="AD948" s="84">
        <f t="shared" si="501"/>
        <v>10420.454545454546</v>
      </c>
      <c r="AE948" s="140"/>
      <c r="AF948" s="113">
        <f t="shared" si="473"/>
        <v>0</v>
      </c>
      <c r="AG948" s="26">
        <v>2026</v>
      </c>
      <c r="AH948" s="26" t="str">
        <f t="shared" si="484"/>
        <v/>
      </c>
      <c r="AI948" s="26" t="str">
        <f t="shared" si="488"/>
        <v/>
      </c>
      <c r="AJ948" s="26" t="str">
        <f t="shared" si="493"/>
        <v/>
      </c>
      <c r="AK948" s="26" t="str">
        <f t="shared" ref="AK948:AM967" si="503">IF($AG948=AK$1,VLOOKUP($AC948,RSL,3,FALSE),"")</f>
        <v/>
      </c>
      <c r="AL948" s="26" t="str">
        <f t="shared" si="503"/>
        <v>Chip Seal and Fog</v>
      </c>
      <c r="AM948" s="26" t="str">
        <f t="shared" si="503"/>
        <v/>
      </c>
      <c r="AN948" s="26" t="str">
        <f t="shared" si="487"/>
        <v>Chip Seal and Fog</v>
      </c>
      <c r="AO948" s="26" t="str">
        <f t="shared" si="494"/>
        <v/>
      </c>
      <c r="AP948" s="26" t="str">
        <f t="shared" si="492"/>
        <v/>
      </c>
      <c r="AQ948" s="68">
        <f t="shared" si="496"/>
        <v>8</v>
      </c>
      <c r="AR948" s="68">
        <f t="shared" si="497"/>
        <v>6</v>
      </c>
      <c r="AS948" s="68">
        <f t="shared" si="476"/>
        <v>1.1000000000000001</v>
      </c>
      <c r="AT948" s="68">
        <f t="shared" si="477"/>
        <v>1.1000000000000001</v>
      </c>
      <c r="AU948" s="68">
        <f t="shared" si="478"/>
        <v>1.1000000000000001</v>
      </c>
      <c r="AV948" s="68">
        <f t="shared" si="479"/>
        <v>1.1000000000000001</v>
      </c>
      <c r="AW948" s="68">
        <f t="shared" si="480"/>
        <v>1.25</v>
      </c>
      <c r="AX948" s="68">
        <f t="shared" ca="1" si="498"/>
        <v>2.2000000000000002</v>
      </c>
      <c r="AY948" s="68">
        <v>2018</v>
      </c>
      <c r="AZ948" s="68" t="s">
        <v>751</v>
      </c>
      <c r="BA948" s="106" t="str">
        <f t="shared" si="499"/>
        <v>P</v>
      </c>
      <c r="BB948" s="178"/>
      <c r="BC948" s="178">
        <v>5</v>
      </c>
      <c r="BD948" s="178"/>
      <c r="BE948" s="178"/>
      <c r="BF948" s="178"/>
      <c r="BG948" s="178"/>
      <c r="BH948" s="178"/>
      <c r="BI948" s="33"/>
      <c r="BK948" s="48">
        <f>$G948/5280*VLOOKUP($AC948,'Cost and Score'!$B$27:$O$40,6,0)</f>
        <v>9.9242424242424243E-2</v>
      </c>
      <c r="BL948" s="48">
        <f>$G948/5280*VLOOKUP($AC948,'Cost and Score'!$B$27:$O$40,7,0)</f>
        <v>10.916666666666666</v>
      </c>
      <c r="BM948" s="48">
        <f>$G948/5280*VLOOKUP($AC948,'Cost and Score'!$B$27:$O$40,8,0)</f>
        <v>0</v>
      </c>
      <c r="BN948" s="48">
        <f>$G948/5280*VLOOKUP($AC948,'Cost and Score'!$B$27:$O$40,9,0)</f>
        <v>2232.9545454545455</v>
      </c>
      <c r="BO948" s="48">
        <f>$G948/5280*VLOOKUP($AC948,'Cost and Score'!$B$27:$O$40,10,0)</f>
        <v>496.21212121212119</v>
      </c>
      <c r="BP948" s="48">
        <f>$G948/5280*VLOOKUP($AC948,'Cost and Score'!$B$27:$O$40,11,0)</f>
        <v>0</v>
      </c>
      <c r="BQ948" s="48">
        <f>$G948/5280*VLOOKUP($AC948,'Cost and Score'!$B$27:$O$40,12,0)</f>
        <v>49.621212121212125</v>
      </c>
      <c r="BR948" s="48">
        <f>$G948/5280*VLOOKUP($AC948,'Cost and Score'!$B$27:$O$40,13,0)</f>
        <v>59.545454545454547</v>
      </c>
      <c r="BS948" s="48">
        <f>$G948/5280*VLOOKUP($AC948,'Cost and Score'!$B$27:$O$40,14,0)</f>
        <v>0</v>
      </c>
      <c r="BT948" s="220">
        <f t="shared" si="470"/>
        <v>0.49621212121212122</v>
      </c>
      <c r="CR948" s="112"/>
    </row>
    <row r="949" spans="1:103" s="2" customFormat="1" ht="14.45" customHeight="1" x14ac:dyDescent="0.25">
      <c r="A949" s="31" t="s">
        <v>2102</v>
      </c>
      <c r="B949" s="224" t="s">
        <v>1453</v>
      </c>
      <c r="C949" s="26" t="s">
        <v>1453</v>
      </c>
      <c r="D949" s="36" t="s">
        <v>2305</v>
      </c>
      <c r="E949" s="26" t="s">
        <v>1407</v>
      </c>
      <c r="F949" s="26" t="s">
        <v>1408</v>
      </c>
      <c r="G949" s="29">
        <v>1478</v>
      </c>
      <c r="H949" s="29">
        <f t="shared" si="502"/>
        <v>26</v>
      </c>
      <c r="I949" s="26" t="s">
        <v>2098</v>
      </c>
      <c r="J949" s="26" t="s">
        <v>125</v>
      </c>
      <c r="K949" s="26">
        <f t="shared" si="500"/>
        <v>0</v>
      </c>
      <c r="L949" s="42">
        <v>6</v>
      </c>
      <c r="M949" s="42">
        <v>6</v>
      </c>
      <c r="N949" s="42">
        <v>6</v>
      </c>
      <c r="O949" s="42">
        <v>6</v>
      </c>
      <c r="P949" s="42">
        <v>6</v>
      </c>
      <c r="Q949" s="42">
        <v>6</v>
      </c>
      <c r="R949" s="42">
        <v>6</v>
      </c>
      <c r="S949" s="42">
        <v>6</v>
      </c>
      <c r="T949" s="42">
        <v>6</v>
      </c>
      <c r="U949" s="42">
        <v>6</v>
      </c>
      <c r="V949" s="42"/>
      <c r="W949" s="42"/>
      <c r="X949" s="42"/>
      <c r="Y949" s="26">
        <v>50</v>
      </c>
      <c r="Z949" s="26">
        <f t="shared" si="495"/>
        <v>0</v>
      </c>
      <c r="AA949" s="26" t="s">
        <v>1453</v>
      </c>
      <c r="AB949" s="111">
        <f t="shared" ref="AB949:AB1012" si="504">(10-P949)+Z949+K949</f>
        <v>4</v>
      </c>
      <c r="AC949" s="85" t="s">
        <v>2312</v>
      </c>
      <c r="AD949" s="47">
        <f t="shared" si="501"/>
        <v>20994.31818181818</v>
      </c>
      <c r="AE949" s="140"/>
      <c r="AF949" s="113">
        <f t="shared" si="473"/>
        <v>0</v>
      </c>
      <c r="AG949" s="85">
        <v>2025</v>
      </c>
      <c r="AH949" s="26" t="str">
        <f t="shared" si="484"/>
        <v/>
      </c>
      <c r="AI949" s="26" t="str">
        <f t="shared" si="488"/>
        <v/>
      </c>
      <c r="AJ949" s="26" t="str">
        <f t="shared" si="493"/>
        <v/>
      </c>
      <c r="AK949" s="26" t="str">
        <f t="shared" si="503"/>
        <v>Concrete - Joint/Crack Sealing</v>
      </c>
      <c r="AL949" s="26" t="str">
        <f t="shared" si="503"/>
        <v/>
      </c>
      <c r="AM949" s="26" t="str">
        <f t="shared" si="503"/>
        <v/>
      </c>
      <c r="AN949" s="26" t="str">
        <f t="shared" si="487"/>
        <v>Concrete - Joint/Crack Sealing</v>
      </c>
      <c r="AO949" s="26" t="str">
        <f t="shared" si="494"/>
        <v/>
      </c>
      <c r="AP949" s="26" t="str">
        <f t="shared" si="492"/>
        <v/>
      </c>
      <c r="AQ949" s="68">
        <f t="shared" si="496"/>
        <v>8</v>
      </c>
      <c r="AR949" s="68">
        <f t="shared" si="497"/>
        <v>6</v>
      </c>
      <c r="AS949" s="68">
        <f t="shared" si="476"/>
        <v>1.1000000000000001</v>
      </c>
      <c r="AT949" s="68">
        <f t="shared" si="477"/>
        <v>1.1000000000000001</v>
      </c>
      <c r="AU949" s="68">
        <f t="shared" si="478"/>
        <v>1.1000000000000001</v>
      </c>
      <c r="AV949" s="68">
        <f t="shared" si="479"/>
        <v>1.1000000000000001</v>
      </c>
      <c r="AW949" s="68">
        <f t="shared" si="480"/>
        <v>1.1000000000000001</v>
      </c>
      <c r="AX949" s="68">
        <f t="shared" ca="1" si="498"/>
        <v>1.1000000000000001</v>
      </c>
      <c r="AY949" s="68">
        <v>2016</v>
      </c>
      <c r="AZ949" s="68" t="s">
        <v>751</v>
      </c>
      <c r="BA949" s="106" t="str">
        <f t="shared" si="499"/>
        <v/>
      </c>
      <c r="BB949" s="178"/>
      <c r="BC949" s="178"/>
      <c r="BD949" s="178"/>
      <c r="BE949" s="178"/>
      <c r="BF949" s="178"/>
      <c r="BG949" s="178"/>
      <c r="BH949" s="178">
        <v>5</v>
      </c>
      <c r="BI949" s="33" t="s">
        <v>2099</v>
      </c>
      <c r="BJ949" s="2" t="s">
        <v>2617</v>
      </c>
      <c r="BK949" s="48">
        <f>$G949/5280*VLOOKUP($AC949,'Cost and Score'!$B$27:$O$40,6,0)</f>
        <v>0.1399621212121212</v>
      </c>
      <c r="BL949" s="48">
        <f>$G949/5280*VLOOKUP($AC949,'Cost and Score'!$B$27:$O$40,7,0)</f>
        <v>13.996212121212121</v>
      </c>
      <c r="BM949" s="48">
        <f>$G949/5280*VLOOKUP($AC949,'Cost and Score'!$B$27:$O$40,8,0)</f>
        <v>0</v>
      </c>
      <c r="BN949" s="48">
        <f>$G949/5280*VLOOKUP($AC949,'Cost and Score'!$B$27:$O$40,9,0)</f>
        <v>0</v>
      </c>
      <c r="BO949" s="48">
        <f>$G949/5280*VLOOKUP($AC949,'Cost and Score'!$B$27:$O$40,10,0)</f>
        <v>0</v>
      </c>
      <c r="BP949" s="48">
        <f>$G949/5280*VLOOKUP($AC949,'Cost and Score'!$B$27:$O$40,11,0)</f>
        <v>0</v>
      </c>
      <c r="BQ949" s="48">
        <f>$G949/5280*VLOOKUP($AC949,'Cost and Score'!$B$27:$O$40,12,0)</f>
        <v>0</v>
      </c>
      <c r="BR949" s="48">
        <f>$G949/5280*VLOOKUP($AC949,'Cost and Score'!$B$27:$O$40,13,0)</f>
        <v>0</v>
      </c>
      <c r="BS949" s="48">
        <f>$G949/5280*VLOOKUP($AC949,'Cost and Score'!$B$27:$O$40,14,0)</f>
        <v>0</v>
      </c>
      <c r="BT949" s="220">
        <f t="shared" si="470"/>
        <v>0.27992424242424241</v>
      </c>
      <c r="CW949" s="112"/>
      <c r="CX949" s="112"/>
      <c r="CY949" s="112"/>
    </row>
    <row r="950" spans="1:103" s="2" customFormat="1" ht="15" hidden="1" customHeight="1" x14ac:dyDescent="0.25">
      <c r="A950" s="31" t="s">
        <v>2102</v>
      </c>
      <c r="B950" s="226" t="s">
        <v>1774</v>
      </c>
      <c r="C950" s="106" t="s">
        <v>1774</v>
      </c>
      <c r="D950" s="116" t="s">
        <v>2259</v>
      </c>
      <c r="E950" s="106" t="s">
        <v>1458</v>
      </c>
      <c r="F950" s="106" t="s">
        <v>1535</v>
      </c>
      <c r="G950" s="109">
        <v>1795</v>
      </c>
      <c r="H950" s="109">
        <f t="shared" si="502"/>
        <v>26</v>
      </c>
      <c r="I950" s="106" t="s">
        <v>2098</v>
      </c>
      <c r="J950" s="106" t="s">
        <v>160</v>
      </c>
      <c r="K950" s="106">
        <f t="shared" si="500"/>
        <v>0</v>
      </c>
      <c r="L950" s="110">
        <v>7</v>
      </c>
      <c r="M950" s="110">
        <v>8</v>
      </c>
      <c r="N950" s="110">
        <v>8</v>
      </c>
      <c r="O950" s="110">
        <v>8</v>
      </c>
      <c r="P950" s="110">
        <v>8</v>
      </c>
      <c r="Q950" s="110">
        <v>7</v>
      </c>
      <c r="R950" s="110">
        <v>7</v>
      </c>
      <c r="S950" s="110">
        <v>7</v>
      </c>
      <c r="T950" s="110">
        <v>7</v>
      </c>
      <c r="U950" s="110">
        <v>7</v>
      </c>
      <c r="V950" s="110"/>
      <c r="W950" s="110"/>
      <c r="X950" s="110"/>
      <c r="Y950" s="106">
        <v>1150</v>
      </c>
      <c r="Z950" s="106">
        <f t="shared" si="495"/>
        <v>0.5</v>
      </c>
      <c r="AA950" s="106" t="s">
        <v>1774</v>
      </c>
      <c r="AB950" s="111">
        <f t="shared" si="504"/>
        <v>2.5</v>
      </c>
      <c r="AC950" s="85" t="s">
        <v>2425</v>
      </c>
      <c r="AD950" s="107">
        <f t="shared" si="501"/>
        <v>8499.05303030303</v>
      </c>
      <c r="AE950" s="198"/>
      <c r="AF950" s="113">
        <f t="shared" si="473"/>
        <v>0</v>
      </c>
      <c r="AG950" s="85">
        <v>2026</v>
      </c>
      <c r="AH950" s="26" t="str">
        <f t="shared" si="484"/>
        <v/>
      </c>
      <c r="AI950" s="26" t="str">
        <f t="shared" si="488"/>
        <v/>
      </c>
      <c r="AJ950" s="26" t="str">
        <f t="shared" si="493"/>
        <v/>
      </c>
      <c r="AK950" s="26" t="str">
        <f t="shared" si="503"/>
        <v/>
      </c>
      <c r="AL950" s="26" t="str">
        <f t="shared" si="503"/>
        <v>Liquid Road</v>
      </c>
      <c r="AM950" s="26" t="str">
        <f t="shared" si="503"/>
        <v/>
      </c>
      <c r="AN950" s="26" t="str">
        <f t="shared" si="487"/>
        <v>Liquid Road</v>
      </c>
      <c r="AO950" s="26" t="str">
        <f t="shared" si="494"/>
        <v/>
      </c>
      <c r="AP950" s="26" t="str">
        <f t="shared" si="492"/>
        <v/>
      </c>
      <c r="AQ950" s="68">
        <f t="shared" si="496"/>
        <v>12</v>
      </c>
      <c r="AR950" s="68">
        <f t="shared" si="497"/>
        <v>10</v>
      </c>
      <c r="AS950" s="68">
        <f t="shared" si="476"/>
        <v>1.05</v>
      </c>
      <c r="AT950" s="68">
        <f t="shared" si="477"/>
        <v>1</v>
      </c>
      <c r="AU950" s="68">
        <f t="shared" si="478"/>
        <v>1</v>
      </c>
      <c r="AV950" s="68">
        <f t="shared" si="479"/>
        <v>1</v>
      </c>
      <c r="AW950" s="68">
        <f t="shared" si="480"/>
        <v>1</v>
      </c>
      <c r="AX950" s="68">
        <f t="shared" ca="1" si="498"/>
        <v>2</v>
      </c>
      <c r="AY950" s="106">
        <v>2017</v>
      </c>
      <c r="AZ950" s="106" t="s">
        <v>2075</v>
      </c>
      <c r="BA950" s="106" t="str">
        <f t="shared" si="499"/>
        <v/>
      </c>
      <c r="BB950" s="177"/>
      <c r="BC950" s="177"/>
      <c r="BD950" s="177">
        <v>1</v>
      </c>
      <c r="BE950" s="177"/>
      <c r="BF950" s="177"/>
      <c r="BG950" s="177"/>
      <c r="BH950" s="177"/>
      <c r="BI950" s="33"/>
      <c r="BK950" s="48">
        <f>$G950/5280*VLOOKUP($AC950,'Cost and Score'!$B$27:$O$40,6,0)</f>
        <v>0.33996212121212122</v>
      </c>
      <c r="BL950" s="48">
        <f>$G950/5280*VLOOKUP($AC950,'Cost and Score'!$B$27:$O$40,7,0)</f>
        <v>5.4393939393939394</v>
      </c>
      <c r="BM950" s="48">
        <f>$G950/5280*VLOOKUP($AC950,'Cost and Score'!$B$27:$O$40,8,0)</f>
        <v>0</v>
      </c>
      <c r="BN950" s="48">
        <f>$G950/5280*VLOOKUP($AC950,'Cost and Score'!$B$27:$O$40,9,0)</f>
        <v>0</v>
      </c>
      <c r="BO950" s="48">
        <f>$G950/5280*VLOOKUP($AC950,'Cost and Score'!$B$27:$O$40,10,0)</f>
        <v>0</v>
      </c>
      <c r="BP950" s="48">
        <f>$G950/5280*VLOOKUP($AC950,'Cost and Score'!$B$27:$O$40,11,0)</f>
        <v>0</v>
      </c>
      <c r="BQ950" s="48">
        <f>$G950/5280*VLOOKUP($AC950,'Cost and Score'!$B$27:$O$40,12,0)</f>
        <v>0</v>
      </c>
      <c r="BR950" s="48">
        <f>$G950/5280*VLOOKUP($AC950,'Cost and Score'!$B$27:$O$40,13,0)</f>
        <v>0</v>
      </c>
      <c r="BS950" s="48">
        <f>$G950/5280*VLOOKUP($AC950,'Cost and Score'!$B$27:$O$40,14,0)</f>
        <v>0</v>
      </c>
      <c r="BT950" s="220">
        <f t="shared" si="470"/>
        <v>0.33996212121212122</v>
      </c>
      <c r="CF950" s="112"/>
      <c r="CS950" s="112"/>
      <c r="CT950" s="112"/>
      <c r="CU950" s="112"/>
    </row>
    <row r="951" spans="1:103" s="2" customFormat="1" ht="14.45" hidden="1" customHeight="1" x14ac:dyDescent="0.25">
      <c r="A951" s="31" t="s">
        <v>2102</v>
      </c>
      <c r="B951" s="226" t="s">
        <v>1775</v>
      </c>
      <c r="C951" s="106" t="s">
        <v>1775</v>
      </c>
      <c r="D951" s="116" t="s">
        <v>2259</v>
      </c>
      <c r="E951" s="106" t="s">
        <v>1458</v>
      </c>
      <c r="F951" s="106" t="s">
        <v>1535</v>
      </c>
      <c r="G951" s="109">
        <v>739</v>
      </c>
      <c r="H951" s="109">
        <f t="shared" si="502"/>
        <v>26</v>
      </c>
      <c r="I951" s="106" t="s">
        <v>2098</v>
      </c>
      <c r="J951" s="106" t="s">
        <v>160</v>
      </c>
      <c r="K951" s="106">
        <f t="shared" si="500"/>
        <v>0</v>
      </c>
      <c r="L951" s="110">
        <v>7</v>
      </c>
      <c r="M951" s="110">
        <v>8</v>
      </c>
      <c r="N951" s="110">
        <v>8</v>
      </c>
      <c r="O951" s="110">
        <v>8</v>
      </c>
      <c r="P951" s="110">
        <v>8</v>
      </c>
      <c r="Q951" s="110">
        <v>7</v>
      </c>
      <c r="R951" s="110">
        <v>7</v>
      </c>
      <c r="S951" s="110">
        <v>7</v>
      </c>
      <c r="T951" s="110">
        <v>7</v>
      </c>
      <c r="U951" s="110">
        <v>7</v>
      </c>
      <c r="V951" s="110"/>
      <c r="W951" s="110"/>
      <c r="X951" s="110"/>
      <c r="Y951" s="106">
        <v>1150</v>
      </c>
      <c r="Z951" s="106">
        <f t="shared" si="495"/>
        <v>0.5</v>
      </c>
      <c r="AA951" s="106" t="s">
        <v>1775</v>
      </c>
      <c r="AB951" s="111">
        <f t="shared" si="504"/>
        <v>2.5</v>
      </c>
      <c r="AC951" s="85" t="s">
        <v>2425</v>
      </c>
      <c r="AD951" s="107">
        <f t="shared" si="501"/>
        <v>3499.0530303030305</v>
      </c>
      <c r="AE951" s="198"/>
      <c r="AF951" s="113">
        <f t="shared" si="473"/>
        <v>0</v>
      </c>
      <c r="AG951" s="85">
        <v>2026</v>
      </c>
      <c r="AH951" s="26" t="str">
        <f t="shared" si="484"/>
        <v/>
      </c>
      <c r="AI951" s="26" t="str">
        <f t="shared" si="488"/>
        <v/>
      </c>
      <c r="AJ951" s="26" t="str">
        <f t="shared" si="493"/>
        <v/>
      </c>
      <c r="AK951" s="26" t="str">
        <f t="shared" si="503"/>
        <v/>
      </c>
      <c r="AL951" s="26" t="str">
        <f t="shared" si="503"/>
        <v>Liquid Road</v>
      </c>
      <c r="AM951" s="26" t="str">
        <f t="shared" si="503"/>
        <v/>
      </c>
      <c r="AN951" s="26" t="str">
        <f t="shared" si="487"/>
        <v>Liquid Road</v>
      </c>
      <c r="AO951" s="26" t="str">
        <f t="shared" si="494"/>
        <v/>
      </c>
      <c r="AP951" s="26" t="str">
        <f t="shared" si="492"/>
        <v/>
      </c>
      <c r="AQ951" s="68">
        <f t="shared" si="496"/>
        <v>12</v>
      </c>
      <c r="AR951" s="68">
        <f t="shared" si="497"/>
        <v>10</v>
      </c>
      <c r="AS951" s="68">
        <f t="shared" si="476"/>
        <v>1.05</v>
      </c>
      <c r="AT951" s="68">
        <f t="shared" si="477"/>
        <v>1</v>
      </c>
      <c r="AU951" s="68">
        <f t="shared" si="478"/>
        <v>1</v>
      </c>
      <c r="AV951" s="68">
        <f t="shared" si="479"/>
        <v>1</v>
      </c>
      <c r="AW951" s="68">
        <f t="shared" si="480"/>
        <v>1</v>
      </c>
      <c r="AX951" s="68">
        <f t="shared" ca="1" si="498"/>
        <v>2</v>
      </c>
      <c r="AY951" s="106">
        <v>2017</v>
      </c>
      <c r="AZ951" s="106" t="s">
        <v>2075</v>
      </c>
      <c r="BA951" s="106" t="str">
        <f t="shared" si="499"/>
        <v/>
      </c>
      <c r="BB951" s="177"/>
      <c r="BC951" s="177"/>
      <c r="BD951" s="177">
        <v>1</v>
      </c>
      <c r="BE951" s="177"/>
      <c r="BF951" s="177"/>
      <c r="BG951" s="177"/>
      <c r="BH951" s="177"/>
      <c r="BI951" s="33" t="s">
        <v>2420</v>
      </c>
      <c r="BK951" s="48">
        <f>$G951/5280*VLOOKUP($AC951,'Cost and Score'!$B$27:$O$40,6,0)</f>
        <v>0.1399621212121212</v>
      </c>
      <c r="BL951" s="48">
        <f>$G951/5280*VLOOKUP($AC951,'Cost and Score'!$B$27:$O$40,7,0)</f>
        <v>2.2393939393939393</v>
      </c>
      <c r="BM951" s="48">
        <f>$G951/5280*VLOOKUP($AC951,'Cost and Score'!$B$27:$O$40,8,0)</f>
        <v>0</v>
      </c>
      <c r="BN951" s="48">
        <f>$G951/5280*VLOOKUP($AC951,'Cost and Score'!$B$27:$O$40,9,0)</f>
        <v>0</v>
      </c>
      <c r="BO951" s="48">
        <f>$G951/5280*VLOOKUP($AC951,'Cost and Score'!$B$27:$O$40,10,0)</f>
        <v>0</v>
      </c>
      <c r="BP951" s="48">
        <f>$G951/5280*VLOOKUP($AC951,'Cost and Score'!$B$27:$O$40,11,0)</f>
        <v>0</v>
      </c>
      <c r="BQ951" s="48">
        <f>$G951/5280*VLOOKUP($AC951,'Cost and Score'!$B$27:$O$40,12,0)</f>
        <v>0</v>
      </c>
      <c r="BR951" s="48">
        <f>$G951/5280*VLOOKUP($AC951,'Cost and Score'!$B$27:$O$40,13,0)</f>
        <v>0</v>
      </c>
      <c r="BS951" s="48">
        <f>$G951/5280*VLOOKUP($AC951,'Cost and Score'!$B$27:$O$40,14,0)</f>
        <v>0</v>
      </c>
      <c r="BT951" s="220">
        <f t="shared" si="470"/>
        <v>0.1399621212121212</v>
      </c>
      <c r="CG951" s="112"/>
      <c r="CH951" s="112"/>
      <c r="CI951" s="112"/>
      <c r="CJ951" s="112"/>
      <c r="CK951" s="112"/>
      <c r="CL951" s="112"/>
      <c r="CM951" s="112"/>
      <c r="CS951" s="112"/>
      <c r="CT951" s="112"/>
      <c r="CU951" s="112"/>
      <c r="CW951" s="112"/>
      <c r="CX951" s="112"/>
      <c r="CY951" s="112"/>
    </row>
    <row r="952" spans="1:103" s="112" customFormat="1" ht="14.45" hidden="1" customHeight="1" x14ac:dyDescent="0.25">
      <c r="A952" s="31" t="s">
        <v>2102</v>
      </c>
      <c r="B952" s="224" t="s">
        <v>1776</v>
      </c>
      <c r="C952" s="85" t="s">
        <v>1776</v>
      </c>
      <c r="D952" s="86" t="s">
        <v>2226</v>
      </c>
      <c r="E952" s="85" t="s">
        <v>1451</v>
      </c>
      <c r="F952" s="85" t="s">
        <v>1505</v>
      </c>
      <c r="G952" s="29">
        <v>739</v>
      </c>
      <c r="H952" s="29">
        <f t="shared" si="502"/>
        <v>26</v>
      </c>
      <c r="I952" s="85" t="s">
        <v>2098</v>
      </c>
      <c r="J952" s="85" t="s">
        <v>125</v>
      </c>
      <c r="K952" s="85">
        <f t="shared" si="500"/>
        <v>0</v>
      </c>
      <c r="L952" s="74">
        <v>7</v>
      </c>
      <c r="M952" s="74">
        <v>7</v>
      </c>
      <c r="N952" s="74">
        <v>7</v>
      </c>
      <c r="O952" s="74">
        <v>7</v>
      </c>
      <c r="P952" s="74">
        <v>7</v>
      </c>
      <c r="Q952" s="74">
        <v>7</v>
      </c>
      <c r="R952" s="74">
        <v>6</v>
      </c>
      <c r="S952" s="74">
        <v>7</v>
      </c>
      <c r="T952" s="74">
        <v>7</v>
      </c>
      <c r="U952" s="74">
        <v>7</v>
      </c>
      <c r="V952" s="74"/>
      <c r="W952" s="74"/>
      <c r="X952" s="74"/>
      <c r="Y952" s="85">
        <v>176</v>
      </c>
      <c r="Z952" s="85">
        <f t="shared" si="495"/>
        <v>0</v>
      </c>
      <c r="AA952" s="85" t="s">
        <v>1776</v>
      </c>
      <c r="AB952" s="111">
        <f t="shared" si="504"/>
        <v>3</v>
      </c>
      <c r="AC952" s="85" t="s">
        <v>2425</v>
      </c>
      <c r="AD952" s="47">
        <f t="shared" si="501"/>
        <v>3499.0530303030305</v>
      </c>
      <c r="AE952" s="140"/>
      <c r="AF952" s="113">
        <f t="shared" si="473"/>
        <v>0</v>
      </c>
      <c r="AG952" s="85">
        <v>2026</v>
      </c>
      <c r="AH952" s="26" t="str">
        <f t="shared" si="484"/>
        <v/>
      </c>
      <c r="AI952" s="26" t="str">
        <f t="shared" si="488"/>
        <v/>
      </c>
      <c r="AJ952" s="26" t="str">
        <f t="shared" si="493"/>
        <v/>
      </c>
      <c r="AK952" s="26" t="str">
        <f t="shared" si="503"/>
        <v/>
      </c>
      <c r="AL952" s="26" t="str">
        <f t="shared" si="503"/>
        <v>Liquid Road</v>
      </c>
      <c r="AM952" s="26" t="str">
        <f t="shared" si="503"/>
        <v/>
      </c>
      <c r="AN952" s="26" t="str">
        <f t="shared" si="487"/>
        <v>Liquid Road</v>
      </c>
      <c r="AO952" s="26" t="str">
        <f t="shared" si="494"/>
        <v/>
      </c>
      <c r="AP952" s="26" t="str">
        <f t="shared" si="492"/>
        <v/>
      </c>
      <c r="AQ952" s="68">
        <f t="shared" si="496"/>
        <v>10</v>
      </c>
      <c r="AR952" s="68">
        <f t="shared" si="497"/>
        <v>10</v>
      </c>
      <c r="AS952" s="68">
        <f t="shared" si="476"/>
        <v>1.05</v>
      </c>
      <c r="AT952" s="68">
        <f t="shared" si="477"/>
        <v>1.05</v>
      </c>
      <c r="AU952" s="68">
        <f t="shared" si="478"/>
        <v>1.05</v>
      </c>
      <c r="AV952" s="68">
        <f t="shared" si="479"/>
        <v>1.05</v>
      </c>
      <c r="AW952" s="68">
        <f t="shared" si="480"/>
        <v>1.05</v>
      </c>
      <c r="AX952" s="68">
        <f t="shared" ca="1" si="498"/>
        <v>2.1</v>
      </c>
      <c r="AY952" s="68">
        <v>2014</v>
      </c>
      <c r="AZ952" s="68" t="s">
        <v>2075</v>
      </c>
      <c r="BA952" s="106" t="str">
        <f t="shared" si="499"/>
        <v/>
      </c>
      <c r="BB952" s="178"/>
      <c r="BC952" s="178"/>
      <c r="BD952" s="178">
        <v>1</v>
      </c>
      <c r="BE952" s="178"/>
      <c r="BF952" s="178"/>
      <c r="BG952" s="178"/>
      <c r="BH952" s="178"/>
      <c r="BI952" s="33"/>
      <c r="BJ952" s="2"/>
      <c r="BK952" s="48">
        <f>$G952/5280*VLOOKUP($AC952,'Cost and Score'!$B$27:$O$40,6,0)</f>
        <v>0.1399621212121212</v>
      </c>
      <c r="BL952" s="48">
        <f>$G952/5280*VLOOKUP($AC952,'Cost and Score'!$B$27:$O$40,7,0)</f>
        <v>2.2393939393939393</v>
      </c>
      <c r="BM952" s="48">
        <f>$G952/5280*VLOOKUP($AC952,'Cost and Score'!$B$27:$O$40,8,0)</f>
        <v>0</v>
      </c>
      <c r="BN952" s="48">
        <f>$G952/5280*VLOOKUP($AC952,'Cost and Score'!$B$27:$O$40,9,0)</f>
        <v>0</v>
      </c>
      <c r="BO952" s="48">
        <f>$G952/5280*VLOOKUP($AC952,'Cost and Score'!$B$27:$O$40,10,0)</f>
        <v>0</v>
      </c>
      <c r="BP952" s="48">
        <f>$G952/5280*VLOOKUP($AC952,'Cost and Score'!$B$27:$O$40,11,0)</f>
        <v>0</v>
      </c>
      <c r="BQ952" s="48">
        <f>$G952/5280*VLOOKUP($AC952,'Cost and Score'!$B$27:$O$40,12,0)</f>
        <v>0</v>
      </c>
      <c r="BR952" s="48">
        <f>$G952/5280*VLOOKUP($AC952,'Cost and Score'!$B$27:$O$40,13,0)</f>
        <v>0</v>
      </c>
      <c r="BS952" s="48">
        <f>$G952/5280*VLOOKUP($AC952,'Cost and Score'!$B$27:$O$40,14,0)</f>
        <v>0</v>
      </c>
      <c r="BT952" s="220">
        <f t="shared" si="470"/>
        <v>0.1399621212121212</v>
      </c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</row>
    <row r="953" spans="1:103" s="112" customFormat="1" ht="14.45" hidden="1" customHeight="1" x14ac:dyDescent="0.25">
      <c r="A953" s="31" t="s">
        <v>2102</v>
      </c>
      <c r="B953" s="224" t="s">
        <v>1777</v>
      </c>
      <c r="C953" s="85" t="s">
        <v>1777</v>
      </c>
      <c r="D953" s="86" t="s">
        <v>2226</v>
      </c>
      <c r="E953" s="85" t="s">
        <v>1451</v>
      </c>
      <c r="F953" s="85" t="s">
        <v>1505</v>
      </c>
      <c r="G953" s="29">
        <v>2059</v>
      </c>
      <c r="H953" s="29">
        <f t="shared" si="502"/>
        <v>26</v>
      </c>
      <c r="I953" s="85" t="s">
        <v>2098</v>
      </c>
      <c r="J953" s="85" t="s">
        <v>125</v>
      </c>
      <c r="K953" s="85">
        <f t="shared" si="500"/>
        <v>0</v>
      </c>
      <c r="L953" s="74">
        <v>7</v>
      </c>
      <c r="M953" s="74">
        <v>7</v>
      </c>
      <c r="N953" s="74">
        <v>7</v>
      </c>
      <c r="O953" s="74">
        <v>7</v>
      </c>
      <c r="P953" s="74">
        <v>7</v>
      </c>
      <c r="Q953" s="74">
        <v>7</v>
      </c>
      <c r="R953" s="74">
        <v>6</v>
      </c>
      <c r="S953" s="74">
        <v>7</v>
      </c>
      <c r="T953" s="74">
        <v>7</v>
      </c>
      <c r="U953" s="74">
        <v>7</v>
      </c>
      <c r="V953" s="74"/>
      <c r="W953" s="74"/>
      <c r="X953" s="74"/>
      <c r="Y953" s="85">
        <v>176</v>
      </c>
      <c r="Z953" s="85">
        <f t="shared" si="495"/>
        <v>0</v>
      </c>
      <c r="AA953" s="85" t="s">
        <v>1777</v>
      </c>
      <c r="AB953" s="111">
        <f t="shared" si="504"/>
        <v>3</v>
      </c>
      <c r="AC953" s="85" t="s">
        <v>2425</v>
      </c>
      <c r="AD953" s="47">
        <f t="shared" si="501"/>
        <v>9749.05303030303</v>
      </c>
      <c r="AE953" s="140"/>
      <c r="AF953" s="113">
        <f t="shared" si="473"/>
        <v>0</v>
      </c>
      <c r="AG953" s="85">
        <v>2026</v>
      </c>
      <c r="AH953" s="26" t="str">
        <f t="shared" si="484"/>
        <v/>
      </c>
      <c r="AI953" s="26" t="str">
        <f t="shared" si="488"/>
        <v/>
      </c>
      <c r="AJ953" s="26" t="str">
        <f t="shared" si="493"/>
        <v/>
      </c>
      <c r="AK953" s="26" t="str">
        <f t="shared" si="503"/>
        <v/>
      </c>
      <c r="AL953" s="26" t="str">
        <f t="shared" si="503"/>
        <v>Liquid Road</v>
      </c>
      <c r="AM953" s="26" t="str">
        <f t="shared" si="503"/>
        <v/>
      </c>
      <c r="AN953" s="26" t="str">
        <f t="shared" si="487"/>
        <v>Liquid Road</v>
      </c>
      <c r="AO953" s="26" t="str">
        <f t="shared" si="494"/>
        <v/>
      </c>
      <c r="AP953" s="26" t="str">
        <f t="shared" si="492"/>
        <v/>
      </c>
      <c r="AQ953" s="68">
        <f t="shared" si="496"/>
        <v>10</v>
      </c>
      <c r="AR953" s="68">
        <f t="shared" si="497"/>
        <v>10</v>
      </c>
      <c r="AS953" s="68">
        <f t="shared" si="476"/>
        <v>1.05</v>
      </c>
      <c r="AT953" s="68">
        <f t="shared" si="477"/>
        <v>1.05</v>
      </c>
      <c r="AU953" s="68">
        <f t="shared" si="478"/>
        <v>1.05</v>
      </c>
      <c r="AV953" s="68">
        <f t="shared" si="479"/>
        <v>1.05</v>
      </c>
      <c r="AW953" s="68">
        <f t="shared" si="480"/>
        <v>1.05</v>
      </c>
      <c r="AX953" s="68">
        <f t="shared" ca="1" si="498"/>
        <v>2.1</v>
      </c>
      <c r="AY953" s="68">
        <v>2014</v>
      </c>
      <c r="AZ953" s="68" t="s">
        <v>2075</v>
      </c>
      <c r="BA953" s="106" t="str">
        <f t="shared" si="499"/>
        <v/>
      </c>
      <c r="BB953" s="178"/>
      <c r="BC953" s="178"/>
      <c r="BD953" s="178">
        <v>1</v>
      </c>
      <c r="BE953" s="178"/>
      <c r="BF953" s="178"/>
      <c r="BG953" s="178"/>
      <c r="BH953" s="178"/>
      <c r="BI953" s="33"/>
      <c r="BJ953" s="2"/>
      <c r="BK953" s="48">
        <f>$G953/5280*VLOOKUP($AC953,'Cost and Score'!$B$27:$O$40,6,0)</f>
        <v>0.3899621212121212</v>
      </c>
      <c r="BL953" s="48">
        <f>$G953/5280*VLOOKUP($AC953,'Cost and Score'!$B$27:$O$40,7,0)</f>
        <v>6.2393939393939393</v>
      </c>
      <c r="BM953" s="48">
        <f>$G953/5280*VLOOKUP($AC953,'Cost and Score'!$B$27:$O$40,8,0)</f>
        <v>0</v>
      </c>
      <c r="BN953" s="48">
        <f>$G953/5280*VLOOKUP($AC953,'Cost and Score'!$B$27:$O$40,9,0)</f>
        <v>0</v>
      </c>
      <c r="BO953" s="48">
        <f>$G953/5280*VLOOKUP($AC953,'Cost and Score'!$B$27:$O$40,10,0)</f>
        <v>0</v>
      </c>
      <c r="BP953" s="48">
        <f>$G953/5280*VLOOKUP($AC953,'Cost and Score'!$B$27:$O$40,11,0)</f>
        <v>0</v>
      </c>
      <c r="BQ953" s="48">
        <f>$G953/5280*VLOOKUP($AC953,'Cost and Score'!$B$27:$O$40,12,0)</f>
        <v>0</v>
      </c>
      <c r="BR953" s="48">
        <f>$G953/5280*VLOOKUP($AC953,'Cost and Score'!$B$27:$O$40,13,0)</f>
        <v>0</v>
      </c>
      <c r="BS953" s="48">
        <f>$G953/5280*VLOOKUP($AC953,'Cost and Score'!$B$27:$O$40,14,0)</f>
        <v>0</v>
      </c>
      <c r="BT953" s="220">
        <f t="shared" si="470"/>
        <v>0.3899621212121212</v>
      </c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S953" s="2"/>
      <c r="CT953" s="2"/>
      <c r="CU953" s="2"/>
      <c r="CW953" s="2"/>
      <c r="CX953" s="2"/>
      <c r="CY953" s="2"/>
    </row>
    <row r="954" spans="1:103" s="2" customFormat="1" ht="14.45" hidden="1" customHeight="1" x14ac:dyDescent="0.25">
      <c r="A954" s="31" t="s">
        <v>2102</v>
      </c>
      <c r="B954" s="45" t="s">
        <v>1778</v>
      </c>
      <c r="C954" s="26" t="s">
        <v>1778</v>
      </c>
      <c r="D954" s="36" t="s">
        <v>2291</v>
      </c>
      <c r="E954" s="26" t="s">
        <v>1711</v>
      </c>
      <c r="F954" s="26" t="s">
        <v>1712</v>
      </c>
      <c r="G954" s="29">
        <v>1320</v>
      </c>
      <c r="H954" s="29">
        <f t="shared" si="502"/>
        <v>26</v>
      </c>
      <c r="I954" s="26" t="s">
        <v>2098</v>
      </c>
      <c r="J954" s="26" t="s">
        <v>125</v>
      </c>
      <c r="K954" s="26">
        <f t="shared" si="500"/>
        <v>0</v>
      </c>
      <c r="L954" s="42">
        <v>7</v>
      </c>
      <c r="M954" s="42">
        <v>6</v>
      </c>
      <c r="N954" s="42">
        <v>6</v>
      </c>
      <c r="O954" s="42">
        <v>6</v>
      </c>
      <c r="P954" s="42">
        <v>6</v>
      </c>
      <c r="Q954" s="42">
        <v>8</v>
      </c>
      <c r="R954" s="42">
        <v>7</v>
      </c>
      <c r="S954" s="42">
        <v>7</v>
      </c>
      <c r="T954" s="42">
        <v>7</v>
      </c>
      <c r="U954" s="42">
        <v>7</v>
      </c>
      <c r="V954" s="42"/>
      <c r="W954" s="42"/>
      <c r="X954" s="42"/>
      <c r="Y954" s="26">
        <v>50</v>
      </c>
      <c r="Z954" s="26">
        <f t="shared" si="495"/>
        <v>0</v>
      </c>
      <c r="AA954" s="26" t="s">
        <v>1778</v>
      </c>
      <c r="AB954" s="111">
        <f t="shared" si="504"/>
        <v>4</v>
      </c>
      <c r="AC954" s="26" t="s">
        <v>2086</v>
      </c>
      <c r="AD954" s="47">
        <v>10677</v>
      </c>
      <c r="AE954" s="140"/>
      <c r="AF954" s="113">
        <f t="shared" si="473"/>
        <v>0</v>
      </c>
      <c r="AG954" s="26">
        <v>2024</v>
      </c>
      <c r="AH954" s="26" t="str">
        <f t="shared" si="484"/>
        <v/>
      </c>
      <c r="AI954" s="26" t="str">
        <f t="shared" si="488"/>
        <v/>
      </c>
      <c r="AJ954" s="26" t="str">
        <f t="shared" si="493"/>
        <v>Fog Seal</v>
      </c>
      <c r="AK954" s="26" t="str">
        <f t="shared" si="503"/>
        <v/>
      </c>
      <c r="AL954" s="26" t="str">
        <f t="shared" si="503"/>
        <v/>
      </c>
      <c r="AM954" s="26" t="str">
        <f t="shared" si="503"/>
        <v/>
      </c>
      <c r="AN954" s="26" t="str">
        <f t="shared" si="487"/>
        <v>Fog Seal</v>
      </c>
      <c r="AO954" s="26" t="str">
        <f t="shared" si="494"/>
        <v/>
      </c>
      <c r="AP954" s="26" t="str">
        <f t="shared" si="492"/>
        <v/>
      </c>
      <c r="AQ954" s="68">
        <f t="shared" si="496"/>
        <v>8</v>
      </c>
      <c r="AR954" s="68">
        <f t="shared" si="497"/>
        <v>2</v>
      </c>
      <c r="AS954" s="68">
        <f t="shared" si="476"/>
        <v>1.05</v>
      </c>
      <c r="AT954" s="68">
        <f t="shared" si="477"/>
        <v>1.1000000000000001</v>
      </c>
      <c r="AU954" s="68">
        <f t="shared" si="478"/>
        <v>1.1000000000000001</v>
      </c>
      <c r="AV954" s="68">
        <f t="shared" si="479"/>
        <v>1.1000000000000001</v>
      </c>
      <c r="AW954" s="68">
        <f t="shared" si="480"/>
        <v>1.1000000000000001</v>
      </c>
      <c r="AX954" s="68">
        <f t="shared" ca="1" si="498"/>
        <v>0</v>
      </c>
      <c r="AY954" s="68">
        <v>2018</v>
      </c>
      <c r="AZ954" s="68" t="s">
        <v>2371</v>
      </c>
      <c r="BA954" s="106" t="str">
        <f t="shared" si="499"/>
        <v>MICRO</v>
      </c>
      <c r="BB954" s="178"/>
      <c r="BC954" s="178"/>
      <c r="BD954" s="178"/>
      <c r="BE954" s="178"/>
      <c r="BF954" s="178"/>
      <c r="BG954" s="178"/>
      <c r="BH954" s="178"/>
      <c r="BI954" s="33"/>
      <c r="BK954" s="48">
        <f>$G954/5280*VLOOKUP($AC954,'Cost and Score'!$B$27:$O$40,6,0)</f>
        <v>2.5000000000000001E-2</v>
      </c>
      <c r="BL954" s="48">
        <f>$G954/5280*VLOOKUP($AC954,'Cost and Score'!$B$27:$O$40,7,0)</f>
        <v>0.05</v>
      </c>
      <c r="BM954" s="48">
        <f>$G954/5280*VLOOKUP($AC954,'Cost and Score'!$B$27:$O$40,8,0)</f>
        <v>0</v>
      </c>
      <c r="BN954" s="48">
        <f>$G954/5280*VLOOKUP($AC954,'Cost and Score'!$B$27:$O$40,9,0)</f>
        <v>0</v>
      </c>
      <c r="BO954" s="48">
        <f>$G954/5280*VLOOKUP($AC954,'Cost and Score'!$B$27:$O$40,10,0)</f>
        <v>250</v>
      </c>
      <c r="BP954" s="48">
        <f>$G954/5280*VLOOKUP($AC954,'Cost and Score'!$B$27:$O$40,11,0)</f>
        <v>0</v>
      </c>
      <c r="BQ954" s="48">
        <f>$G954/5280*VLOOKUP($AC954,'Cost and Score'!$B$27:$O$40,12,0)</f>
        <v>0</v>
      </c>
      <c r="BR954" s="48">
        <f>$G954/5280*VLOOKUP($AC954,'Cost and Score'!$B$27:$O$40,13,0)</f>
        <v>0</v>
      </c>
      <c r="BS954" s="48">
        <f>$G954/5280*VLOOKUP($AC954,'Cost and Score'!$B$27:$O$40,14,0)</f>
        <v>0</v>
      </c>
      <c r="BT954" s="220">
        <f t="shared" si="470"/>
        <v>0.25</v>
      </c>
      <c r="CN954" s="112"/>
      <c r="CO954" s="112"/>
      <c r="CP954" s="112"/>
      <c r="CQ954" s="112"/>
      <c r="CV954" s="112"/>
    </row>
    <row r="955" spans="1:103" s="2" customFormat="1" ht="14.45" customHeight="1" x14ac:dyDescent="0.25">
      <c r="A955" s="31" t="s">
        <v>2102</v>
      </c>
      <c r="B955" s="226" t="s">
        <v>1779</v>
      </c>
      <c r="C955" s="106" t="s">
        <v>1779</v>
      </c>
      <c r="D955" s="116" t="s">
        <v>2305</v>
      </c>
      <c r="E955" s="106" t="s">
        <v>1407</v>
      </c>
      <c r="F955" s="106" t="s">
        <v>1408</v>
      </c>
      <c r="G955" s="109">
        <v>1003</v>
      </c>
      <c r="H955" s="109">
        <f t="shared" si="502"/>
        <v>26</v>
      </c>
      <c r="I955" s="106" t="s">
        <v>2098</v>
      </c>
      <c r="J955" s="106" t="s">
        <v>125</v>
      </c>
      <c r="K955" s="106">
        <f t="shared" si="500"/>
        <v>0</v>
      </c>
      <c r="L955" s="110">
        <v>7</v>
      </c>
      <c r="M955" s="110">
        <v>7</v>
      </c>
      <c r="N955" s="110">
        <v>7</v>
      </c>
      <c r="O955" s="110">
        <v>7</v>
      </c>
      <c r="P955" s="110">
        <v>7</v>
      </c>
      <c r="Q955" s="110">
        <v>7</v>
      </c>
      <c r="R955" s="110">
        <v>7</v>
      </c>
      <c r="S955" s="110">
        <v>6</v>
      </c>
      <c r="T955" s="110">
        <v>6</v>
      </c>
      <c r="U955" s="110">
        <v>6</v>
      </c>
      <c r="V955" s="110"/>
      <c r="W955" s="110"/>
      <c r="X955" s="110"/>
      <c r="Y955" s="106">
        <v>50</v>
      </c>
      <c r="Z955" s="106">
        <f t="shared" si="495"/>
        <v>0</v>
      </c>
      <c r="AA955" s="106" t="s">
        <v>1779</v>
      </c>
      <c r="AB955" s="111">
        <f t="shared" si="504"/>
        <v>3</v>
      </c>
      <c r="AC955" s="85" t="s">
        <v>2312</v>
      </c>
      <c r="AD955" s="107">
        <f t="shared" ref="AD955:AD973" si="505">VLOOKUP(AC955,Cost,2,FALSE)*G955/5280</f>
        <v>14247.15909090909</v>
      </c>
      <c r="AE955" s="140"/>
      <c r="AF955" s="113">
        <f t="shared" si="473"/>
        <v>0</v>
      </c>
      <c r="AG955" s="85">
        <v>2025</v>
      </c>
      <c r="AH955" s="26" t="str">
        <f t="shared" si="484"/>
        <v/>
      </c>
      <c r="AI955" s="26" t="str">
        <f t="shared" si="488"/>
        <v/>
      </c>
      <c r="AJ955" s="26" t="str">
        <f t="shared" si="493"/>
        <v/>
      </c>
      <c r="AK955" s="26" t="str">
        <f t="shared" si="503"/>
        <v>Concrete - Joint/Crack Sealing</v>
      </c>
      <c r="AL955" s="26" t="str">
        <f t="shared" si="503"/>
        <v/>
      </c>
      <c r="AM955" s="26" t="str">
        <f t="shared" si="503"/>
        <v/>
      </c>
      <c r="AN955" s="26" t="str">
        <f t="shared" si="487"/>
        <v>Concrete - Joint/Crack Sealing</v>
      </c>
      <c r="AO955" s="26" t="str">
        <f t="shared" si="494"/>
        <v/>
      </c>
      <c r="AP955" s="26" t="str">
        <f t="shared" si="492"/>
        <v/>
      </c>
      <c r="AQ955" s="68">
        <f t="shared" si="496"/>
        <v>10</v>
      </c>
      <c r="AR955" s="68">
        <f t="shared" si="497"/>
        <v>6</v>
      </c>
      <c r="AS955" s="68">
        <f t="shared" si="476"/>
        <v>1.05</v>
      </c>
      <c r="AT955" s="68">
        <f t="shared" si="477"/>
        <v>1.05</v>
      </c>
      <c r="AU955" s="68">
        <f t="shared" si="478"/>
        <v>1.05</v>
      </c>
      <c r="AV955" s="68">
        <f t="shared" si="479"/>
        <v>1.05</v>
      </c>
      <c r="AW955" s="68">
        <f t="shared" si="480"/>
        <v>1.05</v>
      </c>
      <c r="AX955" s="68">
        <f t="shared" ca="1" si="498"/>
        <v>1.05</v>
      </c>
      <c r="AY955" s="106">
        <v>2018</v>
      </c>
      <c r="AZ955" s="106" t="s">
        <v>2075</v>
      </c>
      <c r="BA955" s="106" t="str">
        <f t="shared" si="499"/>
        <v>CRACK</v>
      </c>
      <c r="BB955" s="177"/>
      <c r="BC955" s="177"/>
      <c r="BD955" s="177"/>
      <c r="BE955" s="177"/>
      <c r="BF955" s="177"/>
      <c r="BG955" s="177"/>
      <c r="BH955" s="177">
        <v>5</v>
      </c>
      <c r="BI955" s="33"/>
      <c r="BJ955" s="2" t="s">
        <v>2617</v>
      </c>
      <c r="BK955" s="48">
        <f>$G955/5280*VLOOKUP($AC955,'Cost and Score'!$B$27:$O$40,6,0)</f>
        <v>9.4981060606060611E-2</v>
      </c>
      <c r="BL955" s="48">
        <f>$G955/5280*VLOOKUP($AC955,'Cost and Score'!$B$27:$O$40,7,0)</f>
        <v>9.4981060606060606</v>
      </c>
      <c r="BM955" s="48">
        <f>$G955/5280*VLOOKUP($AC955,'Cost and Score'!$B$27:$O$40,8,0)</f>
        <v>0</v>
      </c>
      <c r="BN955" s="48">
        <f>$G955/5280*VLOOKUP($AC955,'Cost and Score'!$B$27:$O$40,9,0)</f>
        <v>0</v>
      </c>
      <c r="BO955" s="48">
        <f>$G955/5280*VLOOKUP($AC955,'Cost and Score'!$B$27:$O$40,10,0)</f>
        <v>0</v>
      </c>
      <c r="BP955" s="48">
        <f>$G955/5280*VLOOKUP($AC955,'Cost and Score'!$B$27:$O$40,11,0)</f>
        <v>0</v>
      </c>
      <c r="BQ955" s="48">
        <f>$G955/5280*VLOOKUP($AC955,'Cost and Score'!$B$27:$O$40,12,0)</f>
        <v>0</v>
      </c>
      <c r="BR955" s="48">
        <f>$G955/5280*VLOOKUP($AC955,'Cost and Score'!$B$27:$O$40,13,0)</f>
        <v>0</v>
      </c>
      <c r="BS955" s="48">
        <f>$G955/5280*VLOOKUP($AC955,'Cost and Score'!$B$27:$O$40,14,0)</f>
        <v>0</v>
      </c>
      <c r="BT955" s="220">
        <f t="shared" si="470"/>
        <v>0.18996212121212122</v>
      </c>
      <c r="CS955" s="112"/>
      <c r="CT955" s="112"/>
      <c r="CU955" s="112"/>
      <c r="CW955" s="112"/>
      <c r="CX955" s="112"/>
      <c r="CY955" s="112"/>
    </row>
    <row r="956" spans="1:103" s="2" customFormat="1" ht="14.45" customHeight="1" x14ac:dyDescent="0.25">
      <c r="A956" s="31" t="s">
        <v>2102</v>
      </c>
      <c r="B956" s="226" t="s">
        <v>2042</v>
      </c>
      <c r="C956" s="106" t="s">
        <v>2042</v>
      </c>
      <c r="D956" s="116" t="s">
        <v>2305</v>
      </c>
      <c r="E956" s="106" t="s">
        <v>1407</v>
      </c>
      <c r="F956" s="106" t="s">
        <v>1408</v>
      </c>
      <c r="G956" s="109">
        <v>1373</v>
      </c>
      <c r="H956" s="109">
        <f t="shared" si="502"/>
        <v>26</v>
      </c>
      <c r="I956" s="106" t="s">
        <v>2098</v>
      </c>
      <c r="J956" s="106" t="s">
        <v>125</v>
      </c>
      <c r="K956" s="106">
        <f t="shared" si="500"/>
        <v>0</v>
      </c>
      <c r="L956" s="110">
        <v>7</v>
      </c>
      <c r="M956" s="110">
        <v>7</v>
      </c>
      <c r="N956" s="110">
        <v>7</v>
      </c>
      <c r="O956" s="110">
        <v>7</v>
      </c>
      <c r="P956" s="110">
        <v>7</v>
      </c>
      <c r="Q956" s="110">
        <v>7</v>
      </c>
      <c r="R956" s="110">
        <v>7</v>
      </c>
      <c r="S956" s="110">
        <v>7</v>
      </c>
      <c r="T956" s="110">
        <v>7</v>
      </c>
      <c r="U956" s="110">
        <v>7</v>
      </c>
      <c r="V956" s="110"/>
      <c r="W956" s="110"/>
      <c r="X956" s="110"/>
      <c r="Y956" s="106">
        <v>50</v>
      </c>
      <c r="Z956" s="106">
        <f t="shared" si="495"/>
        <v>0</v>
      </c>
      <c r="AA956" s="106" t="s">
        <v>2042</v>
      </c>
      <c r="AB956" s="111">
        <f t="shared" si="504"/>
        <v>3</v>
      </c>
      <c r="AC956" s="85" t="s">
        <v>2312</v>
      </c>
      <c r="AD956" s="107">
        <f t="shared" si="505"/>
        <v>19502.840909090908</v>
      </c>
      <c r="AE956" s="140"/>
      <c r="AF956" s="113">
        <f t="shared" si="473"/>
        <v>0</v>
      </c>
      <c r="AG956" s="85">
        <v>2025</v>
      </c>
      <c r="AH956" s="26" t="str">
        <f t="shared" si="484"/>
        <v/>
      </c>
      <c r="AI956" s="26" t="str">
        <f t="shared" si="488"/>
        <v/>
      </c>
      <c r="AJ956" s="26" t="str">
        <f t="shared" si="493"/>
        <v/>
      </c>
      <c r="AK956" s="26" t="str">
        <f t="shared" si="503"/>
        <v>Concrete - Joint/Crack Sealing</v>
      </c>
      <c r="AL956" s="26" t="str">
        <f t="shared" si="503"/>
        <v/>
      </c>
      <c r="AM956" s="26" t="str">
        <f t="shared" si="503"/>
        <v/>
      </c>
      <c r="AN956" s="26" t="str">
        <f t="shared" si="487"/>
        <v>Concrete - Joint/Crack Sealing</v>
      </c>
      <c r="AO956" s="26" t="str">
        <f t="shared" si="494"/>
        <v/>
      </c>
      <c r="AP956" s="26" t="str">
        <f t="shared" si="492"/>
        <v/>
      </c>
      <c r="AQ956" s="68">
        <f t="shared" si="496"/>
        <v>10</v>
      </c>
      <c r="AR956" s="68">
        <f t="shared" si="497"/>
        <v>6</v>
      </c>
      <c r="AS956" s="68">
        <f t="shared" si="476"/>
        <v>1.05</v>
      </c>
      <c r="AT956" s="68">
        <f t="shared" si="477"/>
        <v>1.05</v>
      </c>
      <c r="AU956" s="68">
        <f t="shared" si="478"/>
        <v>1.05</v>
      </c>
      <c r="AV956" s="68">
        <f t="shared" si="479"/>
        <v>1.05</v>
      </c>
      <c r="AW956" s="68">
        <f t="shared" si="480"/>
        <v>1.05</v>
      </c>
      <c r="AX956" s="68">
        <f t="shared" ca="1" si="498"/>
        <v>1.05</v>
      </c>
      <c r="AY956" s="106">
        <v>2018</v>
      </c>
      <c r="AZ956" s="106" t="s">
        <v>2075</v>
      </c>
      <c r="BA956" s="106" t="str">
        <f t="shared" si="499"/>
        <v>CRACK</v>
      </c>
      <c r="BB956" s="177"/>
      <c r="BC956" s="177"/>
      <c r="BD956" s="177"/>
      <c r="BE956" s="177"/>
      <c r="BF956" s="177"/>
      <c r="BG956" s="177"/>
      <c r="BH956" s="177">
        <v>5</v>
      </c>
      <c r="BI956" s="33"/>
      <c r="BJ956" s="2" t="s">
        <v>2617</v>
      </c>
      <c r="BK956" s="48">
        <f>$G956/5280*VLOOKUP($AC956,'Cost and Score'!$B$27:$O$40,6,0)</f>
        <v>0.13001893939393938</v>
      </c>
      <c r="BL956" s="48">
        <f>$G956/5280*VLOOKUP($AC956,'Cost and Score'!$B$27:$O$40,7,0)</f>
        <v>13.001893939393938</v>
      </c>
      <c r="BM956" s="48">
        <f>$G956/5280*VLOOKUP($AC956,'Cost and Score'!$B$27:$O$40,8,0)</f>
        <v>0</v>
      </c>
      <c r="BN956" s="48">
        <f>$G956/5280*VLOOKUP($AC956,'Cost and Score'!$B$27:$O$40,9,0)</f>
        <v>0</v>
      </c>
      <c r="BO956" s="48">
        <f>$G956/5280*VLOOKUP($AC956,'Cost and Score'!$B$27:$O$40,10,0)</f>
        <v>0</v>
      </c>
      <c r="BP956" s="48">
        <f>$G956/5280*VLOOKUP($AC956,'Cost and Score'!$B$27:$O$40,11,0)</f>
        <v>0</v>
      </c>
      <c r="BQ956" s="48">
        <f>$G956/5280*VLOOKUP($AC956,'Cost and Score'!$B$27:$O$40,12,0)</f>
        <v>0</v>
      </c>
      <c r="BR956" s="48">
        <f>$G956/5280*VLOOKUP($AC956,'Cost and Score'!$B$27:$O$40,13,0)</f>
        <v>0</v>
      </c>
      <c r="BS956" s="48">
        <f>$G956/5280*VLOOKUP($AC956,'Cost and Score'!$B$27:$O$40,14,0)</f>
        <v>0</v>
      </c>
      <c r="BT956" s="220">
        <f t="shared" si="470"/>
        <v>0.26003787878787876</v>
      </c>
      <c r="BV956" s="26"/>
      <c r="BW956" s="26"/>
      <c r="BX956" s="26"/>
      <c r="BY956" s="26"/>
      <c r="BZ956" s="26"/>
      <c r="CA956" s="26"/>
      <c r="CB956" s="26"/>
      <c r="CG956" s="112"/>
      <c r="CH956" s="112"/>
      <c r="CI956" s="112"/>
      <c r="CJ956" s="112"/>
      <c r="CK956" s="112"/>
      <c r="CL956" s="112"/>
      <c r="CM956" s="112"/>
      <c r="CW956" s="112"/>
      <c r="CX956" s="112"/>
      <c r="CY956" s="112"/>
    </row>
    <row r="957" spans="1:103" s="2" customFormat="1" ht="14.45" hidden="1" customHeight="1" x14ac:dyDescent="0.25">
      <c r="A957" s="31" t="s">
        <v>2102</v>
      </c>
      <c r="B957" s="224" t="s">
        <v>1780</v>
      </c>
      <c r="C957" s="85" t="s">
        <v>1780</v>
      </c>
      <c r="D957" s="86" t="s">
        <v>2298</v>
      </c>
      <c r="E957" s="85" t="s">
        <v>1512</v>
      </c>
      <c r="F957" s="85" t="s">
        <v>1781</v>
      </c>
      <c r="G957" s="29">
        <v>634</v>
      </c>
      <c r="H957" s="29">
        <f t="shared" si="502"/>
        <v>26</v>
      </c>
      <c r="I957" s="124" t="s">
        <v>2098</v>
      </c>
      <c r="J957" s="85" t="s">
        <v>160</v>
      </c>
      <c r="K957" s="85">
        <f t="shared" si="500"/>
        <v>0</v>
      </c>
      <c r="L957" s="74">
        <v>8</v>
      </c>
      <c r="M957" s="74">
        <v>7</v>
      </c>
      <c r="N957" s="74">
        <v>7</v>
      </c>
      <c r="O957" s="74">
        <v>7</v>
      </c>
      <c r="P957" s="74">
        <v>7</v>
      </c>
      <c r="Q957" s="74">
        <v>7</v>
      </c>
      <c r="R957" s="74">
        <v>7</v>
      </c>
      <c r="S957" s="74">
        <v>7</v>
      </c>
      <c r="T957" s="74">
        <v>7</v>
      </c>
      <c r="U957" s="74">
        <v>8</v>
      </c>
      <c r="V957" s="74"/>
      <c r="W957" s="74"/>
      <c r="X957" s="74"/>
      <c r="Y957" s="85">
        <v>50</v>
      </c>
      <c r="Z957" s="85">
        <f t="shared" si="495"/>
        <v>0</v>
      </c>
      <c r="AA957" s="85" t="s">
        <v>1780</v>
      </c>
      <c r="AB957" s="111">
        <f t="shared" si="504"/>
        <v>3</v>
      </c>
      <c r="AC957" s="85" t="s">
        <v>2425</v>
      </c>
      <c r="AD957" s="47">
        <f t="shared" si="505"/>
        <v>3001.8939393939395</v>
      </c>
      <c r="AE957" s="140"/>
      <c r="AF957" s="113">
        <f t="shared" si="473"/>
        <v>0</v>
      </c>
      <c r="AG957" s="85">
        <v>2026</v>
      </c>
      <c r="AH957" s="26" t="str">
        <f t="shared" si="484"/>
        <v/>
      </c>
      <c r="AI957" s="26" t="str">
        <f t="shared" si="488"/>
        <v/>
      </c>
      <c r="AJ957" s="26" t="str">
        <f t="shared" si="493"/>
        <v/>
      </c>
      <c r="AK957" s="26" t="str">
        <f t="shared" si="503"/>
        <v/>
      </c>
      <c r="AL957" s="26" t="str">
        <f t="shared" si="503"/>
        <v>Liquid Road</v>
      </c>
      <c r="AM957" s="26" t="str">
        <f t="shared" si="503"/>
        <v/>
      </c>
      <c r="AN957" s="26" t="str">
        <f t="shared" si="487"/>
        <v>Liquid Road</v>
      </c>
      <c r="AO957" s="26" t="str">
        <f t="shared" si="494"/>
        <v/>
      </c>
      <c r="AP957" s="26" t="str">
        <f t="shared" si="492"/>
        <v/>
      </c>
      <c r="AQ957" s="68">
        <f t="shared" si="496"/>
        <v>10</v>
      </c>
      <c r="AR957" s="68">
        <f t="shared" si="497"/>
        <v>10</v>
      </c>
      <c r="AS957" s="68">
        <f t="shared" si="476"/>
        <v>1</v>
      </c>
      <c r="AT957" s="68">
        <f t="shared" si="477"/>
        <v>1.05</v>
      </c>
      <c r="AU957" s="68">
        <f t="shared" si="478"/>
        <v>1.05</v>
      </c>
      <c r="AV957" s="68">
        <f t="shared" si="479"/>
        <v>1.05</v>
      </c>
      <c r="AW957" s="68">
        <f t="shared" si="480"/>
        <v>1.05</v>
      </c>
      <c r="AX957" s="68">
        <f t="shared" ca="1" si="498"/>
        <v>2.1</v>
      </c>
      <c r="AY957" s="68">
        <v>2018</v>
      </c>
      <c r="AZ957" s="68" t="s">
        <v>2075</v>
      </c>
      <c r="BA957" s="106" t="str">
        <f t="shared" si="499"/>
        <v>CRACK</v>
      </c>
      <c r="BB957" s="178"/>
      <c r="BC957" s="178"/>
      <c r="BD957" s="178"/>
      <c r="BE957" s="178"/>
      <c r="BF957" s="178"/>
      <c r="BG957" s="178">
        <v>4</v>
      </c>
      <c r="BH957" s="178"/>
      <c r="BI957" s="33"/>
      <c r="BK957" s="48">
        <f>$G957/5280*VLOOKUP($AC957,'Cost and Score'!$B$27:$O$40,6,0)</f>
        <v>0.12007575757575757</v>
      </c>
      <c r="BL957" s="48">
        <f>$G957/5280*VLOOKUP($AC957,'Cost and Score'!$B$27:$O$40,7,0)</f>
        <v>1.9212121212121211</v>
      </c>
      <c r="BM957" s="48">
        <f>$G957/5280*VLOOKUP($AC957,'Cost and Score'!$B$27:$O$40,8,0)</f>
        <v>0</v>
      </c>
      <c r="BN957" s="48">
        <f>$G957/5280*VLOOKUP($AC957,'Cost and Score'!$B$27:$O$40,9,0)</f>
        <v>0</v>
      </c>
      <c r="BO957" s="48">
        <f>$G957/5280*VLOOKUP($AC957,'Cost and Score'!$B$27:$O$40,10,0)</f>
        <v>0</v>
      </c>
      <c r="BP957" s="48">
        <f>$G957/5280*VLOOKUP($AC957,'Cost and Score'!$B$27:$O$40,11,0)</f>
        <v>0</v>
      </c>
      <c r="BQ957" s="48">
        <f>$G957/5280*VLOOKUP($AC957,'Cost and Score'!$B$27:$O$40,12,0)</f>
        <v>0</v>
      </c>
      <c r="BR957" s="48">
        <f>$G957/5280*VLOOKUP($AC957,'Cost and Score'!$B$27:$O$40,13,0)</f>
        <v>0</v>
      </c>
      <c r="BS957" s="48">
        <f>$G957/5280*VLOOKUP($AC957,'Cost and Score'!$B$27:$O$40,14,0)</f>
        <v>0</v>
      </c>
      <c r="BT957" s="220">
        <f t="shared" si="470"/>
        <v>0.12007575757575757</v>
      </c>
      <c r="CG957" s="112"/>
      <c r="CH957" s="112"/>
      <c r="CI957" s="112"/>
      <c r="CJ957" s="112"/>
      <c r="CK957" s="112"/>
      <c r="CL957" s="112"/>
      <c r="CM957" s="112"/>
    </row>
    <row r="958" spans="1:103" s="112" customFormat="1" ht="14.45" hidden="1" customHeight="1" x14ac:dyDescent="0.25">
      <c r="A958" s="38" t="s">
        <v>1783</v>
      </c>
      <c r="B958" s="34" t="s">
        <v>1782</v>
      </c>
      <c r="C958" s="85" t="s">
        <v>1782</v>
      </c>
      <c r="D958" s="85"/>
      <c r="E958" s="85" t="s">
        <v>38</v>
      </c>
      <c r="F958" s="85" t="s">
        <v>20</v>
      </c>
      <c r="G958" s="29">
        <v>3800</v>
      </c>
      <c r="H958" s="29">
        <f t="shared" si="502"/>
        <v>20</v>
      </c>
      <c r="I958" s="85" t="s">
        <v>8</v>
      </c>
      <c r="J958" s="85" t="s">
        <v>11</v>
      </c>
      <c r="K958" s="85">
        <f t="shared" si="500"/>
        <v>0</v>
      </c>
      <c r="L958" s="74">
        <v>8</v>
      </c>
      <c r="M958" s="74">
        <v>7</v>
      </c>
      <c r="N958" s="74">
        <v>7</v>
      </c>
      <c r="O958" s="74">
        <v>7</v>
      </c>
      <c r="P958" s="74">
        <v>7</v>
      </c>
      <c r="Q958" s="74">
        <v>6</v>
      </c>
      <c r="R958" s="74">
        <v>6</v>
      </c>
      <c r="S958" s="74">
        <v>6</v>
      </c>
      <c r="T958" s="74">
        <v>6</v>
      </c>
      <c r="U958" s="74">
        <v>7</v>
      </c>
      <c r="V958" s="74"/>
      <c r="W958" s="74"/>
      <c r="X958" s="74"/>
      <c r="Y958" s="85">
        <v>250</v>
      </c>
      <c r="Z958" s="85">
        <f t="shared" si="495"/>
        <v>0</v>
      </c>
      <c r="AA958" s="85" t="s">
        <v>83</v>
      </c>
      <c r="AB958" s="111">
        <f t="shared" si="504"/>
        <v>3</v>
      </c>
      <c r="AC958" s="85" t="s">
        <v>2073</v>
      </c>
      <c r="AD958" s="47">
        <f t="shared" si="505"/>
        <v>23030.303030303032</v>
      </c>
      <c r="AE958" s="140"/>
      <c r="AF958" s="113">
        <f t="shared" si="473"/>
        <v>0</v>
      </c>
      <c r="AG958" s="106">
        <v>2024</v>
      </c>
      <c r="AH958" s="26" t="str">
        <f t="shared" si="484"/>
        <v/>
      </c>
      <c r="AI958" s="26" t="str">
        <f t="shared" si="488"/>
        <v/>
      </c>
      <c r="AJ958" s="26" t="str">
        <f t="shared" si="493"/>
        <v>Chip Seal - Double and Fog</v>
      </c>
      <c r="AK958" s="26" t="str">
        <f t="shared" si="503"/>
        <v/>
      </c>
      <c r="AL958" s="26" t="str">
        <f t="shared" si="503"/>
        <v/>
      </c>
      <c r="AM958" s="26" t="str">
        <f t="shared" si="503"/>
        <v/>
      </c>
      <c r="AN958" s="26" t="str">
        <f t="shared" si="487"/>
        <v>Chip Seal - Double and Fog</v>
      </c>
      <c r="AO958" s="26" t="str">
        <f t="shared" si="494"/>
        <v/>
      </c>
      <c r="AP958" s="26" t="str">
        <f t="shared" si="492"/>
        <v/>
      </c>
      <c r="AQ958" s="68">
        <f t="shared" si="496"/>
        <v>10</v>
      </c>
      <c r="AR958" s="68">
        <f t="shared" si="497"/>
        <v>6</v>
      </c>
      <c r="AS958" s="68">
        <f t="shared" si="476"/>
        <v>1</v>
      </c>
      <c r="AT958" s="68">
        <f t="shared" si="477"/>
        <v>1.05</v>
      </c>
      <c r="AU958" s="68">
        <f t="shared" si="478"/>
        <v>1.05</v>
      </c>
      <c r="AV958" s="68">
        <f t="shared" si="479"/>
        <v>1.05</v>
      </c>
      <c r="AW958" s="68">
        <f t="shared" si="480"/>
        <v>1.05</v>
      </c>
      <c r="AX958" s="68">
        <f t="shared" ca="1" si="498"/>
        <v>0</v>
      </c>
      <c r="AY958" s="106">
        <v>2016</v>
      </c>
      <c r="AZ958" s="106" t="s">
        <v>2086</v>
      </c>
      <c r="BA958" s="106" t="str">
        <f t="shared" si="499"/>
        <v/>
      </c>
      <c r="BB958" s="178"/>
      <c r="BC958" s="178">
        <v>4</v>
      </c>
      <c r="BD958" s="178"/>
      <c r="BE958" s="178"/>
      <c r="BF958" s="178"/>
      <c r="BG958" s="178"/>
      <c r="BH958" s="178"/>
      <c r="BI958" s="33"/>
      <c r="BJ958" s="2"/>
      <c r="BK958" s="48">
        <f>$G958/5280*VLOOKUP($AC958,'Cost and Score'!$B$27:$O$40,6,0)</f>
        <v>0.35984848484848486</v>
      </c>
      <c r="BL958" s="48">
        <f>$G958/5280*VLOOKUP($AC958,'Cost and Score'!$B$27:$O$40,7,0)</f>
        <v>35.984848484848484</v>
      </c>
      <c r="BM958" s="48">
        <f>$G958/5280*VLOOKUP($AC958,'Cost and Score'!$B$27:$O$40,8,0)</f>
        <v>0</v>
      </c>
      <c r="BN958" s="48">
        <f>$G958/5280*VLOOKUP($AC958,'Cost and Score'!$B$27:$O$40,9,0)</f>
        <v>6837.121212121212</v>
      </c>
      <c r="BO958" s="48">
        <f>$G958/5280*VLOOKUP($AC958,'Cost and Score'!$B$27:$O$40,10,0)</f>
        <v>719.69696969696975</v>
      </c>
      <c r="BP958" s="48">
        <f>$G958/5280*VLOOKUP($AC958,'Cost and Score'!$B$27:$O$40,11,0)</f>
        <v>0</v>
      </c>
      <c r="BQ958" s="48">
        <f>$G958/5280*VLOOKUP($AC958,'Cost and Score'!$B$27:$O$40,12,0)</f>
        <v>143.93939393939394</v>
      </c>
      <c r="BR958" s="48">
        <f>$G958/5280*VLOOKUP($AC958,'Cost and Score'!$B$27:$O$40,13,0)</f>
        <v>129.54545454545456</v>
      </c>
      <c r="BS958" s="48">
        <f>$G958/5280*VLOOKUP($AC958,'Cost and Score'!$B$27:$O$40,14,0)</f>
        <v>172.72727272727275</v>
      </c>
      <c r="BT958" s="220">
        <f t="shared" si="470"/>
        <v>0.71969696969696972</v>
      </c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</row>
    <row r="959" spans="1:103" s="2" customFormat="1" ht="14.45" customHeight="1" x14ac:dyDescent="0.25">
      <c r="A959" s="36" t="s">
        <v>502</v>
      </c>
      <c r="B959" s="108" t="s">
        <v>501</v>
      </c>
      <c r="C959" s="106" t="s">
        <v>501</v>
      </c>
      <c r="D959" s="106"/>
      <c r="E959" s="106" t="s">
        <v>168</v>
      </c>
      <c r="F959" s="106" t="s">
        <v>135</v>
      </c>
      <c r="G959" s="109">
        <v>4972</v>
      </c>
      <c r="H959" s="109">
        <f t="shared" si="502"/>
        <v>20</v>
      </c>
      <c r="I959" s="106" t="s">
        <v>8</v>
      </c>
      <c r="J959" s="106" t="s">
        <v>125</v>
      </c>
      <c r="K959" s="106">
        <f t="shared" si="500"/>
        <v>0</v>
      </c>
      <c r="L959" s="110">
        <v>6</v>
      </c>
      <c r="M959" s="110">
        <v>6</v>
      </c>
      <c r="N959" s="110">
        <v>6</v>
      </c>
      <c r="O959" s="110">
        <v>5</v>
      </c>
      <c r="P959" s="110">
        <v>5</v>
      </c>
      <c r="Q959" s="110">
        <v>5</v>
      </c>
      <c r="R959" s="110">
        <v>5</v>
      </c>
      <c r="S959" s="110">
        <v>5</v>
      </c>
      <c r="T959" s="110">
        <v>8</v>
      </c>
      <c r="U959" s="110">
        <v>7</v>
      </c>
      <c r="V959" s="110"/>
      <c r="W959" s="110"/>
      <c r="X959" s="110" t="s">
        <v>2612</v>
      </c>
      <c r="Y959" s="106">
        <v>4581</v>
      </c>
      <c r="Z959" s="106">
        <f t="shared" si="495"/>
        <v>1.5</v>
      </c>
      <c r="AA959" s="106" t="s">
        <v>197</v>
      </c>
      <c r="AB959" s="111">
        <f t="shared" si="504"/>
        <v>6.5</v>
      </c>
      <c r="AC959" s="85" t="s">
        <v>751</v>
      </c>
      <c r="AD959" s="107">
        <f t="shared" si="505"/>
        <v>103583.33333333333</v>
      </c>
      <c r="AE959" s="198"/>
      <c r="AF959" s="113">
        <f t="shared" si="473"/>
        <v>0</v>
      </c>
      <c r="AG959" s="106">
        <v>2025</v>
      </c>
      <c r="AH959" s="26" t="str">
        <f t="shared" si="484"/>
        <v/>
      </c>
      <c r="AI959" s="26" t="str">
        <f t="shared" si="488"/>
        <v/>
      </c>
      <c r="AJ959" s="26" t="str">
        <f t="shared" si="493"/>
        <v/>
      </c>
      <c r="AK959" s="26" t="str">
        <f t="shared" si="503"/>
        <v>Overlay - 2"</v>
      </c>
      <c r="AL959" s="26" t="str">
        <f t="shared" si="503"/>
        <v/>
      </c>
      <c r="AM959" s="26" t="str">
        <f t="shared" si="503"/>
        <v/>
      </c>
      <c r="AN959" s="26" t="str">
        <f t="shared" si="487"/>
        <v>Overlay - 2"</v>
      </c>
      <c r="AO959" s="26" t="str">
        <f t="shared" si="494"/>
        <v/>
      </c>
      <c r="AP959" s="26" t="str">
        <f t="shared" si="492"/>
        <v/>
      </c>
      <c r="AQ959" s="68">
        <f t="shared" si="496"/>
        <v>6</v>
      </c>
      <c r="AR959" s="68">
        <f t="shared" si="497"/>
        <v>12</v>
      </c>
      <c r="AS959" s="68">
        <f t="shared" si="476"/>
        <v>1.1000000000000001</v>
      </c>
      <c r="AT959" s="68">
        <f t="shared" si="477"/>
        <v>1.1000000000000001</v>
      </c>
      <c r="AU959" s="68">
        <f t="shared" si="478"/>
        <v>1.1000000000000001</v>
      </c>
      <c r="AV959" s="68">
        <f t="shared" si="479"/>
        <v>1.25</v>
      </c>
      <c r="AW959" s="68">
        <f t="shared" si="480"/>
        <v>1.25</v>
      </c>
      <c r="AX959" s="68">
        <f t="shared" ca="1" si="498"/>
        <v>1.1000000000000001</v>
      </c>
      <c r="AY959" s="106">
        <v>2019</v>
      </c>
      <c r="AZ959" s="106" t="s">
        <v>2075</v>
      </c>
      <c r="BA959" s="106" t="str">
        <f t="shared" si="499"/>
        <v/>
      </c>
      <c r="BB959" s="177"/>
      <c r="BC959" s="177">
        <v>2</v>
      </c>
      <c r="BD959" s="177"/>
      <c r="BE959" s="177"/>
      <c r="BF959" s="177"/>
      <c r="BG959" s="177"/>
      <c r="BH959" s="177"/>
      <c r="BI959" s="33"/>
      <c r="BK959" s="48">
        <f>$G959/5280*VLOOKUP($AC959,'Cost and Score'!$B$27:$O$40,6,0)</f>
        <v>2.1187499999999999</v>
      </c>
      <c r="BL959" s="48">
        <f>$G959/5280*VLOOKUP($AC959,'Cost and Score'!$B$27:$O$40,7,0)</f>
        <v>197.75</v>
      </c>
      <c r="BM959" s="48">
        <f>$G959/5280*VLOOKUP($AC959,'Cost and Score'!$B$27:$O$40,8,0)</f>
        <v>329.58333333333331</v>
      </c>
      <c r="BN959" s="48">
        <f>$G959/5280*VLOOKUP($AC959,'Cost and Score'!$B$27:$O$40,9,0)</f>
        <v>0</v>
      </c>
      <c r="BO959" s="48">
        <f>$G959/5280*VLOOKUP($AC959,'Cost and Score'!$B$27:$O$40,10,0)</f>
        <v>0</v>
      </c>
      <c r="BP959" s="48">
        <f>$G959/5280*VLOOKUP($AC959,'Cost and Score'!$B$27:$O$40,11,0)</f>
        <v>188.33333333333334</v>
      </c>
      <c r="BQ959" s="48">
        <f>$G959/5280*VLOOKUP($AC959,'Cost and Score'!$B$27:$O$40,12,0)</f>
        <v>1600.8333333333333</v>
      </c>
      <c r="BR959" s="48">
        <f>$G959/5280*VLOOKUP($AC959,'Cost and Score'!$B$27:$O$40,13,0)</f>
        <v>0</v>
      </c>
      <c r="BS959" s="48">
        <f>$G959/5280*VLOOKUP($AC959,'Cost and Score'!$B$27:$O$40,14,0)</f>
        <v>0</v>
      </c>
      <c r="BT959" s="220">
        <f t="shared" si="470"/>
        <v>0.94166666666666665</v>
      </c>
    </row>
    <row r="960" spans="1:103" s="2" customFormat="1" ht="14.45" hidden="1" customHeight="1" x14ac:dyDescent="0.25">
      <c r="A960" s="38" t="s">
        <v>1787</v>
      </c>
      <c r="B960" s="34" t="s">
        <v>1786</v>
      </c>
      <c r="C960" s="26" t="s">
        <v>1786</v>
      </c>
      <c r="D960" s="82"/>
      <c r="E960" s="82" t="s">
        <v>99</v>
      </c>
      <c r="F960" s="82" t="s">
        <v>100</v>
      </c>
      <c r="G960" s="29">
        <v>5265</v>
      </c>
      <c r="H960" s="29">
        <f t="shared" si="502"/>
        <v>20</v>
      </c>
      <c r="I960" s="26" t="s">
        <v>8</v>
      </c>
      <c r="J960" s="26" t="s">
        <v>101</v>
      </c>
      <c r="K960" s="26">
        <v>0</v>
      </c>
      <c r="L960" s="42">
        <v>7</v>
      </c>
      <c r="M960" s="42">
        <v>8</v>
      </c>
      <c r="N960" s="42">
        <v>8</v>
      </c>
      <c r="O960" s="83">
        <v>8</v>
      </c>
      <c r="P960" s="83">
        <v>7</v>
      </c>
      <c r="Q960" s="83">
        <v>7</v>
      </c>
      <c r="R960" s="83">
        <v>7</v>
      </c>
      <c r="S960" s="83">
        <v>7</v>
      </c>
      <c r="T960" s="83">
        <v>7</v>
      </c>
      <c r="U960" s="83">
        <v>7</v>
      </c>
      <c r="V960" s="42">
        <v>2024</v>
      </c>
      <c r="W960" s="42">
        <v>2023</v>
      </c>
      <c r="X960" s="42" t="s">
        <v>2612</v>
      </c>
      <c r="Y960" s="26">
        <v>1452</v>
      </c>
      <c r="Z960" s="26">
        <f t="shared" si="495"/>
        <v>0.5</v>
      </c>
      <c r="AA960" s="82" t="s">
        <v>83</v>
      </c>
      <c r="AB960" s="111">
        <f t="shared" si="504"/>
        <v>3.5</v>
      </c>
      <c r="AC960" s="85" t="s">
        <v>13</v>
      </c>
      <c r="AD960" s="84">
        <f t="shared" si="505"/>
        <v>20940.340909090908</v>
      </c>
      <c r="AE960" s="140"/>
      <c r="AF960" s="113">
        <f t="shared" si="473"/>
        <v>0</v>
      </c>
      <c r="AG960" s="82">
        <v>2024</v>
      </c>
      <c r="AH960" s="26" t="str">
        <f t="shared" si="484"/>
        <v/>
      </c>
      <c r="AI960" s="26" t="str">
        <f t="shared" si="488"/>
        <v/>
      </c>
      <c r="AJ960" s="26" t="str">
        <f t="shared" si="493"/>
        <v>Chip Seal and Fog</v>
      </c>
      <c r="AK960" s="26" t="str">
        <f t="shared" si="503"/>
        <v/>
      </c>
      <c r="AL960" s="26" t="str">
        <f t="shared" si="503"/>
        <v/>
      </c>
      <c r="AM960" s="26" t="str">
        <f t="shared" si="503"/>
        <v/>
      </c>
      <c r="AN960" s="26" t="str">
        <f t="shared" si="487"/>
        <v>Chip Seal and Fog</v>
      </c>
      <c r="AO960" s="26" t="str">
        <f t="shared" si="494"/>
        <v/>
      </c>
      <c r="AP960" s="26" t="str">
        <f t="shared" si="492"/>
        <v/>
      </c>
      <c r="AQ960" s="68">
        <f t="shared" si="496"/>
        <v>12</v>
      </c>
      <c r="AR960" s="68">
        <f t="shared" si="497"/>
        <v>6</v>
      </c>
      <c r="AS960" s="68">
        <f t="shared" si="476"/>
        <v>1.05</v>
      </c>
      <c r="AT960" s="68">
        <f t="shared" si="477"/>
        <v>1</v>
      </c>
      <c r="AU960" s="68">
        <f t="shared" si="478"/>
        <v>1</v>
      </c>
      <c r="AV960" s="68">
        <f t="shared" si="479"/>
        <v>1</v>
      </c>
      <c r="AW960" s="68">
        <f t="shared" si="480"/>
        <v>1.05</v>
      </c>
      <c r="AX960" s="68">
        <f t="shared" ca="1" si="498"/>
        <v>0</v>
      </c>
      <c r="AY960" s="68">
        <v>2018</v>
      </c>
      <c r="AZ960" s="68" t="s">
        <v>13</v>
      </c>
      <c r="BA960" s="106" t="str">
        <f t="shared" si="499"/>
        <v>CS</v>
      </c>
      <c r="BB960" s="178"/>
      <c r="BC960" s="178">
        <v>8</v>
      </c>
      <c r="BD960" s="178"/>
      <c r="BE960" s="178"/>
      <c r="BF960" s="178"/>
      <c r="BG960" s="178"/>
      <c r="BH960" s="178"/>
      <c r="BI960" s="33" t="s">
        <v>2473</v>
      </c>
      <c r="BK960" s="48">
        <f>$G960/5280*VLOOKUP($AC960,'Cost and Score'!$B$27:$O$40,6,0)</f>
        <v>0.19943181818181821</v>
      </c>
      <c r="BL960" s="48">
        <f>$G960/5280*VLOOKUP($AC960,'Cost and Score'!$B$27:$O$40,7,0)</f>
        <v>21.9375</v>
      </c>
      <c r="BM960" s="48">
        <f>$G960/5280*VLOOKUP($AC960,'Cost and Score'!$B$27:$O$40,8,0)</f>
        <v>0</v>
      </c>
      <c r="BN960" s="48">
        <f>$G960/5280*VLOOKUP($AC960,'Cost and Score'!$B$27:$O$40,9,0)</f>
        <v>4487.215909090909</v>
      </c>
      <c r="BO960" s="48">
        <f>$G960/5280*VLOOKUP($AC960,'Cost and Score'!$B$27:$O$40,10,0)</f>
        <v>997.15909090909099</v>
      </c>
      <c r="BP960" s="48">
        <f>$G960/5280*VLOOKUP($AC960,'Cost and Score'!$B$27:$O$40,11,0)</f>
        <v>0</v>
      </c>
      <c r="BQ960" s="48">
        <f>$G960/5280*VLOOKUP($AC960,'Cost and Score'!$B$27:$O$40,12,0)</f>
        <v>99.715909090909093</v>
      </c>
      <c r="BR960" s="48">
        <f>$G960/5280*VLOOKUP($AC960,'Cost and Score'!$B$27:$O$40,13,0)</f>
        <v>119.65909090909091</v>
      </c>
      <c r="BS960" s="48">
        <f>$G960/5280*VLOOKUP($AC960,'Cost and Score'!$B$27:$O$40,14,0)</f>
        <v>0</v>
      </c>
      <c r="BT960" s="220">
        <f t="shared" si="470"/>
        <v>0.99715909090909094</v>
      </c>
    </row>
    <row r="961" spans="1:103" s="2" customFormat="1" ht="14.45" hidden="1" customHeight="1" x14ac:dyDescent="0.25">
      <c r="A961" s="38" t="s">
        <v>1789</v>
      </c>
      <c r="B961" s="34" t="s">
        <v>1788</v>
      </c>
      <c r="C961" s="26" t="s">
        <v>1788</v>
      </c>
      <c r="D961" s="82"/>
      <c r="E961" s="82" t="s">
        <v>20</v>
      </c>
      <c r="F961" s="82" t="s">
        <v>21</v>
      </c>
      <c r="G961" s="29">
        <v>5315</v>
      </c>
      <c r="H961" s="29">
        <f t="shared" si="502"/>
        <v>20</v>
      </c>
      <c r="I961" s="26" t="s">
        <v>8</v>
      </c>
      <c r="J961" s="26" t="s">
        <v>11</v>
      </c>
      <c r="K961" s="26">
        <f t="shared" ref="K961:K969" si="506">VLOOKUP(J961,TOWNSHIPS,2,FALSE)</f>
        <v>0</v>
      </c>
      <c r="L961" s="42">
        <v>8</v>
      </c>
      <c r="M961" s="42">
        <v>5</v>
      </c>
      <c r="N961" s="42">
        <v>6</v>
      </c>
      <c r="O961" s="83">
        <v>5</v>
      </c>
      <c r="P961" s="83">
        <v>5</v>
      </c>
      <c r="Q961" s="83">
        <v>7</v>
      </c>
      <c r="R961" s="83">
        <v>7</v>
      </c>
      <c r="S961" s="83">
        <v>8</v>
      </c>
      <c r="T961" s="83">
        <v>7</v>
      </c>
      <c r="U961" s="83">
        <v>7</v>
      </c>
      <c r="V961" s="42"/>
      <c r="W961" s="42"/>
      <c r="X961" s="42"/>
      <c r="Y961" s="26">
        <v>304</v>
      </c>
      <c r="Z961" s="26">
        <f t="shared" si="495"/>
        <v>0</v>
      </c>
      <c r="AA961" s="82" t="s">
        <v>83</v>
      </c>
      <c r="AB961" s="111">
        <f t="shared" si="504"/>
        <v>5</v>
      </c>
      <c r="AC961" s="82" t="s">
        <v>2073</v>
      </c>
      <c r="AD961" s="84">
        <f t="shared" si="505"/>
        <v>32212.121212121212</v>
      </c>
      <c r="AE961" s="140"/>
      <c r="AF961" s="113">
        <f t="shared" si="473"/>
        <v>0</v>
      </c>
      <c r="AG961" s="82">
        <v>2024</v>
      </c>
      <c r="AH961" s="26" t="str">
        <f t="shared" si="484"/>
        <v/>
      </c>
      <c r="AI961" s="26" t="str">
        <f t="shared" si="488"/>
        <v/>
      </c>
      <c r="AJ961" s="26" t="str">
        <f t="shared" si="493"/>
        <v>Chip Seal - Double and Fog</v>
      </c>
      <c r="AK961" s="26" t="str">
        <f t="shared" si="503"/>
        <v/>
      </c>
      <c r="AL961" s="26" t="str">
        <f t="shared" si="503"/>
        <v/>
      </c>
      <c r="AM961" s="26" t="str">
        <f t="shared" si="503"/>
        <v/>
      </c>
      <c r="AN961" s="26" t="str">
        <f t="shared" si="487"/>
        <v>Chip Seal - Double and Fog</v>
      </c>
      <c r="AO961" s="26" t="str">
        <f t="shared" si="494"/>
        <v/>
      </c>
      <c r="AP961" s="26" t="str">
        <f t="shared" si="492"/>
        <v/>
      </c>
      <c r="AQ961" s="68">
        <f t="shared" si="496"/>
        <v>6</v>
      </c>
      <c r="AR961" s="68">
        <f t="shared" si="497"/>
        <v>6</v>
      </c>
      <c r="AS961" s="68">
        <f t="shared" si="476"/>
        <v>1</v>
      </c>
      <c r="AT961" s="68">
        <f t="shared" si="477"/>
        <v>1.25</v>
      </c>
      <c r="AU961" s="68">
        <f t="shared" si="478"/>
        <v>1.1000000000000001</v>
      </c>
      <c r="AV961" s="68">
        <f t="shared" si="479"/>
        <v>1.25</v>
      </c>
      <c r="AW961" s="68">
        <f t="shared" si="480"/>
        <v>1.25</v>
      </c>
      <c r="AX961" s="68">
        <f t="shared" ca="1" si="498"/>
        <v>0</v>
      </c>
      <c r="AY961" s="68">
        <v>2018</v>
      </c>
      <c r="AZ961" s="68" t="s">
        <v>2073</v>
      </c>
      <c r="BA961" s="106" t="str">
        <f t="shared" si="499"/>
        <v>DS</v>
      </c>
      <c r="BB961" s="178"/>
      <c r="BC961" s="178">
        <v>4</v>
      </c>
      <c r="BD961" s="178"/>
      <c r="BE961" s="178"/>
      <c r="BF961" s="178"/>
      <c r="BG961" s="178"/>
      <c r="BH961" s="178"/>
      <c r="BI961" s="33" t="s">
        <v>2192</v>
      </c>
      <c r="BK961" s="48">
        <f>$G961/5280*VLOOKUP($AC961,'Cost and Score'!$B$27:$O$40,6,0)</f>
        <v>0.50331439393939392</v>
      </c>
      <c r="BL961" s="48">
        <f>$G961/5280*VLOOKUP($AC961,'Cost and Score'!$B$27:$O$40,7,0)</f>
        <v>50.331439393939391</v>
      </c>
      <c r="BM961" s="48">
        <f>$G961/5280*VLOOKUP($AC961,'Cost and Score'!$B$27:$O$40,8,0)</f>
        <v>0</v>
      </c>
      <c r="BN961" s="48">
        <f>$G961/5280*VLOOKUP($AC961,'Cost and Score'!$B$27:$O$40,9,0)</f>
        <v>9562.9734848484841</v>
      </c>
      <c r="BO961" s="48">
        <f>$G961/5280*VLOOKUP($AC961,'Cost and Score'!$B$27:$O$40,10,0)</f>
        <v>1006.6287878787879</v>
      </c>
      <c r="BP961" s="48">
        <f>$G961/5280*VLOOKUP($AC961,'Cost and Score'!$B$27:$O$40,11,0)</f>
        <v>0</v>
      </c>
      <c r="BQ961" s="48">
        <f>$G961/5280*VLOOKUP($AC961,'Cost and Score'!$B$27:$O$40,12,0)</f>
        <v>201.32575757575756</v>
      </c>
      <c r="BR961" s="48">
        <f>$G961/5280*VLOOKUP($AC961,'Cost and Score'!$B$27:$O$40,13,0)</f>
        <v>181.19318181818181</v>
      </c>
      <c r="BS961" s="48">
        <f>$G961/5280*VLOOKUP($AC961,'Cost and Score'!$B$27:$O$40,14,0)</f>
        <v>241.59090909090909</v>
      </c>
      <c r="BT961" s="220">
        <f t="shared" si="470"/>
        <v>1.0066287878787878</v>
      </c>
      <c r="CF961" s="112"/>
      <c r="CS961" s="112"/>
      <c r="CT961" s="112"/>
      <c r="CU961" s="112"/>
    </row>
    <row r="962" spans="1:103" s="2" customFormat="1" ht="14.45" hidden="1" customHeight="1" x14ac:dyDescent="0.25">
      <c r="A962" s="36" t="s">
        <v>1791</v>
      </c>
      <c r="B962" s="34" t="s">
        <v>1790</v>
      </c>
      <c r="C962" s="26" t="s">
        <v>1790</v>
      </c>
      <c r="D962" s="26"/>
      <c r="E962" s="26" t="s">
        <v>104</v>
      </c>
      <c r="F962" s="26" t="s">
        <v>99</v>
      </c>
      <c r="G962" s="29">
        <v>5330</v>
      </c>
      <c r="H962" s="29">
        <f t="shared" si="502"/>
        <v>20</v>
      </c>
      <c r="I962" s="26" t="s">
        <v>8</v>
      </c>
      <c r="J962" s="26" t="s">
        <v>6</v>
      </c>
      <c r="K962" s="26">
        <f t="shared" si="506"/>
        <v>0</v>
      </c>
      <c r="L962" s="42">
        <v>6</v>
      </c>
      <c r="M962" s="42">
        <v>7</v>
      </c>
      <c r="N962" s="42">
        <v>9</v>
      </c>
      <c r="O962" s="42">
        <v>9</v>
      </c>
      <c r="P962" s="42">
        <v>8</v>
      </c>
      <c r="Q962" s="42">
        <v>7</v>
      </c>
      <c r="R962" s="42">
        <v>6</v>
      </c>
      <c r="S962" s="42">
        <v>6</v>
      </c>
      <c r="T962" s="42">
        <v>6</v>
      </c>
      <c r="U962" s="42">
        <v>7</v>
      </c>
      <c r="V962" s="42">
        <v>2023</v>
      </c>
      <c r="W962" s="42">
        <v>2023</v>
      </c>
      <c r="X962" s="42" t="s">
        <v>2612</v>
      </c>
      <c r="Y962" s="26">
        <v>1243</v>
      </c>
      <c r="Z962" s="26">
        <f t="shared" si="495"/>
        <v>0.5</v>
      </c>
      <c r="AA962" s="26" t="s">
        <v>83</v>
      </c>
      <c r="AB962" s="111">
        <f t="shared" si="504"/>
        <v>2.5</v>
      </c>
      <c r="AC962" s="26" t="s">
        <v>13</v>
      </c>
      <c r="AD962" s="47">
        <f t="shared" si="505"/>
        <v>21198.863636363636</v>
      </c>
      <c r="AE962" s="140"/>
      <c r="AF962" s="113">
        <f t="shared" si="473"/>
        <v>0</v>
      </c>
      <c r="AG962" s="26">
        <v>2022</v>
      </c>
      <c r="AH962" s="26" t="str">
        <f t="shared" si="484"/>
        <v>Chip Seal and Fog</v>
      </c>
      <c r="AI962" s="26" t="str">
        <f t="shared" si="488"/>
        <v/>
      </c>
      <c r="AJ962" s="26" t="str">
        <f t="shared" si="493"/>
        <v/>
      </c>
      <c r="AK962" s="26" t="str">
        <f t="shared" si="503"/>
        <v/>
      </c>
      <c r="AL962" s="26" t="str">
        <f t="shared" si="503"/>
        <v/>
      </c>
      <c r="AM962" s="26" t="str">
        <f t="shared" si="503"/>
        <v/>
      </c>
      <c r="AN962" s="26" t="str">
        <f t="shared" si="487"/>
        <v>Chip Seal and Fog</v>
      </c>
      <c r="AO962" s="26" t="str">
        <f t="shared" si="494"/>
        <v/>
      </c>
      <c r="AP962" s="26" t="str">
        <f t="shared" si="492"/>
        <v/>
      </c>
      <c r="AQ962" s="68">
        <f t="shared" si="496"/>
        <v>14</v>
      </c>
      <c r="AR962" s="68">
        <f t="shared" si="497"/>
        <v>6</v>
      </c>
      <c r="AS962" s="68">
        <f t="shared" si="476"/>
        <v>1.1000000000000001</v>
      </c>
      <c r="AT962" s="68">
        <f t="shared" si="477"/>
        <v>1.05</v>
      </c>
      <c r="AU962" s="68">
        <f t="shared" si="478"/>
        <v>1</v>
      </c>
      <c r="AV962" s="68">
        <f t="shared" si="479"/>
        <v>1</v>
      </c>
      <c r="AW962" s="68">
        <f t="shared" si="480"/>
        <v>1</v>
      </c>
      <c r="AX962" s="68">
        <f t="shared" ca="1" si="498"/>
        <v>-2</v>
      </c>
      <c r="AY962" s="68">
        <v>2015</v>
      </c>
      <c r="AZ962" s="68" t="s">
        <v>13</v>
      </c>
      <c r="BA962" s="106" t="str">
        <f t="shared" si="499"/>
        <v/>
      </c>
      <c r="BB962" s="178"/>
      <c r="BC962" s="178">
        <v>8</v>
      </c>
      <c r="BD962" s="178"/>
      <c r="BE962" s="178"/>
      <c r="BF962" s="178"/>
      <c r="BG962" s="178"/>
      <c r="BH962" s="178"/>
      <c r="BI962" s="33"/>
      <c r="BK962" s="48">
        <f>$G962/5280*VLOOKUP($AC962,'Cost and Score'!$B$27:$O$40,6,0)</f>
        <v>0.2018939393939394</v>
      </c>
      <c r="BL962" s="48">
        <f>$G962/5280*VLOOKUP($AC962,'Cost and Score'!$B$27:$O$40,7,0)</f>
        <v>22.208333333333336</v>
      </c>
      <c r="BM962" s="48">
        <f>$G962/5280*VLOOKUP($AC962,'Cost and Score'!$B$27:$O$40,8,0)</f>
        <v>0</v>
      </c>
      <c r="BN962" s="48">
        <f>$G962/5280*VLOOKUP($AC962,'Cost and Score'!$B$27:$O$40,9,0)</f>
        <v>4542.6136363636369</v>
      </c>
      <c r="BO962" s="48">
        <f>$G962/5280*VLOOKUP($AC962,'Cost and Score'!$B$27:$O$40,10,0)</f>
        <v>1009.469696969697</v>
      </c>
      <c r="BP962" s="48">
        <f>$G962/5280*VLOOKUP($AC962,'Cost and Score'!$B$27:$O$40,11,0)</f>
        <v>0</v>
      </c>
      <c r="BQ962" s="48">
        <f>$G962/5280*VLOOKUP($AC962,'Cost and Score'!$B$27:$O$40,12,0)</f>
        <v>100.9469696969697</v>
      </c>
      <c r="BR962" s="48">
        <f>$G962/5280*VLOOKUP($AC962,'Cost and Score'!$B$27:$O$40,13,0)</f>
        <v>121.13636363636364</v>
      </c>
      <c r="BS962" s="48">
        <f>$G962/5280*VLOOKUP($AC962,'Cost and Score'!$B$27:$O$40,14,0)</f>
        <v>0</v>
      </c>
      <c r="BT962" s="220">
        <f t="shared" ref="BT962:BT1025" si="507">G962/5280</f>
        <v>1.009469696969697</v>
      </c>
    </row>
    <row r="963" spans="1:103" s="2" customFormat="1" ht="14.45" customHeight="1" x14ac:dyDescent="0.25">
      <c r="A963" s="38" t="s">
        <v>1235</v>
      </c>
      <c r="B963" s="108" t="s">
        <v>1234</v>
      </c>
      <c r="C963" s="106" t="s">
        <v>1234</v>
      </c>
      <c r="D963" s="106"/>
      <c r="E963" s="106" t="s">
        <v>28</v>
      </c>
      <c r="F963" s="106" t="s">
        <v>9</v>
      </c>
      <c r="G963" s="109">
        <v>4963</v>
      </c>
      <c r="H963" s="109">
        <f t="shared" si="502"/>
        <v>20</v>
      </c>
      <c r="I963" s="106" t="s">
        <v>13</v>
      </c>
      <c r="J963" s="106" t="s">
        <v>125</v>
      </c>
      <c r="K963" s="106">
        <f t="shared" si="506"/>
        <v>0</v>
      </c>
      <c r="L963" s="110">
        <v>7</v>
      </c>
      <c r="M963" s="110">
        <v>7</v>
      </c>
      <c r="N963" s="110">
        <v>7</v>
      </c>
      <c r="O963" s="110">
        <v>7</v>
      </c>
      <c r="P963" s="110">
        <v>8</v>
      </c>
      <c r="Q963" s="110">
        <v>7</v>
      </c>
      <c r="R963" s="110">
        <v>7</v>
      </c>
      <c r="S963" s="110">
        <v>6</v>
      </c>
      <c r="T963" s="110">
        <v>6</v>
      </c>
      <c r="U963" s="110">
        <v>7</v>
      </c>
      <c r="V963" s="110"/>
      <c r="W963" s="110">
        <v>2018</v>
      </c>
      <c r="X963" s="110" t="s">
        <v>2612</v>
      </c>
      <c r="Y963" s="106">
        <v>2420</v>
      </c>
      <c r="Z963" s="106">
        <f t="shared" si="495"/>
        <v>1</v>
      </c>
      <c r="AA963" s="106" t="s">
        <v>138</v>
      </c>
      <c r="AB963" s="111">
        <f t="shared" si="504"/>
        <v>3</v>
      </c>
      <c r="AC963" s="106" t="s">
        <v>751</v>
      </c>
      <c r="AD963" s="107">
        <f t="shared" si="505"/>
        <v>103395.83333333333</v>
      </c>
      <c r="AE963" s="198"/>
      <c r="AF963" s="113">
        <f t="shared" si="473"/>
        <v>0</v>
      </c>
      <c r="AG963" s="106">
        <v>2025</v>
      </c>
      <c r="AH963" s="26" t="str">
        <f t="shared" si="484"/>
        <v/>
      </c>
      <c r="AI963" s="26" t="str">
        <f t="shared" si="488"/>
        <v/>
      </c>
      <c r="AJ963" s="26" t="str">
        <f t="shared" si="493"/>
        <v/>
      </c>
      <c r="AK963" s="26" t="str">
        <f t="shared" si="503"/>
        <v>Overlay - 2"</v>
      </c>
      <c r="AL963" s="26" t="str">
        <f t="shared" si="503"/>
        <v/>
      </c>
      <c r="AM963" s="26" t="str">
        <f t="shared" si="503"/>
        <v/>
      </c>
      <c r="AN963" s="26" t="str">
        <f t="shared" si="487"/>
        <v>Overlay - 2"</v>
      </c>
      <c r="AO963" s="26" t="str">
        <f t="shared" si="494"/>
        <v/>
      </c>
      <c r="AP963" s="26" t="str">
        <f t="shared" si="492"/>
        <v/>
      </c>
      <c r="AQ963" s="68">
        <f t="shared" si="496"/>
        <v>10</v>
      </c>
      <c r="AR963" s="68">
        <f t="shared" si="497"/>
        <v>12</v>
      </c>
      <c r="AS963" s="68">
        <f t="shared" si="476"/>
        <v>1.05</v>
      </c>
      <c r="AT963" s="68">
        <f t="shared" si="477"/>
        <v>1.05</v>
      </c>
      <c r="AU963" s="68">
        <f t="shared" si="478"/>
        <v>1.05</v>
      </c>
      <c r="AV963" s="68">
        <f t="shared" si="479"/>
        <v>1.05</v>
      </c>
      <c r="AW963" s="68">
        <f t="shared" si="480"/>
        <v>1</v>
      </c>
      <c r="AX963" s="68">
        <f t="shared" ca="1" si="498"/>
        <v>1.05</v>
      </c>
      <c r="AY963" s="106">
        <v>2017</v>
      </c>
      <c r="AZ963" s="106" t="s">
        <v>13</v>
      </c>
      <c r="BA963" s="106" t="str">
        <f t="shared" si="499"/>
        <v/>
      </c>
      <c r="BB963" s="177"/>
      <c r="BC963" s="177">
        <v>2</v>
      </c>
      <c r="BD963" s="177"/>
      <c r="BE963" s="177"/>
      <c r="BF963" s="177"/>
      <c r="BG963" s="177"/>
      <c r="BH963" s="177"/>
      <c r="BI963" s="33"/>
      <c r="BK963" s="48">
        <f>$G963/5280*VLOOKUP($AC963,'Cost and Score'!$B$27:$O$40,6,0)</f>
        <v>2.1149147727272726</v>
      </c>
      <c r="BL963" s="48">
        <f>$G963/5280*VLOOKUP($AC963,'Cost and Score'!$B$27:$O$40,7,0)</f>
        <v>197.39204545454544</v>
      </c>
      <c r="BM963" s="48">
        <f>$G963/5280*VLOOKUP($AC963,'Cost and Score'!$B$27:$O$40,8,0)</f>
        <v>328.98674242424244</v>
      </c>
      <c r="BN963" s="48">
        <f>$G963/5280*VLOOKUP($AC963,'Cost and Score'!$B$27:$O$40,9,0)</f>
        <v>0</v>
      </c>
      <c r="BO963" s="48">
        <f>$G963/5280*VLOOKUP($AC963,'Cost and Score'!$B$27:$O$40,10,0)</f>
        <v>0</v>
      </c>
      <c r="BP963" s="48">
        <f>$G963/5280*VLOOKUP($AC963,'Cost and Score'!$B$27:$O$40,11,0)</f>
        <v>187.99242424242425</v>
      </c>
      <c r="BQ963" s="48">
        <f>$G963/5280*VLOOKUP($AC963,'Cost and Score'!$B$27:$O$40,12,0)</f>
        <v>1597.935606060606</v>
      </c>
      <c r="BR963" s="48">
        <f>$G963/5280*VLOOKUP($AC963,'Cost and Score'!$B$27:$O$40,13,0)</f>
        <v>0</v>
      </c>
      <c r="BS963" s="48">
        <f>$G963/5280*VLOOKUP($AC963,'Cost and Score'!$B$27:$O$40,14,0)</f>
        <v>0</v>
      </c>
      <c r="BT963" s="220">
        <f t="shared" si="507"/>
        <v>0.93996212121212119</v>
      </c>
      <c r="CF963" s="112"/>
      <c r="CR963" s="112"/>
    </row>
    <row r="964" spans="1:103" s="2" customFormat="1" ht="14.45" hidden="1" customHeight="1" x14ac:dyDescent="0.25">
      <c r="A964" s="38"/>
      <c r="B964" s="34" t="s">
        <v>2501</v>
      </c>
      <c r="C964" s="34" t="s">
        <v>2501</v>
      </c>
      <c r="D964" s="26"/>
      <c r="E964" s="26" t="s">
        <v>640</v>
      </c>
      <c r="F964" s="26" t="s">
        <v>25</v>
      </c>
      <c r="G964" s="29">
        <v>1160</v>
      </c>
      <c r="H964" s="29">
        <f t="shared" si="502"/>
        <v>20</v>
      </c>
      <c r="I964" s="26" t="s">
        <v>8</v>
      </c>
      <c r="J964" s="26" t="s">
        <v>6</v>
      </c>
      <c r="K964" s="26">
        <f t="shared" si="506"/>
        <v>0</v>
      </c>
      <c r="L964" s="42">
        <v>8</v>
      </c>
      <c r="M964" s="42">
        <v>7</v>
      </c>
      <c r="N964" s="42">
        <v>8</v>
      </c>
      <c r="O964" s="42">
        <v>8</v>
      </c>
      <c r="P964" s="42">
        <v>7</v>
      </c>
      <c r="Q964" s="42">
        <v>7</v>
      </c>
      <c r="R964" s="42">
        <v>6</v>
      </c>
      <c r="S964" s="42">
        <v>6</v>
      </c>
      <c r="T964" s="42">
        <v>6</v>
      </c>
      <c r="U964" s="42">
        <v>6</v>
      </c>
      <c r="V964" s="42"/>
      <c r="W964" s="42"/>
      <c r="X964" s="42"/>
      <c r="Y964" s="26">
        <v>540</v>
      </c>
      <c r="Z964" s="26">
        <f t="shared" si="495"/>
        <v>0.5</v>
      </c>
      <c r="AA964" s="26" t="s">
        <v>83</v>
      </c>
      <c r="AB964" s="111">
        <f t="shared" si="504"/>
        <v>3.5</v>
      </c>
      <c r="AC964" s="85" t="s">
        <v>2075</v>
      </c>
      <c r="AD964" s="47">
        <f t="shared" si="505"/>
        <v>1186.3636363636363</v>
      </c>
      <c r="AE964" s="140"/>
      <c r="AF964" s="113">
        <f t="shared" si="473"/>
        <v>0</v>
      </c>
      <c r="AG964" s="26">
        <v>2022</v>
      </c>
      <c r="AH964" s="26" t="str">
        <f t="shared" si="484"/>
        <v>Crack Seal</v>
      </c>
      <c r="AI964" s="26" t="str">
        <f t="shared" si="488"/>
        <v/>
      </c>
      <c r="AJ964" s="26" t="str">
        <f t="shared" si="493"/>
        <v/>
      </c>
      <c r="AK964" s="26" t="str">
        <f t="shared" si="503"/>
        <v/>
      </c>
      <c r="AL964" s="26" t="str">
        <f t="shared" si="503"/>
        <v/>
      </c>
      <c r="AM964" s="26" t="str">
        <f t="shared" si="503"/>
        <v/>
      </c>
      <c r="AN964" s="26" t="str">
        <f t="shared" si="487"/>
        <v>Crack Seal</v>
      </c>
      <c r="AO964" s="26" t="str">
        <f t="shared" si="494"/>
        <v/>
      </c>
      <c r="AP964" s="26" t="str">
        <f t="shared" si="492"/>
        <v/>
      </c>
      <c r="AQ964" s="68">
        <f t="shared" si="496"/>
        <v>12</v>
      </c>
      <c r="AR964" s="68">
        <f t="shared" si="497"/>
        <v>3</v>
      </c>
      <c r="AS964" s="68">
        <f t="shared" si="476"/>
        <v>1</v>
      </c>
      <c r="AT964" s="68">
        <f t="shared" si="477"/>
        <v>1.05</v>
      </c>
      <c r="AU964" s="68">
        <f t="shared" si="478"/>
        <v>1</v>
      </c>
      <c r="AV964" s="68">
        <f t="shared" si="479"/>
        <v>1</v>
      </c>
      <c r="AW964" s="68">
        <f t="shared" si="480"/>
        <v>1.05</v>
      </c>
      <c r="AX964" s="68">
        <f t="shared" ca="1" si="498"/>
        <v>-2</v>
      </c>
      <c r="AY964" s="68">
        <v>2019</v>
      </c>
      <c r="AZ964" s="68" t="s">
        <v>2075</v>
      </c>
      <c r="BA964" s="106" t="str">
        <f t="shared" si="499"/>
        <v/>
      </c>
      <c r="BB964" s="178"/>
      <c r="BC964" s="178">
        <v>4</v>
      </c>
      <c r="BD964" s="178"/>
      <c r="BE964" s="178"/>
      <c r="BF964" s="178"/>
      <c r="BG964" s="178"/>
      <c r="BH964" s="178"/>
      <c r="BI964" s="33"/>
      <c r="BK964" s="48">
        <f>$G964/5280*VLOOKUP($AC964,'Cost and Score'!$B$27:$O$40,6,0)</f>
        <v>0.2196969696969697</v>
      </c>
      <c r="BL964" s="48">
        <f>$G964/5280*VLOOKUP($AC964,'Cost and Score'!$B$27:$O$40,7,0)</f>
        <v>0</v>
      </c>
      <c r="BM964" s="48">
        <f>$G964/5280*VLOOKUP($AC964,'Cost and Score'!$B$27:$O$40,8,0)</f>
        <v>0</v>
      </c>
      <c r="BN964" s="48">
        <f>$G964/5280*VLOOKUP($AC964,'Cost and Score'!$B$27:$O$40,9,0)</f>
        <v>0</v>
      </c>
      <c r="BO964" s="48">
        <f>$G964/5280*VLOOKUP($AC964,'Cost and Score'!$B$27:$O$40,10,0)</f>
        <v>0</v>
      </c>
      <c r="BP964" s="48">
        <f>$G964/5280*VLOOKUP($AC964,'Cost and Score'!$B$27:$O$40,11,0)</f>
        <v>0</v>
      </c>
      <c r="BQ964" s="48">
        <f>$G964/5280*VLOOKUP($AC964,'Cost and Score'!$B$27:$O$40,12,0)</f>
        <v>0</v>
      </c>
      <c r="BR964" s="48">
        <f>$G964/5280*VLOOKUP($AC964,'Cost and Score'!$B$27:$O$40,13,0)</f>
        <v>0</v>
      </c>
      <c r="BS964" s="48">
        <f>$G964/5280*VLOOKUP($AC964,'Cost and Score'!$B$27:$O$40,14,0)</f>
        <v>0</v>
      </c>
      <c r="BT964" s="220">
        <f t="shared" si="507"/>
        <v>0.2196969696969697</v>
      </c>
      <c r="CF964" s="112"/>
    </row>
    <row r="965" spans="1:103" s="2" customFormat="1" ht="14.45" hidden="1" customHeight="1" x14ac:dyDescent="0.25">
      <c r="A965" s="38" t="s">
        <v>1795</v>
      </c>
      <c r="B965" s="34" t="s">
        <v>1794</v>
      </c>
      <c r="C965" s="26" t="s">
        <v>1794</v>
      </c>
      <c r="D965" s="26"/>
      <c r="E965" s="26" t="s">
        <v>110</v>
      </c>
      <c r="F965" s="26" t="s">
        <v>107</v>
      </c>
      <c r="G965" s="29">
        <v>5340</v>
      </c>
      <c r="H965" s="29">
        <f t="shared" si="502"/>
        <v>20</v>
      </c>
      <c r="I965" s="26" t="s">
        <v>8</v>
      </c>
      <c r="J965" s="26" t="s">
        <v>6</v>
      </c>
      <c r="K965" s="26">
        <f t="shared" si="506"/>
        <v>0</v>
      </c>
      <c r="L965" s="42">
        <v>8</v>
      </c>
      <c r="M965" s="42">
        <v>7</v>
      </c>
      <c r="N965" s="42">
        <v>8</v>
      </c>
      <c r="O965" s="42">
        <v>8</v>
      </c>
      <c r="P965" s="42">
        <v>7</v>
      </c>
      <c r="Q965" s="42">
        <v>6</v>
      </c>
      <c r="R965" s="42">
        <v>6</v>
      </c>
      <c r="S965" s="42">
        <v>7</v>
      </c>
      <c r="T965" s="42">
        <v>7</v>
      </c>
      <c r="U965" s="42">
        <v>7</v>
      </c>
      <c r="V965" s="42">
        <v>2023</v>
      </c>
      <c r="W965" s="42">
        <v>2023</v>
      </c>
      <c r="X965" s="42" t="s">
        <v>2612</v>
      </c>
      <c r="Y965" s="26">
        <v>540</v>
      </c>
      <c r="Z965" s="26">
        <f t="shared" si="495"/>
        <v>0.5</v>
      </c>
      <c r="AA965" s="26" t="s">
        <v>83</v>
      </c>
      <c r="AB965" s="111">
        <f t="shared" si="504"/>
        <v>3.5</v>
      </c>
      <c r="AC965" s="106" t="s">
        <v>13</v>
      </c>
      <c r="AD965" s="47">
        <f t="shared" si="505"/>
        <v>21238.636363636364</v>
      </c>
      <c r="AE965" s="140"/>
      <c r="AF965" s="113">
        <f t="shared" si="473"/>
        <v>0</v>
      </c>
      <c r="AG965" s="85">
        <v>2026</v>
      </c>
      <c r="AH965" s="26" t="str">
        <f t="shared" si="484"/>
        <v/>
      </c>
      <c r="AI965" s="26" t="str">
        <f t="shared" si="488"/>
        <v/>
      </c>
      <c r="AJ965" s="26" t="str">
        <f t="shared" si="493"/>
        <v/>
      </c>
      <c r="AK965" s="26" t="str">
        <f t="shared" si="503"/>
        <v/>
      </c>
      <c r="AL965" s="26" t="str">
        <f t="shared" si="503"/>
        <v>Chip Seal and Fog</v>
      </c>
      <c r="AM965" s="26" t="str">
        <f t="shared" si="503"/>
        <v/>
      </c>
      <c r="AN965" s="26" t="str">
        <f t="shared" si="487"/>
        <v>Chip Seal and Fog</v>
      </c>
      <c r="AO965" s="26" t="str">
        <f t="shared" si="494"/>
        <v/>
      </c>
      <c r="AP965" s="26" t="str">
        <f t="shared" si="492"/>
        <v/>
      </c>
      <c r="AQ965" s="68">
        <f t="shared" si="496"/>
        <v>12</v>
      </c>
      <c r="AR965" s="68">
        <f t="shared" si="497"/>
        <v>6</v>
      </c>
      <c r="AS965" s="68">
        <f t="shared" si="476"/>
        <v>1</v>
      </c>
      <c r="AT965" s="68">
        <f t="shared" si="477"/>
        <v>1.05</v>
      </c>
      <c r="AU965" s="68">
        <f t="shared" si="478"/>
        <v>1</v>
      </c>
      <c r="AV965" s="68">
        <f t="shared" si="479"/>
        <v>1</v>
      </c>
      <c r="AW965" s="68">
        <f t="shared" si="480"/>
        <v>1.05</v>
      </c>
      <c r="AX965" s="68">
        <f t="shared" ca="1" si="498"/>
        <v>2</v>
      </c>
      <c r="AY965" s="68">
        <v>2020</v>
      </c>
      <c r="AZ965" s="68" t="s">
        <v>2075</v>
      </c>
      <c r="BA965" s="106" t="str">
        <f t="shared" si="499"/>
        <v/>
      </c>
      <c r="BB965" s="178"/>
      <c r="BC965" s="178">
        <v>8</v>
      </c>
      <c r="BD965" s="178"/>
      <c r="BE965" s="178"/>
      <c r="BF965" s="178"/>
      <c r="BG965" s="178"/>
      <c r="BH965" s="178"/>
      <c r="BI965" s="33"/>
      <c r="BK965" s="48">
        <f>$G965/5280*VLOOKUP($AC965,'Cost and Score'!$B$27:$O$40,6,0)</f>
        <v>0.2022727272727273</v>
      </c>
      <c r="BL965" s="48">
        <f>$G965/5280*VLOOKUP($AC965,'Cost and Score'!$B$27:$O$40,7,0)</f>
        <v>22.250000000000004</v>
      </c>
      <c r="BM965" s="48">
        <f>$G965/5280*VLOOKUP($AC965,'Cost and Score'!$B$27:$O$40,8,0)</f>
        <v>0</v>
      </c>
      <c r="BN965" s="48">
        <f>$G965/5280*VLOOKUP($AC965,'Cost and Score'!$B$27:$O$40,9,0)</f>
        <v>4551.136363636364</v>
      </c>
      <c r="BO965" s="48">
        <f>$G965/5280*VLOOKUP($AC965,'Cost and Score'!$B$27:$O$40,10,0)</f>
        <v>1011.3636363636365</v>
      </c>
      <c r="BP965" s="48">
        <f>$G965/5280*VLOOKUP($AC965,'Cost and Score'!$B$27:$O$40,11,0)</f>
        <v>0</v>
      </c>
      <c r="BQ965" s="48">
        <f>$G965/5280*VLOOKUP($AC965,'Cost and Score'!$B$27:$O$40,12,0)</f>
        <v>101.13636363636364</v>
      </c>
      <c r="BR965" s="48">
        <f>$G965/5280*VLOOKUP($AC965,'Cost and Score'!$B$27:$O$40,13,0)</f>
        <v>121.36363636363637</v>
      </c>
      <c r="BS965" s="48">
        <f>$G965/5280*VLOOKUP($AC965,'Cost and Score'!$B$27:$O$40,14,0)</f>
        <v>0</v>
      </c>
      <c r="BT965" s="220">
        <f t="shared" si="507"/>
        <v>1.0113636363636365</v>
      </c>
    </row>
    <row r="966" spans="1:103" s="2" customFormat="1" ht="14.45" hidden="1" customHeight="1" x14ac:dyDescent="0.25">
      <c r="A966" s="38" t="s">
        <v>1797</v>
      </c>
      <c r="B966" s="108" t="s">
        <v>1796</v>
      </c>
      <c r="C966" s="106" t="s">
        <v>1796</v>
      </c>
      <c r="D966" s="106"/>
      <c r="E966" s="106" t="s">
        <v>203</v>
      </c>
      <c r="F966" s="106" t="s">
        <v>110</v>
      </c>
      <c r="G966" s="109">
        <v>5185</v>
      </c>
      <c r="H966" s="109">
        <f t="shared" si="502"/>
        <v>20</v>
      </c>
      <c r="I966" s="106" t="s">
        <v>8</v>
      </c>
      <c r="J966" s="106" t="s">
        <v>6</v>
      </c>
      <c r="K966" s="106">
        <f t="shared" si="506"/>
        <v>0</v>
      </c>
      <c r="L966" s="110">
        <v>7</v>
      </c>
      <c r="M966" s="110">
        <v>5</v>
      </c>
      <c r="N966" s="110">
        <v>4</v>
      </c>
      <c r="O966" s="110">
        <v>4</v>
      </c>
      <c r="P966" s="110">
        <v>9</v>
      </c>
      <c r="Q966" s="110">
        <v>9</v>
      </c>
      <c r="R966" s="110">
        <v>8</v>
      </c>
      <c r="S966" s="110">
        <v>7</v>
      </c>
      <c r="T966" s="110">
        <v>7</v>
      </c>
      <c r="U966" s="110">
        <v>7</v>
      </c>
      <c r="V966" s="110"/>
      <c r="W966" s="110"/>
      <c r="X966" s="110"/>
      <c r="Y966" s="106">
        <v>486</v>
      </c>
      <c r="Z966" s="106">
        <f t="shared" si="495"/>
        <v>0</v>
      </c>
      <c r="AA966" s="106" t="s">
        <v>83</v>
      </c>
      <c r="AB966" s="111">
        <f t="shared" si="504"/>
        <v>1</v>
      </c>
      <c r="AC966" s="85" t="s">
        <v>2075</v>
      </c>
      <c r="AD966" s="107">
        <f t="shared" si="505"/>
        <v>5302.840909090909</v>
      </c>
      <c r="AE966" s="198"/>
      <c r="AF966" s="113">
        <f t="shared" si="473"/>
        <v>0</v>
      </c>
      <c r="AG966" s="106">
        <v>2022</v>
      </c>
      <c r="AH966" s="26" t="str">
        <f t="shared" si="484"/>
        <v>Crack Seal</v>
      </c>
      <c r="AI966" s="26" t="str">
        <f t="shared" si="488"/>
        <v/>
      </c>
      <c r="AJ966" s="26" t="str">
        <f t="shared" si="493"/>
        <v/>
      </c>
      <c r="AK966" s="26" t="str">
        <f t="shared" si="503"/>
        <v/>
      </c>
      <c r="AL966" s="26" t="str">
        <f t="shared" si="503"/>
        <v/>
      </c>
      <c r="AM966" s="26" t="str">
        <f t="shared" si="503"/>
        <v/>
      </c>
      <c r="AN966" s="26" t="str">
        <f t="shared" si="487"/>
        <v>Crack Seal</v>
      </c>
      <c r="AO966" s="26" t="str">
        <f t="shared" si="494"/>
        <v/>
      </c>
      <c r="AP966" s="26" t="str">
        <f t="shared" si="492"/>
        <v/>
      </c>
      <c r="AQ966" s="68">
        <f t="shared" si="496"/>
        <v>3</v>
      </c>
      <c r="AR966" s="68">
        <f t="shared" si="497"/>
        <v>3</v>
      </c>
      <c r="AS966" s="68">
        <f t="shared" si="476"/>
        <v>1.05</v>
      </c>
      <c r="AT966" s="68">
        <f t="shared" si="477"/>
        <v>1.25</v>
      </c>
      <c r="AU966" s="68">
        <f t="shared" si="478"/>
        <v>1.5</v>
      </c>
      <c r="AV966" s="68">
        <f t="shared" si="479"/>
        <v>1.5</v>
      </c>
      <c r="AW966" s="68">
        <f t="shared" si="480"/>
        <v>1</v>
      </c>
      <c r="AX966" s="68">
        <f t="shared" ca="1" si="498"/>
        <v>-3</v>
      </c>
      <c r="AY966" s="106">
        <v>2017</v>
      </c>
      <c r="AZ966" s="106" t="s">
        <v>751</v>
      </c>
      <c r="BA966" s="106" t="str">
        <f t="shared" si="499"/>
        <v/>
      </c>
      <c r="BB966" s="177"/>
      <c r="BC966" s="177">
        <v>8</v>
      </c>
      <c r="BD966" s="177"/>
      <c r="BE966" s="177"/>
      <c r="BF966" s="177"/>
      <c r="BG966" s="177"/>
      <c r="BH966" s="177"/>
      <c r="BI966" s="33"/>
      <c r="BK966" s="48">
        <f>$G966/5280*VLOOKUP($AC966,'Cost and Score'!$B$27:$O$40,6,0)</f>
        <v>0.9820075757575758</v>
      </c>
      <c r="BL966" s="48">
        <f>$G966/5280*VLOOKUP($AC966,'Cost and Score'!$B$27:$O$40,7,0)</f>
        <v>0</v>
      </c>
      <c r="BM966" s="48">
        <f>$G966/5280*VLOOKUP($AC966,'Cost and Score'!$B$27:$O$40,8,0)</f>
        <v>0</v>
      </c>
      <c r="BN966" s="48">
        <f>$G966/5280*VLOOKUP($AC966,'Cost and Score'!$B$27:$O$40,9,0)</f>
        <v>0</v>
      </c>
      <c r="BO966" s="48">
        <f>$G966/5280*VLOOKUP($AC966,'Cost and Score'!$B$27:$O$40,10,0)</f>
        <v>0</v>
      </c>
      <c r="BP966" s="48">
        <f>$G966/5280*VLOOKUP($AC966,'Cost and Score'!$B$27:$O$40,11,0)</f>
        <v>0</v>
      </c>
      <c r="BQ966" s="48">
        <f>$G966/5280*VLOOKUP($AC966,'Cost and Score'!$B$27:$O$40,12,0)</f>
        <v>0</v>
      </c>
      <c r="BR966" s="48">
        <f>$G966/5280*VLOOKUP($AC966,'Cost and Score'!$B$27:$O$40,13,0)</f>
        <v>0</v>
      </c>
      <c r="BS966" s="48">
        <f>$G966/5280*VLOOKUP($AC966,'Cost and Score'!$B$27:$O$40,14,0)</f>
        <v>0</v>
      </c>
      <c r="BT966" s="220">
        <f t="shared" si="507"/>
        <v>0.9820075757575758</v>
      </c>
      <c r="CS966" s="112"/>
      <c r="CT966" s="112"/>
      <c r="CU966" s="112"/>
    </row>
    <row r="967" spans="1:103" s="2" customFormat="1" ht="14.45" hidden="1" customHeight="1" x14ac:dyDescent="0.25">
      <c r="A967" s="38" t="s">
        <v>1799</v>
      </c>
      <c r="B967" s="34" t="s">
        <v>1798</v>
      </c>
      <c r="C967" s="26" t="s">
        <v>1798</v>
      </c>
      <c r="D967" s="82"/>
      <c r="E967" s="82" t="s">
        <v>39</v>
      </c>
      <c r="F967" s="82" t="s">
        <v>38</v>
      </c>
      <c r="G967" s="29">
        <v>5300</v>
      </c>
      <c r="H967" s="29">
        <f t="shared" si="502"/>
        <v>20</v>
      </c>
      <c r="I967" s="26" t="s">
        <v>13</v>
      </c>
      <c r="J967" s="26" t="s">
        <v>11</v>
      </c>
      <c r="K967" s="26">
        <f t="shared" si="506"/>
        <v>0</v>
      </c>
      <c r="L967" s="42">
        <v>8</v>
      </c>
      <c r="M967" s="42">
        <v>7</v>
      </c>
      <c r="N967" s="42">
        <v>6</v>
      </c>
      <c r="O967" s="83">
        <v>6</v>
      </c>
      <c r="P967" s="83">
        <v>6</v>
      </c>
      <c r="Q967" s="83">
        <v>5</v>
      </c>
      <c r="R967" s="83">
        <v>5</v>
      </c>
      <c r="S967" s="83">
        <v>5</v>
      </c>
      <c r="T967" s="83">
        <v>8</v>
      </c>
      <c r="U967" s="83">
        <v>8</v>
      </c>
      <c r="V967" s="42"/>
      <c r="W967" s="42"/>
      <c r="X967" s="42"/>
      <c r="Y967" s="26">
        <v>262</v>
      </c>
      <c r="Z967" s="26">
        <f t="shared" si="495"/>
        <v>0</v>
      </c>
      <c r="AA967" s="82" t="s">
        <v>83</v>
      </c>
      <c r="AB967" s="111">
        <f t="shared" si="504"/>
        <v>4</v>
      </c>
      <c r="AC967" s="85" t="s">
        <v>13</v>
      </c>
      <c r="AD967" s="84">
        <f t="shared" si="505"/>
        <v>21079.545454545456</v>
      </c>
      <c r="AE967" s="140"/>
      <c r="AF967" s="113">
        <f t="shared" si="473"/>
        <v>0</v>
      </c>
      <c r="AG967" s="26">
        <v>2027</v>
      </c>
      <c r="AH967" s="26" t="str">
        <f t="shared" si="484"/>
        <v/>
      </c>
      <c r="AI967" s="26" t="str">
        <f t="shared" si="488"/>
        <v/>
      </c>
      <c r="AJ967" s="26" t="str">
        <f t="shared" si="493"/>
        <v/>
      </c>
      <c r="AK967" s="26" t="str">
        <f t="shared" si="503"/>
        <v/>
      </c>
      <c r="AL967" s="26" t="str">
        <f t="shared" si="503"/>
        <v/>
      </c>
      <c r="AM967" s="26" t="str">
        <f t="shared" si="503"/>
        <v>Chip Seal and Fog</v>
      </c>
      <c r="AN967" s="26" t="str">
        <f t="shared" si="487"/>
        <v>Chip Seal and Fog</v>
      </c>
      <c r="AO967" s="26" t="str">
        <f t="shared" si="494"/>
        <v>Overlay - 2"</v>
      </c>
      <c r="AP967" s="26" t="str">
        <f t="shared" si="492"/>
        <v/>
      </c>
      <c r="AQ967" s="68">
        <f t="shared" si="496"/>
        <v>8</v>
      </c>
      <c r="AR967" s="68">
        <f t="shared" si="497"/>
        <v>6</v>
      </c>
      <c r="AS967" s="68">
        <f t="shared" si="476"/>
        <v>1</v>
      </c>
      <c r="AT967" s="68">
        <f t="shared" si="477"/>
        <v>1.05</v>
      </c>
      <c r="AU967" s="68">
        <f t="shared" si="478"/>
        <v>1.1000000000000001</v>
      </c>
      <c r="AV967" s="68">
        <f t="shared" si="479"/>
        <v>1.1000000000000001</v>
      </c>
      <c r="AW967" s="68">
        <f t="shared" si="480"/>
        <v>1.1000000000000001</v>
      </c>
      <c r="AX967" s="68">
        <f t="shared" ca="1" si="498"/>
        <v>3.3000000000000003</v>
      </c>
      <c r="AY967" s="106">
        <v>2021</v>
      </c>
      <c r="AZ967" s="106" t="s">
        <v>751</v>
      </c>
      <c r="BA967" s="106" t="str">
        <f t="shared" si="499"/>
        <v/>
      </c>
      <c r="BB967" s="178">
        <v>100</v>
      </c>
      <c r="BC967" s="178">
        <v>4</v>
      </c>
      <c r="BD967" s="178"/>
      <c r="BE967" s="178"/>
      <c r="BF967" s="178"/>
      <c r="BG967" s="178"/>
      <c r="BH967" s="178"/>
      <c r="BI967" s="33"/>
      <c r="BK967" s="48">
        <f>$G967/5280*VLOOKUP($AC967,'Cost and Score'!$B$27:$O$40,6,0)</f>
        <v>0.2007575757575758</v>
      </c>
      <c r="BL967" s="48">
        <f>$G967/5280*VLOOKUP($AC967,'Cost and Score'!$B$27:$O$40,7,0)</f>
        <v>22.083333333333336</v>
      </c>
      <c r="BM967" s="48">
        <f>$G967/5280*VLOOKUP($AC967,'Cost and Score'!$B$27:$O$40,8,0)</f>
        <v>0</v>
      </c>
      <c r="BN967" s="48">
        <f>$G967/5280*VLOOKUP($AC967,'Cost and Score'!$B$27:$O$40,9,0)</f>
        <v>4517.045454545455</v>
      </c>
      <c r="BO967" s="48">
        <f>$G967/5280*VLOOKUP($AC967,'Cost and Score'!$B$27:$O$40,10,0)</f>
        <v>1003.7878787878789</v>
      </c>
      <c r="BP967" s="48">
        <f>$G967/5280*VLOOKUP($AC967,'Cost and Score'!$B$27:$O$40,11,0)</f>
        <v>0</v>
      </c>
      <c r="BQ967" s="48">
        <f>$G967/5280*VLOOKUP($AC967,'Cost and Score'!$B$27:$O$40,12,0)</f>
        <v>100.37878787878789</v>
      </c>
      <c r="BR967" s="48">
        <f>$G967/5280*VLOOKUP($AC967,'Cost and Score'!$B$27:$O$40,13,0)</f>
        <v>120.45454545454547</v>
      </c>
      <c r="BS967" s="48">
        <f>$G967/5280*VLOOKUP($AC967,'Cost and Score'!$B$27:$O$40,14,0)</f>
        <v>0</v>
      </c>
      <c r="BT967" s="220">
        <f t="shared" si="507"/>
        <v>1.0037878787878789</v>
      </c>
      <c r="CG967" s="112"/>
      <c r="CH967" s="112"/>
      <c r="CI967" s="112"/>
      <c r="CJ967" s="112"/>
      <c r="CK967" s="112"/>
      <c r="CL967" s="112"/>
      <c r="CM967" s="112"/>
      <c r="CR967" s="112"/>
    </row>
    <row r="968" spans="1:103" s="112" customFormat="1" ht="14.45" hidden="1" customHeight="1" x14ac:dyDescent="0.25">
      <c r="A968" s="36" t="s">
        <v>1801</v>
      </c>
      <c r="B968" s="34" t="s">
        <v>1800</v>
      </c>
      <c r="C968" s="26" t="s">
        <v>1800</v>
      </c>
      <c r="D968" s="26"/>
      <c r="E968" s="26" t="s">
        <v>39</v>
      </c>
      <c r="F968" s="26" t="s">
        <v>213</v>
      </c>
      <c r="G968" s="29">
        <v>5160</v>
      </c>
      <c r="H968" s="29">
        <f t="shared" si="502"/>
        <v>20</v>
      </c>
      <c r="I968" s="26" t="s">
        <v>13</v>
      </c>
      <c r="J968" s="26" t="s">
        <v>11</v>
      </c>
      <c r="K968" s="26">
        <f t="shared" si="506"/>
        <v>0</v>
      </c>
      <c r="L968" s="42">
        <v>3</v>
      </c>
      <c r="M968" s="42">
        <v>5</v>
      </c>
      <c r="N968" s="42">
        <v>7</v>
      </c>
      <c r="O968" s="42">
        <v>7</v>
      </c>
      <c r="P968" s="42">
        <v>7</v>
      </c>
      <c r="Q968" s="42">
        <v>5</v>
      </c>
      <c r="R968" s="42">
        <v>5</v>
      </c>
      <c r="S968" s="42">
        <v>5</v>
      </c>
      <c r="T968" s="42">
        <v>5</v>
      </c>
      <c r="U968" s="42">
        <v>7</v>
      </c>
      <c r="V968" s="42"/>
      <c r="W968" s="42"/>
      <c r="X968" s="42"/>
      <c r="Y968" s="26">
        <v>71</v>
      </c>
      <c r="Z968" s="26">
        <f t="shared" si="495"/>
        <v>0</v>
      </c>
      <c r="AA968" s="26" t="s">
        <v>83</v>
      </c>
      <c r="AB968" s="111">
        <f t="shared" si="504"/>
        <v>3</v>
      </c>
      <c r="AC968" s="26" t="s">
        <v>13</v>
      </c>
      <c r="AD968" s="47">
        <f t="shared" si="505"/>
        <v>20522.727272727272</v>
      </c>
      <c r="AE968" s="140"/>
      <c r="AF968" s="113">
        <f t="shared" si="473"/>
        <v>0</v>
      </c>
      <c r="AG968" s="26">
        <v>2022</v>
      </c>
      <c r="AH968" s="26" t="str">
        <f t="shared" si="484"/>
        <v>Chip Seal and Fog</v>
      </c>
      <c r="AI968" s="26" t="str">
        <f t="shared" si="488"/>
        <v/>
      </c>
      <c r="AJ968" s="26" t="str">
        <f t="shared" si="493"/>
        <v/>
      </c>
      <c r="AK968" s="26" t="str">
        <f t="shared" ref="AK968:AM987" si="508">IF($AG968=AK$1,VLOOKUP($AC968,RSL,3,FALSE),"")</f>
        <v/>
      </c>
      <c r="AL968" s="26" t="str">
        <f t="shared" si="508"/>
        <v/>
      </c>
      <c r="AM968" s="26" t="str">
        <f t="shared" si="508"/>
        <v/>
      </c>
      <c r="AN968" s="26" t="str">
        <f t="shared" si="487"/>
        <v>Chip Seal and Fog</v>
      </c>
      <c r="AO968" s="26" t="str">
        <f t="shared" si="494"/>
        <v/>
      </c>
      <c r="AP968" s="26" t="str">
        <f t="shared" si="492"/>
        <v>Chip Seal and Fog</v>
      </c>
      <c r="AQ968" s="68">
        <f t="shared" si="496"/>
        <v>10</v>
      </c>
      <c r="AR968" s="68">
        <f t="shared" si="497"/>
        <v>6</v>
      </c>
      <c r="AS968" s="68">
        <f t="shared" si="476"/>
        <v>1.75</v>
      </c>
      <c r="AT968" s="68">
        <f t="shared" si="477"/>
        <v>1.25</v>
      </c>
      <c r="AU968" s="68">
        <f t="shared" si="478"/>
        <v>1.05</v>
      </c>
      <c r="AV968" s="68">
        <f t="shared" si="479"/>
        <v>1.05</v>
      </c>
      <c r="AW968" s="68">
        <f t="shared" si="480"/>
        <v>1.05</v>
      </c>
      <c r="AX968" s="68">
        <f t="shared" ca="1" si="498"/>
        <v>-2.1</v>
      </c>
      <c r="AY968" s="68">
        <v>2022</v>
      </c>
      <c r="AZ968" s="68" t="s">
        <v>13</v>
      </c>
      <c r="BA968" s="106" t="str">
        <f t="shared" si="499"/>
        <v/>
      </c>
      <c r="BB968" s="178"/>
      <c r="BC968" s="178">
        <v>4</v>
      </c>
      <c r="BD968" s="178"/>
      <c r="BE968" s="178"/>
      <c r="BF968" s="178"/>
      <c r="BG968" s="178"/>
      <c r="BH968" s="178"/>
      <c r="BI968" s="33" t="s">
        <v>2192</v>
      </c>
      <c r="BJ968" s="2"/>
      <c r="BK968" s="48">
        <f>$G968/5280*VLOOKUP($AC968,'Cost and Score'!$B$27:$O$40,6,0)</f>
        <v>0.19545454545454546</v>
      </c>
      <c r="BL968" s="48">
        <f>$G968/5280*VLOOKUP($AC968,'Cost and Score'!$B$27:$O$40,7,0)</f>
        <v>21.5</v>
      </c>
      <c r="BM968" s="48">
        <f>$G968/5280*VLOOKUP($AC968,'Cost and Score'!$B$27:$O$40,8,0)</f>
        <v>0</v>
      </c>
      <c r="BN968" s="48">
        <f>$G968/5280*VLOOKUP($AC968,'Cost and Score'!$B$27:$O$40,9,0)</f>
        <v>4397.727272727273</v>
      </c>
      <c r="BO968" s="48">
        <f>$G968/5280*VLOOKUP($AC968,'Cost and Score'!$B$27:$O$40,10,0)</f>
        <v>977.27272727272725</v>
      </c>
      <c r="BP968" s="48">
        <f>$G968/5280*VLOOKUP($AC968,'Cost and Score'!$B$27:$O$40,11,0)</f>
        <v>0</v>
      </c>
      <c r="BQ968" s="48">
        <f>$G968/5280*VLOOKUP($AC968,'Cost and Score'!$B$27:$O$40,12,0)</f>
        <v>97.727272727272734</v>
      </c>
      <c r="BR968" s="48">
        <f>$G968/5280*VLOOKUP($AC968,'Cost and Score'!$B$27:$O$40,13,0)</f>
        <v>117.27272727272728</v>
      </c>
      <c r="BS968" s="48">
        <f>$G968/5280*VLOOKUP($AC968,'Cost and Score'!$B$27:$O$40,14,0)</f>
        <v>0</v>
      </c>
      <c r="BT968" s="220">
        <f t="shared" si="507"/>
        <v>0.97727272727272729</v>
      </c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S968" s="2"/>
      <c r="CT968" s="2"/>
      <c r="CU968" s="2"/>
      <c r="CV968" s="2"/>
      <c r="CW968" s="2"/>
      <c r="CX968" s="2"/>
      <c r="CY968" s="2"/>
    </row>
    <row r="969" spans="1:103" s="2" customFormat="1" ht="14.45" hidden="1" customHeight="1" x14ac:dyDescent="0.25">
      <c r="A969" s="31" t="s">
        <v>2102</v>
      </c>
      <c r="B969" s="224" t="s">
        <v>1802</v>
      </c>
      <c r="C969" s="85" t="s">
        <v>1802</v>
      </c>
      <c r="D969" s="86" t="s">
        <v>2282</v>
      </c>
      <c r="E969" s="85" t="s">
        <v>1469</v>
      </c>
      <c r="F969" s="85" t="s">
        <v>1592</v>
      </c>
      <c r="G969" s="29">
        <v>792</v>
      </c>
      <c r="H969" s="29">
        <f t="shared" si="502"/>
        <v>26</v>
      </c>
      <c r="I969" s="124" t="s">
        <v>2098</v>
      </c>
      <c r="J969" s="85" t="s">
        <v>6</v>
      </c>
      <c r="K969" s="85">
        <f t="shared" si="506"/>
        <v>0</v>
      </c>
      <c r="L969" s="74">
        <v>6</v>
      </c>
      <c r="M969" s="74">
        <v>9</v>
      </c>
      <c r="N969" s="74">
        <v>9</v>
      </c>
      <c r="O969" s="74">
        <v>8</v>
      </c>
      <c r="P969" s="74">
        <v>8</v>
      </c>
      <c r="Q969" s="74">
        <v>8</v>
      </c>
      <c r="R969" s="74">
        <v>7</v>
      </c>
      <c r="S969" s="74">
        <v>7</v>
      </c>
      <c r="T969" s="74">
        <v>7</v>
      </c>
      <c r="U969" s="74">
        <v>7</v>
      </c>
      <c r="V969" s="74"/>
      <c r="W969" s="74"/>
      <c r="X969" s="74"/>
      <c r="Y969" s="85">
        <v>141</v>
      </c>
      <c r="Z969" s="85">
        <f t="shared" si="495"/>
        <v>0</v>
      </c>
      <c r="AA969" s="85" t="s">
        <v>1802</v>
      </c>
      <c r="AB969" s="111">
        <f t="shared" si="504"/>
        <v>2</v>
      </c>
      <c r="AC969" s="85" t="s">
        <v>2371</v>
      </c>
      <c r="AD969" s="47">
        <f t="shared" si="505"/>
        <v>12000</v>
      </c>
      <c r="AE969" s="140">
        <v>1</v>
      </c>
      <c r="AF969" s="113">
        <f t="shared" si="473"/>
        <v>12000</v>
      </c>
      <c r="AG969" s="85">
        <v>2024</v>
      </c>
      <c r="AH969" s="26" t="str">
        <f t="shared" si="484"/>
        <v/>
      </c>
      <c r="AI969" s="26" t="str">
        <f t="shared" si="488"/>
        <v/>
      </c>
      <c r="AJ969" s="26" t="str">
        <f t="shared" si="493"/>
        <v>Microsurface double</v>
      </c>
      <c r="AK969" s="26" t="str">
        <f t="shared" si="508"/>
        <v/>
      </c>
      <c r="AL969" s="26" t="str">
        <f t="shared" si="508"/>
        <v/>
      </c>
      <c r="AM969" s="26" t="str">
        <f t="shared" si="508"/>
        <v/>
      </c>
      <c r="AN969" s="26" t="str">
        <f t="shared" si="487"/>
        <v>Microsurface double</v>
      </c>
      <c r="AO969" s="26" t="str">
        <f t="shared" si="494"/>
        <v/>
      </c>
      <c r="AP969" s="26" t="str">
        <f t="shared" si="492"/>
        <v/>
      </c>
      <c r="AQ969" s="68">
        <f t="shared" si="496"/>
        <v>12</v>
      </c>
      <c r="AR969" s="68">
        <f t="shared" si="497"/>
        <v>10</v>
      </c>
      <c r="AS969" s="68">
        <f t="shared" si="476"/>
        <v>1.1000000000000001</v>
      </c>
      <c r="AT969" s="68">
        <f t="shared" si="477"/>
        <v>1</v>
      </c>
      <c r="AU969" s="68">
        <f t="shared" si="478"/>
        <v>1</v>
      </c>
      <c r="AV969" s="68">
        <f t="shared" si="479"/>
        <v>1</v>
      </c>
      <c r="AW969" s="68">
        <f t="shared" si="480"/>
        <v>1</v>
      </c>
      <c r="AX969" s="68">
        <f t="shared" ca="1" si="498"/>
        <v>0</v>
      </c>
      <c r="AY969" s="68">
        <v>2020</v>
      </c>
      <c r="AZ969" s="68" t="s">
        <v>2075</v>
      </c>
      <c r="BA969" s="106" t="str">
        <f t="shared" si="499"/>
        <v/>
      </c>
      <c r="BB969" s="178"/>
      <c r="BC969" s="178"/>
      <c r="BD969" s="178"/>
      <c r="BE969" s="178"/>
      <c r="BF969" s="178"/>
      <c r="BG969" s="178"/>
      <c r="BH969" s="178"/>
      <c r="BI969" s="33"/>
      <c r="BK969" s="48">
        <f>$G969/5280*VLOOKUP($AC969,'Cost and Score'!$B$27:$O$40,6,0)</f>
        <v>7.4999999999999997E-2</v>
      </c>
      <c r="BL969" s="48">
        <f>$G969/5280*VLOOKUP($AC969,'Cost and Score'!$B$27:$O$40,7,0)</f>
        <v>0</v>
      </c>
      <c r="BM969" s="48">
        <f>$G969/5280*VLOOKUP($AC969,'Cost and Score'!$B$27:$O$40,8,0)</f>
        <v>0</v>
      </c>
      <c r="BN969" s="48">
        <f>$G969/5280*VLOOKUP($AC969,'Cost and Score'!$B$27:$O$40,9,0)</f>
        <v>0</v>
      </c>
      <c r="BO969" s="48">
        <f>$G969/5280*VLOOKUP($AC969,'Cost and Score'!$B$27:$O$40,10,0)</f>
        <v>0</v>
      </c>
      <c r="BP969" s="48">
        <f>$G969/5280*VLOOKUP($AC969,'Cost and Score'!$B$27:$O$40,11,0)</f>
        <v>0</v>
      </c>
      <c r="BQ969" s="48">
        <f>$G969/5280*VLOOKUP($AC969,'Cost and Score'!$B$27:$O$40,12,0)</f>
        <v>0</v>
      </c>
      <c r="BR969" s="48">
        <f>$G969/5280*VLOOKUP($AC969,'Cost and Score'!$B$27:$O$40,13,0)</f>
        <v>0</v>
      </c>
      <c r="BS969" s="48">
        <f>$G969/5280*VLOOKUP($AC969,'Cost and Score'!$B$27:$O$40,14,0)</f>
        <v>0</v>
      </c>
      <c r="BT969" s="220">
        <f t="shared" si="507"/>
        <v>0.15</v>
      </c>
      <c r="CF969" s="112"/>
      <c r="CN969" s="112"/>
      <c r="CO969" s="112"/>
      <c r="CP969" s="112"/>
      <c r="CQ969" s="112"/>
      <c r="CR969" s="112"/>
      <c r="CV969" s="112"/>
    </row>
    <row r="970" spans="1:103" s="2" customFormat="1" ht="14.45" hidden="1" customHeight="1" x14ac:dyDescent="0.25">
      <c r="A970" s="31" t="s">
        <v>2102</v>
      </c>
      <c r="B970" s="226" t="s">
        <v>1806</v>
      </c>
      <c r="C970" s="106" t="s">
        <v>1806</v>
      </c>
      <c r="D970" s="116" t="s">
        <v>2230</v>
      </c>
      <c r="E970" s="106" t="s">
        <v>4</v>
      </c>
      <c r="F970" s="106" t="s">
        <v>1804</v>
      </c>
      <c r="G970" s="109">
        <v>950</v>
      </c>
      <c r="H970" s="109">
        <f t="shared" si="502"/>
        <v>26</v>
      </c>
      <c r="I970" s="106" t="s">
        <v>2098</v>
      </c>
      <c r="J970" s="106" t="s">
        <v>101</v>
      </c>
      <c r="K970" s="106">
        <v>0</v>
      </c>
      <c r="L970" s="110">
        <v>7</v>
      </c>
      <c r="M970" s="110">
        <v>8</v>
      </c>
      <c r="N970" s="110">
        <v>8</v>
      </c>
      <c r="O970" s="110">
        <v>8</v>
      </c>
      <c r="P970" s="110">
        <v>8</v>
      </c>
      <c r="Q970" s="110">
        <v>7</v>
      </c>
      <c r="R970" s="110">
        <v>6</v>
      </c>
      <c r="S970" s="110">
        <v>6</v>
      </c>
      <c r="T970" s="110">
        <v>6</v>
      </c>
      <c r="U970" s="110">
        <v>6</v>
      </c>
      <c r="V970" s="110"/>
      <c r="W970" s="110"/>
      <c r="X970" s="110"/>
      <c r="Y970" s="106">
        <v>50</v>
      </c>
      <c r="Z970" s="106">
        <f t="shared" ref="Z970:Z1001" si="509">VLOOKUP(Y970,AADT,2)</f>
        <v>0</v>
      </c>
      <c r="AA970" s="106" t="s">
        <v>1806</v>
      </c>
      <c r="AB970" s="111">
        <f t="shared" si="504"/>
        <v>2</v>
      </c>
      <c r="AC970" s="85" t="s">
        <v>2371</v>
      </c>
      <c r="AD970" s="107">
        <f t="shared" si="505"/>
        <v>14393.939393939394</v>
      </c>
      <c r="AE970" s="140">
        <v>1</v>
      </c>
      <c r="AF970" s="113">
        <f t="shared" ref="AF970:AF1033" si="510">AD970*AE970</f>
        <v>14393.939393939394</v>
      </c>
      <c r="AG970" s="85">
        <v>2024</v>
      </c>
      <c r="AH970" s="26" t="str">
        <f t="shared" si="484"/>
        <v/>
      </c>
      <c r="AI970" s="26" t="str">
        <f t="shared" si="488"/>
        <v/>
      </c>
      <c r="AJ970" s="26" t="str">
        <f t="shared" si="493"/>
        <v>Microsurface double</v>
      </c>
      <c r="AK970" s="26" t="str">
        <f t="shared" si="508"/>
        <v/>
      </c>
      <c r="AL970" s="26" t="str">
        <f t="shared" si="508"/>
        <v/>
      </c>
      <c r="AM970" s="26" t="str">
        <f t="shared" si="508"/>
        <v/>
      </c>
      <c r="AN970" s="26" t="str">
        <f t="shared" si="487"/>
        <v>Microsurface double</v>
      </c>
      <c r="AO970" s="26" t="str">
        <f t="shared" si="494"/>
        <v/>
      </c>
      <c r="AP970" s="26" t="str">
        <f t="shared" si="492"/>
        <v/>
      </c>
      <c r="AQ970" s="68">
        <f t="shared" ref="AQ970:AQ1001" si="511">VLOOKUP(O970,RSLrem,2,FALSE)</f>
        <v>12</v>
      </c>
      <c r="AR970" s="68">
        <f t="shared" ref="AR970:AR1001" si="512">VLOOKUP(AC970,RSL,5,FALSE)</f>
        <v>10</v>
      </c>
      <c r="AS970" s="68">
        <f t="shared" ref="AS970:AS1033" si="513">IF(L970 &lt;&gt; "",VLOOKUP(L970,RSLloss,3,FALSE),0)</f>
        <v>1.05</v>
      </c>
      <c r="AT970" s="68">
        <f t="shared" ref="AT970:AT1033" si="514">IF(M970 &lt;&gt; "",VLOOKUP(M970,RSLloss,3,FALSE),0)</f>
        <v>1</v>
      </c>
      <c r="AU970" s="68">
        <f t="shared" ref="AU970:AU1033" si="515">IF(N970 &lt;&gt; "",VLOOKUP(N970,RSLloss,3,FALSE),0)</f>
        <v>1</v>
      </c>
      <c r="AV970" s="68">
        <f t="shared" ref="AV970:AV1033" si="516">IF(O970 &lt;&gt; "",VLOOKUP(O970,RSLloss,3,FALSE),0)</f>
        <v>1</v>
      </c>
      <c r="AW970" s="68">
        <f t="shared" ref="AW970:AW1033" si="517">IF(P970 &lt;&gt; "",VLOOKUP(P970,RSLloss,3,FALSE),0)</f>
        <v>1</v>
      </c>
      <c r="AX970" s="68">
        <f t="shared" ref="AX970:AX1001" ca="1" si="518">AU970*(AG970-YEAR(TODAY()))</f>
        <v>0</v>
      </c>
      <c r="AY970" s="106">
        <v>2017</v>
      </c>
      <c r="AZ970" s="68" t="s">
        <v>2371</v>
      </c>
      <c r="BA970" s="106" t="str">
        <f t="shared" ref="BA970:BA1001" si="519">IF(AY970=2018,AZ970,"")</f>
        <v/>
      </c>
      <c r="BB970" s="178"/>
      <c r="BC970" s="178"/>
      <c r="BD970" s="178">
        <v>1</v>
      </c>
      <c r="BE970" s="178"/>
      <c r="BF970" s="178"/>
      <c r="BG970" s="178"/>
      <c r="BH970" s="178"/>
      <c r="BI970" s="33" t="s">
        <v>2623</v>
      </c>
      <c r="BK970" s="48">
        <f>$G970/5280*VLOOKUP($AC970,'Cost and Score'!$B$27:$O$40,6,0)</f>
        <v>8.9962121212121215E-2</v>
      </c>
      <c r="BL970" s="48">
        <f>$G970/5280*VLOOKUP($AC970,'Cost and Score'!$B$27:$O$40,7,0)</f>
        <v>0</v>
      </c>
      <c r="BM970" s="48">
        <f>$G970/5280*VLOOKUP($AC970,'Cost and Score'!$B$27:$O$40,8,0)</f>
        <v>0</v>
      </c>
      <c r="BN970" s="48">
        <f>$G970/5280*VLOOKUP($AC970,'Cost and Score'!$B$27:$O$40,9,0)</f>
        <v>0</v>
      </c>
      <c r="BO970" s="48">
        <f>$G970/5280*VLOOKUP($AC970,'Cost and Score'!$B$27:$O$40,10,0)</f>
        <v>0</v>
      </c>
      <c r="BP970" s="48">
        <f>$G970/5280*VLOOKUP($AC970,'Cost and Score'!$B$27:$O$40,11,0)</f>
        <v>0</v>
      </c>
      <c r="BQ970" s="48">
        <f>$G970/5280*VLOOKUP($AC970,'Cost and Score'!$B$27:$O$40,12,0)</f>
        <v>0</v>
      </c>
      <c r="BR970" s="48">
        <f>$G970/5280*VLOOKUP($AC970,'Cost and Score'!$B$27:$O$40,13,0)</f>
        <v>0</v>
      </c>
      <c r="BS970" s="48">
        <f>$G970/5280*VLOOKUP($AC970,'Cost and Score'!$B$27:$O$40,14,0)</f>
        <v>0</v>
      </c>
      <c r="BT970" s="220">
        <f t="shared" si="507"/>
        <v>0.17992424242424243</v>
      </c>
      <c r="CF970" s="112"/>
      <c r="CS970" s="112"/>
      <c r="CT970" s="112"/>
      <c r="CU970" s="112"/>
      <c r="CW970" s="112"/>
      <c r="CX970" s="112"/>
      <c r="CY970" s="112"/>
    </row>
    <row r="971" spans="1:103" s="2" customFormat="1" ht="14.45" hidden="1" customHeight="1" x14ac:dyDescent="0.25">
      <c r="A971" s="31" t="s">
        <v>2102</v>
      </c>
      <c r="B971" s="226" t="s">
        <v>1807</v>
      </c>
      <c r="C971" s="106" t="s">
        <v>1807</v>
      </c>
      <c r="D971" s="116" t="s">
        <v>2230</v>
      </c>
      <c r="E971" s="106" t="s">
        <v>4</v>
      </c>
      <c r="F971" s="106" t="s">
        <v>1585</v>
      </c>
      <c r="G971" s="109">
        <v>264</v>
      </c>
      <c r="H971" s="109">
        <f t="shared" si="502"/>
        <v>26</v>
      </c>
      <c r="I971" s="106" t="s">
        <v>2098</v>
      </c>
      <c r="J971" s="106" t="s">
        <v>101</v>
      </c>
      <c r="K971" s="106">
        <v>0</v>
      </c>
      <c r="L971" s="110">
        <v>6</v>
      </c>
      <c r="M971" s="110">
        <v>8</v>
      </c>
      <c r="N971" s="110">
        <v>8</v>
      </c>
      <c r="O971" s="110">
        <v>8</v>
      </c>
      <c r="P971" s="110">
        <v>8</v>
      </c>
      <c r="Q971" s="110">
        <v>7</v>
      </c>
      <c r="R971" s="110">
        <v>7</v>
      </c>
      <c r="S971" s="110">
        <v>7</v>
      </c>
      <c r="T971" s="110">
        <v>7</v>
      </c>
      <c r="U971" s="110">
        <v>7</v>
      </c>
      <c r="V971" s="110"/>
      <c r="W971" s="110"/>
      <c r="X971" s="110"/>
      <c r="Y971" s="106">
        <v>50</v>
      </c>
      <c r="Z971" s="106">
        <f t="shared" si="509"/>
        <v>0</v>
      </c>
      <c r="AA971" s="106" t="s">
        <v>1807</v>
      </c>
      <c r="AB971" s="111">
        <f t="shared" si="504"/>
        <v>2</v>
      </c>
      <c r="AC971" s="85" t="s">
        <v>2371</v>
      </c>
      <c r="AD971" s="107">
        <f t="shared" si="505"/>
        <v>4000</v>
      </c>
      <c r="AE971" s="140">
        <v>1</v>
      </c>
      <c r="AF971" s="113">
        <f t="shared" si="510"/>
        <v>4000</v>
      </c>
      <c r="AG971" s="85">
        <v>2024</v>
      </c>
      <c r="AH971" s="26" t="str">
        <f t="shared" si="484"/>
        <v/>
      </c>
      <c r="AI971" s="26" t="str">
        <f t="shared" si="488"/>
        <v/>
      </c>
      <c r="AJ971" s="26" t="str">
        <f t="shared" si="493"/>
        <v>Microsurface double</v>
      </c>
      <c r="AK971" s="26" t="str">
        <f t="shared" si="508"/>
        <v/>
      </c>
      <c r="AL971" s="26" t="str">
        <f t="shared" si="508"/>
        <v/>
      </c>
      <c r="AM971" s="26" t="str">
        <f t="shared" si="508"/>
        <v/>
      </c>
      <c r="AN971" s="26" t="str">
        <f t="shared" si="487"/>
        <v>Microsurface double</v>
      </c>
      <c r="AO971" s="26" t="str">
        <f t="shared" si="494"/>
        <v/>
      </c>
      <c r="AP971" s="26" t="str">
        <f t="shared" si="492"/>
        <v/>
      </c>
      <c r="AQ971" s="68">
        <f t="shared" si="511"/>
        <v>12</v>
      </c>
      <c r="AR971" s="68">
        <f t="shared" si="512"/>
        <v>10</v>
      </c>
      <c r="AS971" s="68">
        <f t="shared" si="513"/>
        <v>1.1000000000000001</v>
      </c>
      <c r="AT971" s="68">
        <f t="shared" si="514"/>
        <v>1</v>
      </c>
      <c r="AU971" s="68">
        <f t="shared" si="515"/>
        <v>1</v>
      </c>
      <c r="AV971" s="68">
        <f t="shared" si="516"/>
        <v>1</v>
      </c>
      <c r="AW971" s="68">
        <f t="shared" si="517"/>
        <v>1</v>
      </c>
      <c r="AX971" s="68">
        <f t="shared" ca="1" si="518"/>
        <v>0</v>
      </c>
      <c r="AY971" s="106">
        <v>2017</v>
      </c>
      <c r="AZ971" s="68" t="s">
        <v>2371</v>
      </c>
      <c r="BA971" s="106" t="str">
        <f t="shared" si="519"/>
        <v/>
      </c>
      <c r="BB971" s="178"/>
      <c r="BC971" s="178"/>
      <c r="BD971" s="178">
        <v>1</v>
      </c>
      <c r="BE971" s="178"/>
      <c r="BF971" s="178"/>
      <c r="BG971" s="178"/>
      <c r="BH971" s="178"/>
      <c r="BI971" s="33" t="s">
        <v>2623</v>
      </c>
      <c r="BK971" s="48">
        <f>$G971/5280*VLOOKUP($AC971,'Cost and Score'!$B$27:$O$40,6,0)</f>
        <v>2.5000000000000001E-2</v>
      </c>
      <c r="BL971" s="48">
        <f>$G971/5280*VLOOKUP($AC971,'Cost and Score'!$B$27:$O$40,7,0)</f>
        <v>0</v>
      </c>
      <c r="BM971" s="48">
        <f>$G971/5280*VLOOKUP($AC971,'Cost and Score'!$B$27:$O$40,8,0)</f>
        <v>0</v>
      </c>
      <c r="BN971" s="48">
        <f>$G971/5280*VLOOKUP($AC971,'Cost and Score'!$B$27:$O$40,9,0)</f>
        <v>0</v>
      </c>
      <c r="BO971" s="48">
        <f>$G971/5280*VLOOKUP($AC971,'Cost and Score'!$B$27:$O$40,10,0)</f>
        <v>0</v>
      </c>
      <c r="BP971" s="48">
        <f>$G971/5280*VLOOKUP($AC971,'Cost and Score'!$B$27:$O$40,11,0)</f>
        <v>0</v>
      </c>
      <c r="BQ971" s="48">
        <f>$G971/5280*VLOOKUP($AC971,'Cost and Score'!$B$27:$O$40,12,0)</f>
        <v>0</v>
      </c>
      <c r="BR971" s="48">
        <f>$G971/5280*VLOOKUP($AC971,'Cost and Score'!$B$27:$O$40,13,0)</f>
        <v>0</v>
      </c>
      <c r="BS971" s="48">
        <f>$G971/5280*VLOOKUP($AC971,'Cost and Score'!$B$27:$O$40,14,0)</f>
        <v>0</v>
      </c>
      <c r="BT971" s="220">
        <f t="shared" si="507"/>
        <v>0.05</v>
      </c>
      <c r="CF971" s="112"/>
      <c r="CG971" s="112"/>
      <c r="CH971" s="112"/>
      <c r="CI971" s="112"/>
      <c r="CJ971" s="112"/>
      <c r="CK971" s="112"/>
      <c r="CL971" s="112"/>
      <c r="CM971" s="112"/>
      <c r="CS971" s="112"/>
      <c r="CT971" s="112"/>
      <c r="CU971" s="112"/>
    </row>
    <row r="972" spans="1:103" s="112" customFormat="1" ht="14.45" hidden="1" customHeight="1" x14ac:dyDescent="0.25">
      <c r="A972" s="31" t="s">
        <v>2102</v>
      </c>
      <c r="B972" s="226" t="s">
        <v>1808</v>
      </c>
      <c r="C972" s="106" t="s">
        <v>1808</v>
      </c>
      <c r="D972" s="116" t="s">
        <v>2230</v>
      </c>
      <c r="E972" s="106" t="s">
        <v>4</v>
      </c>
      <c r="F972" s="106" t="s">
        <v>1585</v>
      </c>
      <c r="G972" s="109">
        <v>1267</v>
      </c>
      <c r="H972" s="109">
        <f t="shared" si="502"/>
        <v>26</v>
      </c>
      <c r="I972" s="106" t="s">
        <v>2098</v>
      </c>
      <c r="J972" s="106" t="s">
        <v>101</v>
      </c>
      <c r="K972" s="106">
        <v>0</v>
      </c>
      <c r="L972" s="110">
        <v>6</v>
      </c>
      <c r="M972" s="110">
        <v>8</v>
      </c>
      <c r="N972" s="110">
        <v>8</v>
      </c>
      <c r="O972" s="110">
        <v>8</v>
      </c>
      <c r="P972" s="110">
        <v>8</v>
      </c>
      <c r="Q972" s="110">
        <v>7</v>
      </c>
      <c r="R972" s="110">
        <v>7</v>
      </c>
      <c r="S972" s="110">
        <v>7</v>
      </c>
      <c r="T972" s="110">
        <v>7</v>
      </c>
      <c r="U972" s="110">
        <v>7</v>
      </c>
      <c r="V972" s="110"/>
      <c r="W972" s="110"/>
      <c r="X972" s="110"/>
      <c r="Y972" s="106">
        <v>50</v>
      </c>
      <c r="Z972" s="106">
        <f t="shared" si="509"/>
        <v>0</v>
      </c>
      <c r="AA972" s="106" t="s">
        <v>1808</v>
      </c>
      <c r="AB972" s="111">
        <f t="shared" si="504"/>
        <v>2</v>
      </c>
      <c r="AC972" s="85" t="s">
        <v>2371</v>
      </c>
      <c r="AD972" s="107">
        <f t="shared" si="505"/>
        <v>19196.969696969696</v>
      </c>
      <c r="AE972" s="140">
        <v>1</v>
      </c>
      <c r="AF972" s="113">
        <f t="shared" si="510"/>
        <v>19196.969696969696</v>
      </c>
      <c r="AG972" s="85">
        <v>2024</v>
      </c>
      <c r="AH972" s="26" t="str">
        <f t="shared" si="484"/>
        <v/>
      </c>
      <c r="AI972" s="26" t="str">
        <f t="shared" si="488"/>
        <v/>
      </c>
      <c r="AJ972" s="26" t="str">
        <f t="shared" si="493"/>
        <v>Microsurface double</v>
      </c>
      <c r="AK972" s="26" t="str">
        <f t="shared" si="508"/>
        <v/>
      </c>
      <c r="AL972" s="26" t="str">
        <f t="shared" si="508"/>
        <v/>
      </c>
      <c r="AM972" s="26" t="str">
        <f t="shared" si="508"/>
        <v/>
      </c>
      <c r="AN972" s="26" t="str">
        <f t="shared" si="487"/>
        <v>Microsurface double</v>
      </c>
      <c r="AO972" s="26" t="str">
        <f t="shared" si="494"/>
        <v/>
      </c>
      <c r="AP972" s="26" t="str">
        <f t="shared" si="492"/>
        <v/>
      </c>
      <c r="AQ972" s="68">
        <f t="shared" si="511"/>
        <v>12</v>
      </c>
      <c r="AR972" s="68">
        <f t="shared" si="512"/>
        <v>10</v>
      </c>
      <c r="AS972" s="68">
        <f t="shared" si="513"/>
        <v>1.1000000000000001</v>
      </c>
      <c r="AT972" s="68">
        <f t="shared" si="514"/>
        <v>1</v>
      </c>
      <c r="AU972" s="68">
        <f t="shared" si="515"/>
        <v>1</v>
      </c>
      <c r="AV972" s="68">
        <f t="shared" si="516"/>
        <v>1</v>
      </c>
      <c r="AW972" s="68">
        <f t="shared" si="517"/>
        <v>1</v>
      </c>
      <c r="AX972" s="68">
        <f t="shared" ca="1" si="518"/>
        <v>0</v>
      </c>
      <c r="AY972" s="106">
        <v>2017</v>
      </c>
      <c r="AZ972" s="68" t="s">
        <v>2371</v>
      </c>
      <c r="BA972" s="106" t="str">
        <f t="shared" si="519"/>
        <v/>
      </c>
      <c r="BB972" s="178"/>
      <c r="BC972" s="178"/>
      <c r="BD972" s="178">
        <v>1</v>
      </c>
      <c r="BE972" s="178"/>
      <c r="BF972" s="178"/>
      <c r="BG972" s="178"/>
      <c r="BH972" s="178"/>
      <c r="BI972" s="33" t="s">
        <v>2623</v>
      </c>
      <c r="BJ972" s="2"/>
      <c r="BK972" s="48">
        <f>$G972/5280*VLOOKUP($AC972,'Cost and Score'!$B$27:$O$40,6,0)</f>
        <v>0.1199810606060606</v>
      </c>
      <c r="BL972" s="48">
        <f>$G972/5280*VLOOKUP($AC972,'Cost and Score'!$B$27:$O$40,7,0)</f>
        <v>0</v>
      </c>
      <c r="BM972" s="48">
        <f>$G972/5280*VLOOKUP($AC972,'Cost and Score'!$B$27:$O$40,8,0)</f>
        <v>0</v>
      </c>
      <c r="BN972" s="48">
        <f>$G972/5280*VLOOKUP($AC972,'Cost and Score'!$B$27:$O$40,9,0)</f>
        <v>0</v>
      </c>
      <c r="BO972" s="48">
        <f>$G972/5280*VLOOKUP($AC972,'Cost and Score'!$B$27:$O$40,10,0)</f>
        <v>0</v>
      </c>
      <c r="BP972" s="48">
        <f>$G972/5280*VLOOKUP($AC972,'Cost and Score'!$B$27:$O$40,11,0)</f>
        <v>0</v>
      </c>
      <c r="BQ972" s="48">
        <f>$G972/5280*VLOOKUP($AC972,'Cost and Score'!$B$27:$O$40,12,0)</f>
        <v>0</v>
      </c>
      <c r="BR972" s="48">
        <f>$G972/5280*VLOOKUP($AC972,'Cost and Score'!$B$27:$O$40,13,0)</f>
        <v>0</v>
      </c>
      <c r="BS972" s="48">
        <f>$G972/5280*VLOOKUP($AC972,'Cost and Score'!$B$27:$O$40,14,0)</f>
        <v>0</v>
      </c>
      <c r="BT972" s="220">
        <f t="shared" si="507"/>
        <v>0.23996212121212121</v>
      </c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N972" s="2"/>
      <c r="CO972" s="2"/>
      <c r="CP972" s="2"/>
      <c r="CQ972" s="2"/>
      <c r="CR972" s="2"/>
      <c r="CV972" s="2"/>
    </row>
    <row r="973" spans="1:103" s="112" customFormat="1" ht="14.45" hidden="1" customHeight="1" x14ac:dyDescent="0.25">
      <c r="A973" s="31" t="s">
        <v>2102</v>
      </c>
      <c r="B973" s="224" t="s">
        <v>1809</v>
      </c>
      <c r="C973" s="26" t="s">
        <v>1809</v>
      </c>
      <c r="D973" s="36" t="s">
        <v>2222</v>
      </c>
      <c r="E973" s="26" t="s">
        <v>1451</v>
      </c>
      <c r="F973" s="26" t="s">
        <v>1522</v>
      </c>
      <c r="G973" s="29">
        <f>1327/2</f>
        <v>663.5</v>
      </c>
      <c r="H973" s="29">
        <f t="shared" si="502"/>
        <v>26</v>
      </c>
      <c r="I973" s="26" t="s">
        <v>2098</v>
      </c>
      <c r="J973" s="26" t="s">
        <v>160</v>
      </c>
      <c r="K973" s="26">
        <f>VLOOKUP(J973,TOWNSHIPS,2,FALSE)</f>
        <v>0</v>
      </c>
      <c r="L973" s="42">
        <v>7</v>
      </c>
      <c r="M973" s="42">
        <v>7</v>
      </c>
      <c r="N973" s="42">
        <v>7</v>
      </c>
      <c r="O973" s="42">
        <v>7</v>
      </c>
      <c r="P973" s="42">
        <v>7</v>
      </c>
      <c r="Q973" s="42">
        <v>7</v>
      </c>
      <c r="R973" s="42">
        <v>7</v>
      </c>
      <c r="S973" s="42">
        <v>7</v>
      </c>
      <c r="T973" s="42">
        <v>7</v>
      </c>
      <c r="U973" s="42">
        <v>7</v>
      </c>
      <c r="V973" s="42"/>
      <c r="W973" s="42"/>
      <c r="X973" s="42"/>
      <c r="Y973" s="26">
        <v>50</v>
      </c>
      <c r="Z973" s="26">
        <f t="shared" si="509"/>
        <v>0</v>
      </c>
      <c r="AA973" s="26" t="s">
        <v>1809</v>
      </c>
      <c r="AB973" s="111">
        <f t="shared" si="504"/>
        <v>3</v>
      </c>
      <c r="AC973" s="85" t="s">
        <v>2425</v>
      </c>
      <c r="AD973" s="47">
        <f t="shared" si="505"/>
        <v>3141.5719696969695</v>
      </c>
      <c r="AE973" s="140"/>
      <c r="AF973" s="113">
        <f t="shared" si="510"/>
        <v>0</v>
      </c>
      <c r="AG973" s="85">
        <v>2026</v>
      </c>
      <c r="AH973" s="26" t="str">
        <f t="shared" ref="AH973:AH1036" si="520">IF($AG973=AH$1,VLOOKUP($AC973,RSL,3,FALSE),"")</f>
        <v/>
      </c>
      <c r="AI973" s="26" t="str">
        <f t="shared" si="488"/>
        <v/>
      </c>
      <c r="AJ973" s="26" t="str">
        <f t="shared" si="493"/>
        <v/>
      </c>
      <c r="AK973" s="26" t="str">
        <f t="shared" si="508"/>
        <v/>
      </c>
      <c r="AL973" s="26" t="str">
        <f t="shared" si="508"/>
        <v>Liquid Road</v>
      </c>
      <c r="AM973" s="26" t="str">
        <f t="shared" si="508"/>
        <v/>
      </c>
      <c r="AN973" s="26" t="str">
        <f t="shared" si="487"/>
        <v>Liquid Road</v>
      </c>
      <c r="AO973" s="26" t="str">
        <f t="shared" si="494"/>
        <v/>
      </c>
      <c r="AP973" s="26" t="str">
        <f t="shared" si="492"/>
        <v/>
      </c>
      <c r="AQ973" s="68">
        <f t="shared" si="511"/>
        <v>10</v>
      </c>
      <c r="AR973" s="68">
        <f t="shared" si="512"/>
        <v>10</v>
      </c>
      <c r="AS973" s="68">
        <f t="shared" si="513"/>
        <v>1.05</v>
      </c>
      <c r="AT973" s="68">
        <f t="shared" si="514"/>
        <v>1.05</v>
      </c>
      <c r="AU973" s="68">
        <f t="shared" si="515"/>
        <v>1.05</v>
      </c>
      <c r="AV973" s="68">
        <f t="shared" si="516"/>
        <v>1.05</v>
      </c>
      <c r="AW973" s="68">
        <f t="shared" si="517"/>
        <v>1.05</v>
      </c>
      <c r="AX973" s="68">
        <f t="shared" ca="1" si="518"/>
        <v>2.1</v>
      </c>
      <c r="AY973" s="68">
        <v>2016</v>
      </c>
      <c r="AZ973" s="68" t="s">
        <v>2075</v>
      </c>
      <c r="BA973" s="106" t="str">
        <f t="shared" si="519"/>
        <v/>
      </c>
      <c r="BB973" s="178"/>
      <c r="BC973" s="178"/>
      <c r="BD973" s="178"/>
      <c r="BE973" s="178">
        <v>2</v>
      </c>
      <c r="BF973" s="178"/>
      <c r="BG973" s="178"/>
      <c r="BH973" s="178"/>
      <c r="BI973" s="33"/>
      <c r="BJ973" s="2"/>
      <c r="BK973" s="48">
        <f>$G973/5280*VLOOKUP($AC973,'Cost and Score'!$B$27:$O$40,6,0)</f>
        <v>0.1256628787878788</v>
      </c>
      <c r="BL973" s="48">
        <f>$G973/5280*VLOOKUP($AC973,'Cost and Score'!$B$27:$O$40,7,0)</f>
        <v>2.0106060606060607</v>
      </c>
      <c r="BM973" s="48">
        <f>$G973/5280*VLOOKUP($AC973,'Cost and Score'!$B$27:$O$40,8,0)</f>
        <v>0</v>
      </c>
      <c r="BN973" s="48">
        <f>$G973/5280*VLOOKUP($AC973,'Cost and Score'!$B$27:$O$40,9,0)</f>
        <v>0</v>
      </c>
      <c r="BO973" s="48">
        <f>$G973/5280*VLOOKUP($AC973,'Cost and Score'!$B$27:$O$40,10,0)</f>
        <v>0</v>
      </c>
      <c r="BP973" s="48">
        <f>$G973/5280*VLOOKUP($AC973,'Cost and Score'!$B$27:$O$40,11,0)</f>
        <v>0</v>
      </c>
      <c r="BQ973" s="48">
        <f>$G973/5280*VLOOKUP($AC973,'Cost and Score'!$B$27:$O$40,12,0)</f>
        <v>0</v>
      </c>
      <c r="BR973" s="48">
        <f>$G973/5280*VLOOKUP($AC973,'Cost and Score'!$B$27:$O$40,13,0)</f>
        <v>0</v>
      </c>
      <c r="BS973" s="48">
        <f>$G973/5280*VLOOKUP($AC973,'Cost and Score'!$B$27:$O$40,14,0)</f>
        <v>0</v>
      </c>
      <c r="BT973" s="220">
        <f t="shared" si="507"/>
        <v>0.1256628787878788</v>
      </c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S973" s="2"/>
      <c r="CT973" s="2"/>
      <c r="CU973" s="2"/>
      <c r="CW973" s="2"/>
      <c r="CX973" s="2"/>
      <c r="CY973" s="2"/>
    </row>
    <row r="974" spans="1:103" s="112" customFormat="1" ht="14.45" hidden="1" customHeight="1" x14ac:dyDescent="0.25">
      <c r="A974" s="31" t="s">
        <v>2102</v>
      </c>
      <c r="B974" s="45" t="s">
        <v>1810</v>
      </c>
      <c r="C974" s="26" t="s">
        <v>1810</v>
      </c>
      <c r="D974" s="36" t="s">
        <v>2222</v>
      </c>
      <c r="E974" s="26" t="s">
        <v>1451</v>
      </c>
      <c r="F974" s="26" t="s">
        <v>1522</v>
      </c>
      <c r="G974" s="29">
        <v>858</v>
      </c>
      <c r="H974" s="29">
        <f t="shared" si="502"/>
        <v>26</v>
      </c>
      <c r="I974" s="26" t="s">
        <v>2098</v>
      </c>
      <c r="J974" s="26" t="s">
        <v>160</v>
      </c>
      <c r="K974" s="26">
        <f>VLOOKUP(J974,TOWNSHIPS,2,FALSE)</f>
        <v>0</v>
      </c>
      <c r="L974" s="42">
        <v>7</v>
      </c>
      <c r="M974" s="42">
        <v>7</v>
      </c>
      <c r="N974" s="42">
        <v>7</v>
      </c>
      <c r="O974" s="42">
        <v>7</v>
      </c>
      <c r="P974" s="42">
        <v>7</v>
      </c>
      <c r="Q974" s="42">
        <v>7</v>
      </c>
      <c r="R974" s="42">
        <v>7</v>
      </c>
      <c r="S974" s="42">
        <v>7</v>
      </c>
      <c r="T974" s="42">
        <v>7</v>
      </c>
      <c r="U974" s="42">
        <v>7</v>
      </c>
      <c r="V974" s="42"/>
      <c r="W974" s="42"/>
      <c r="X974" s="42"/>
      <c r="Y974" s="26">
        <v>50</v>
      </c>
      <c r="Z974" s="26">
        <f t="shared" si="509"/>
        <v>0</v>
      </c>
      <c r="AA974" s="26" t="s">
        <v>1810</v>
      </c>
      <c r="AB974" s="111">
        <f t="shared" si="504"/>
        <v>3</v>
      </c>
      <c r="AC974" s="26" t="s">
        <v>2086</v>
      </c>
      <c r="AD974" s="47">
        <v>9667</v>
      </c>
      <c r="AE974" s="140"/>
      <c r="AF974" s="113">
        <f t="shared" si="510"/>
        <v>0</v>
      </c>
      <c r="AG974" s="26">
        <v>2024</v>
      </c>
      <c r="AH974" s="26" t="str">
        <f t="shared" si="520"/>
        <v/>
      </c>
      <c r="AI974" s="26" t="str">
        <f t="shared" si="488"/>
        <v/>
      </c>
      <c r="AJ974" s="26" t="str">
        <f t="shared" si="493"/>
        <v>Fog Seal</v>
      </c>
      <c r="AK974" s="26" t="str">
        <f t="shared" si="508"/>
        <v/>
      </c>
      <c r="AL974" s="26" t="str">
        <f t="shared" si="508"/>
        <v/>
      </c>
      <c r="AM974" s="26" t="str">
        <f t="shared" si="508"/>
        <v/>
      </c>
      <c r="AN974" s="26" t="str">
        <f t="shared" si="487"/>
        <v>Fog Seal</v>
      </c>
      <c r="AO974" s="26" t="str">
        <f t="shared" si="494"/>
        <v/>
      </c>
      <c r="AP974" s="26" t="str">
        <f t="shared" si="492"/>
        <v/>
      </c>
      <c r="AQ974" s="68">
        <f t="shared" si="511"/>
        <v>10</v>
      </c>
      <c r="AR974" s="68">
        <f t="shared" si="512"/>
        <v>2</v>
      </c>
      <c r="AS974" s="68">
        <f t="shared" si="513"/>
        <v>1.05</v>
      </c>
      <c r="AT974" s="68">
        <f t="shared" si="514"/>
        <v>1.05</v>
      </c>
      <c r="AU974" s="68">
        <f t="shared" si="515"/>
        <v>1.05</v>
      </c>
      <c r="AV974" s="68">
        <f t="shared" si="516"/>
        <v>1.05</v>
      </c>
      <c r="AW974" s="68">
        <f t="shared" si="517"/>
        <v>1.05</v>
      </c>
      <c r="AX974" s="68">
        <f t="shared" ca="1" si="518"/>
        <v>0</v>
      </c>
      <c r="AY974" s="68">
        <v>2018</v>
      </c>
      <c r="AZ974" s="68" t="s">
        <v>2371</v>
      </c>
      <c r="BA974" s="106" t="str">
        <f t="shared" si="519"/>
        <v>MICRO</v>
      </c>
      <c r="BB974" s="178"/>
      <c r="BC974" s="178"/>
      <c r="BD974" s="178"/>
      <c r="BE974" s="178"/>
      <c r="BF974" s="178"/>
      <c r="BG974" s="178"/>
      <c r="BH974" s="178"/>
      <c r="BI974" s="33"/>
      <c r="BJ974" s="2"/>
      <c r="BK974" s="48">
        <f>$G974/5280*VLOOKUP($AC974,'Cost and Score'!$B$27:$O$40,6,0)</f>
        <v>1.6250000000000001E-2</v>
      </c>
      <c r="BL974" s="48">
        <f>$G974/5280*VLOOKUP($AC974,'Cost and Score'!$B$27:$O$40,7,0)</f>
        <v>3.2500000000000001E-2</v>
      </c>
      <c r="BM974" s="48">
        <f>$G974/5280*VLOOKUP($AC974,'Cost and Score'!$B$27:$O$40,8,0)</f>
        <v>0</v>
      </c>
      <c r="BN974" s="48">
        <f>$G974/5280*VLOOKUP($AC974,'Cost and Score'!$B$27:$O$40,9,0)</f>
        <v>0</v>
      </c>
      <c r="BO974" s="48">
        <f>$G974/5280*VLOOKUP($AC974,'Cost and Score'!$B$27:$O$40,10,0)</f>
        <v>162.5</v>
      </c>
      <c r="BP974" s="48">
        <f>$G974/5280*VLOOKUP($AC974,'Cost and Score'!$B$27:$O$40,11,0)</f>
        <v>0</v>
      </c>
      <c r="BQ974" s="48">
        <f>$G974/5280*VLOOKUP($AC974,'Cost and Score'!$B$27:$O$40,12,0)</f>
        <v>0</v>
      </c>
      <c r="BR974" s="48">
        <f>$G974/5280*VLOOKUP($AC974,'Cost and Score'!$B$27:$O$40,13,0)</f>
        <v>0</v>
      </c>
      <c r="BS974" s="48">
        <f>$G974/5280*VLOOKUP($AC974,'Cost and Score'!$B$27:$O$40,14,0)</f>
        <v>0</v>
      </c>
      <c r="BT974" s="220">
        <f t="shared" si="507"/>
        <v>0.16250000000000001</v>
      </c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S974" s="2"/>
      <c r="CT974" s="2"/>
      <c r="CU974" s="2"/>
      <c r="CW974" s="2"/>
      <c r="CX974" s="2"/>
      <c r="CY974" s="2"/>
    </row>
    <row r="975" spans="1:103" s="2" customFormat="1" ht="14.45" hidden="1" customHeight="1" x14ac:dyDescent="0.25">
      <c r="A975" s="38" t="s">
        <v>2102</v>
      </c>
      <c r="B975" s="34" t="s">
        <v>1811</v>
      </c>
      <c r="C975" s="26" t="s">
        <v>1811</v>
      </c>
      <c r="D975" s="26"/>
      <c r="E975" s="26" t="s">
        <v>121</v>
      </c>
      <c r="F975" s="26" t="s">
        <v>1443</v>
      </c>
      <c r="G975" s="29">
        <v>294</v>
      </c>
      <c r="H975" s="29">
        <f t="shared" si="502"/>
        <v>20</v>
      </c>
      <c r="I975" s="26" t="s">
        <v>8</v>
      </c>
      <c r="J975" s="26" t="s">
        <v>101</v>
      </c>
      <c r="K975" s="26">
        <v>0</v>
      </c>
      <c r="L975" s="42">
        <v>6</v>
      </c>
      <c r="M975" s="42">
        <v>4</v>
      </c>
      <c r="N975" s="42">
        <v>10</v>
      </c>
      <c r="O975" s="42">
        <v>9</v>
      </c>
      <c r="P975" s="42">
        <v>9</v>
      </c>
      <c r="Q975" s="42">
        <v>8</v>
      </c>
      <c r="R975" s="42">
        <v>8</v>
      </c>
      <c r="S975" s="42">
        <v>7</v>
      </c>
      <c r="T975" s="42">
        <v>7</v>
      </c>
      <c r="U975" s="42">
        <v>7</v>
      </c>
      <c r="V975" s="42"/>
      <c r="W975" s="42"/>
      <c r="X975" s="42"/>
      <c r="Y975" s="26">
        <v>50</v>
      </c>
      <c r="Z975" s="26">
        <f t="shared" si="509"/>
        <v>0</v>
      </c>
      <c r="AA975" s="26" t="s">
        <v>1811</v>
      </c>
      <c r="AB975" s="111">
        <f t="shared" si="504"/>
        <v>1</v>
      </c>
      <c r="AC975" s="85" t="s">
        <v>2073</v>
      </c>
      <c r="AD975" s="47">
        <f t="shared" ref="AD975:AD1006" si="521">VLOOKUP(AC975,Cost,2,FALSE)*G975/5280</f>
        <v>1781.8181818181818</v>
      </c>
      <c r="AE975" s="140"/>
      <c r="AF975" s="113">
        <f t="shared" si="510"/>
        <v>0</v>
      </c>
      <c r="AG975" s="26">
        <v>2027</v>
      </c>
      <c r="AH975" s="26" t="str">
        <f t="shared" si="520"/>
        <v/>
      </c>
      <c r="AI975" s="26" t="str">
        <f t="shared" si="488"/>
        <v/>
      </c>
      <c r="AJ975" s="26" t="str">
        <f t="shared" si="493"/>
        <v/>
      </c>
      <c r="AK975" s="26" t="str">
        <f t="shared" si="508"/>
        <v/>
      </c>
      <c r="AL975" s="26" t="str">
        <f t="shared" si="508"/>
        <v/>
      </c>
      <c r="AM975" s="26" t="str">
        <f t="shared" si="508"/>
        <v>Chip Seal - Double and Fog</v>
      </c>
      <c r="AN975" s="26" t="str">
        <f t="shared" si="487"/>
        <v>Chip Seal - Double and Fog</v>
      </c>
      <c r="AO975" s="26" t="str">
        <f t="shared" si="494"/>
        <v>Crack Seal</v>
      </c>
      <c r="AP975" s="26" t="str">
        <f t="shared" si="492"/>
        <v/>
      </c>
      <c r="AQ975" s="68">
        <f t="shared" si="511"/>
        <v>14</v>
      </c>
      <c r="AR975" s="68">
        <f t="shared" si="512"/>
        <v>6</v>
      </c>
      <c r="AS975" s="68">
        <f t="shared" si="513"/>
        <v>1.1000000000000001</v>
      </c>
      <c r="AT975" s="68">
        <f t="shared" si="514"/>
        <v>1.5</v>
      </c>
      <c r="AU975" s="68">
        <f t="shared" si="515"/>
        <v>1</v>
      </c>
      <c r="AV975" s="68">
        <f t="shared" si="516"/>
        <v>1</v>
      </c>
      <c r="AW975" s="68">
        <f t="shared" si="517"/>
        <v>1</v>
      </c>
      <c r="AX975" s="68">
        <f t="shared" ca="1" si="518"/>
        <v>3</v>
      </c>
      <c r="AY975" s="68">
        <v>2021</v>
      </c>
      <c r="AZ975" s="68" t="s">
        <v>2075</v>
      </c>
      <c r="BA975" s="106" t="str">
        <f t="shared" si="519"/>
        <v/>
      </c>
      <c r="BB975" s="178"/>
      <c r="BC975" s="178"/>
      <c r="BD975" s="178"/>
      <c r="BE975" s="178"/>
      <c r="BF975" s="178"/>
      <c r="BG975" s="178"/>
      <c r="BH975" s="178"/>
      <c r="BI975" s="33" t="s">
        <v>2192</v>
      </c>
      <c r="BK975" s="48">
        <f>$G975/5280*VLOOKUP($AC975,'Cost and Score'!$B$27:$O$40,6,0)</f>
        <v>2.784090909090909E-2</v>
      </c>
      <c r="BL975" s="48">
        <f>$G975/5280*VLOOKUP($AC975,'Cost and Score'!$B$27:$O$40,7,0)</f>
        <v>2.7840909090909092</v>
      </c>
      <c r="BM975" s="48">
        <f>$G975/5280*VLOOKUP($AC975,'Cost and Score'!$B$27:$O$40,8,0)</f>
        <v>0</v>
      </c>
      <c r="BN975" s="48">
        <f>$G975/5280*VLOOKUP($AC975,'Cost and Score'!$B$27:$O$40,9,0)</f>
        <v>528.97727272727275</v>
      </c>
      <c r="BO975" s="48">
        <f>$G975/5280*VLOOKUP($AC975,'Cost and Score'!$B$27:$O$40,10,0)</f>
        <v>55.68181818181818</v>
      </c>
      <c r="BP975" s="48">
        <f>$G975/5280*VLOOKUP($AC975,'Cost and Score'!$B$27:$O$40,11,0)</f>
        <v>0</v>
      </c>
      <c r="BQ975" s="48">
        <f>$G975/5280*VLOOKUP($AC975,'Cost and Score'!$B$27:$O$40,12,0)</f>
        <v>11.136363636363637</v>
      </c>
      <c r="BR975" s="48">
        <f>$G975/5280*VLOOKUP($AC975,'Cost and Score'!$B$27:$O$40,13,0)</f>
        <v>10.022727272727272</v>
      </c>
      <c r="BS975" s="48">
        <f>$G975/5280*VLOOKUP($AC975,'Cost and Score'!$B$27:$O$40,14,0)</f>
        <v>13.363636363636363</v>
      </c>
      <c r="BT975" s="220">
        <f t="shared" si="507"/>
        <v>5.568181818181818E-2</v>
      </c>
      <c r="CF975" s="112"/>
      <c r="CN975" s="112"/>
      <c r="CO975" s="112"/>
      <c r="CP975" s="112"/>
      <c r="CQ975" s="112"/>
      <c r="CR975" s="112"/>
      <c r="CV975" s="112"/>
    </row>
    <row r="976" spans="1:103" s="2" customFormat="1" ht="14.45" hidden="1" customHeight="1" x14ac:dyDescent="0.25">
      <c r="A976" s="31" t="s">
        <v>2102</v>
      </c>
      <c r="B976" s="227" t="s">
        <v>2323</v>
      </c>
      <c r="C976" s="106" t="s">
        <v>2323</v>
      </c>
      <c r="D976" s="116" t="s">
        <v>2262</v>
      </c>
      <c r="E976" s="106" t="s">
        <v>1804</v>
      </c>
      <c r="F976" s="106" t="s">
        <v>1805</v>
      </c>
      <c r="G976" s="109">
        <v>1320</v>
      </c>
      <c r="H976" s="109">
        <f t="shared" ref="H976:H1007" si="522">IF(I976="NC",26,20)</f>
        <v>26</v>
      </c>
      <c r="I976" s="106" t="s">
        <v>2098</v>
      </c>
      <c r="J976" s="106" t="s">
        <v>160</v>
      </c>
      <c r="K976" s="106">
        <f>VLOOKUP(J976,TOWNSHIPS,2,FALSE)</f>
        <v>0</v>
      </c>
      <c r="L976" s="110">
        <v>8</v>
      </c>
      <c r="M976" s="110">
        <v>7</v>
      </c>
      <c r="N976" s="110">
        <v>7</v>
      </c>
      <c r="O976" s="110">
        <v>8</v>
      </c>
      <c r="P976" s="110">
        <v>9</v>
      </c>
      <c r="Q976" s="110">
        <v>8</v>
      </c>
      <c r="R976" s="110">
        <v>8</v>
      </c>
      <c r="S976" s="110">
        <v>8</v>
      </c>
      <c r="T976" s="110">
        <v>8</v>
      </c>
      <c r="U976" s="110">
        <v>8</v>
      </c>
      <c r="V976" s="110"/>
      <c r="W976" s="110"/>
      <c r="X976" s="110"/>
      <c r="Y976" s="106">
        <v>220</v>
      </c>
      <c r="Z976" s="106">
        <f t="shared" si="509"/>
        <v>0</v>
      </c>
      <c r="AA976" s="106" t="s">
        <v>1803</v>
      </c>
      <c r="AB976" s="111">
        <f t="shared" si="504"/>
        <v>1</v>
      </c>
      <c r="AC976" s="85" t="s">
        <v>2489</v>
      </c>
      <c r="AD976" s="107">
        <f t="shared" si="521"/>
        <v>6250</v>
      </c>
      <c r="AE976" s="198"/>
      <c r="AF976" s="113">
        <f t="shared" si="510"/>
        <v>0</v>
      </c>
      <c r="AG976" s="85">
        <v>2026</v>
      </c>
      <c r="AH976" s="26" t="str">
        <f t="shared" si="520"/>
        <v/>
      </c>
      <c r="AI976" s="26" t="str">
        <f t="shared" si="488"/>
        <v/>
      </c>
      <c r="AJ976" s="26" t="str">
        <f t="shared" si="493"/>
        <v/>
      </c>
      <c r="AK976" s="26" t="str">
        <f t="shared" si="508"/>
        <v/>
      </c>
      <c r="AL976" s="26" t="str">
        <f t="shared" si="508"/>
        <v>Liquid Road</v>
      </c>
      <c r="AM976" s="26" t="str">
        <f t="shared" si="508"/>
        <v/>
      </c>
      <c r="AN976" s="26" t="str">
        <f t="shared" si="487"/>
        <v>Liquid Road</v>
      </c>
      <c r="AO976" s="26" t="str">
        <f t="shared" si="494"/>
        <v/>
      </c>
      <c r="AP976" s="26" t="str">
        <f t="shared" si="492"/>
        <v/>
      </c>
      <c r="AQ976" s="68">
        <f t="shared" si="511"/>
        <v>12</v>
      </c>
      <c r="AR976" s="68">
        <f t="shared" si="512"/>
        <v>10</v>
      </c>
      <c r="AS976" s="68">
        <f t="shared" si="513"/>
        <v>1</v>
      </c>
      <c r="AT976" s="68">
        <f t="shared" si="514"/>
        <v>1.05</v>
      </c>
      <c r="AU976" s="68">
        <f t="shared" si="515"/>
        <v>1.05</v>
      </c>
      <c r="AV976" s="68">
        <f t="shared" si="516"/>
        <v>1</v>
      </c>
      <c r="AW976" s="68">
        <f t="shared" si="517"/>
        <v>1</v>
      </c>
      <c r="AX976" s="68">
        <f t="shared" ca="1" si="518"/>
        <v>2.1</v>
      </c>
      <c r="AY976" s="106">
        <v>2017</v>
      </c>
      <c r="AZ976" s="106" t="s">
        <v>751</v>
      </c>
      <c r="BA976" s="106" t="str">
        <f t="shared" si="519"/>
        <v/>
      </c>
      <c r="BB976" s="177"/>
      <c r="BC976" s="177"/>
      <c r="BD976" s="177"/>
      <c r="BE976" s="177"/>
      <c r="BF976" s="177">
        <v>3</v>
      </c>
      <c r="BG976" s="177"/>
      <c r="BH976" s="177"/>
      <c r="BI976" s="33"/>
      <c r="BK976" s="48">
        <f>$G976/5280*VLOOKUP($AC976,'Cost and Score'!$B$27:$O$40,6,0)</f>
        <v>0.25</v>
      </c>
      <c r="BL976" s="48">
        <f>$G976/5280*VLOOKUP($AC976,'Cost and Score'!$B$27:$O$40,7,0)</f>
        <v>4</v>
      </c>
      <c r="BM976" s="48">
        <f>$G976/5280*VLOOKUP($AC976,'Cost and Score'!$B$27:$O$40,8,0)</f>
        <v>0</v>
      </c>
      <c r="BN976" s="48">
        <f>$G976/5280*VLOOKUP($AC976,'Cost and Score'!$B$27:$O$40,9,0)</f>
        <v>0</v>
      </c>
      <c r="BO976" s="48">
        <f>$G976/5280*VLOOKUP($AC976,'Cost and Score'!$B$27:$O$40,10,0)</f>
        <v>0</v>
      </c>
      <c r="BP976" s="48">
        <f>$G976/5280*VLOOKUP($AC976,'Cost and Score'!$B$27:$O$40,11,0)</f>
        <v>0</v>
      </c>
      <c r="BQ976" s="48">
        <f>$G976/5280*VLOOKUP($AC976,'Cost and Score'!$B$27:$O$40,12,0)</f>
        <v>0</v>
      </c>
      <c r="BR976" s="48">
        <f>$G976/5280*VLOOKUP($AC976,'Cost and Score'!$B$27:$O$40,13,0)</f>
        <v>0</v>
      </c>
      <c r="BS976" s="48">
        <f>$G976/5280*VLOOKUP($AC976,'Cost and Score'!$B$27:$O$40,14,0)</f>
        <v>0</v>
      </c>
      <c r="BT976" s="220">
        <f t="shared" si="507"/>
        <v>0.25</v>
      </c>
      <c r="CF976" s="112"/>
      <c r="CS976" s="112"/>
      <c r="CT976" s="112"/>
      <c r="CU976" s="112"/>
      <c r="CW976" s="112"/>
      <c r="CX976" s="112"/>
      <c r="CY976" s="112"/>
    </row>
    <row r="977" spans="1:103" s="2" customFormat="1" ht="14.45" hidden="1" customHeight="1" x14ac:dyDescent="0.25">
      <c r="A977" s="31" t="s">
        <v>2102</v>
      </c>
      <c r="B977" s="227" t="s">
        <v>2322</v>
      </c>
      <c r="C977" s="106" t="s">
        <v>2322</v>
      </c>
      <c r="D977" s="116" t="s">
        <v>2262</v>
      </c>
      <c r="E977" s="106" t="s">
        <v>1804</v>
      </c>
      <c r="F977" s="106" t="s">
        <v>1805</v>
      </c>
      <c r="G977" s="109">
        <v>1267</v>
      </c>
      <c r="H977" s="109">
        <f t="shared" si="522"/>
        <v>26</v>
      </c>
      <c r="I977" s="106" t="s">
        <v>2098</v>
      </c>
      <c r="J977" s="106" t="s">
        <v>160</v>
      </c>
      <c r="K977" s="106">
        <f>VLOOKUP(J977,TOWNSHIPS,2,FALSE)</f>
        <v>0</v>
      </c>
      <c r="L977" s="110">
        <v>6</v>
      </c>
      <c r="M977" s="110">
        <v>6</v>
      </c>
      <c r="N977" s="110">
        <v>6</v>
      </c>
      <c r="O977" s="110">
        <v>5</v>
      </c>
      <c r="P977" s="110">
        <v>9</v>
      </c>
      <c r="Q977" s="110">
        <v>8</v>
      </c>
      <c r="R977" s="110">
        <v>8</v>
      </c>
      <c r="S977" s="110">
        <v>8</v>
      </c>
      <c r="T977" s="110">
        <v>8</v>
      </c>
      <c r="U977" s="110">
        <v>7</v>
      </c>
      <c r="V977" s="110"/>
      <c r="W977" s="110"/>
      <c r="X977" s="110"/>
      <c r="Y977" s="106">
        <v>205</v>
      </c>
      <c r="Z977" s="106">
        <f t="shared" si="509"/>
        <v>0</v>
      </c>
      <c r="AA977" s="106" t="s">
        <v>1939</v>
      </c>
      <c r="AB977" s="111">
        <f t="shared" si="504"/>
        <v>1</v>
      </c>
      <c r="AC977" s="85" t="s">
        <v>2425</v>
      </c>
      <c r="AD977" s="107">
        <f t="shared" si="521"/>
        <v>5999.05303030303</v>
      </c>
      <c r="AE977" s="198"/>
      <c r="AF977" s="113">
        <f t="shared" si="510"/>
        <v>0</v>
      </c>
      <c r="AG977" s="85">
        <v>2026</v>
      </c>
      <c r="AH977" s="26" t="str">
        <f t="shared" si="520"/>
        <v/>
      </c>
      <c r="AI977" s="26" t="str">
        <f t="shared" si="488"/>
        <v/>
      </c>
      <c r="AJ977" s="26" t="str">
        <f t="shared" si="493"/>
        <v/>
      </c>
      <c r="AK977" s="26" t="str">
        <f t="shared" si="508"/>
        <v/>
      </c>
      <c r="AL977" s="26" t="str">
        <f t="shared" si="508"/>
        <v>Liquid Road</v>
      </c>
      <c r="AM977" s="26" t="str">
        <f t="shared" si="508"/>
        <v/>
      </c>
      <c r="AN977" s="26" t="str">
        <f t="shared" si="487"/>
        <v>Liquid Road</v>
      </c>
      <c r="AO977" s="26" t="str">
        <f t="shared" si="494"/>
        <v/>
      </c>
      <c r="AP977" s="26" t="str">
        <f t="shared" si="492"/>
        <v/>
      </c>
      <c r="AQ977" s="68">
        <f t="shared" si="511"/>
        <v>6</v>
      </c>
      <c r="AR977" s="68">
        <f t="shared" si="512"/>
        <v>10</v>
      </c>
      <c r="AS977" s="68">
        <f t="shared" si="513"/>
        <v>1.1000000000000001</v>
      </c>
      <c r="AT977" s="68">
        <f t="shared" si="514"/>
        <v>1.1000000000000001</v>
      </c>
      <c r="AU977" s="68">
        <f t="shared" si="515"/>
        <v>1.1000000000000001</v>
      </c>
      <c r="AV977" s="68">
        <f t="shared" si="516"/>
        <v>1.25</v>
      </c>
      <c r="AW977" s="68">
        <f t="shared" si="517"/>
        <v>1</v>
      </c>
      <c r="AX977" s="68">
        <f t="shared" ca="1" si="518"/>
        <v>2.2000000000000002</v>
      </c>
      <c r="AY977" s="106">
        <v>2017</v>
      </c>
      <c r="AZ977" s="106" t="s">
        <v>751</v>
      </c>
      <c r="BA977" s="106" t="str">
        <f t="shared" si="519"/>
        <v/>
      </c>
      <c r="BB977" s="177"/>
      <c r="BC977" s="177"/>
      <c r="BD977" s="177"/>
      <c r="BE977" s="177"/>
      <c r="BF977" s="177">
        <v>3</v>
      </c>
      <c r="BG977" s="177"/>
      <c r="BH977" s="177"/>
      <c r="BI977" s="33"/>
      <c r="BK977" s="48">
        <f>$G977/5280*VLOOKUP($AC977,'Cost and Score'!$B$27:$O$40,6,0)</f>
        <v>0.23996212121212121</v>
      </c>
      <c r="BL977" s="48">
        <f>$G977/5280*VLOOKUP($AC977,'Cost and Score'!$B$27:$O$40,7,0)</f>
        <v>3.8393939393939394</v>
      </c>
      <c r="BM977" s="48">
        <f>$G977/5280*VLOOKUP($AC977,'Cost and Score'!$B$27:$O$40,8,0)</f>
        <v>0</v>
      </c>
      <c r="BN977" s="48">
        <f>$G977/5280*VLOOKUP($AC977,'Cost and Score'!$B$27:$O$40,9,0)</f>
        <v>0</v>
      </c>
      <c r="BO977" s="48">
        <f>$G977/5280*VLOOKUP($AC977,'Cost and Score'!$B$27:$O$40,10,0)</f>
        <v>0</v>
      </c>
      <c r="BP977" s="48">
        <f>$G977/5280*VLOOKUP($AC977,'Cost and Score'!$B$27:$O$40,11,0)</f>
        <v>0</v>
      </c>
      <c r="BQ977" s="48">
        <f>$G977/5280*VLOOKUP($AC977,'Cost and Score'!$B$27:$O$40,12,0)</f>
        <v>0</v>
      </c>
      <c r="BR977" s="48">
        <f>$G977/5280*VLOOKUP($AC977,'Cost and Score'!$B$27:$O$40,13,0)</f>
        <v>0</v>
      </c>
      <c r="BS977" s="48">
        <f>$G977/5280*VLOOKUP($AC977,'Cost and Score'!$B$27:$O$40,14,0)</f>
        <v>0</v>
      </c>
      <c r="BT977" s="220">
        <f t="shared" si="507"/>
        <v>0.23996212121212121</v>
      </c>
      <c r="CF977" s="112"/>
      <c r="CG977" s="112"/>
      <c r="CH977" s="112"/>
      <c r="CI977" s="112"/>
      <c r="CJ977" s="112"/>
      <c r="CK977" s="112"/>
      <c r="CL977" s="112"/>
      <c r="CM977" s="112"/>
      <c r="CR977" s="112"/>
      <c r="CS977" s="112"/>
      <c r="CT977" s="112"/>
      <c r="CU977" s="112"/>
    </row>
    <row r="978" spans="1:103" s="112" customFormat="1" ht="14.45" hidden="1" customHeight="1" x14ac:dyDescent="0.25">
      <c r="A978" s="31" t="s">
        <v>2102</v>
      </c>
      <c r="B978" s="120" t="s">
        <v>1812</v>
      </c>
      <c r="C978" s="106" t="s">
        <v>1812</v>
      </c>
      <c r="D978" s="116" t="s">
        <v>2232</v>
      </c>
      <c r="E978" s="106" t="s">
        <v>1580</v>
      </c>
      <c r="F978" s="106" t="s">
        <v>1553</v>
      </c>
      <c r="G978" s="109">
        <v>2376</v>
      </c>
      <c r="H978" s="109">
        <f t="shared" si="522"/>
        <v>26</v>
      </c>
      <c r="I978" s="106" t="s">
        <v>2098</v>
      </c>
      <c r="J978" s="106" t="s">
        <v>101</v>
      </c>
      <c r="K978" s="106">
        <v>0</v>
      </c>
      <c r="L978" s="110">
        <v>7</v>
      </c>
      <c r="M978" s="110">
        <v>7</v>
      </c>
      <c r="N978" s="110">
        <v>7</v>
      </c>
      <c r="O978" s="110">
        <v>7</v>
      </c>
      <c r="P978" s="110">
        <v>7</v>
      </c>
      <c r="Q978" s="110">
        <v>7</v>
      </c>
      <c r="R978" s="110">
        <v>7</v>
      </c>
      <c r="S978" s="110">
        <v>7</v>
      </c>
      <c r="T978" s="110">
        <v>7</v>
      </c>
      <c r="U978" s="110">
        <v>7</v>
      </c>
      <c r="V978" s="110"/>
      <c r="W978" s="110"/>
      <c r="X978" s="110"/>
      <c r="Y978" s="106">
        <v>50</v>
      </c>
      <c r="Z978" s="106">
        <f t="shared" si="509"/>
        <v>0</v>
      </c>
      <c r="AA978" s="106" t="s">
        <v>1812</v>
      </c>
      <c r="AB978" s="111">
        <f t="shared" si="504"/>
        <v>3</v>
      </c>
      <c r="AC978" s="85" t="s">
        <v>13</v>
      </c>
      <c r="AD978" s="107">
        <f t="shared" si="521"/>
        <v>9450</v>
      </c>
      <c r="AE978" s="140"/>
      <c r="AF978" s="113">
        <f t="shared" si="510"/>
        <v>0</v>
      </c>
      <c r="AG978" s="85">
        <v>2024</v>
      </c>
      <c r="AH978" s="26" t="str">
        <f t="shared" si="520"/>
        <v/>
      </c>
      <c r="AI978" s="26" t="str">
        <f t="shared" si="488"/>
        <v/>
      </c>
      <c r="AJ978" s="26" t="str">
        <f t="shared" si="493"/>
        <v>Chip Seal and Fog</v>
      </c>
      <c r="AK978" s="26" t="str">
        <f t="shared" si="508"/>
        <v/>
      </c>
      <c r="AL978" s="26" t="str">
        <f t="shared" si="508"/>
        <v/>
      </c>
      <c r="AM978" s="26" t="str">
        <f t="shared" si="508"/>
        <v/>
      </c>
      <c r="AN978" s="26" t="str">
        <f t="shared" si="487"/>
        <v>Chip Seal and Fog</v>
      </c>
      <c r="AO978" s="26" t="str">
        <f t="shared" si="494"/>
        <v/>
      </c>
      <c r="AP978" s="26" t="str">
        <f t="shared" si="492"/>
        <v/>
      </c>
      <c r="AQ978" s="68">
        <f t="shared" si="511"/>
        <v>10</v>
      </c>
      <c r="AR978" s="68">
        <f t="shared" si="512"/>
        <v>6</v>
      </c>
      <c r="AS978" s="68">
        <f t="shared" si="513"/>
        <v>1.05</v>
      </c>
      <c r="AT978" s="68">
        <f t="shared" si="514"/>
        <v>1.05</v>
      </c>
      <c r="AU978" s="68">
        <f t="shared" si="515"/>
        <v>1.05</v>
      </c>
      <c r="AV978" s="68">
        <f t="shared" si="516"/>
        <v>1.05</v>
      </c>
      <c r="AW978" s="68">
        <f t="shared" si="517"/>
        <v>1.05</v>
      </c>
      <c r="AX978" s="68">
        <f t="shared" ca="1" si="518"/>
        <v>0</v>
      </c>
      <c r="AY978" s="106">
        <v>2018</v>
      </c>
      <c r="AZ978" s="106" t="s">
        <v>2075</v>
      </c>
      <c r="BA978" s="106" t="str">
        <f t="shared" si="519"/>
        <v>CRACK</v>
      </c>
      <c r="BB978" s="177"/>
      <c r="BC978" s="177"/>
      <c r="BD978" s="177"/>
      <c r="BE978" s="177"/>
      <c r="BF978" s="177"/>
      <c r="BG978" s="177"/>
      <c r="BH978" s="177"/>
      <c r="BI978" s="33"/>
      <c r="BJ978" s="2"/>
      <c r="BK978" s="48">
        <f>$G978/5280*VLOOKUP($AC978,'Cost and Score'!$B$27:$O$40,6,0)</f>
        <v>9.0000000000000011E-2</v>
      </c>
      <c r="BL978" s="48">
        <f>$G978/5280*VLOOKUP($AC978,'Cost and Score'!$B$27:$O$40,7,0)</f>
        <v>9.9</v>
      </c>
      <c r="BM978" s="48">
        <f>$G978/5280*VLOOKUP($AC978,'Cost and Score'!$B$27:$O$40,8,0)</f>
        <v>0</v>
      </c>
      <c r="BN978" s="48">
        <f>$G978/5280*VLOOKUP($AC978,'Cost and Score'!$B$27:$O$40,9,0)</f>
        <v>2025</v>
      </c>
      <c r="BO978" s="48">
        <f>$G978/5280*VLOOKUP($AC978,'Cost and Score'!$B$27:$O$40,10,0)</f>
        <v>450</v>
      </c>
      <c r="BP978" s="48">
        <f>$G978/5280*VLOOKUP($AC978,'Cost and Score'!$B$27:$O$40,11,0)</f>
        <v>0</v>
      </c>
      <c r="BQ978" s="48">
        <f>$G978/5280*VLOOKUP($AC978,'Cost and Score'!$B$27:$O$40,12,0)</f>
        <v>45</v>
      </c>
      <c r="BR978" s="48">
        <f>$G978/5280*VLOOKUP($AC978,'Cost and Score'!$B$27:$O$40,13,0)</f>
        <v>54</v>
      </c>
      <c r="BS978" s="48">
        <f>$G978/5280*VLOOKUP($AC978,'Cost and Score'!$B$27:$O$40,14,0)</f>
        <v>0</v>
      </c>
      <c r="BT978" s="220">
        <f t="shared" si="507"/>
        <v>0.45</v>
      </c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N978" s="2"/>
      <c r="CO978" s="2"/>
      <c r="CP978" s="2"/>
      <c r="CQ978" s="2"/>
      <c r="CV978" s="2"/>
      <c r="CW978" s="2"/>
      <c r="CX978" s="2"/>
      <c r="CY978" s="2"/>
    </row>
    <row r="979" spans="1:103" s="112" customFormat="1" ht="14.45" hidden="1" customHeight="1" x14ac:dyDescent="0.25">
      <c r="A979" s="31" t="s">
        <v>2102</v>
      </c>
      <c r="B979" s="45" t="s">
        <v>1813</v>
      </c>
      <c r="C979" s="26" t="s">
        <v>1813</v>
      </c>
      <c r="D979" s="36" t="s">
        <v>2232</v>
      </c>
      <c r="E979" s="26" t="s">
        <v>1580</v>
      </c>
      <c r="F979" s="26" t="s">
        <v>1553</v>
      </c>
      <c r="G979" s="29">
        <v>1531</v>
      </c>
      <c r="H979" s="29">
        <f t="shared" si="522"/>
        <v>26</v>
      </c>
      <c r="I979" s="26" t="s">
        <v>2098</v>
      </c>
      <c r="J979" s="26" t="s">
        <v>101</v>
      </c>
      <c r="K979" s="26">
        <v>0</v>
      </c>
      <c r="L979" s="42">
        <v>7</v>
      </c>
      <c r="M979" s="42">
        <v>7</v>
      </c>
      <c r="N979" s="42">
        <v>7</v>
      </c>
      <c r="O979" s="42">
        <v>7</v>
      </c>
      <c r="P979" s="42">
        <v>7</v>
      </c>
      <c r="Q979" s="42">
        <v>7</v>
      </c>
      <c r="R979" s="42">
        <v>7</v>
      </c>
      <c r="S979" s="42">
        <v>7</v>
      </c>
      <c r="T979" s="42">
        <v>7</v>
      </c>
      <c r="U979" s="42">
        <v>7</v>
      </c>
      <c r="V979" s="42"/>
      <c r="W979" s="42"/>
      <c r="X979" s="42"/>
      <c r="Y979" s="26">
        <v>50</v>
      </c>
      <c r="Z979" s="26">
        <f t="shared" si="509"/>
        <v>0</v>
      </c>
      <c r="AA979" s="26" t="s">
        <v>1813</v>
      </c>
      <c r="AB979" s="111">
        <f t="shared" si="504"/>
        <v>3</v>
      </c>
      <c r="AC979" s="85" t="s">
        <v>13</v>
      </c>
      <c r="AD979" s="47">
        <f t="shared" si="521"/>
        <v>6089.204545454545</v>
      </c>
      <c r="AE979" s="140"/>
      <c r="AF979" s="113">
        <f t="shared" si="510"/>
        <v>0</v>
      </c>
      <c r="AG979" s="85">
        <v>2024</v>
      </c>
      <c r="AH979" s="26" t="str">
        <f t="shared" si="520"/>
        <v/>
      </c>
      <c r="AI979" s="26" t="str">
        <f t="shared" si="488"/>
        <v/>
      </c>
      <c r="AJ979" s="26" t="str">
        <f t="shared" si="493"/>
        <v>Chip Seal and Fog</v>
      </c>
      <c r="AK979" s="26" t="str">
        <f t="shared" si="508"/>
        <v/>
      </c>
      <c r="AL979" s="26" t="str">
        <f t="shared" si="508"/>
        <v/>
      </c>
      <c r="AM979" s="26" t="str">
        <f t="shared" si="508"/>
        <v/>
      </c>
      <c r="AN979" s="26" t="str">
        <f t="shared" si="487"/>
        <v>Chip Seal and Fog</v>
      </c>
      <c r="AO979" s="26" t="str">
        <f t="shared" si="494"/>
        <v/>
      </c>
      <c r="AP979" s="26" t="str">
        <f t="shared" si="492"/>
        <v/>
      </c>
      <c r="AQ979" s="68">
        <f t="shared" si="511"/>
        <v>10</v>
      </c>
      <c r="AR979" s="68">
        <f t="shared" si="512"/>
        <v>6</v>
      </c>
      <c r="AS979" s="68">
        <f t="shared" si="513"/>
        <v>1.05</v>
      </c>
      <c r="AT979" s="68">
        <f t="shared" si="514"/>
        <v>1.05</v>
      </c>
      <c r="AU979" s="68">
        <f t="shared" si="515"/>
        <v>1.05</v>
      </c>
      <c r="AV979" s="68">
        <f t="shared" si="516"/>
        <v>1.05</v>
      </c>
      <c r="AW979" s="68">
        <f t="shared" si="517"/>
        <v>1.05</v>
      </c>
      <c r="AX979" s="68">
        <f t="shared" ca="1" si="518"/>
        <v>0</v>
      </c>
      <c r="AY979" s="68">
        <v>2018</v>
      </c>
      <c r="AZ979" s="68" t="s">
        <v>2075</v>
      </c>
      <c r="BA979" s="106" t="str">
        <f t="shared" si="519"/>
        <v>CRACK</v>
      </c>
      <c r="BB979" s="178"/>
      <c r="BC979" s="178"/>
      <c r="BD979" s="178"/>
      <c r="BE979" s="178"/>
      <c r="BF979" s="178"/>
      <c r="BG979" s="178"/>
      <c r="BH979" s="178"/>
      <c r="BI979" s="33"/>
      <c r="BJ979" s="2"/>
      <c r="BK979" s="48">
        <f>$G979/5280*VLOOKUP($AC979,'Cost and Score'!$B$27:$O$40,6,0)</f>
        <v>5.7992424242424248E-2</v>
      </c>
      <c r="BL979" s="48">
        <f>$G979/5280*VLOOKUP($AC979,'Cost and Score'!$B$27:$O$40,7,0)</f>
        <v>6.3791666666666673</v>
      </c>
      <c r="BM979" s="48">
        <f>$G979/5280*VLOOKUP($AC979,'Cost and Score'!$B$27:$O$40,8,0)</f>
        <v>0</v>
      </c>
      <c r="BN979" s="48">
        <f>$G979/5280*VLOOKUP($AC979,'Cost and Score'!$B$27:$O$40,9,0)</f>
        <v>1304.8295454545455</v>
      </c>
      <c r="BO979" s="48">
        <f>$G979/5280*VLOOKUP($AC979,'Cost and Score'!$B$27:$O$40,10,0)</f>
        <v>289.96212121212125</v>
      </c>
      <c r="BP979" s="48">
        <f>$G979/5280*VLOOKUP($AC979,'Cost and Score'!$B$27:$O$40,11,0)</f>
        <v>0</v>
      </c>
      <c r="BQ979" s="48">
        <f>$G979/5280*VLOOKUP($AC979,'Cost and Score'!$B$27:$O$40,12,0)</f>
        <v>28.996212121212121</v>
      </c>
      <c r="BR979" s="48">
        <f>$G979/5280*VLOOKUP($AC979,'Cost and Score'!$B$27:$O$40,13,0)</f>
        <v>34.795454545454547</v>
      </c>
      <c r="BS979" s="48">
        <f>$G979/5280*VLOOKUP($AC979,'Cost and Score'!$B$27:$O$40,14,0)</f>
        <v>0</v>
      </c>
      <c r="BT979" s="220">
        <f t="shared" si="507"/>
        <v>0.28996212121212123</v>
      </c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S979" s="2"/>
      <c r="CT979" s="2"/>
      <c r="CU979" s="2"/>
      <c r="CW979" s="2"/>
      <c r="CX979" s="2"/>
      <c r="CY979" s="2"/>
    </row>
    <row r="980" spans="1:103" s="112" customFormat="1" ht="14.45" hidden="1" customHeight="1" x14ac:dyDescent="0.25">
      <c r="A980" s="31" t="s">
        <v>2102</v>
      </c>
      <c r="B980" s="226" t="s">
        <v>1814</v>
      </c>
      <c r="C980" s="106" t="s">
        <v>1814</v>
      </c>
      <c r="D980" s="116" t="s">
        <v>2303</v>
      </c>
      <c r="E980" s="106" t="s">
        <v>1815</v>
      </c>
      <c r="F980" s="106" t="s">
        <v>1416</v>
      </c>
      <c r="G980" s="109">
        <v>638</v>
      </c>
      <c r="H980" s="109">
        <f t="shared" si="522"/>
        <v>26</v>
      </c>
      <c r="I980" s="106" t="s">
        <v>2098</v>
      </c>
      <c r="J980" s="106" t="s">
        <v>160</v>
      </c>
      <c r="K980" s="106">
        <f>VLOOKUP(J980,TOWNSHIPS,2,FALSE)</f>
        <v>0</v>
      </c>
      <c r="L980" s="110">
        <v>7</v>
      </c>
      <c r="M980" s="110">
        <v>7</v>
      </c>
      <c r="N980" s="110">
        <v>7</v>
      </c>
      <c r="O980" s="110">
        <v>7</v>
      </c>
      <c r="P980" s="110">
        <v>7</v>
      </c>
      <c r="Q980" s="110">
        <v>7</v>
      </c>
      <c r="R980" s="110">
        <v>7</v>
      </c>
      <c r="S980" s="110">
        <v>7</v>
      </c>
      <c r="T980" s="110">
        <v>7</v>
      </c>
      <c r="U980" s="110">
        <v>7</v>
      </c>
      <c r="V980" s="110"/>
      <c r="W980" s="110"/>
      <c r="X980" s="110"/>
      <c r="Y980" s="106">
        <v>259</v>
      </c>
      <c r="Z980" s="106">
        <f t="shared" si="509"/>
        <v>0</v>
      </c>
      <c r="AA980" s="106" t="s">
        <v>1814</v>
      </c>
      <c r="AB980" s="111">
        <f t="shared" si="504"/>
        <v>3</v>
      </c>
      <c r="AC980" s="106" t="s">
        <v>2371</v>
      </c>
      <c r="AD980" s="107">
        <f t="shared" si="521"/>
        <v>9666.6666666666661</v>
      </c>
      <c r="AE980" s="140">
        <v>1</v>
      </c>
      <c r="AF980" s="113">
        <f t="shared" si="510"/>
        <v>9666.6666666666661</v>
      </c>
      <c r="AG980" s="85">
        <v>2024</v>
      </c>
      <c r="AH980" s="26" t="str">
        <f t="shared" si="520"/>
        <v/>
      </c>
      <c r="AI980" s="26" t="str">
        <f t="shared" si="488"/>
        <v/>
      </c>
      <c r="AJ980" s="26" t="str">
        <f t="shared" si="493"/>
        <v>Microsurface double</v>
      </c>
      <c r="AK980" s="26" t="str">
        <f t="shared" si="508"/>
        <v/>
      </c>
      <c r="AL980" s="26" t="str">
        <f t="shared" si="508"/>
        <v/>
      </c>
      <c r="AM980" s="26" t="str">
        <f t="shared" si="508"/>
        <v/>
      </c>
      <c r="AN980" s="26" t="str">
        <f t="shared" si="487"/>
        <v>Microsurface double</v>
      </c>
      <c r="AO980" s="26" t="str">
        <f t="shared" si="494"/>
        <v/>
      </c>
      <c r="AP980" s="26" t="str">
        <f t="shared" si="492"/>
        <v/>
      </c>
      <c r="AQ980" s="68">
        <f t="shared" si="511"/>
        <v>10</v>
      </c>
      <c r="AR980" s="68">
        <f t="shared" si="512"/>
        <v>10</v>
      </c>
      <c r="AS980" s="68">
        <f t="shared" si="513"/>
        <v>1.05</v>
      </c>
      <c r="AT980" s="68">
        <f t="shared" si="514"/>
        <v>1.05</v>
      </c>
      <c r="AU980" s="68">
        <f t="shared" si="515"/>
        <v>1.05</v>
      </c>
      <c r="AV980" s="68">
        <f t="shared" si="516"/>
        <v>1.05</v>
      </c>
      <c r="AW980" s="68">
        <f t="shared" si="517"/>
        <v>1.05</v>
      </c>
      <c r="AX980" s="68">
        <f t="shared" ca="1" si="518"/>
        <v>0</v>
      </c>
      <c r="AY980" s="106">
        <v>2017</v>
      </c>
      <c r="AZ980" s="106" t="s">
        <v>2086</v>
      </c>
      <c r="BA980" s="106" t="str">
        <f t="shared" si="519"/>
        <v/>
      </c>
      <c r="BB980" s="177"/>
      <c r="BC980" s="177"/>
      <c r="BD980" s="177"/>
      <c r="BE980" s="177"/>
      <c r="BF980" s="177"/>
      <c r="BG980" s="177"/>
      <c r="BH980" s="177">
        <v>5</v>
      </c>
      <c r="BI980" s="33"/>
      <c r="BJ980" s="2"/>
      <c r="BK980" s="48">
        <f>$G980/5280*VLOOKUP($AC980,'Cost and Score'!$B$27:$O$40,6,0)</f>
        <v>6.0416666666666667E-2</v>
      </c>
      <c r="BL980" s="48">
        <f>$G980/5280*VLOOKUP($AC980,'Cost and Score'!$B$27:$O$40,7,0)</f>
        <v>0</v>
      </c>
      <c r="BM980" s="48">
        <f>$G980/5280*VLOOKUP($AC980,'Cost and Score'!$B$27:$O$40,8,0)</f>
        <v>0</v>
      </c>
      <c r="BN980" s="48">
        <f>$G980/5280*VLOOKUP($AC980,'Cost and Score'!$B$27:$O$40,9,0)</f>
        <v>0</v>
      </c>
      <c r="BO980" s="48">
        <f>$G980/5280*VLOOKUP($AC980,'Cost and Score'!$B$27:$O$40,10,0)</f>
        <v>0</v>
      </c>
      <c r="BP980" s="48">
        <f>$G980/5280*VLOOKUP($AC980,'Cost and Score'!$B$27:$O$40,11,0)</f>
        <v>0</v>
      </c>
      <c r="BQ980" s="48">
        <f>$G980/5280*VLOOKUP($AC980,'Cost and Score'!$B$27:$O$40,12,0)</f>
        <v>0</v>
      </c>
      <c r="BR980" s="48">
        <f>$G980/5280*VLOOKUP($AC980,'Cost and Score'!$B$27:$O$40,13,0)</f>
        <v>0</v>
      </c>
      <c r="BS980" s="48">
        <f>$G980/5280*VLOOKUP($AC980,'Cost and Score'!$B$27:$O$40,14,0)</f>
        <v>0</v>
      </c>
      <c r="BT980" s="220">
        <f t="shared" si="507"/>
        <v>0.12083333333333333</v>
      </c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G980" s="2"/>
      <c r="CH980" s="2"/>
      <c r="CI980" s="2"/>
      <c r="CJ980" s="2"/>
      <c r="CK980" s="2"/>
      <c r="CL980" s="2"/>
      <c r="CM980" s="2"/>
      <c r="CW980" s="2"/>
      <c r="CX980" s="2"/>
      <c r="CY980" s="2"/>
    </row>
    <row r="981" spans="1:103" s="2" customFormat="1" ht="14.45" hidden="1" customHeight="1" x14ac:dyDescent="0.25">
      <c r="A981" s="31" t="s">
        <v>2102</v>
      </c>
      <c r="B981" s="226" t="s">
        <v>1816</v>
      </c>
      <c r="C981" s="106" t="s">
        <v>1816</v>
      </c>
      <c r="D981" s="116" t="s">
        <v>2303</v>
      </c>
      <c r="E981" s="106" t="s">
        <v>1416</v>
      </c>
      <c r="F981" s="106" t="s">
        <v>1512</v>
      </c>
      <c r="G981" s="109">
        <v>331</v>
      </c>
      <c r="H981" s="109">
        <f t="shared" si="522"/>
        <v>26</v>
      </c>
      <c r="I981" s="106" t="s">
        <v>2098</v>
      </c>
      <c r="J981" s="106" t="s">
        <v>160</v>
      </c>
      <c r="K981" s="106">
        <f>VLOOKUP(J981,TOWNSHIPS,2,FALSE)</f>
        <v>0</v>
      </c>
      <c r="L981" s="110">
        <v>7</v>
      </c>
      <c r="M981" s="110">
        <v>7</v>
      </c>
      <c r="N981" s="110">
        <v>7</v>
      </c>
      <c r="O981" s="110">
        <v>7</v>
      </c>
      <c r="P981" s="110">
        <v>7</v>
      </c>
      <c r="Q981" s="110">
        <v>7</v>
      </c>
      <c r="R981" s="110">
        <v>7</v>
      </c>
      <c r="S981" s="110">
        <v>7</v>
      </c>
      <c r="T981" s="110">
        <v>7</v>
      </c>
      <c r="U981" s="110">
        <v>7</v>
      </c>
      <c r="V981" s="110"/>
      <c r="W981" s="110"/>
      <c r="X981" s="110"/>
      <c r="Y981" s="106">
        <v>259</v>
      </c>
      <c r="Z981" s="106">
        <f t="shared" si="509"/>
        <v>0</v>
      </c>
      <c r="AA981" s="106" t="s">
        <v>1816</v>
      </c>
      <c r="AB981" s="111">
        <f t="shared" si="504"/>
        <v>3</v>
      </c>
      <c r="AC981" s="106" t="s">
        <v>2371</v>
      </c>
      <c r="AD981" s="107">
        <f t="shared" si="521"/>
        <v>5015.151515151515</v>
      </c>
      <c r="AE981" s="140">
        <v>1</v>
      </c>
      <c r="AF981" s="113">
        <f t="shared" si="510"/>
        <v>5015.151515151515</v>
      </c>
      <c r="AG981" s="85">
        <v>2024</v>
      </c>
      <c r="AH981" s="26" t="str">
        <f t="shared" si="520"/>
        <v/>
      </c>
      <c r="AI981" s="26" t="str">
        <f t="shared" si="488"/>
        <v/>
      </c>
      <c r="AJ981" s="26" t="str">
        <f t="shared" si="493"/>
        <v>Microsurface double</v>
      </c>
      <c r="AK981" s="26" t="str">
        <f t="shared" si="508"/>
        <v/>
      </c>
      <c r="AL981" s="26" t="str">
        <f t="shared" si="508"/>
        <v/>
      </c>
      <c r="AM981" s="26" t="str">
        <f t="shared" si="508"/>
        <v/>
      </c>
      <c r="AN981" s="26" t="str">
        <f t="shared" ref="AN981:AN1044" si="523">VLOOKUP($AC981,RSL,3,FALSE)</f>
        <v>Microsurface double</v>
      </c>
      <c r="AO981" s="26" t="str">
        <f t="shared" si="494"/>
        <v/>
      </c>
      <c r="AP981" s="26" t="str">
        <f t="shared" si="492"/>
        <v/>
      </c>
      <c r="AQ981" s="68">
        <f t="shared" si="511"/>
        <v>10</v>
      </c>
      <c r="AR981" s="68">
        <f t="shared" si="512"/>
        <v>10</v>
      </c>
      <c r="AS981" s="68">
        <f t="shared" si="513"/>
        <v>1.05</v>
      </c>
      <c r="AT981" s="68">
        <f t="shared" si="514"/>
        <v>1.05</v>
      </c>
      <c r="AU981" s="68">
        <f t="shared" si="515"/>
        <v>1.05</v>
      </c>
      <c r="AV981" s="68">
        <f t="shared" si="516"/>
        <v>1.05</v>
      </c>
      <c r="AW981" s="68">
        <f t="shared" si="517"/>
        <v>1.05</v>
      </c>
      <c r="AX981" s="68">
        <f t="shared" ca="1" si="518"/>
        <v>0</v>
      </c>
      <c r="AY981" s="106">
        <v>2017</v>
      </c>
      <c r="AZ981" s="106" t="s">
        <v>2086</v>
      </c>
      <c r="BA981" s="106" t="str">
        <f t="shared" si="519"/>
        <v/>
      </c>
      <c r="BB981" s="177"/>
      <c r="BC981" s="177"/>
      <c r="BD981" s="177"/>
      <c r="BE981" s="177"/>
      <c r="BF981" s="177"/>
      <c r="BG981" s="177"/>
      <c r="BH981" s="177">
        <v>5</v>
      </c>
      <c r="BI981" s="33"/>
      <c r="BK981" s="48">
        <f>$G981/5280*VLOOKUP($AC981,'Cost and Score'!$B$27:$O$40,6,0)</f>
        <v>3.1344696969696967E-2</v>
      </c>
      <c r="BL981" s="48">
        <f>$G981/5280*VLOOKUP($AC981,'Cost and Score'!$B$27:$O$40,7,0)</f>
        <v>0</v>
      </c>
      <c r="BM981" s="48">
        <f>$G981/5280*VLOOKUP($AC981,'Cost and Score'!$B$27:$O$40,8,0)</f>
        <v>0</v>
      </c>
      <c r="BN981" s="48">
        <f>$G981/5280*VLOOKUP($AC981,'Cost and Score'!$B$27:$O$40,9,0)</f>
        <v>0</v>
      </c>
      <c r="BO981" s="48">
        <f>$G981/5280*VLOOKUP($AC981,'Cost and Score'!$B$27:$O$40,10,0)</f>
        <v>0</v>
      </c>
      <c r="BP981" s="48">
        <f>$G981/5280*VLOOKUP($AC981,'Cost and Score'!$B$27:$O$40,11,0)</f>
        <v>0</v>
      </c>
      <c r="BQ981" s="48">
        <f>$G981/5280*VLOOKUP($AC981,'Cost and Score'!$B$27:$O$40,12,0)</f>
        <v>0</v>
      </c>
      <c r="BR981" s="48">
        <f>$G981/5280*VLOOKUP($AC981,'Cost and Score'!$B$27:$O$40,13,0)</f>
        <v>0</v>
      </c>
      <c r="BS981" s="48">
        <f>$G981/5280*VLOOKUP($AC981,'Cost and Score'!$B$27:$O$40,14,0)</f>
        <v>0</v>
      </c>
      <c r="BT981" s="220">
        <f t="shared" si="507"/>
        <v>6.2689393939393934E-2</v>
      </c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S981" s="112"/>
      <c r="CT981" s="112"/>
      <c r="CU981" s="112"/>
      <c r="CV981" s="112"/>
    </row>
    <row r="982" spans="1:103" s="112" customFormat="1" ht="15" hidden="1" customHeight="1" x14ac:dyDescent="0.25">
      <c r="A982" s="31" t="s">
        <v>2102</v>
      </c>
      <c r="B982" s="226" t="s">
        <v>1817</v>
      </c>
      <c r="C982" s="106" t="s">
        <v>1817</v>
      </c>
      <c r="D982" s="116" t="s">
        <v>2263</v>
      </c>
      <c r="E982" s="106" t="s">
        <v>1668</v>
      </c>
      <c r="F982" s="106" t="s">
        <v>1495</v>
      </c>
      <c r="G982" s="109">
        <v>370</v>
      </c>
      <c r="H982" s="109">
        <f t="shared" si="522"/>
        <v>26</v>
      </c>
      <c r="I982" s="106" t="s">
        <v>2098</v>
      </c>
      <c r="J982" s="106" t="s">
        <v>101</v>
      </c>
      <c r="K982" s="106">
        <v>0</v>
      </c>
      <c r="L982" s="110">
        <v>7</v>
      </c>
      <c r="M982" s="110">
        <v>6</v>
      </c>
      <c r="N982" s="110">
        <v>6</v>
      </c>
      <c r="O982" s="110">
        <v>6</v>
      </c>
      <c r="P982" s="110">
        <v>7</v>
      </c>
      <c r="Q982" s="110">
        <v>7</v>
      </c>
      <c r="R982" s="110">
        <v>7</v>
      </c>
      <c r="S982" s="110">
        <v>7</v>
      </c>
      <c r="T982" s="110">
        <v>7</v>
      </c>
      <c r="U982" s="110">
        <v>7</v>
      </c>
      <c r="V982" s="110"/>
      <c r="W982" s="110"/>
      <c r="X982" s="110"/>
      <c r="Y982" s="106">
        <v>321</v>
      </c>
      <c r="Z982" s="106">
        <f t="shared" si="509"/>
        <v>0</v>
      </c>
      <c r="AA982" s="106" t="s">
        <v>1817</v>
      </c>
      <c r="AB982" s="111">
        <f t="shared" si="504"/>
        <v>3</v>
      </c>
      <c r="AC982" s="85" t="s">
        <v>2425</v>
      </c>
      <c r="AD982" s="107">
        <f t="shared" si="521"/>
        <v>1751.8939393939395</v>
      </c>
      <c r="AE982" s="198"/>
      <c r="AF982" s="113">
        <f t="shared" si="510"/>
        <v>0</v>
      </c>
      <c r="AG982" s="85">
        <v>2026</v>
      </c>
      <c r="AH982" s="26" t="str">
        <f t="shared" si="520"/>
        <v/>
      </c>
      <c r="AI982" s="26" t="str">
        <f t="shared" si="488"/>
        <v/>
      </c>
      <c r="AJ982" s="26" t="str">
        <f t="shared" si="493"/>
        <v/>
      </c>
      <c r="AK982" s="26" t="str">
        <f t="shared" si="508"/>
        <v/>
      </c>
      <c r="AL982" s="26" t="str">
        <f t="shared" si="508"/>
        <v>Liquid Road</v>
      </c>
      <c r="AM982" s="26" t="str">
        <f t="shared" si="508"/>
        <v/>
      </c>
      <c r="AN982" s="26" t="str">
        <f t="shared" si="523"/>
        <v>Liquid Road</v>
      </c>
      <c r="AO982" s="26" t="str">
        <f t="shared" si="494"/>
        <v/>
      </c>
      <c r="AP982" s="26" t="str">
        <f t="shared" si="492"/>
        <v/>
      </c>
      <c r="AQ982" s="68">
        <f t="shared" si="511"/>
        <v>8</v>
      </c>
      <c r="AR982" s="68">
        <f t="shared" si="512"/>
        <v>10</v>
      </c>
      <c r="AS982" s="68">
        <f t="shared" si="513"/>
        <v>1.05</v>
      </c>
      <c r="AT982" s="68">
        <f t="shared" si="514"/>
        <v>1.1000000000000001</v>
      </c>
      <c r="AU982" s="68">
        <f t="shared" si="515"/>
        <v>1.1000000000000001</v>
      </c>
      <c r="AV982" s="68">
        <f t="shared" si="516"/>
        <v>1.1000000000000001</v>
      </c>
      <c r="AW982" s="68">
        <f t="shared" si="517"/>
        <v>1.05</v>
      </c>
      <c r="AX982" s="68">
        <f t="shared" ca="1" si="518"/>
        <v>2.2000000000000002</v>
      </c>
      <c r="AY982" s="106">
        <v>2017</v>
      </c>
      <c r="AZ982" s="68" t="s">
        <v>2371</v>
      </c>
      <c r="BA982" s="106" t="str">
        <f t="shared" si="519"/>
        <v/>
      </c>
      <c r="BB982" s="178"/>
      <c r="BC982" s="178"/>
      <c r="BD982" s="178"/>
      <c r="BE982" s="178"/>
      <c r="BF982" s="178">
        <v>3</v>
      </c>
      <c r="BG982" s="178"/>
      <c r="BH982" s="178"/>
      <c r="BI982" s="33"/>
      <c r="BJ982" s="2"/>
      <c r="BK982" s="48">
        <f>$G982/5280*VLOOKUP($AC982,'Cost and Score'!$B$27:$O$40,6,0)</f>
        <v>7.0075757575757569E-2</v>
      </c>
      <c r="BL982" s="48">
        <f>$G982/5280*VLOOKUP($AC982,'Cost and Score'!$B$27:$O$40,7,0)</f>
        <v>1.1212121212121211</v>
      </c>
      <c r="BM982" s="48">
        <f>$G982/5280*VLOOKUP($AC982,'Cost and Score'!$B$27:$O$40,8,0)</f>
        <v>0</v>
      </c>
      <c r="BN982" s="48">
        <f>$G982/5280*VLOOKUP($AC982,'Cost and Score'!$B$27:$O$40,9,0)</f>
        <v>0</v>
      </c>
      <c r="BO982" s="48">
        <f>$G982/5280*VLOOKUP($AC982,'Cost and Score'!$B$27:$O$40,10,0)</f>
        <v>0</v>
      </c>
      <c r="BP982" s="48">
        <f>$G982/5280*VLOOKUP($AC982,'Cost and Score'!$B$27:$O$40,11,0)</f>
        <v>0</v>
      </c>
      <c r="BQ982" s="48">
        <f>$G982/5280*VLOOKUP($AC982,'Cost and Score'!$B$27:$O$40,12,0)</f>
        <v>0</v>
      </c>
      <c r="BR982" s="48">
        <f>$G982/5280*VLOOKUP($AC982,'Cost and Score'!$B$27:$O$40,13,0)</f>
        <v>0</v>
      </c>
      <c r="BS982" s="48">
        <f>$G982/5280*VLOOKUP($AC982,'Cost and Score'!$B$27:$O$40,14,0)</f>
        <v>0</v>
      </c>
      <c r="BT982" s="220">
        <f t="shared" si="507"/>
        <v>7.0075757575757569E-2</v>
      </c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N982" s="2"/>
      <c r="CO982" s="2"/>
      <c r="CP982" s="2"/>
      <c r="CQ982" s="2"/>
      <c r="CR982" s="2"/>
      <c r="CV982" s="2"/>
      <c r="CW982" s="2"/>
      <c r="CX982" s="2"/>
      <c r="CY982" s="2"/>
    </row>
    <row r="983" spans="1:103" s="112" customFormat="1" ht="15" hidden="1" customHeight="1" x14ac:dyDescent="0.25">
      <c r="A983" s="31" t="s">
        <v>2102</v>
      </c>
      <c r="B983" s="226" t="s">
        <v>1818</v>
      </c>
      <c r="C983" s="106" t="s">
        <v>1818</v>
      </c>
      <c r="D983" s="116" t="s">
        <v>2263</v>
      </c>
      <c r="E983" s="106" t="s">
        <v>1668</v>
      </c>
      <c r="F983" s="106" t="s">
        <v>1495</v>
      </c>
      <c r="G983" s="109">
        <v>2904</v>
      </c>
      <c r="H983" s="109">
        <f t="shared" si="522"/>
        <v>26</v>
      </c>
      <c r="I983" s="106" t="s">
        <v>2098</v>
      </c>
      <c r="J983" s="106" t="s">
        <v>101</v>
      </c>
      <c r="K983" s="106">
        <v>0</v>
      </c>
      <c r="L983" s="110">
        <v>7</v>
      </c>
      <c r="M983" s="110">
        <v>7</v>
      </c>
      <c r="N983" s="110">
        <v>7</v>
      </c>
      <c r="O983" s="110">
        <v>7</v>
      </c>
      <c r="P983" s="110">
        <v>7</v>
      </c>
      <c r="Q983" s="110">
        <v>7</v>
      </c>
      <c r="R983" s="110">
        <v>7</v>
      </c>
      <c r="S983" s="110">
        <v>7</v>
      </c>
      <c r="T983" s="110">
        <v>7</v>
      </c>
      <c r="U983" s="110">
        <v>7</v>
      </c>
      <c r="V983" s="110"/>
      <c r="W983" s="110"/>
      <c r="X983" s="110"/>
      <c r="Y983" s="106">
        <v>321</v>
      </c>
      <c r="Z983" s="106">
        <f t="shared" si="509"/>
        <v>0</v>
      </c>
      <c r="AA983" s="106" t="s">
        <v>1818</v>
      </c>
      <c r="AB983" s="111">
        <f t="shared" si="504"/>
        <v>3</v>
      </c>
      <c r="AC983" s="85" t="s">
        <v>2425</v>
      </c>
      <c r="AD983" s="107">
        <f t="shared" si="521"/>
        <v>13750</v>
      </c>
      <c r="AE983" s="198"/>
      <c r="AF983" s="113">
        <f t="shared" si="510"/>
        <v>0</v>
      </c>
      <c r="AG983" s="85">
        <v>2026</v>
      </c>
      <c r="AH983" s="26" t="str">
        <f t="shared" si="520"/>
        <v/>
      </c>
      <c r="AI983" s="26" t="str">
        <f t="shared" si="488"/>
        <v/>
      </c>
      <c r="AJ983" s="26" t="str">
        <f t="shared" si="493"/>
        <v/>
      </c>
      <c r="AK983" s="26" t="str">
        <f t="shared" si="508"/>
        <v/>
      </c>
      <c r="AL983" s="26" t="str">
        <f t="shared" si="508"/>
        <v>Liquid Road</v>
      </c>
      <c r="AM983" s="26" t="str">
        <f t="shared" si="508"/>
        <v/>
      </c>
      <c r="AN983" s="26" t="str">
        <f t="shared" si="523"/>
        <v>Liquid Road</v>
      </c>
      <c r="AO983" s="26" t="str">
        <f t="shared" si="494"/>
        <v/>
      </c>
      <c r="AP983" s="26" t="str">
        <f t="shared" si="492"/>
        <v/>
      </c>
      <c r="AQ983" s="68">
        <f t="shared" si="511"/>
        <v>10</v>
      </c>
      <c r="AR983" s="68">
        <f t="shared" si="512"/>
        <v>10</v>
      </c>
      <c r="AS983" s="68">
        <f t="shared" si="513"/>
        <v>1.05</v>
      </c>
      <c r="AT983" s="68">
        <f t="shared" si="514"/>
        <v>1.05</v>
      </c>
      <c r="AU983" s="68">
        <f t="shared" si="515"/>
        <v>1.05</v>
      </c>
      <c r="AV983" s="68">
        <f t="shared" si="516"/>
        <v>1.05</v>
      </c>
      <c r="AW983" s="68">
        <f t="shared" si="517"/>
        <v>1.05</v>
      </c>
      <c r="AX983" s="68">
        <f t="shared" ca="1" si="518"/>
        <v>2.1</v>
      </c>
      <c r="AY983" s="106">
        <v>2017</v>
      </c>
      <c r="AZ983" s="68" t="s">
        <v>2371</v>
      </c>
      <c r="BA983" s="106" t="str">
        <f t="shared" si="519"/>
        <v/>
      </c>
      <c r="BB983" s="178"/>
      <c r="BC983" s="178"/>
      <c r="BD983" s="178"/>
      <c r="BE983" s="178"/>
      <c r="BF983" s="178">
        <v>3</v>
      </c>
      <c r="BG983" s="178"/>
      <c r="BH983" s="178"/>
      <c r="BI983" s="33"/>
      <c r="BJ983" s="2"/>
      <c r="BK983" s="48">
        <f>$G983/5280*VLOOKUP($AC983,'Cost and Score'!$B$27:$O$40,6,0)</f>
        <v>0.55000000000000004</v>
      </c>
      <c r="BL983" s="48">
        <f>$G983/5280*VLOOKUP($AC983,'Cost and Score'!$B$27:$O$40,7,0)</f>
        <v>8.8000000000000007</v>
      </c>
      <c r="BM983" s="48">
        <f>$G983/5280*VLOOKUP($AC983,'Cost and Score'!$B$27:$O$40,8,0)</f>
        <v>0</v>
      </c>
      <c r="BN983" s="48">
        <f>$G983/5280*VLOOKUP($AC983,'Cost and Score'!$B$27:$O$40,9,0)</f>
        <v>0</v>
      </c>
      <c r="BO983" s="48">
        <f>$G983/5280*VLOOKUP($AC983,'Cost and Score'!$B$27:$O$40,10,0)</f>
        <v>0</v>
      </c>
      <c r="BP983" s="48">
        <f>$G983/5280*VLOOKUP($AC983,'Cost and Score'!$B$27:$O$40,11,0)</f>
        <v>0</v>
      </c>
      <c r="BQ983" s="48">
        <f>$G983/5280*VLOOKUP($AC983,'Cost and Score'!$B$27:$O$40,12,0)</f>
        <v>0</v>
      </c>
      <c r="BR983" s="48">
        <f>$G983/5280*VLOOKUP($AC983,'Cost and Score'!$B$27:$O$40,13,0)</f>
        <v>0</v>
      </c>
      <c r="BS983" s="48">
        <f>$G983/5280*VLOOKUP($AC983,'Cost and Score'!$B$27:$O$40,14,0)</f>
        <v>0</v>
      </c>
      <c r="BT983" s="220">
        <f t="shared" si="507"/>
        <v>0.55000000000000004</v>
      </c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R983" s="2"/>
      <c r="CS983" s="2"/>
      <c r="CT983" s="2"/>
      <c r="CU983" s="2"/>
      <c r="CW983" s="2"/>
      <c r="CX983" s="2"/>
      <c r="CY983" s="2"/>
    </row>
    <row r="984" spans="1:103" s="112" customFormat="1" ht="15" hidden="1" customHeight="1" x14ac:dyDescent="0.25">
      <c r="A984" s="15" t="s">
        <v>2109</v>
      </c>
      <c r="B984" s="34" t="s">
        <v>1819</v>
      </c>
      <c r="C984" s="26" t="s">
        <v>1819</v>
      </c>
      <c r="D984" s="26"/>
      <c r="E984" s="26" t="s">
        <v>457</v>
      </c>
      <c r="F984" s="26" t="s">
        <v>99</v>
      </c>
      <c r="G984" s="29">
        <v>1790</v>
      </c>
      <c r="H984" s="29">
        <f t="shared" si="522"/>
        <v>20</v>
      </c>
      <c r="I984" s="26" t="s">
        <v>8</v>
      </c>
      <c r="J984" s="26" t="s">
        <v>101</v>
      </c>
      <c r="K984" s="26">
        <v>0</v>
      </c>
      <c r="L984" s="42">
        <v>5</v>
      </c>
      <c r="M984" s="42">
        <v>7</v>
      </c>
      <c r="N984" s="42">
        <v>10</v>
      </c>
      <c r="O984" s="42">
        <v>9</v>
      </c>
      <c r="P984" s="42">
        <v>9</v>
      </c>
      <c r="Q984" s="42">
        <v>9</v>
      </c>
      <c r="R984" s="42">
        <v>8</v>
      </c>
      <c r="S984" s="42">
        <v>7</v>
      </c>
      <c r="T984" s="42">
        <v>7</v>
      </c>
      <c r="U984" s="42">
        <v>7</v>
      </c>
      <c r="V984" s="42">
        <v>2022</v>
      </c>
      <c r="W984" s="42"/>
      <c r="X984" s="42" t="s">
        <v>2612</v>
      </c>
      <c r="Y984" s="26">
        <v>806</v>
      </c>
      <c r="Z984" s="26">
        <f t="shared" si="509"/>
        <v>0.5</v>
      </c>
      <c r="AA984" s="26" t="s">
        <v>1820</v>
      </c>
      <c r="AB984" s="111">
        <f t="shared" si="504"/>
        <v>1.5</v>
      </c>
      <c r="AC984" s="26" t="s">
        <v>13</v>
      </c>
      <c r="AD984" s="47">
        <f t="shared" si="521"/>
        <v>7119.318181818182</v>
      </c>
      <c r="AE984" s="140"/>
      <c r="AF984" s="113">
        <f t="shared" si="510"/>
        <v>0</v>
      </c>
      <c r="AG984" s="26">
        <v>2026</v>
      </c>
      <c r="AH984" s="26" t="str">
        <f t="shared" si="520"/>
        <v/>
      </c>
      <c r="AI984" s="26" t="str">
        <f t="shared" si="488"/>
        <v/>
      </c>
      <c r="AJ984" s="26" t="str">
        <f t="shared" si="493"/>
        <v/>
      </c>
      <c r="AK984" s="26" t="str">
        <f t="shared" si="508"/>
        <v/>
      </c>
      <c r="AL984" s="26" t="str">
        <f t="shared" si="508"/>
        <v>Chip Seal and Fog</v>
      </c>
      <c r="AM984" s="26" t="str">
        <f t="shared" si="508"/>
        <v/>
      </c>
      <c r="AN984" s="26" t="str">
        <f t="shared" si="523"/>
        <v>Chip Seal and Fog</v>
      </c>
      <c r="AO984" s="26" t="str">
        <f t="shared" si="494"/>
        <v/>
      </c>
      <c r="AP984" s="26" t="str">
        <f t="shared" si="492"/>
        <v/>
      </c>
      <c r="AQ984" s="68">
        <f t="shared" si="511"/>
        <v>14</v>
      </c>
      <c r="AR984" s="68">
        <f t="shared" si="512"/>
        <v>6</v>
      </c>
      <c r="AS984" s="68">
        <f t="shared" si="513"/>
        <v>1.25</v>
      </c>
      <c r="AT984" s="68">
        <f t="shared" si="514"/>
        <v>1.05</v>
      </c>
      <c r="AU984" s="68">
        <f t="shared" si="515"/>
        <v>1</v>
      </c>
      <c r="AV984" s="68">
        <f t="shared" si="516"/>
        <v>1</v>
      </c>
      <c r="AW984" s="68">
        <f t="shared" si="517"/>
        <v>1</v>
      </c>
      <c r="AX984" s="68">
        <f t="shared" ca="1" si="518"/>
        <v>2</v>
      </c>
      <c r="AY984" s="68"/>
      <c r="AZ984" s="68"/>
      <c r="BA984" s="106" t="str">
        <f t="shared" si="519"/>
        <v/>
      </c>
      <c r="BB984" s="178"/>
      <c r="BC984" s="178">
        <v>9</v>
      </c>
      <c r="BD984" s="178"/>
      <c r="BE984" s="178"/>
      <c r="BF984" s="178"/>
      <c r="BG984" s="178"/>
      <c r="BH984" s="178"/>
      <c r="BI984" s="33"/>
      <c r="BJ984" s="2"/>
      <c r="BK984" s="48">
        <f>$G984/5280*VLOOKUP($AC984,'Cost and Score'!$B$27:$O$40,6,0)</f>
        <v>6.7803030303030296E-2</v>
      </c>
      <c r="BL984" s="48">
        <f>$G984/5280*VLOOKUP($AC984,'Cost and Score'!$B$27:$O$40,7,0)</f>
        <v>7.458333333333333</v>
      </c>
      <c r="BM984" s="48">
        <f>$G984/5280*VLOOKUP($AC984,'Cost and Score'!$B$27:$O$40,8,0)</f>
        <v>0</v>
      </c>
      <c r="BN984" s="48">
        <f>$G984/5280*VLOOKUP($AC984,'Cost and Score'!$B$27:$O$40,9,0)</f>
        <v>1525.5681818181818</v>
      </c>
      <c r="BO984" s="48">
        <f>$G984/5280*VLOOKUP($AC984,'Cost and Score'!$B$27:$O$40,10,0)</f>
        <v>339.0151515151515</v>
      </c>
      <c r="BP984" s="48">
        <f>$G984/5280*VLOOKUP($AC984,'Cost and Score'!$B$27:$O$40,11,0)</f>
        <v>0</v>
      </c>
      <c r="BQ984" s="48">
        <f>$G984/5280*VLOOKUP($AC984,'Cost and Score'!$B$27:$O$40,12,0)</f>
        <v>33.901515151515149</v>
      </c>
      <c r="BR984" s="48">
        <f>$G984/5280*VLOOKUP($AC984,'Cost and Score'!$B$27:$O$40,13,0)</f>
        <v>40.68181818181818</v>
      </c>
      <c r="BS984" s="48">
        <f>$G984/5280*VLOOKUP($AC984,'Cost and Score'!$B$27:$O$40,14,0)</f>
        <v>0</v>
      </c>
      <c r="BT984" s="220">
        <f t="shared" si="507"/>
        <v>0.33901515151515149</v>
      </c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N984" s="2"/>
      <c r="CO984" s="2"/>
      <c r="CP984" s="2"/>
      <c r="CQ984" s="2"/>
      <c r="CR984" s="2"/>
      <c r="CW984" s="2"/>
      <c r="CX984" s="2"/>
      <c r="CY984" s="2"/>
    </row>
    <row r="985" spans="1:103" s="112" customFormat="1" ht="15" hidden="1" customHeight="1" x14ac:dyDescent="0.25">
      <c r="A985" s="37" t="s">
        <v>1822</v>
      </c>
      <c r="B985" s="34" t="s">
        <v>1821</v>
      </c>
      <c r="C985" s="26" t="s">
        <v>1821</v>
      </c>
      <c r="D985" s="82"/>
      <c r="E985" s="82" t="s">
        <v>457</v>
      </c>
      <c r="F985" s="82" t="s">
        <v>100</v>
      </c>
      <c r="G985" s="29">
        <v>295</v>
      </c>
      <c r="H985" s="29">
        <f t="shared" si="522"/>
        <v>20</v>
      </c>
      <c r="I985" s="26" t="s">
        <v>8</v>
      </c>
      <c r="J985" s="26" t="s">
        <v>101</v>
      </c>
      <c r="K985" s="26">
        <v>0</v>
      </c>
      <c r="L985" s="42">
        <v>7</v>
      </c>
      <c r="M985" s="42">
        <v>7</v>
      </c>
      <c r="N985" s="42">
        <v>7</v>
      </c>
      <c r="O985" s="83">
        <v>7</v>
      </c>
      <c r="P985" s="83">
        <v>7</v>
      </c>
      <c r="Q985" s="83">
        <v>7</v>
      </c>
      <c r="R985" s="83">
        <v>7</v>
      </c>
      <c r="S985" s="83">
        <v>7</v>
      </c>
      <c r="T985" s="83">
        <v>7</v>
      </c>
      <c r="U985" s="83">
        <v>7</v>
      </c>
      <c r="V985" s="42">
        <v>2024</v>
      </c>
      <c r="W985" s="42"/>
      <c r="X985" s="42" t="s">
        <v>2612</v>
      </c>
      <c r="Y985" s="26">
        <v>806</v>
      </c>
      <c r="Z985" s="26">
        <f t="shared" si="509"/>
        <v>0.5</v>
      </c>
      <c r="AA985" s="82" t="s">
        <v>1820</v>
      </c>
      <c r="AB985" s="111">
        <f t="shared" si="504"/>
        <v>3.5</v>
      </c>
      <c r="AC985" s="85" t="s">
        <v>13</v>
      </c>
      <c r="AD985" s="84">
        <f t="shared" si="521"/>
        <v>1173.2954545454545</v>
      </c>
      <c r="AE985" s="140"/>
      <c r="AF985" s="113">
        <f t="shared" si="510"/>
        <v>0</v>
      </c>
      <c r="AG985" s="85">
        <v>2024</v>
      </c>
      <c r="AH985" s="26" t="str">
        <f t="shared" si="520"/>
        <v/>
      </c>
      <c r="AI985" s="26" t="str">
        <f t="shared" si="488"/>
        <v/>
      </c>
      <c r="AJ985" s="26" t="str">
        <f t="shared" si="493"/>
        <v>Chip Seal and Fog</v>
      </c>
      <c r="AK985" s="26" t="str">
        <f t="shared" si="508"/>
        <v/>
      </c>
      <c r="AL985" s="26" t="str">
        <f t="shared" si="508"/>
        <v/>
      </c>
      <c r="AM985" s="26" t="str">
        <f t="shared" si="508"/>
        <v/>
      </c>
      <c r="AN985" s="26" t="str">
        <f t="shared" si="523"/>
        <v>Chip Seal and Fog</v>
      </c>
      <c r="AO985" s="26" t="str">
        <f t="shared" si="494"/>
        <v/>
      </c>
      <c r="AP985" s="26" t="str">
        <f t="shared" si="492"/>
        <v/>
      </c>
      <c r="AQ985" s="68">
        <f t="shared" si="511"/>
        <v>10</v>
      </c>
      <c r="AR985" s="68">
        <f t="shared" si="512"/>
        <v>6</v>
      </c>
      <c r="AS985" s="68">
        <f t="shared" si="513"/>
        <v>1.05</v>
      </c>
      <c r="AT985" s="68">
        <f t="shared" si="514"/>
        <v>1.05</v>
      </c>
      <c r="AU985" s="68">
        <f t="shared" si="515"/>
        <v>1.05</v>
      </c>
      <c r="AV985" s="68">
        <f t="shared" si="516"/>
        <v>1.05</v>
      </c>
      <c r="AW985" s="68">
        <f t="shared" si="517"/>
        <v>1.05</v>
      </c>
      <c r="AX985" s="68">
        <f t="shared" ca="1" si="518"/>
        <v>0</v>
      </c>
      <c r="AY985" s="68">
        <v>2018</v>
      </c>
      <c r="AZ985" s="68" t="s">
        <v>2075</v>
      </c>
      <c r="BA985" s="106" t="str">
        <f t="shared" si="519"/>
        <v>CRACK</v>
      </c>
      <c r="BB985" s="178"/>
      <c r="BC985" s="178">
        <v>9</v>
      </c>
      <c r="BD985" s="178"/>
      <c r="BE985" s="178"/>
      <c r="BF985" s="178"/>
      <c r="BG985" s="178"/>
      <c r="BH985" s="178"/>
      <c r="BI985" s="33" t="s">
        <v>2473</v>
      </c>
      <c r="BJ985" s="2"/>
      <c r="BK985" s="48">
        <f>$G985/5280*VLOOKUP($AC985,'Cost and Score'!$B$27:$O$40,6,0)</f>
        <v>1.1174242424242425E-2</v>
      </c>
      <c r="BL985" s="48">
        <f>$G985/5280*VLOOKUP($AC985,'Cost and Score'!$B$27:$O$40,7,0)</f>
        <v>1.2291666666666667</v>
      </c>
      <c r="BM985" s="48">
        <f>$G985/5280*VLOOKUP($AC985,'Cost and Score'!$B$27:$O$40,8,0)</f>
        <v>0</v>
      </c>
      <c r="BN985" s="48">
        <f>$G985/5280*VLOOKUP($AC985,'Cost and Score'!$B$27:$O$40,9,0)</f>
        <v>251.42045454545453</v>
      </c>
      <c r="BO985" s="48">
        <f>$G985/5280*VLOOKUP($AC985,'Cost and Score'!$B$27:$O$40,10,0)</f>
        <v>55.871212121212118</v>
      </c>
      <c r="BP985" s="48">
        <f>$G985/5280*VLOOKUP($AC985,'Cost and Score'!$B$27:$O$40,11,0)</f>
        <v>0</v>
      </c>
      <c r="BQ985" s="48">
        <f>$G985/5280*VLOOKUP($AC985,'Cost and Score'!$B$27:$O$40,12,0)</f>
        <v>5.5871212121212119</v>
      </c>
      <c r="BR985" s="48">
        <f>$G985/5280*VLOOKUP($AC985,'Cost and Score'!$B$27:$O$40,13,0)</f>
        <v>6.7045454545454541</v>
      </c>
      <c r="BS985" s="48">
        <f>$G985/5280*VLOOKUP($AC985,'Cost and Score'!$B$27:$O$40,14,0)</f>
        <v>0</v>
      </c>
      <c r="BT985" s="220">
        <f t="shared" si="507"/>
        <v>5.587121212121212E-2</v>
      </c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G985" s="2"/>
      <c r="CH985" s="2"/>
      <c r="CI985" s="2"/>
      <c r="CJ985" s="2"/>
      <c r="CK985" s="2"/>
      <c r="CL985" s="2"/>
      <c r="CM985" s="2"/>
      <c r="CR985" s="2"/>
      <c r="CW985" s="2"/>
      <c r="CX985" s="2"/>
      <c r="CY985" s="2"/>
    </row>
    <row r="986" spans="1:103" s="2" customFormat="1" ht="15" hidden="1" customHeight="1" x14ac:dyDescent="0.25">
      <c r="A986" s="38" t="s">
        <v>1824</v>
      </c>
      <c r="B986" s="108" t="s">
        <v>1823</v>
      </c>
      <c r="C986" s="106" t="s">
        <v>1823</v>
      </c>
      <c r="D986" s="106"/>
      <c r="E986" s="106" t="s">
        <v>99</v>
      </c>
      <c r="F986" s="106" t="s">
        <v>104</v>
      </c>
      <c r="G986" s="109">
        <v>5830</v>
      </c>
      <c r="H986" s="109">
        <f t="shared" si="522"/>
        <v>20</v>
      </c>
      <c r="I986" s="106" t="s">
        <v>13</v>
      </c>
      <c r="J986" s="106" t="s">
        <v>6</v>
      </c>
      <c r="K986" s="106">
        <f>VLOOKUP(J986,TOWNSHIPS,2,FALSE)</f>
        <v>0</v>
      </c>
      <c r="L986" s="110">
        <v>6</v>
      </c>
      <c r="M986" s="110">
        <v>7</v>
      </c>
      <c r="N986" s="110">
        <v>7</v>
      </c>
      <c r="O986" s="110">
        <v>5</v>
      </c>
      <c r="P986" s="110">
        <v>7</v>
      </c>
      <c r="Q986" s="110">
        <v>7</v>
      </c>
      <c r="R986" s="110">
        <v>7</v>
      </c>
      <c r="S986" s="110">
        <v>7</v>
      </c>
      <c r="T986" s="110">
        <v>7</v>
      </c>
      <c r="U986" s="110">
        <v>7</v>
      </c>
      <c r="V986" s="110">
        <v>2023</v>
      </c>
      <c r="W986" s="110">
        <v>2023</v>
      </c>
      <c r="X986" s="110" t="s">
        <v>2612</v>
      </c>
      <c r="Y986" s="106">
        <v>625</v>
      </c>
      <c r="Z986" s="106">
        <f t="shared" si="509"/>
        <v>0.5</v>
      </c>
      <c r="AA986" s="106" t="s">
        <v>1820</v>
      </c>
      <c r="AB986" s="111">
        <f t="shared" si="504"/>
        <v>3.5</v>
      </c>
      <c r="AC986" s="26" t="s">
        <v>2075</v>
      </c>
      <c r="AD986" s="107">
        <f t="shared" si="521"/>
        <v>5962.5</v>
      </c>
      <c r="AE986" s="198"/>
      <c r="AF986" s="113">
        <f t="shared" si="510"/>
        <v>0</v>
      </c>
      <c r="AG986" s="26">
        <v>2022</v>
      </c>
      <c r="AH986" s="26" t="str">
        <f t="shared" si="520"/>
        <v>Crack Seal</v>
      </c>
      <c r="AI986" s="26" t="str">
        <f t="shared" si="488"/>
        <v/>
      </c>
      <c r="AJ986" s="26" t="str">
        <f t="shared" si="493"/>
        <v/>
      </c>
      <c r="AK986" s="26" t="str">
        <f t="shared" si="508"/>
        <v/>
      </c>
      <c r="AL986" s="26" t="str">
        <f t="shared" si="508"/>
        <v/>
      </c>
      <c r="AM986" s="26" t="str">
        <f t="shared" si="508"/>
        <v/>
      </c>
      <c r="AN986" s="26" t="str">
        <f t="shared" si="523"/>
        <v>Crack Seal</v>
      </c>
      <c r="AO986" s="26" t="str">
        <f t="shared" si="494"/>
        <v/>
      </c>
      <c r="AP986" s="26" t="str">
        <f t="shared" si="492"/>
        <v/>
      </c>
      <c r="AQ986" s="68">
        <f t="shared" si="511"/>
        <v>6</v>
      </c>
      <c r="AR986" s="68">
        <f t="shared" si="512"/>
        <v>3</v>
      </c>
      <c r="AS986" s="68">
        <f t="shared" si="513"/>
        <v>1.1000000000000001</v>
      </c>
      <c r="AT986" s="68">
        <f t="shared" si="514"/>
        <v>1.05</v>
      </c>
      <c r="AU986" s="68">
        <f t="shared" si="515"/>
        <v>1.05</v>
      </c>
      <c r="AV986" s="68">
        <f t="shared" si="516"/>
        <v>1.25</v>
      </c>
      <c r="AW986" s="68">
        <f t="shared" si="517"/>
        <v>1.05</v>
      </c>
      <c r="AX986" s="68">
        <f t="shared" ca="1" si="518"/>
        <v>-2.1</v>
      </c>
      <c r="AY986" s="106">
        <v>2017</v>
      </c>
      <c r="AZ986" s="111" t="s">
        <v>2073</v>
      </c>
      <c r="BA986" s="106" t="str">
        <f t="shared" si="519"/>
        <v/>
      </c>
      <c r="BB986" s="110"/>
      <c r="BC986" s="110">
        <v>9</v>
      </c>
      <c r="BD986" s="110"/>
      <c r="BE986" s="110"/>
      <c r="BF986" s="110"/>
      <c r="BG986" s="110"/>
      <c r="BH986" s="110"/>
      <c r="BI986" s="33"/>
      <c r="BK986" s="48">
        <f>$G986/5280*VLOOKUP($AC986,'Cost and Score'!$B$27:$O$40,6,0)</f>
        <v>1.1041666666666667</v>
      </c>
      <c r="BL986" s="48">
        <f>$G986/5280*VLOOKUP($AC986,'Cost and Score'!$B$27:$O$40,7,0)</f>
        <v>0</v>
      </c>
      <c r="BM986" s="48">
        <f>$G986/5280*VLOOKUP($AC986,'Cost and Score'!$B$27:$O$40,8,0)</f>
        <v>0</v>
      </c>
      <c r="BN986" s="48">
        <f>$G986/5280*VLOOKUP($AC986,'Cost and Score'!$B$27:$O$40,9,0)</f>
        <v>0</v>
      </c>
      <c r="BO986" s="48">
        <f>$G986/5280*VLOOKUP($AC986,'Cost and Score'!$B$27:$O$40,10,0)</f>
        <v>0</v>
      </c>
      <c r="BP986" s="48">
        <f>$G986/5280*VLOOKUP($AC986,'Cost and Score'!$B$27:$O$40,11,0)</f>
        <v>0</v>
      </c>
      <c r="BQ986" s="48">
        <f>$G986/5280*VLOOKUP($AC986,'Cost and Score'!$B$27:$O$40,12,0)</f>
        <v>0</v>
      </c>
      <c r="BR986" s="48">
        <f>$G986/5280*VLOOKUP($AC986,'Cost and Score'!$B$27:$O$40,13,0)</f>
        <v>0</v>
      </c>
      <c r="BS986" s="48">
        <f>$G986/5280*VLOOKUP($AC986,'Cost and Score'!$B$27:$O$40,14,0)</f>
        <v>0</v>
      </c>
      <c r="BT986" s="220">
        <f t="shared" si="507"/>
        <v>1.1041666666666667</v>
      </c>
      <c r="CN986" s="112"/>
      <c r="CO986" s="112"/>
      <c r="CP986" s="112"/>
      <c r="CQ986" s="112"/>
      <c r="CS986" s="112"/>
      <c r="CT986" s="112"/>
      <c r="CU986" s="112"/>
      <c r="CV986" s="112"/>
    </row>
    <row r="987" spans="1:103" s="2" customFormat="1" ht="15" hidden="1" customHeight="1" x14ac:dyDescent="0.25">
      <c r="A987" s="38" t="s">
        <v>1826</v>
      </c>
      <c r="B987" s="34" t="s">
        <v>1825</v>
      </c>
      <c r="C987" s="26" t="s">
        <v>1825</v>
      </c>
      <c r="D987" s="26"/>
      <c r="E987" s="26" t="s">
        <v>104</v>
      </c>
      <c r="F987" s="26" t="s">
        <v>107</v>
      </c>
      <c r="G987" s="29">
        <v>5934</v>
      </c>
      <c r="H987" s="29">
        <f t="shared" si="522"/>
        <v>20</v>
      </c>
      <c r="I987" s="26" t="s">
        <v>13</v>
      </c>
      <c r="J987" s="26" t="s">
        <v>6</v>
      </c>
      <c r="K987" s="26">
        <f>VLOOKUP(J987,TOWNSHIPS,2,FALSE)</f>
        <v>0</v>
      </c>
      <c r="L987" s="42">
        <v>7</v>
      </c>
      <c r="M987" s="42">
        <v>7</v>
      </c>
      <c r="N987" s="42">
        <v>7</v>
      </c>
      <c r="O987" s="42">
        <v>7</v>
      </c>
      <c r="P987" s="42">
        <v>7</v>
      </c>
      <c r="Q987" s="42">
        <v>7</v>
      </c>
      <c r="R987" s="42">
        <v>7</v>
      </c>
      <c r="S987" s="42">
        <v>7</v>
      </c>
      <c r="T987" s="42">
        <v>7</v>
      </c>
      <c r="U987" s="42">
        <v>7</v>
      </c>
      <c r="V987" s="42">
        <v>2023</v>
      </c>
      <c r="W987" s="42">
        <v>2023</v>
      </c>
      <c r="X987" s="42" t="s">
        <v>2612</v>
      </c>
      <c r="Y987" s="26">
        <v>846</v>
      </c>
      <c r="Z987" s="26">
        <f t="shared" si="509"/>
        <v>0.5</v>
      </c>
      <c r="AA987" s="26" t="s">
        <v>1820</v>
      </c>
      <c r="AB987" s="111">
        <f t="shared" si="504"/>
        <v>3.5</v>
      </c>
      <c r="AC987" s="26" t="s">
        <v>2075</v>
      </c>
      <c r="AD987" s="47">
        <f t="shared" si="521"/>
        <v>6068.863636363636</v>
      </c>
      <c r="AE987" s="140"/>
      <c r="AF987" s="113">
        <f t="shared" si="510"/>
        <v>0</v>
      </c>
      <c r="AG987" s="26">
        <v>2022</v>
      </c>
      <c r="AH987" s="26" t="str">
        <f t="shared" si="520"/>
        <v>Crack Seal</v>
      </c>
      <c r="AI987" s="26" t="str">
        <f t="shared" si="488"/>
        <v/>
      </c>
      <c r="AJ987" s="26" t="str">
        <f t="shared" si="493"/>
        <v/>
      </c>
      <c r="AK987" s="26" t="str">
        <f t="shared" si="508"/>
        <v/>
      </c>
      <c r="AL987" s="26" t="str">
        <f t="shared" si="508"/>
        <v/>
      </c>
      <c r="AM987" s="26" t="str">
        <f t="shared" si="508"/>
        <v/>
      </c>
      <c r="AN987" s="26" t="str">
        <f t="shared" si="523"/>
        <v>Crack Seal</v>
      </c>
      <c r="AO987" s="26" t="str">
        <f t="shared" si="494"/>
        <v/>
      </c>
      <c r="AP987" s="26" t="str">
        <f t="shared" si="492"/>
        <v/>
      </c>
      <c r="AQ987" s="68">
        <f t="shared" si="511"/>
        <v>10</v>
      </c>
      <c r="AR987" s="68">
        <f t="shared" si="512"/>
        <v>3</v>
      </c>
      <c r="AS987" s="68">
        <f t="shared" si="513"/>
        <v>1.05</v>
      </c>
      <c r="AT987" s="68">
        <f t="shared" si="514"/>
        <v>1.05</v>
      </c>
      <c r="AU987" s="68">
        <f t="shared" si="515"/>
        <v>1.05</v>
      </c>
      <c r="AV987" s="68">
        <f t="shared" si="516"/>
        <v>1.05</v>
      </c>
      <c r="AW987" s="68">
        <f t="shared" si="517"/>
        <v>1.05</v>
      </c>
      <c r="AX987" s="68">
        <f t="shared" ca="1" si="518"/>
        <v>-2.1</v>
      </c>
      <c r="AY987" s="68">
        <v>2016</v>
      </c>
      <c r="AZ987" s="68" t="s">
        <v>2075</v>
      </c>
      <c r="BA987" s="106" t="str">
        <f t="shared" si="519"/>
        <v/>
      </c>
      <c r="BB987" s="178"/>
      <c r="BC987" s="178">
        <v>9</v>
      </c>
      <c r="BD987" s="178"/>
      <c r="BE987" s="178"/>
      <c r="BF987" s="178"/>
      <c r="BG987" s="178"/>
      <c r="BH987" s="178"/>
      <c r="BI987" s="33"/>
      <c r="BK987" s="48">
        <f>$G987/5280*VLOOKUP($AC987,'Cost and Score'!$B$27:$O$40,6,0)</f>
        <v>1.1238636363636363</v>
      </c>
      <c r="BL987" s="48">
        <f>$G987/5280*VLOOKUP($AC987,'Cost and Score'!$B$27:$O$40,7,0)</f>
        <v>0</v>
      </c>
      <c r="BM987" s="48">
        <f>$G987/5280*VLOOKUP($AC987,'Cost and Score'!$B$27:$O$40,8,0)</f>
        <v>0</v>
      </c>
      <c r="BN987" s="48">
        <f>$G987/5280*VLOOKUP($AC987,'Cost and Score'!$B$27:$O$40,9,0)</f>
        <v>0</v>
      </c>
      <c r="BO987" s="48">
        <f>$G987/5280*VLOOKUP($AC987,'Cost and Score'!$B$27:$O$40,10,0)</f>
        <v>0</v>
      </c>
      <c r="BP987" s="48">
        <f>$G987/5280*VLOOKUP($AC987,'Cost and Score'!$B$27:$O$40,11,0)</f>
        <v>0</v>
      </c>
      <c r="BQ987" s="48">
        <f>$G987/5280*VLOOKUP($AC987,'Cost and Score'!$B$27:$O$40,12,0)</f>
        <v>0</v>
      </c>
      <c r="BR987" s="48">
        <f>$G987/5280*VLOOKUP($AC987,'Cost and Score'!$B$27:$O$40,13,0)</f>
        <v>0</v>
      </c>
      <c r="BS987" s="48">
        <f>$G987/5280*VLOOKUP($AC987,'Cost and Score'!$B$27:$O$40,14,0)</f>
        <v>0</v>
      </c>
      <c r="BT987" s="220">
        <f t="shared" si="507"/>
        <v>1.1238636363636363</v>
      </c>
      <c r="CF987" s="112"/>
      <c r="CG987" s="112"/>
      <c r="CH987" s="112"/>
      <c r="CI987" s="112"/>
      <c r="CJ987" s="112"/>
      <c r="CK987" s="112"/>
      <c r="CL987" s="112"/>
      <c r="CM987" s="112"/>
    </row>
    <row r="988" spans="1:103" s="112" customFormat="1" ht="15" hidden="1" customHeight="1" x14ac:dyDescent="0.25">
      <c r="A988" s="38" t="s">
        <v>1828</v>
      </c>
      <c r="B988" s="108" t="s">
        <v>1827</v>
      </c>
      <c r="C988" s="106" t="s">
        <v>1827</v>
      </c>
      <c r="D988" s="106"/>
      <c r="E988" s="106" t="s">
        <v>107</v>
      </c>
      <c r="F988" s="106" t="s">
        <v>110</v>
      </c>
      <c r="G988" s="109">
        <v>5960</v>
      </c>
      <c r="H988" s="109">
        <f t="shared" si="522"/>
        <v>20</v>
      </c>
      <c r="I988" s="106" t="s">
        <v>13</v>
      </c>
      <c r="J988" s="106" t="s">
        <v>172</v>
      </c>
      <c r="K988" s="106">
        <f>VLOOKUP(J988,TOWNSHIPS,2,FALSE)</f>
        <v>0</v>
      </c>
      <c r="L988" s="110">
        <v>7</v>
      </c>
      <c r="M988" s="110">
        <v>7</v>
      </c>
      <c r="N988" s="110">
        <v>7</v>
      </c>
      <c r="O988" s="110">
        <v>7</v>
      </c>
      <c r="P988" s="110">
        <v>7</v>
      </c>
      <c r="Q988" s="110">
        <v>7</v>
      </c>
      <c r="R988" s="110">
        <v>7</v>
      </c>
      <c r="S988" s="110">
        <v>7</v>
      </c>
      <c r="T988" s="110">
        <v>7</v>
      </c>
      <c r="U988" s="110">
        <v>7</v>
      </c>
      <c r="V988" s="110">
        <v>2023</v>
      </c>
      <c r="W988" s="110">
        <v>2023</v>
      </c>
      <c r="X988" s="110" t="s">
        <v>2612</v>
      </c>
      <c r="Y988" s="106">
        <v>718</v>
      </c>
      <c r="Z988" s="106">
        <f t="shared" si="509"/>
        <v>0.5</v>
      </c>
      <c r="AA988" s="106" t="s">
        <v>1820</v>
      </c>
      <c r="AB988" s="111">
        <f t="shared" si="504"/>
        <v>3.5</v>
      </c>
      <c r="AC988" s="26" t="s">
        <v>2075</v>
      </c>
      <c r="AD988" s="107">
        <f t="shared" si="521"/>
        <v>6095.454545454545</v>
      </c>
      <c r="AE988" s="198"/>
      <c r="AF988" s="113">
        <f t="shared" si="510"/>
        <v>0</v>
      </c>
      <c r="AG988" s="26">
        <v>2022</v>
      </c>
      <c r="AH988" s="26" t="str">
        <f t="shared" si="520"/>
        <v>Crack Seal</v>
      </c>
      <c r="AI988" s="26" t="str">
        <f t="shared" si="488"/>
        <v/>
      </c>
      <c r="AJ988" s="26" t="str">
        <f t="shared" si="493"/>
        <v/>
      </c>
      <c r="AK988" s="26" t="str">
        <f t="shared" ref="AK988:AM1007" si="524">IF($AG988=AK$1,VLOOKUP($AC988,RSL,3,FALSE),"")</f>
        <v/>
      </c>
      <c r="AL988" s="26" t="str">
        <f t="shared" si="524"/>
        <v/>
      </c>
      <c r="AM988" s="26" t="str">
        <f t="shared" si="524"/>
        <v/>
      </c>
      <c r="AN988" s="26" t="str">
        <f t="shared" si="523"/>
        <v>Crack Seal</v>
      </c>
      <c r="AO988" s="26" t="str">
        <f t="shared" si="494"/>
        <v/>
      </c>
      <c r="AP988" s="26" t="str">
        <f t="shared" si="492"/>
        <v/>
      </c>
      <c r="AQ988" s="68">
        <f t="shared" si="511"/>
        <v>10</v>
      </c>
      <c r="AR988" s="68">
        <f t="shared" si="512"/>
        <v>3</v>
      </c>
      <c r="AS988" s="68">
        <f t="shared" si="513"/>
        <v>1.05</v>
      </c>
      <c r="AT988" s="68">
        <f t="shared" si="514"/>
        <v>1.05</v>
      </c>
      <c r="AU988" s="68">
        <f t="shared" si="515"/>
        <v>1.05</v>
      </c>
      <c r="AV988" s="68">
        <f t="shared" si="516"/>
        <v>1.05</v>
      </c>
      <c r="AW988" s="68">
        <f t="shared" si="517"/>
        <v>1.05</v>
      </c>
      <c r="AX988" s="68">
        <f t="shared" ca="1" si="518"/>
        <v>-2.1</v>
      </c>
      <c r="AY988" s="106">
        <v>2017</v>
      </c>
      <c r="AZ988" s="111" t="s">
        <v>2073</v>
      </c>
      <c r="BA988" s="106" t="str">
        <f t="shared" si="519"/>
        <v/>
      </c>
      <c r="BB988" s="110"/>
      <c r="BC988" s="110">
        <v>9</v>
      </c>
      <c r="BD988" s="110"/>
      <c r="BE988" s="110"/>
      <c r="BF988" s="110"/>
      <c r="BG988" s="110"/>
      <c r="BH988" s="110"/>
      <c r="BI988" s="33"/>
      <c r="BJ988" s="2"/>
      <c r="BK988" s="48">
        <f>$G988/5280*VLOOKUP($AC988,'Cost and Score'!$B$27:$O$40,6,0)</f>
        <v>1.1287878787878789</v>
      </c>
      <c r="BL988" s="48">
        <f>$G988/5280*VLOOKUP($AC988,'Cost and Score'!$B$27:$O$40,7,0)</f>
        <v>0</v>
      </c>
      <c r="BM988" s="48">
        <f>$G988/5280*VLOOKUP($AC988,'Cost and Score'!$B$27:$O$40,8,0)</f>
        <v>0</v>
      </c>
      <c r="BN988" s="48">
        <f>$G988/5280*VLOOKUP($AC988,'Cost and Score'!$B$27:$O$40,9,0)</f>
        <v>0</v>
      </c>
      <c r="BO988" s="48">
        <f>$G988/5280*VLOOKUP($AC988,'Cost and Score'!$B$27:$O$40,10,0)</f>
        <v>0</v>
      </c>
      <c r="BP988" s="48">
        <f>$G988/5280*VLOOKUP($AC988,'Cost and Score'!$B$27:$O$40,11,0)</f>
        <v>0</v>
      </c>
      <c r="BQ988" s="48">
        <f>$G988/5280*VLOOKUP($AC988,'Cost and Score'!$B$27:$O$40,12,0)</f>
        <v>0</v>
      </c>
      <c r="BR988" s="48">
        <f>$G988/5280*VLOOKUP($AC988,'Cost and Score'!$B$27:$O$40,13,0)</f>
        <v>0</v>
      </c>
      <c r="BS988" s="48">
        <f>$G988/5280*VLOOKUP($AC988,'Cost and Score'!$B$27:$O$40,14,0)</f>
        <v>0</v>
      </c>
      <c r="BT988" s="220">
        <f t="shared" si="507"/>
        <v>1.1287878787878789</v>
      </c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V988" s="2"/>
      <c r="CW988" s="2"/>
      <c r="CX988" s="2"/>
      <c r="CY988" s="2"/>
    </row>
    <row r="989" spans="1:103" s="2" customFormat="1" ht="15" hidden="1" customHeight="1" x14ac:dyDescent="0.25">
      <c r="A989" s="37" t="s">
        <v>1830</v>
      </c>
      <c r="B989" s="34" t="s">
        <v>1829</v>
      </c>
      <c r="C989" s="85" t="s">
        <v>1829</v>
      </c>
      <c r="D989" s="85"/>
      <c r="E989" s="85" t="s">
        <v>100</v>
      </c>
      <c r="F989" s="85" t="s">
        <v>225</v>
      </c>
      <c r="G989" s="29">
        <v>3021</v>
      </c>
      <c r="H989" s="29">
        <f t="shared" si="522"/>
        <v>20</v>
      </c>
      <c r="I989" s="85" t="s">
        <v>8</v>
      </c>
      <c r="J989" s="85" t="s">
        <v>101</v>
      </c>
      <c r="K989" s="85">
        <v>0</v>
      </c>
      <c r="L989" s="74">
        <v>8</v>
      </c>
      <c r="M989" s="74">
        <v>8</v>
      </c>
      <c r="N989" s="74">
        <v>7</v>
      </c>
      <c r="O989" s="74">
        <v>7</v>
      </c>
      <c r="P989" s="74">
        <v>7</v>
      </c>
      <c r="Q989" s="74">
        <v>7</v>
      </c>
      <c r="R989" s="74">
        <v>7</v>
      </c>
      <c r="S989" s="74">
        <v>7</v>
      </c>
      <c r="T989" s="74">
        <v>7</v>
      </c>
      <c r="U989" s="74">
        <v>7</v>
      </c>
      <c r="V989" s="74">
        <v>2024</v>
      </c>
      <c r="W989" s="74"/>
      <c r="X989" s="74" t="s">
        <v>2612</v>
      </c>
      <c r="Y989" s="85">
        <v>2857</v>
      </c>
      <c r="Z989" s="85">
        <f t="shared" si="509"/>
        <v>1.5</v>
      </c>
      <c r="AA989" s="85" t="s">
        <v>1820</v>
      </c>
      <c r="AB989" s="111">
        <f t="shared" si="504"/>
        <v>4.5</v>
      </c>
      <c r="AC989" s="85" t="s">
        <v>13</v>
      </c>
      <c r="AD989" s="47">
        <f t="shared" si="521"/>
        <v>12015.34090909091</v>
      </c>
      <c r="AE989" s="140"/>
      <c r="AF989" s="113">
        <f t="shared" si="510"/>
        <v>0</v>
      </c>
      <c r="AG989" s="85">
        <v>2024</v>
      </c>
      <c r="AH989" s="26" t="str">
        <f t="shared" si="520"/>
        <v/>
      </c>
      <c r="AI989" s="26" t="str">
        <f t="shared" si="488"/>
        <v/>
      </c>
      <c r="AJ989" s="26" t="str">
        <f t="shared" si="493"/>
        <v>Chip Seal and Fog</v>
      </c>
      <c r="AK989" s="26" t="str">
        <f t="shared" si="524"/>
        <v/>
      </c>
      <c r="AL989" s="26" t="str">
        <f t="shared" si="524"/>
        <v/>
      </c>
      <c r="AM989" s="26" t="str">
        <f t="shared" si="524"/>
        <v/>
      </c>
      <c r="AN989" s="26" t="str">
        <f t="shared" si="523"/>
        <v>Chip Seal and Fog</v>
      </c>
      <c r="AO989" s="26" t="str">
        <f t="shared" si="494"/>
        <v/>
      </c>
      <c r="AP989" s="26" t="str">
        <f t="shared" si="492"/>
        <v/>
      </c>
      <c r="AQ989" s="68">
        <f t="shared" si="511"/>
        <v>10</v>
      </c>
      <c r="AR989" s="68">
        <f t="shared" si="512"/>
        <v>6</v>
      </c>
      <c r="AS989" s="68">
        <f t="shared" si="513"/>
        <v>1</v>
      </c>
      <c r="AT989" s="68">
        <f t="shared" si="514"/>
        <v>1</v>
      </c>
      <c r="AU989" s="68">
        <f t="shared" si="515"/>
        <v>1.05</v>
      </c>
      <c r="AV989" s="68">
        <f t="shared" si="516"/>
        <v>1.05</v>
      </c>
      <c r="AW989" s="68">
        <f t="shared" si="517"/>
        <v>1.05</v>
      </c>
      <c r="AX989" s="68">
        <f t="shared" ca="1" si="518"/>
        <v>0</v>
      </c>
      <c r="AY989" s="68">
        <v>2018</v>
      </c>
      <c r="AZ989" s="68" t="s">
        <v>2075</v>
      </c>
      <c r="BA989" s="106" t="str">
        <f t="shared" si="519"/>
        <v>CRACK</v>
      </c>
      <c r="BB989" s="178"/>
      <c r="BC989" s="178">
        <v>9</v>
      </c>
      <c r="BD989" s="178"/>
      <c r="BE989" s="178"/>
      <c r="BF989" s="178"/>
      <c r="BG989" s="178"/>
      <c r="BH989" s="178"/>
      <c r="BI989" s="33"/>
      <c r="BK989" s="48">
        <f>$G989/5280*VLOOKUP($AC989,'Cost and Score'!$B$27:$O$40,6,0)</f>
        <v>0.11443181818181819</v>
      </c>
      <c r="BL989" s="48">
        <f>$G989/5280*VLOOKUP($AC989,'Cost and Score'!$B$27:$O$40,7,0)</f>
        <v>12.5875</v>
      </c>
      <c r="BM989" s="48">
        <f>$G989/5280*VLOOKUP($AC989,'Cost and Score'!$B$27:$O$40,8,0)</f>
        <v>0</v>
      </c>
      <c r="BN989" s="48">
        <f>$G989/5280*VLOOKUP($AC989,'Cost and Score'!$B$27:$O$40,9,0)</f>
        <v>2574.715909090909</v>
      </c>
      <c r="BO989" s="48">
        <f>$G989/5280*VLOOKUP($AC989,'Cost and Score'!$B$27:$O$40,10,0)</f>
        <v>572.15909090909088</v>
      </c>
      <c r="BP989" s="48">
        <f>$G989/5280*VLOOKUP($AC989,'Cost and Score'!$B$27:$O$40,11,0)</f>
        <v>0</v>
      </c>
      <c r="BQ989" s="48">
        <f>$G989/5280*VLOOKUP($AC989,'Cost and Score'!$B$27:$O$40,12,0)</f>
        <v>57.215909090909086</v>
      </c>
      <c r="BR989" s="48">
        <f>$G989/5280*VLOOKUP($AC989,'Cost and Score'!$B$27:$O$40,13,0)</f>
        <v>68.659090909090907</v>
      </c>
      <c r="BS989" s="48">
        <f>$G989/5280*VLOOKUP($AC989,'Cost and Score'!$B$27:$O$40,14,0)</f>
        <v>0</v>
      </c>
      <c r="BT989" s="220">
        <f t="shared" si="507"/>
        <v>0.57215909090909089</v>
      </c>
      <c r="CN989" s="112"/>
      <c r="CO989" s="112"/>
      <c r="CP989" s="112"/>
      <c r="CQ989" s="112"/>
      <c r="CV989" s="112"/>
    </row>
    <row r="990" spans="1:103" s="112" customFormat="1" ht="15" hidden="1" customHeight="1" x14ac:dyDescent="0.25">
      <c r="A990" s="31" t="s">
        <v>2102</v>
      </c>
      <c r="B990" s="224" t="s">
        <v>1831</v>
      </c>
      <c r="C990" s="85" t="s">
        <v>1831</v>
      </c>
      <c r="D990" s="86" t="s">
        <v>2265</v>
      </c>
      <c r="E990" s="85" t="s">
        <v>1832</v>
      </c>
      <c r="F990" s="85" t="s">
        <v>1833</v>
      </c>
      <c r="G990" s="29">
        <v>370</v>
      </c>
      <c r="H990" s="29">
        <f t="shared" si="522"/>
        <v>26</v>
      </c>
      <c r="I990" s="124" t="s">
        <v>2098</v>
      </c>
      <c r="J990" s="85" t="s">
        <v>11</v>
      </c>
      <c r="K990" s="85">
        <f t="shared" ref="K990:K997" si="525">VLOOKUP(J990,TOWNSHIPS,2,FALSE)</f>
        <v>0</v>
      </c>
      <c r="L990" s="74">
        <v>7</v>
      </c>
      <c r="M990" s="74">
        <v>8</v>
      </c>
      <c r="N990" s="74">
        <v>8</v>
      </c>
      <c r="O990" s="74">
        <v>7</v>
      </c>
      <c r="P990" s="74">
        <v>7</v>
      </c>
      <c r="Q990" s="74">
        <v>7</v>
      </c>
      <c r="R990" s="74">
        <v>7</v>
      </c>
      <c r="S990" s="74">
        <v>7</v>
      </c>
      <c r="T990" s="74">
        <v>7</v>
      </c>
      <c r="U990" s="74">
        <v>7</v>
      </c>
      <c r="V990" s="74"/>
      <c r="W990" s="74"/>
      <c r="X990" s="74"/>
      <c r="Y990" s="85">
        <v>50</v>
      </c>
      <c r="Z990" s="85">
        <f t="shared" si="509"/>
        <v>0</v>
      </c>
      <c r="AA990" s="85" t="s">
        <v>1831</v>
      </c>
      <c r="AB990" s="111">
        <f t="shared" si="504"/>
        <v>3</v>
      </c>
      <c r="AC990" s="85" t="s">
        <v>2371</v>
      </c>
      <c r="AD990" s="47">
        <f t="shared" si="521"/>
        <v>5606.060606060606</v>
      </c>
      <c r="AE990" s="140">
        <v>1</v>
      </c>
      <c r="AF990" s="113">
        <f t="shared" si="510"/>
        <v>5606.060606060606</v>
      </c>
      <c r="AG990" s="85">
        <v>2024</v>
      </c>
      <c r="AH990" s="26" t="str">
        <f t="shared" si="520"/>
        <v/>
      </c>
      <c r="AI990" s="26" t="str">
        <f t="shared" ref="AI990:AI1053" si="526">IF($AG990=AI$1,VLOOKUP($AC990,RSL,3,FALSE),"")</f>
        <v/>
      </c>
      <c r="AJ990" s="26" t="str">
        <f t="shared" si="493"/>
        <v>Microsurface double</v>
      </c>
      <c r="AK990" s="26" t="str">
        <f t="shared" si="524"/>
        <v/>
      </c>
      <c r="AL990" s="26" t="str">
        <f t="shared" si="524"/>
        <v/>
      </c>
      <c r="AM990" s="26" t="str">
        <f t="shared" si="524"/>
        <v/>
      </c>
      <c r="AN990" s="26" t="str">
        <f t="shared" si="523"/>
        <v>Microsurface double</v>
      </c>
      <c r="AO990" s="26" t="str">
        <f t="shared" si="494"/>
        <v/>
      </c>
      <c r="AP990" s="26" t="str">
        <f t="shared" si="492"/>
        <v/>
      </c>
      <c r="AQ990" s="68">
        <f t="shared" si="511"/>
        <v>10</v>
      </c>
      <c r="AR990" s="68">
        <f t="shared" si="512"/>
        <v>10</v>
      </c>
      <c r="AS990" s="68">
        <f t="shared" si="513"/>
        <v>1.05</v>
      </c>
      <c r="AT990" s="68">
        <f t="shared" si="514"/>
        <v>1</v>
      </c>
      <c r="AU990" s="68">
        <f t="shared" si="515"/>
        <v>1</v>
      </c>
      <c r="AV990" s="68">
        <f t="shared" si="516"/>
        <v>1.05</v>
      </c>
      <c r="AW990" s="68">
        <f t="shared" si="517"/>
        <v>1.05</v>
      </c>
      <c r="AX990" s="68">
        <f t="shared" ca="1" si="518"/>
        <v>0</v>
      </c>
      <c r="AY990" s="68">
        <v>2018</v>
      </c>
      <c r="AZ990" s="68" t="s">
        <v>2075</v>
      </c>
      <c r="BA990" s="106" t="str">
        <f t="shared" si="519"/>
        <v>CRACK</v>
      </c>
      <c r="BB990" s="178"/>
      <c r="BC990" s="178"/>
      <c r="BD990" s="178"/>
      <c r="BE990" s="178"/>
      <c r="BF990" s="178">
        <v>3</v>
      </c>
      <c r="BG990" s="178"/>
      <c r="BH990" s="178"/>
      <c r="BI990" s="33" t="s">
        <v>2623</v>
      </c>
      <c r="BJ990" s="2"/>
      <c r="BK990" s="48">
        <f>$G990/5280*VLOOKUP($AC990,'Cost and Score'!$B$27:$O$40,6,0)</f>
        <v>3.5037878787878785E-2</v>
      </c>
      <c r="BL990" s="48">
        <f>$G990/5280*VLOOKUP($AC990,'Cost and Score'!$B$27:$O$40,7,0)</f>
        <v>0</v>
      </c>
      <c r="BM990" s="48">
        <f>$G990/5280*VLOOKUP($AC990,'Cost and Score'!$B$27:$O$40,8,0)</f>
        <v>0</v>
      </c>
      <c r="BN990" s="48">
        <f>$G990/5280*VLOOKUP($AC990,'Cost and Score'!$B$27:$O$40,9,0)</f>
        <v>0</v>
      </c>
      <c r="BO990" s="48">
        <f>$G990/5280*VLOOKUP($AC990,'Cost and Score'!$B$27:$O$40,10,0)</f>
        <v>0</v>
      </c>
      <c r="BP990" s="48">
        <f>$G990/5280*VLOOKUP($AC990,'Cost and Score'!$B$27:$O$40,11,0)</f>
        <v>0</v>
      </c>
      <c r="BQ990" s="48">
        <f>$G990/5280*VLOOKUP($AC990,'Cost and Score'!$B$27:$O$40,12,0)</f>
        <v>0</v>
      </c>
      <c r="BR990" s="48">
        <f>$G990/5280*VLOOKUP($AC990,'Cost and Score'!$B$27:$O$40,13,0)</f>
        <v>0</v>
      </c>
      <c r="BS990" s="48">
        <f>$G990/5280*VLOOKUP($AC990,'Cost and Score'!$B$27:$O$40,14,0)</f>
        <v>0</v>
      </c>
      <c r="BT990" s="220">
        <f t="shared" si="507"/>
        <v>7.0075757575757569E-2</v>
      </c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</row>
    <row r="991" spans="1:103" s="2" customFormat="1" ht="15" hidden="1" customHeight="1" x14ac:dyDescent="0.25">
      <c r="A991" s="31" t="s">
        <v>2102</v>
      </c>
      <c r="B991" s="224" t="s">
        <v>1834</v>
      </c>
      <c r="C991" s="85" t="s">
        <v>1834</v>
      </c>
      <c r="D991" s="86" t="s">
        <v>2265</v>
      </c>
      <c r="E991" s="85" t="s">
        <v>1832</v>
      </c>
      <c r="F991" s="85" t="s">
        <v>1833</v>
      </c>
      <c r="G991" s="29">
        <v>2534</v>
      </c>
      <c r="H991" s="29">
        <f t="shared" si="522"/>
        <v>26</v>
      </c>
      <c r="I991" s="124" t="s">
        <v>2098</v>
      </c>
      <c r="J991" s="85" t="s">
        <v>11</v>
      </c>
      <c r="K991" s="85">
        <f t="shared" si="525"/>
        <v>0</v>
      </c>
      <c r="L991" s="74">
        <v>7</v>
      </c>
      <c r="M991" s="74">
        <v>8</v>
      </c>
      <c r="N991" s="74">
        <v>8</v>
      </c>
      <c r="O991" s="74">
        <v>7</v>
      </c>
      <c r="P991" s="74">
        <v>7</v>
      </c>
      <c r="Q991" s="74">
        <v>6</v>
      </c>
      <c r="R991" s="74">
        <v>7</v>
      </c>
      <c r="S991" s="74">
        <v>7</v>
      </c>
      <c r="T991" s="74">
        <v>6</v>
      </c>
      <c r="U991" s="74">
        <v>7</v>
      </c>
      <c r="V991" s="74"/>
      <c r="W991" s="74"/>
      <c r="X991" s="74"/>
      <c r="Y991" s="85">
        <v>50</v>
      </c>
      <c r="Z991" s="85">
        <f t="shared" si="509"/>
        <v>0</v>
      </c>
      <c r="AA991" s="85" t="s">
        <v>1834</v>
      </c>
      <c r="AB991" s="111">
        <f t="shared" si="504"/>
        <v>3</v>
      </c>
      <c r="AC991" s="85" t="s">
        <v>2371</v>
      </c>
      <c r="AD991" s="47">
        <f t="shared" si="521"/>
        <v>38393.939393939392</v>
      </c>
      <c r="AE991" s="140">
        <v>1</v>
      </c>
      <c r="AF991" s="113">
        <f t="shared" si="510"/>
        <v>38393.939393939392</v>
      </c>
      <c r="AG991" s="85">
        <v>2024</v>
      </c>
      <c r="AH991" s="26" t="str">
        <f t="shared" si="520"/>
        <v/>
      </c>
      <c r="AI991" s="26" t="str">
        <f t="shared" si="526"/>
        <v/>
      </c>
      <c r="AJ991" s="26" t="str">
        <f t="shared" si="493"/>
        <v>Microsurface double</v>
      </c>
      <c r="AK991" s="26" t="str">
        <f t="shared" si="524"/>
        <v/>
      </c>
      <c r="AL991" s="26" t="str">
        <f t="shared" si="524"/>
        <v/>
      </c>
      <c r="AM991" s="26" t="str">
        <f t="shared" si="524"/>
        <v/>
      </c>
      <c r="AN991" s="26" t="str">
        <f t="shared" si="523"/>
        <v>Microsurface double</v>
      </c>
      <c r="AO991" s="26" t="str">
        <f t="shared" si="494"/>
        <v/>
      </c>
      <c r="AP991" s="26" t="str">
        <f t="shared" si="492"/>
        <v/>
      </c>
      <c r="AQ991" s="68">
        <f t="shared" si="511"/>
        <v>10</v>
      </c>
      <c r="AR991" s="68">
        <f t="shared" si="512"/>
        <v>10</v>
      </c>
      <c r="AS991" s="68">
        <f t="shared" si="513"/>
        <v>1.05</v>
      </c>
      <c r="AT991" s="68">
        <f t="shared" si="514"/>
        <v>1</v>
      </c>
      <c r="AU991" s="68">
        <f t="shared" si="515"/>
        <v>1</v>
      </c>
      <c r="AV991" s="68">
        <f t="shared" si="516"/>
        <v>1.05</v>
      </c>
      <c r="AW991" s="68">
        <f t="shared" si="517"/>
        <v>1.05</v>
      </c>
      <c r="AX991" s="68">
        <f t="shared" ca="1" si="518"/>
        <v>0</v>
      </c>
      <c r="AY991" s="68">
        <v>2018</v>
      </c>
      <c r="AZ991" s="68" t="s">
        <v>2075</v>
      </c>
      <c r="BA991" s="106" t="str">
        <f t="shared" si="519"/>
        <v>CRACK</v>
      </c>
      <c r="BB991" s="178"/>
      <c r="BC991" s="178"/>
      <c r="BD991" s="178"/>
      <c r="BE991" s="178"/>
      <c r="BF991" s="178">
        <v>3</v>
      </c>
      <c r="BG991" s="178"/>
      <c r="BH991" s="178"/>
      <c r="BI991" s="33" t="s">
        <v>2623</v>
      </c>
      <c r="BK991" s="48">
        <f>$G991/5280*VLOOKUP($AC991,'Cost and Score'!$B$27:$O$40,6,0)</f>
        <v>0.23996212121212121</v>
      </c>
      <c r="BL991" s="48">
        <f>$G991/5280*VLOOKUP($AC991,'Cost and Score'!$B$27:$O$40,7,0)</f>
        <v>0</v>
      </c>
      <c r="BM991" s="48">
        <f>$G991/5280*VLOOKUP($AC991,'Cost and Score'!$B$27:$O$40,8,0)</f>
        <v>0</v>
      </c>
      <c r="BN991" s="48">
        <f>$G991/5280*VLOOKUP($AC991,'Cost and Score'!$B$27:$O$40,9,0)</f>
        <v>0</v>
      </c>
      <c r="BO991" s="48">
        <f>$G991/5280*VLOOKUP($AC991,'Cost and Score'!$B$27:$O$40,10,0)</f>
        <v>0</v>
      </c>
      <c r="BP991" s="48">
        <f>$G991/5280*VLOOKUP($AC991,'Cost and Score'!$B$27:$O$40,11,0)</f>
        <v>0</v>
      </c>
      <c r="BQ991" s="48">
        <f>$G991/5280*VLOOKUP($AC991,'Cost and Score'!$B$27:$O$40,12,0)</f>
        <v>0</v>
      </c>
      <c r="BR991" s="48">
        <f>$G991/5280*VLOOKUP($AC991,'Cost and Score'!$B$27:$O$40,13,0)</f>
        <v>0</v>
      </c>
      <c r="BS991" s="48">
        <f>$G991/5280*VLOOKUP($AC991,'Cost and Score'!$B$27:$O$40,14,0)</f>
        <v>0</v>
      </c>
      <c r="BT991" s="220">
        <f t="shared" si="507"/>
        <v>0.47992424242424242</v>
      </c>
      <c r="CN991" s="112"/>
      <c r="CO991" s="112"/>
      <c r="CP991" s="112"/>
      <c r="CQ991" s="112"/>
      <c r="CV991" s="112"/>
    </row>
    <row r="992" spans="1:103" s="2" customFormat="1" ht="15" customHeight="1" x14ac:dyDescent="0.25">
      <c r="A992" s="38" t="s">
        <v>1002</v>
      </c>
      <c r="B992" s="34" t="s">
        <v>1001</v>
      </c>
      <c r="C992" s="26" t="s">
        <v>1001</v>
      </c>
      <c r="D992" s="82"/>
      <c r="E992" s="82" t="s">
        <v>99</v>
      </c>
      <c r="F992" s="82" t="s">
        <v>440</v>
      </c>
      <c r="G992" s="29">
        <v>2164</v>
      </c>
      <c r="H992" s="29">
        <f t="shared" si="522"/>
        <v>20</v>
      </c>
      <c r="I992" s="26" t="s">
        <v>8</v>
      </c>
      <c r="J992" s="26" t="s">
        <v>172</v>
      </c>
      <c r="K992" s="26">
        <f t="shared" si="525"/>
        <v>0</v>
      </c>
      <c r="L992" s="42">
        <v>7</v>
      </c>
      <c r="M992" s="42">
        <v>7</v>
      </c>
      <c r="N992" s="42">
        <v>7</v>
      </c>
      <c r="O992" s="83">
        <v>7</v>
      </c>
      <c r="P992" s="83">
        <v>7</v>
      </c>
      <c r="Q992" s="83">
        <v>7</v>
      </c>
      <c r="R992" s="83">
        <v>7</v>
      </c>
      <c r="S992" s="83">
        <v>7</v>
      </c>
      <c r="T992" s="83">
        <v>7</v>
      </c>
      <c r="U992" s="83">
        <v>8</v>
      </c>
      <c r="V992" s="42"/>
      <c r="W992" s="42">
        <v>2020</v>
      </c>
      <c r="X992" s="42" t="s">
        <v>2612</v>
      </c>
      <c r="Y992" s="26">
        <v>1415</v>
      </c>
      <c r="Z992" s="26">
        <f t="shared" si="509"/>
        <v>0.5</v>
      </c>
      <c r="AA992" s="82" t="s">
        <v>73</v>
      </c>
      <c r="AB992" s="111">
        <f t="shared" si="504"/>
        <v>3.5</v>
      </c>
      <c r="AC992" s="85" t="s">
        <v>751</v>
      </c>
      <c r="AD992" s="84">
        <f t="shared" si="521"/>
        <v>45083.333333333336</v>
      </c>
      <c r="AE992" s="140"/>
      <c r="AF992" s="113">
        <f t="shared" si="510"/>
        <v>0</v>
      </c>
      <c r="AG992" s="106">
        <v>2025</v>
      </c>
      <c r="AH992" s="26" t="str">
        <f t="shared" si="520"/>
        <v/>
      </c>
      <c r="AI992" s="26" t="str">
        <f t="shared" si="526"/>
        <v/>
      </c>
      <c r="AJ992" s="26" t="str">
        <f t="shared" si="493"/>
        <v/>
      </c>
      <c r="AK992" s="26" t="str">
        <f t="shared" si="524"/>
        <v>Overlay - 2"</v>
      </c>
      <c r="AL992" s="26" t="str">
        <f t="shared" si="524"/>
        <v/>
      </c>
      <c r="AM992" s="26" t="str">
        <f t="shared" si="524"/>
        <v/>
      </c>
      <c r="AN992" s="26" t="str">
        <f t="shared" si="523"/>
        <v>Overlay - 2"</v>
      </c>
      <c r="AO992" s="26" t="str">
        <f t="shared" si="494"/>
        <v/>
      </c>
      <c r="AP992" s="26" t="str">
        <f t="shared" si="492"/>
        <v/>
      </c>
      <c r="AQ992" s="68">
        <f t="shared" si="511"/>
        <v>10</v>
      </c>
      <c r="AR992" s="68">
        <f t="shared" si="512"/>
        <v>12</v>
      </c>
      <c r="AS992" s="68">
        <f t="shared" si="513"/>
        <v>1.05</v>
      </c>
      <c r="AT992" s="68">
        <f t="shared" si="514"/>
        <v>1.05</v>
      </c>
      <c r="AU992" s="68">
        <f t="shared" si="515"/>
        <v>1.05</v>
      </c>
      <c r="AV992" s="68">
        <f t="shared" si="516"/>
        <v>1.05</v>
      </c>
      <c r="AW992" s="68">
        <f t="shared" si="517"/>
        <v>1.05</v>
      </c>
      <c r="AX992" s="68">
        <f t="shared" ca="1" si="518"/>
        <v>1.05</v>
      </c>
      <c r="AY992" s="68">
        <v>2019</v>
      </c>
      <c r="AZ992" s="68" t="s">
        <v>751</v>
      </c>
      <c r="BA992" s="106" t="str">
        <f t="shared" si="519"/>
        <v/>
      </c>
      <c r="BB992" s="178"/>
      <c r="BC992" s="178">
        <v>9</v>
      </c>
      <c r="BD992" s="178"/>
      <c r="BE992" s="178"/>
      <c r="BF992" s="178"/>
      <c r="BG992" s="178"/>
      <c r="BH992" s="178"/>
      <c r="BI992" s="33"/>
      <c r="BK992" s="48">
        <f>$G992/5280*VLOOKUP($AC992,'Cost and Score'!$B$27:$O$40,6,0)</f>
        <v>0.92215909090909087</v>
      </c>
      <c r="BL992" s="48">
        <f>$G992/5280*VLOOKUP($AC992,'Cost and Score'!$B$27:$O$40,7,0)</f>
        <v>86.068181818181813</v>
      </c>
      <c r="BM992" s="48">
        <f>$G992/5280*VLOOKUP($AC992,'Cost and Score'!$B$27:$O$40,8,0)</f>
        <v>143.44696969696969</v>
      </c>
      <c r="BN992" s="48">
        <f>$G992/5280*VLOOKUP($AC992,'Cost and Score'!$B$27:$O$40,9,0)</f>
        <v>0</v>
      </c>
      <c r="BO992" s="48">
        <f>$G992/5280*VLOOKUP($AC992,'Cost and Score'!$B$27:$O$40,10,0)</f>
        <v>0</v>
      </c>
      <c r="BP992" s="48">
        <f>$G992/5280*VLOOKUP($AC992,'Cost and Score'!$B$27:$O$40,11,0)</f>
        <v>81.969696969696969</v>
      </c>
      <c r="BQ992" s="48">
        <f>$G992/5280*VLOOKUP($AC992,'Cost and Score'!$B$27:$O$40,12,0)</f>
        <v>696.74242424242425</v>
      </c>
      <c r="BR992" s="48">
        <f>$G992/5280*VLOOKUP($AC992,'Cost and Score'!$B$27:$O$40,13,0)</f>
        <v>0</v>
      </c>
      <c r="BS992" s="48">
        <f>$G992/5280*VLOOKUP($AC992,'Cost and Score'!$B$27:$O$40,14,0)</f>
        <v>0</v>
      </c>
      <c r="BT992" s="220">
        <f t="shared" si="507"/>
        <v>0.40984848484848485</v>
      </c>
      <c r="CG992" s="112"/>
      <c r="CH992" s="112"/>
      <c r="CI992" s="112"/>
      <c r="CJ992" s="112"/>
      <c r="CK992" s="112"/>
      <c r="CL992" s="112"/>
      <c r="CM992" s="112"/>
      <c r="CS992" s="112"/>
      <c r="CT992" s="112"/>
      <c r="CU992" s="112"/>
      <c r="CW992" s="112"/>
      <c r="CX992" s="112"/>
      <c r="CY992" s="112"/>
    </row>
    <row r="993" spans="1:103" s="2" customFormat="1" ht="15" hidden="1" customHeight="1" x14ac:dyDescent="0.25">
      <c r="A993" s="38" t="s">
        <v>1837</v>
      </c>
      <c r="B993" s="34" t="s">
        <v>1836</v>
      </c>
      <c r="C993" s="26" t="s">
        <v>1836</v>
      </c>
      <c r="D993" s="82"/>
      <c r="E993" s="82" t="s">
        <v>94</v>
      </c>
      <c r="F993" s="82" t="s">
        <v>38</v>
      </c>
      <c r="G993" s="29">
        <v>5960</v>
      </c>
      <c r="H993" s="29">
        <f t="shared" si="522"/>
        <v>20</v>
      </c>
      <c r="I993" s="26" t="s">
        <v>8</v>
      </c>
      <c r="J993" s="26" t="s">
        <v>17</v>
      </c>
      <c r="K993" s="26">
        <f t="shared" si="525"/>
        <v>0</v>
      </c>
      <c r="L993" s="42">
        <v>6</v>
      </c>
      <c r="M993" s="42">
        <v>6</v>
      </c>
      <c r="N993" s="42">
        <v>6</v>
      </c>
      <c r="O993" s="83">
        <v>5</v>
      </c>
      <c r="P993" s="83">
        <v>5</v>
      </c>
      <c r="Q993" s="83">
        <v>9</v>
      </c>
      <c r="R993" s="83">
        <v>8</v>
      </c>
      <c r="S993" s="83">
        <v>7</v>
      </c>
      <c r="T993" s="83">
        <v>7</v>
      </c>
      <c r="U993" s="83">
        <v>7</v>
      </c>
      <c r="V993" s="42"/>
      <c r="W993" s="42">
        <v>2023</v>
      </c>
      <c r="X993" s="42" t="s">
        <v>2612</v>
      </c>
      <c r="Y993" s="26">
        <v>124</v>
      </c>
      <c r="Z993" s="26">
        <f t="shared" si="509"/>
        <v>0</v>
      </c>
      <c r="AA993" s="82" t="s">
        <v>91</v>
      </c>
      <c r="AB993" s="111">
        <f t="shared" si="504"/>
        <v>5</v>
      </c>
      <c r="AC993" s="85" t="s">
        <v>2371</v>
      </c>
      <c r="AD993" s="84">
        <f t="shared" si="521"/>
        <v>90303.030303030304</v>
      </c>
      <c r="AE993" s="140">
        <v>1</v>
      </c>
      <c r="AF993" s="113">
        <f t="shared" si="510"/>
        <v>90303.030303030304</v>
      </c>
      <c r="AG993" s="26">
        <v>2024</v>
      </c>
      <c r="AH993" s="26" t="str">
        <f t="shared" si="520"/>
        <v/>
      </c>
      <c r="AI993" s="26" t="str">
        <f t="shared" si="526"/>
        <v/>
      </c>
      <c r="AJ993" s="26" t="str">
        <f t="shared" si="493"/>
        <v>Microsurface double</v>
      </c>
      <c r="AK993" s="26" t="str">
        <f t="shared" si="524"/>
        <v/>
      </c>
      <c r="AL993" s="26" t="str">
        <f t="shared" si="524"/>
        <v/>
      </c>
      <c r="AM993" s="26" t="str">
        <f t="shared" si="524"/>
        <v/>
      </c>
      <c r="AN993" s="26" t="str">
        <f t="shared" si="523"/>
        <v>Microsurface double</v>
      </c>
      <c r="AO993" s="26" t="str">
        <f t="shared" si="494"/>
        <v/>
      </c>
      <c r="AP993" s="26" t="str">
        <f t="shared" si="492"/>
        <v/>
      </c>
      <c r="AQ993" s="68">
        <f t="shared" si="511"/>
        <v>6</v>
      </c>
      <c r="AR993" s="68">
        <f t="shared" si="512"/>
        <v>10</v>
      </c>
      <c r="AS993" s="68">
        <f t="shared" si="513"/>
        <v>1.1000000000000001</v>
      </c>
      <c r="AT993" s="68">
        <f t="shared" si="514"/>
        <v>1.1000000000000001</v>
      </c>
      <c r="AU993" s="68">
        <f t="shared" si="515"/>
        <v>1.1000000000000001</v>
      </c>
      <c r="AV993" s="68">
        <f t="shared" si="516"/>
        <v>1.25</v>
      </c>
      <c r="AW993" s="68">
        <f t="shared" si="517"/>
        <v>1.25</v>
      </c>
      <c r="AX993" s="68">
        <f t="shared" ca="1" si="518"/>
        <v>0</v>
      </c>
      <c r="AY993" s="68">
        <v>2018</v>
      </c>
      <c r="AZ993" s="68" t="s">
        <v>2072</v>
      </c>
      <c r="BA993" s="106" t="str">
        <f t="shared" si="519"/>
        <v>SP/CS</v>
      </c>
      <c r="BB993" s="178"/>
      <c r="BC993" s="178">
        <v>1</v>
      </c>
      <c r="BD993" s="178"/>
      <c r="BE993" s="178"/>
      <c r="BF993" s="178"/>
      <c r="BG993" s="178"/>
      <c r="BH993" s="178"/>
      <c r="BI993" s="33" t="s">
        <v>2623</v>
      </c>
      <c r="BK993" s="48">
        <f>$G993/5280*VLOOKUP($AC993,'Cost and Score'!$B$27:$O$40,6,0)</f>
        <v>0.56439393939393945</v>
      </c>
      <c r="BL993" s="48">
        <f>$G993/5280*VLOOKUP($AC993,'Cost and Score'!$B$27:$O$40,7,0)</f>
        <v>0</v>
      </c>
      <c r="BM993" s="48">
        <f>$G993/5280*VLOOKUP($AC993,'Cost and Score'!$B$27:$O$40,8,0)</f>
        <v>0</v>
      </c>
      <c r="BN993" s="48">
        <f>$G993/5280*VLOOKUP($AC993,'Cost and Score'!$B$27:$O$40,9,0)</f>
        <v>0</v>
      </c>
      <c r="BO993" s="48">
        <f>$G993/5280*VLOOKUP($AC993,'Cost and Score'!$B$27:$O$40,10,0)</f>
        <v>0</v>
      </c>
      <c r="BP993" s="48">
        <f>$G993/5280*VLOOKUP($AC993,'Cost and Score'!$B$27:$O$40,11,0)</f>
        <v>0</v>
      </c>
      <c r="BQ993" s="48">
        <f>$G993/5280*VLOOKUP($AC993,'Cost and Score'!$B$27:$O$40,12,0)</f>
        <v>0</v>
      </c>
      <c r="BR993" s="48">
        <f>$G993/5280*VLOOKUP($AC993,'Cost and Score'!$B$27:$O$40,13,0)</f>
        <v>0</v>
      </c>
      <c r="BS993" s="48">
        <f>$G993/5280*VLOOKUP($AC993,'Cost and Score'!$B$27:$O$40,14,0)</f>
        <v>0</v>
      </c>
      <c r="BT993" s="220">
        <f t="shared" si="507"/>
        <v>1.1287878787878789</v>
      </c>
    </row>
    <row r="994" spans="1:103" s="2" customFormat="1" ht="15" hidden="1" customHeight="1" x14ac:dyDescent="0.25">
      <c r="A994" s="38" t="s">
        <v>1839</v>
      </c>
      <c r="B994" s="34" t="s">
        <v>1838</v>
      </c>
      <c r="C994" s="26" t="s">
        <v>1838</v>
      </c>
      <c r="D994" s="82"/>
      <c r="E994" s="82" t="s">
        <v>38</v>
      </c>
      <c r="F994" s="82" t="s">
        <v>44</v>
      </c>
      <c r="G994" s="29">
        <v>4480</v>
      </c>
      <c r="H994" s="29">
        <f t="shared" si="522"/>
        <v>20</v>
      </c>
      <c r="I994" s="26" t="s">
        <v>8</v>
      </c>
      <c r="J994" s="26" t="s">
        <v>17</v>
      </c>
      <c r="K994" s="26">
        <f t="shared" si="525"/>
        <v>0</v>
      </c>
      <c r="L994" s="42">
        <v>7</v>
      </c>
      <c r="M994" s="42">
        <v>7</v>
      </c>
      <c r="N994" s="42">
        <v>7</v>
      </c>
      <c r="O994" s="83">
        <v>6</v>
      </c>
      <c r="P994" s="83">
        <v>6</v>
      </c>
      <c r="Q994" s="83">
        <v>9</v>
      </c>
      <c r="R994" s="83">
        <v>8</v>
      </c>
      <c r="S994" s="83">
        <v>7</v>
      </c>
      <c r="T994" s="83">
        <v>7</v>
      </c>
      <c r="U994" s="83">
        <v>7</v>
      </c>
      <c r="V994" s="42"/>
      <c r="W994" s="42">
        <v>2023</v>
      </c>
      <c r="X994" s="42" t="s">
        <v>2612</v>
      </c>
      <c r="Y994" s="26">
        <v>272</v>
      </c>
      <c r="Z994" s="26">
        <f t="shared" si="509"/>
        <v>0</v>
      </c>
      <c r="AA994" s="82" t="s">
        <v>91</v>
      </c>
      <c r="AB994" s="111">
        <f t="shared" si="504"/>
        <v>4</v>
      </c>
      <c r="AC994" s="85" t="s">
        <v>2371</v>
      </c>
      <c r="AD994" s="84">
        <f t="shared" si="521"/>
        <v>67878.787878787873</v>
      </c>
      <c r="AE994" s="140">
        <v>1</v>
      </c>
      <c r="AF994" s="113">
        <f t="shared" si="510"/>
        <v>67878.787878787873</v>
      </c>
      <c r="AG994" s="26">
        <v>2024</v>
      </c>
      <c r="AH994" s="26" t="str">
        <f t="shared" si="520"/>
        <v/>
      </c>
      <c r="AI994" s="26" t="str">
        <f t="shared" si="526"/>
        <v/>
      </c>
      <c r="AJ994" s="26" t="str">
        <f t="shared" si="493"/>
        <v>Microsurface double</v>
      </c>
      <c r="AK994" s="26" t="str">
        <f t="shared" si="524"/>
        <v/>
      </c>
      <c r="AL994" s="26" t="str">
        <f t="shared" si="524"/>
        <v/>
      </c>
      <c r="AM994" s="26" t="str">
        <f t="shared" si="524"/>
        <v/>
      </c>
      <c r="AN994" s="26" t="str">
        <f t="shared" si="523"/>
        <v>Microsurface double</v>
      </c>
      <c r="AO994" s="26" t="str">
        <f t="shared" si="494"/>
        <v/>
      </c>
      <c r="AP994" s="26" t="str">
        <f t="shared" si="492"/>
        <v/>
      </c>
      <c r="AQ994" s="68">
        <f t="shared" si="511"/>
        <v>8</v>
      </c>
      <c r="AR994" s="68">
        <f t="shared" si="512"/>
        <v>10</v>
      </c>
      <c r="AS994" s="68">
        <f t="shared" si="513"/>
        <v>1.05</v>
      </c>
      <c r="AT994" s="68">
        <f t="shared" si="514"/>
        <v>1.05</v>
      </c>
      <c r="AU994" s="68">
        <f t="shared" si="515"/>
        <v>1.05</v>
      </c>
      <c r="AV994" s="68">
        <f t="shared" si="516"/>
        <v>1.1000000000000001</v>
      </c>
      <c r="AW994" s="68">
        <f t="shared" si="517"/>
        <v>1.1000000000000001</v>
      </c>
      <c r="AX994" s="68">
        <f t="shared" ca="1" si="518"/>
        <v>0</v>
      </c>
      <c r="AY994" s="68">
        <v>2018</v>
      </c>
      <c r="AZ994" s="68" t="s">
        <v>2072</v>
      </c>
      <c r="BA994" s="106" t="str">
        <f t="shared" si="519"/>
        <v>SP/CS</v>
      </c>
      <c r="BB994" s="178"/>
      <c r="BC994" s="178">
        <v>1</v>
      </c>
      <c r="BD994" s="178"/>
      <c r="BE994" s="178"/>
      <c r="BF994" s="178"/>
      <c r="BG994" s="178"/>
      <c r="BH994" s="178"/>
      <c r="BI994" s="33" t="s">
        <v>2623</v>
      </c>
      <c r="BK994" s="48">
        <f>$G994/5280*VLOOKUP($AC994,'Cost and Score'!$B$27:$O$40,6,0)</f>
        <v>0.42424242424242425</v>
      </c>
      <c r="BL994" s="48">
        <f>$G994/5280*VLOOKUP($AC994,'Cost and Score'!$B$27:$O$40,7,0)</f>
        <v>0</v>
      </c>
      <c r="BM994" s="48">
        <f>$G994/5280*VLOOKUP($AC994,'Cost and Score'!$B$27:$O$40,8,0)</f>
        <v>0</v>
      </c>
      <c r="BN994" s="48">
        <f>$G994/5280*VLOOKUP($AC994,'Cost and Score'!$B$27:$O$40,9,0)</f>
        <v>0</v>
      </c>
      <c r="BO994" s="48">
        <f>$G994/5280*VLOOKUP($AC994,'Cost and Score'!$B$27:$O$40,10,0)</f>
        <v>0</v>
      </c>
      <c r="BP994" s="48">
        <f>$G994/5280*VLOOKUP($AC994,'Cost and Score'!$B$27:$O$40,11,0)</f>
        <v>0</v>
      </c>
      <c r="BQ994" s="48">
        <f>$G994/5280*VLOOKUP($AC994,'Cost and Score'!$B$27:$O$40,12,0)</f>
        <v>0</v>
      </c>
      <c r="BR994" s="48">
        <f>$G994/5280*VLOOKUP($AC994,'Cost and Score'!$B$27:$O$40,13,0)</f>
        <v>0</v>
      </c>
      <c r="BS994" s="48">
        <f>$G994/5280*VLOOKUP($AC994,'Cost and Score'!$B$27:$O$40,14,0)</f>
        <v>0</v>
      </c>
      <c r="BT994" s="220">
        <f t="shared" si="507"/>
        <v>0.84848484848484851</v>
      </c>
    </row>
    <row r="995" spans="1:103" s="2" customFormat="1" ht="15" hidden="1" customHeight="1" x14ac:dyDescent="0.25">
      <c r="A995" s="38" t="s">
        <v>1841</v>
      </c>
      <c r="B995" s="34" t="s">
        <v>1840</v>
      </c>
      <c r="C995" s="26" t="s">
        <v>1840</v>
      </c>
      <c r="D995" s="82"/>
      <c r="E995" s="82" t="s">
        <v>94</v>
      </c>
      <c r="F995" s="82" t="s">
        <v>20</v>
      </c>
      <c r="G995" s="29">
        <v>820</v>
      </c>
      <c r="H995" s="29">
        <f t="shared" si="522"/>
        <v>20</v>
      </c>
      <c r="I995" s="26" t="s">
        <v>8</v>
      </c>
      <c r="J995" s="26" t="s">
        <v>17</v>
      </c>
      <c r="K995" s="26">
        <f t="shared" si="525"/>
        <v>0</v>
      </c>
      <c r="L995" s="42">
        <v>6</v>
      </c>
      <c r="M995" s="42">
        <v>6</v>
      </c>
      <c r="N995" s="42">
        <v>6</v>
      </c>
      <c r="O995" s="83">
        <v>6</v>
      </c>
      <c r="P995" s="83">
        <v>5</v>
      </c>
      <c r="Q995" s="83">
        <v>9</v>
      </c>
      <c r="R995" s="83">
        <v>8</v>
      </c>
      <c r="S995" s="83">
        <v>7</v>
      </c>
      <c r="T995" s="83">
        <v>7</v>
      </c>
      <c r="U995" s="83">
        <v>7</v>
      </c>
      <c r="V995" s="42"/>
      <c r="W995" s="42">
        <v>2023</v>
      </c>
      <c r="X995" s="42" t="s">
        <v>2612</v>
      </c>
      <c r="Y995" s="26">
        <v>222</v>
      </c>
      <c r="Z995" s="26">
        <f t="shared" si="509"/>
        <v>0</v>
      </c>
      <c r="AA995" s="82" t="s">
        <v>91</v>
      </c>
      <c r="AB995" s="111">
        <f t="shared" si="504"/>
        <v>5</v>
      </c>
      <c r="AC995" s="85" t="s">
        <v>2371</v>
      </c>
      <c r="AD995" s="84">
        <f t="shared" si="521"/>
        <v>12424.242424242424</v>
      </c>
      <c r="AE995" s="140">
        <v>1</v>
      </c>
      <c r="AF995" s="113">
        <f t="shared" si="510"/>
        <v>12424.242424242424</v>
      </c>
      <c r="AG995" s="26">
        <v>2024</v>
      </c>
      <c r="AH995" s="26" t="str">
        <f t="shared" si="520"/>
        <v/>
      </c>
      <c r="AI995" s="26" t="str">
        <f t="shared" si="526"/>
        <v/>
      </c>
      <c r="AJ995" s="26" t="str">
        <f t="shared" si="493"/>
        <v>Microsurface double</v>
      </c>
      <c r="AK995" s="26" t="str">
        <f t="shared" si="524"/>
        <v/>
      </c>
      <c r="AL995" s="26" t="str">
        <f t="shared" si="524"/>
        <v/>
      </c>
      <c r="AM995" s="26" t="str">
        <f t="shared" si="524"/>
        <v/>
      </c>
      <c r="AN995" s="26" t="str">
        <f t="shared" si="523"/>
        <v>Microsurface double</v>
      </c>
      <c r="AO995" s="26" t="str">
        <f t="shared" si="494"/>
        <v/>
      </c>
      <c r="AP995" s="26" t="str">
        <f t="shared" si="492"/>
        <v/>
      </c>
      <c r="AQ995" s="68">
        <f t="shared" si="511"/>
        <v>8</v>
      </c>
      <c r="AR995" s="68">
        <f t="shared" si="512"/>
        <v>10</v>
      </c>
      <c r="AS995" s="68">
        <f t="shared" si="513"/>
        <v>1.1000000000000001</v>
      </c>
      <c r="AT995" s="68">
        <f t="shared" si="514"/>
        <v>1.1000000000000001</v>
      </c>
      <c r="AU995" s="68">
        <f t="shared" si="515"/>
        <v>1.1000000000000001</v>
      </c>
      <c r="AV995" s="68">
        <f t="shared" si="516"/>
        <v>1.1000000000000001</v>
      </c>
      <c r="AW995" s="68">
        <f t="shared" si="517"/>
        <v>1.25</v>
      </c>
      <c r="AX995" s="68">
        <f t="shared" ca="1" si="518"/>
        <v>0</v>
      </c>
      <c r="AY995" s="68">
        <v>2018</v>
      </c>
      <c r="AZ995" s="68" t="s">
        <v>2072</v>
      </c>
      <c r="BA995" s="106" t="str">
        <f t="shared" si="519"/>
        <v>SP/CS</v>
      </c>
      <c r="BB995" s="178"/>
      <c r="BC995" s="178">
        <v>1</v>
      </c>
      <c r="BD995" s="178"/>
      <c r="BE995" s="178"/>
      <c r="BF995" s="178"/>
      <c r="BG995" s="178"/>
      <c r="BH995" s="178"/>
      <c r="BI995" s="33" t="s">
        <v>2623</v>
      </c>
      <c r="BK995" s="48">
        <f>$G995/5280*VLOOKUP($AC995,'Cost and Score'!$B$27:$O$40,6,0)</f>
        <v>7.7651515151515152E-2</v>
      </c>
      <c r="BL995" s="48">
        <f>$G995/5280*VLOOKUP($AC995,'Cost and Score'!$B$27:$O$40,7,0)</f>
        <v>0</v>
      </c>
      <c r="BM995" s="48">
        <f>$G995/5280*VLOOKUP($AC995,'Cost and Score'!$B$27:$O$40,8,0)</f>
        <v>0</v>
      </c>
      <c r="BN995" s="48">
        <f>$G995/5280*VLOOKUP($AC995,'Cost and Score'!$B$27:$O$40,9,0)</f>
        <v>0</v>
      </c>
      <c r="BO995" s="48">
        <f>$G995/5280*VLOOKUP($AC995,'Cost and Score'!$B$27:$O$40,10,0)</f>
        <v>0</v>
      </c>
      <c r="BP995" s="48">
        <f>$G995/5280*VLOOKUP($AC995,'Cost and Score'!$B$27:$O$40,11,0)</f>
        <v>0</v>
      </c>
      <c r="BQ995" s="48">
        <f>$G995/5280*VLOOKUP($AC995,'Cost and Score'!$B$27:$O$40,12,0)</f>
        <v>0</v>
      </c>
      <c r="BR995" s="48">
        <f>$G995/5280*VLOOKUP($AC995,'Cost and Score'!$B$27:$O$40,13,0)</f>
        <v>0</v>
      </c>
      <c r="BS995" s="48">
        <f>$G995/5280*VLOOKUP($AC995,'Cost and Score'!$B$27:$O$40,14,0)</f>
        <v>0</v>
      </c>
      <c r="BT995" s="220">
        <f t="shared" si="507"/>
        <v>0.1553030303030303</v>
      </c>
    </row>
    <row r="996" spans="1:103" s="2" customFormat="1" ht="15" hidden="1" customHeight="1" x14ac:dyDescent="0.25">
      <c r="A996" s="38" t="s">
        <v>1843</v>
      </c>
      <c r="B996" s="34" t="s">
        <v>1842</v>
      </c>
      <c r="C996" s="26" t="s">
        <v>1842</v>
      </c>
      <c r="D996" s="82"/>
      <c r="E996" s="82" t="s">
        <v>21</v>
      </c>
      <c r="F996" s="82" t="s">
        <v>79</v>
      </c>
      <c r="G996" s="29">
        <v>858</v>
      </c>
      <c r="H996" s="29">
        <f t="shared" si="522"/>
        <v>20</v>
      </c>
      <c r="I996" s="26" t="s">
        <v>8</v>
      </c>
      <c r="J996" s="26" t="s">
        <v>17</v>
      </c>
      <c r="K996" s="26">
        <f t="shared" si="525"/>
        <v>0</v>
      </c>
      <c r="L996" s="42">
        <v>6</v>
      </c>
      <c r="M996" s="42">
        <v>6</v>
      </c>
      <c r="N996" s="42">
        <v>6</v>
      </c>
      <c r="O996" s="83">
        <v>6</v>
      </c>
      <c r="P996" s="83">
        <v>6</v>
      </c>
      <c r="Q996" s="83">
        <v>9</v>
      </c>
      <c r="R996" s="83">
        <v>8</v>
      </c>
      <c r="S996" s="83">
        <v>7</v>
      </c>
      <c r="T996" s="83">
        <v>7</v>
      </c>
      <c r="U996" s="83">
        <v>7</v>
      </c>
      <c r="V996" s="42"/>
      <c r="W996" s="42">
        <v>2023</v>
      </c>
      <c r="X996" s="42" t="s">
        <v>2612</v>
      </c>
      <c r="Y996" s="26">
        <v>222</v>
      </c>
      <c r="Z996" s="26">
        <f t="shared" si="509"/>
        <v>0</v>
      </c>
      <c r="AA996" s="82" t="s">
        <v>91</v>
      </c>
      <c r="AB996" s="111">
        <f t="shared" si="504"/>
        <v>4</v>
      </c>
      <c r="AC996" s="85" t="s">
        <v>2371</v>
      </c>
      <c r="AD996" s="84">
        <f t="shared" si="521"/>
        <v>13000</v>
      </c>
      <c r="AE996" s="140">
        <v>1</v>
      </c>
      <c r="AF996" s="113">
        <f t="shared" si="510"/>
        <v>13000</v>
      </c>
      <c r="AG996" s="26">
        <v>2024</v>
      </c>
      <c r="AH996" s="26" t="str">
        <f t="shared" si="520"/>
        <v/>
      </c>
      <c r="AI996" s="26" t="str">
        <f t="shared" si="526"/>
        <v/>
      </c>
      <c r="AJ996" s="26" t="str">
        <f t="shared" si="493"/>
        <v>Microsurface double</v>
      </c>
      <c r="AK996" s="26" t="str">
        <f t="shared" si="524"/>
        <v/>
      </c>
      <c r="AL996" s="26" t="str">
        <f t="shared" si="524"/>
        <v/>
      </c>
      <c r="AM996" s="26" t="str">
        <f t="shared" si="524"/>
        <v/>
      </c>
      <c r="AN996" s="26" t="str">
        <f t="shared" si="523"/>
        <v>Microsurface double</v>
      </c>
      <c r="AO996" s="26" t="str">
        <f t="shared" si="494"/>
        <v/>
      </c>
      <c r="AP996" s="26" t="str">
        <f t="shared" si="492"/>
        <v/>
      </c>
      <c r="AQ996" s="68">
        <f t="shared" si="511"/>
        <v>8</v>
      </c>
      <c r="AR996" s="68">
        <f t="shared" si="512"/>
        <v>10</v>
      </c>
      <c r="AS996" s="68">
        <f t="shared" si="513"/>
        <v>1.1000000000000001</v>
      </c>
      <c r="AT996" s="68">
        <f t="shared" si="514"/>
        <v>1.1000000000000001</v>
      </c>
      <c r="AU996" s="68">
        <f t="shared" si="515"/>
        <v>1.1000000000000001</v>
      </c>
      <c r="AV996" s="68">
        <f t="shared" si="516"/>
        <v>1.1000000000000001</v>
      </c>
      <c r="AW996" s="68">
        <f t="shared" si="517"/>
        <v>1.1000000000000001</v>
      </c>
      <c r="AX996" s="68">
        <f t="shared" ca="1" si="518"/>
        <v>0</v>
      </c>
      <c r="AY996" s="68">
        <v>2018</v>
      </c>
      <c r="AZ996" s="68" t="s">
        <v>2072</v>
      </c>
      <c r="BA996" s="106" t="str">
        <f t="shared" si="519"/>
        <v>SP/CS</v>
      </c>
      <c r="BB996" s="178"/>
      <c r="BC996" s="178">
        <v>1</v>
      </c>
      <c r="BD996" s="178"/>
      <c r="BE996" s="178"/>
      <c r="BF996" s="178"/>
      <c r="BG996" s="178"/>
      <c r="BH996" s="178"/>
      <c r="BI996" s="33" t="s">
        <v>2623</v>
      </c>
      <c r="BK996" s="48">
        <f>$G996/5280*VLOOKUP($AC996,'Cost and Score'!$B$27:$O$40,6,0)</f>
        <v>8.1250000000000003E-2</v>
      </c>
      <c r="BL996" s="48">
        <f>$G996/5280*VLOOKUP($AC996,'Cost and Score'!$B$27:$O$40,7,0)</f>
        <v>0</v>
      </c>
      <c r="BM996" s="48">
        <f>$G996/5280*VLOOKUP($AC996,'Cost and Score'!$B$27:$O$40,8,0)</f>
        <v>0</v>
      </c>
      <c r="BN996" s="48">
        <f>$G996/5280*VLOOKUP($AC996,'Cost and Score'!$B$27:$O$40,9,0)</f>
        <v>0</v>
      </c>
      <c r="BO996" s="48">
        <f>$G996/5280*VLOOKUP($AC996,'Cost and Score'!$B$27:$O$40,10,0)</f>
        <v>0</v>
      </c>
      <c r="BP996" s="48">
        <f>$G996/5280*VLOOKUP($AC996,'Cost and Score'!$B$27:$O$40,11,0)</f>
        <v>0</v>
      </c>
      <c r="BQ996" s="48">
        <f>$G996/5280*VLOOKUP($AC996,'Cost and Score'!$B$27:$O$40,12,0)</f>
        <v>0</v>
      </c>
      <c r="BR996" s="48">
        <f>$G996/5280*VLOOKUP($AC996,'Cost and Score'!$B$27:$O$40,13,0)</f>
        <v>0</v>
      </c>
      <c r="BS996" s="48">
        <f>$G996/5280*VLOOKUP($AC996,'Cost and Score'!$B$27:$O$40,14,0)</f>
        <v>0</v>
      </c>
      <c r="BT996" s="220">
        <f t="shared" si="507"/>
        <v>0.16250000000000001</v>
      </c>
    </row>
    <row r="997" spans="1:103" s="2" customFormat="1" ht="15" hidden="1" customHeight="1" x14ac:dyDescent="0.25">
      <c r="A997" s="38" t="s">
        <v>1845</v>
      </c>
      <c r="B997" s="34" t="s">
        <v>1844</v>
      </c>
      <c r="C997" s="26" t="s">
        <v>1844</v>
      </c>
      <c r="D997" s="82"/>
      <c r="E997" s="82" t="s">
        <v>20</v>
      </c>
      <c r="F997" s="82" t="s">
        <v>79</v>
      </c>
      <c r="G997" s="29">
        <v>6328</v>
      </c>
      <c r="H997" s="29">
        <f t="shared" si="522"/>
        <v>20</v>
      </c>
      <c r="I997" s="26" t="s">
        <v>8</v>
      </c>
      <c r="J997" s="26" t="s">
        <v>17</v>
      </c>
      <c r="K997" s="26">
        <f t="shared" si="525"/>
        <v>0</v>
      </c>
      <c r="L997" s="42">
        <v>7</v>
      </c>
      <c r="M997" s="42">
        <v>6</v>
      </c>
      <c r="N997" s="42">
        <v>6</v>
      </c>
      <c r="O997" s="83">
        <v>6</v>
      </c>
      <c r="P997" s="83">
        <v>5</v>
      </c>
      <c r="Q997" s="83">
        <v>9</v>
      </c>
      <c r="R997" s="83">
        <v>8</v>
      </c>
      <c r="S997" s="83">
        <v>7</v>
      </c>
      <c r="T997" s="83">
        <v>7</v>
      </c>
      <c r="U997" s="83">
        <v>7</v>
      </c>
      <c r="V997" s="42"/>
      <c r="W997" s="42">
        <v>2023</v>
      </c>
      <c r="X997" s="42" t="s">
        <v>2612</v>
      </c>
      <c r="Y997" s="26">
        <v>222</v>
      </c>
      <c r="Z997" s="26">
        <f t="shared" si="509"/>
        <v>0</v>
      </c>
      <c r="AA997" s="82" t="s">
        <v>91</v>
      </c>
      <c r="AB997" s="111">
        <f t="shared" si="504"/>
        <v>5</v>
      </c>
      <c r="AC997" s="85" t="s">
        <v>2371</v>
      </c>
      <c r="AD997" s="84">
        <f t="shared" si="521"/>
        <v>95878.787878787873</v>
      </c>
      <c r="AE997" s="140">
        <v>1</v>
      </c>
      <c r="AF997" s="113">
        <f t="shared" si="510"/>
        <v>95878.787878787873</v>
      </c>
      <c r="AG997" s="26">
        <v>2024</v>
      </c>
      <c r="AH997" s="26" t="str">
        <f t="shared" si="520"/>
        <v/>
      </c>
      <c r="AI997" s="26" t="str">
        <f t="shared" si="526"/>
        <v/>
      </c>
      <c r="AJ997" s="26" t="str">
        <f t="shared" si="493"/>
        <v>Microsurface double</v>
      </c>
      <c r="AK997" s="26" t="str">
        <f t="shared" si="524"/>
        <v/>
      </c>
      <c r="AL997" s="26" t="str">
        <f t="shared" si="524"/>
        <v/>
      </c>
      <c r="AM997" s="26" t="str">
        <f t="shared" si="524"/>
        <v/>
      </c>
      <c r="AN997" s="26" t="str">
        <f t="shared" si="523"/>
        <v>Microsurface double</v>
      </c>
      <c r="AO997" s="26" t="str">
        <f t="shared" si="494"/>
        <v/>
      </c>
      <c r="AP997" s="26" t="str">
        <f t="shared" ref="AP997:AP1060" si="527">IF(AY997=AP$1,VLOOKUP(AZ997,RSL,3,FALSE),"")</f>
        <v/>
      </c>
      <c r="AQ997" s="68">
        <f t="shared" si="511"/>
        <v>8</v>
      </c>
      <c r="AR997" s="68">
        <f t="shared" si="512"/>
        <v>10</v>
      </c>
      <c r="AS997" s="68">
        <f t="shared" si="513"/>
        <v>1.05</v>
      </c>
      <c r="AT997" s="68">
        <f t="shared" si="514"/>
        <v>1.1000000000000001</v>
      </c>
      <c r="AU997" s="68">
        <f t="shared" si="515"/>
        <v>1.1000000000000001</v>
      </c>
      <c r="AV997" s="68">
        <f t="shared" si="516"/>
        <v>1.1000000000000001</v>
      </c>
      <c r="AW997" s="68">
        <f t="shared" si="517"/>
        <v>1.25</v>
      </c>
      <c r="AX997" s="68">
        <f t="shared" ca="1" si="518"/>
        <v>0</v>
      </c>
      <c r="AY997" s="68">
        <v>2018</v>
      </c>
      <c r="AZ997" s="68" t="s">
        <v>2072</v>
      </c>
      <c r="BA997" s="106" t="str">
        <f t="shared" si="519"/>
        <v>SP/CS</v>
      </c>
      <c r="BB997" s="178"/>
      <c r="BC997" s="178">
        <v>1</v>
      </c>
      <c r="BD997" s="178"/>
      <c r="BE997" s="178"/>
      <c r="BF997" s="178"/>
      <c r="BG997" s="178"/>
      <c r="BH997" s="178"/>
      <c r="BI997" s="33" t="s">
        <v>2623</v>
      </c>
      <c r="BK997" s="48">
        <f>$G997/5280*VLOOKUP($AC997,'Cost and Score'!$B$27:$O$40,6,0)</f>
        <v>0.59924242424242424</v>
      </c>
      <c r="BL997" s="48">
        <f>$G997/5280*VLOOKUP($AC997,'Cost and Score'!$B$27:$O$40,7,0)</f>
        <v>0</v>
      </c>
      <c r="BM997" s="48">
        <f>$G997/5280*VLOOKUP($AC997,'Cost and Score'!$B$27:$O$40,8,0)</f>
        <v>0</v>
      </c>
      <c r="BN997" s="48">
        <f>$G997/5280*VLOOKUP($AC997,'Cost and Score'!$B$27:$O$40,9,0)</f>
        <v>0</v>
      </c>
      <c r="BO997" s="48">
        <f>$G997/5280*VLOOKUP($AC997,'Cost and Score'!$B$27:$O$40,10,0)</f>
        <v>0</v>
      </c>
      <c r="BP997" s="48">
        <f>$G997/5280*VLOOKUP($AC997,'Cost and Score'!$B$27:$O$40,11,0)</f>
        <v>0</v>
      </c>
      <c r="BQ997" s="48">
        <f>$G997/5280*VLOOKUP($AC997,'Cost and Score'!$B$27:$O$40,12,0)</f>
        <v>0</v>
      </c>
      <c r="BR997" s="48">
        <f>$G997/5280*VLOOKUP($AC997,'Cost and Score'!$B$27:$O$40,13,0)</f>
        <v>0</v>
      </c>
      <c r="BS997" s="48">
        <f>$G997/5280*VLOOKUP($AC997,'Cost and Score'!$B$27:$O$40,14,0)</f>
        <v>0</v>
      </c>
      <c r="BT997" s="220">
        <f t="shared" si="507"/>
        <v>1.1984848484848485</v>
      </c>
    </row>
    <row r="998" spans="1:103" s="2" customFormat="1" ht="15" hidden="1" customHeight="1" x14ac:dyDescent="0.25">
      <c r="A998" s="38" t="s">
        <v>2102</v>
      </c>
      <c r="B998" s="34" t="s">
        <v>1846</v>
      </c>
      <c r="C998" s="26" t="s">
        <v>1846</v>
      </c>
      <c r="D998" s="26"/>
      <c r="E998" s="26" t="s">
        <v>25</v>
      </c>
      <c r="F998" s="26" t="s">
        <v>1847</v>
      </c>
      <c r="G998" s="29">
        <v>622</v>
      </c>
      <c r="H998" s="29">
        <f t="shared" si="522"/>
        <v>20</v>
      </c>
      <c r="I998" s="26" t="s">
        <v>8</v>
      </c>
      <c r="J998" s="26" t="s">
        <v>101</v>
      </c>
      <c r="K998" s="26">
        <v>0</v>
      </c>
      <c r="L998" s="42">
        <v>5</v>
      </c>
      <c r="M998" s="42">
        <v>4</v>
      </c>
      <c r="N998" s="42">
        <v>10</v>
      </c>
      <c r="O998" s="42">
        <v>9</v>
      </c>
      <c r="P998" s="42">
        <v>9</v>
      </c>
      <c r="Q998" s="42">
        <v>8</v>
      </c>
      <c r="R998" s="42">
        <v>8</v>
      </c>
      <c r="S998" s="42">
        <v>7</v>
      </c>
      <c r="T998" s="42">
        <v>7</v>
      </c>
      <c r="U998" s="42">
        <v>7</v>
      </c>
      <c r="V998" s="42"/>
      <c r="W998" s="42"/>
      <c r="X998" s="42"/>
      <c r="Y998" s="26">
        <v>50</v>
      </c>
      <c r="Z998" s="26">
        <f t="shared" si="509"/>
        <v>0</v>
      </c>
      <c r="AA998" s="26" t="s">
        <v>1848</v>
      </c>
      <c r="AB998" s="111">
        <f t="shared" si="504"/>
        <v>1</v>
      </c>
      <c r="AC998" s="85" t="s">
        <v>2073</v>
      </c>
      <c r="AD998" s="47">
        <f t="shared" si="521"/>
        <v>3769.6969696969695</v>
      </c>
      <c r="AE998" s="140"/>
      <c r="AF998" s="113">
        <f t="shared" si="510"/>
        <v>0</v>
      </c>
      <c r="AG998" s="26">
        <v>2027</v>
      </c>
      <c r="AH998" s="26" t="str">
        <f t="shared" si="520"/>
        <v/>
      </c>
      <c r="AI998" s="26" t="str">
        <f t="shared" si="526"/>
        <v/>
      </c>
      <c r="AJ998" s="26" t="str">
        <f t="shared" si="493"/>
        <v/>
      </c>
      <c r="AK998" s="26" t="str">
        <f t="shared" si="524"/>
        <v/>
      </c>
      <c r="AL998" s="26" t="str">
        <f t="shared" si="524"/>
        <v/>
      </c>
      <c r="AM998" s="26" t="str">
        <f t="shared" si="524"/>
        <v>Chip Seal - Double and Fog</v>
      </c>
      <c r="AN998" s="26" t="str">
        <f t="shared" si="523"/>
        <v>Chip Seal - Double and Fog</v>
      </c>
      <c r="AO998" s="26" t="str">
        <f t="shared" si="494"/>
        <v>Crack Seal</v>
      </c>
      <c r="AP998" s="26" t="str">
        <f t="shared" si="527"/>
        <v/>
      </c>
      <c r="AQ998" s="68">
        <f t="shared" si="511"/>
        <v>14</v>
      </c>
      <c r="AR998" s="68">
        <f t="shared" si="512"/>
        <v>6</v>
      </c>
      <c r="AS998" s="68">
        <f t="shared" si="513"/>
        <v>1.25</v>
      </c>
      <c r="AT998" s="68">
        <f t="shared" si="514"/>
        <v>1.5</v>
      </c>
      <c r="AU998" s="68">
        <f t="shared" si="515"/>
        <v>1</v>
      </c>
      <c r="AV998" s="68">
        <f t="shared" si="516"/>
        <v>1</v>
      </c>
      <c r="AW998" s="68">
        <f t="shared" si="517"/>
        <v>1</v>
      </c>
      <c r="AX998" s="68">
        <f t="shared" ca="1" si="518"/>
        <v>3</v>
      </c>
      <c r="AY998" s="68">
        <v>2021</v>
      </c>
      <c r="AZ998" s="68" t="s">
        <v>2075</v>
      </c>
      <c r="BA998" s="106" t="str">
        <f t="shared" si="519"/>
        <v/>
      </c>
      <c r="BB998" s="178"/>
      <c r="BC998" s="178"/>
      <c r="BD998" s="178"/>
      <c r="BE998" s="178"/>
      <c r="BF998" s="178"/>
      <c r="BG998" s="178"/>
      <c r="BH998" s="178"/>
      <c r="BI998" s="33"/>
      <c r="BK998" s="48">
        <f>$G998/5280*VLOOKUP($AC998,'Cost and Score'!$B$27:$O$40,6,0)</f>
        <v>5.8901515151515149E-2</v>
      </c>
      <c r="BL998" s="48">
        <f>$G998/5280*VLOOKUP($AC998,'Cost and Score'!$B$27:$O$40,7,0)</f>
        <v>5.8901515151515147</v>
      </c>
      <c r="BM998" s="48">
        <f>$G998/5280*VLOOKUP($AC998,'Cost and Score'!$B$27:$O$40,8,0)</f>
        <v>0</v>
      </c>
      <c r="BN998" s="48">
        <f>$G998/5280*VLOOKUP($AC998,'Cost and Score'!$B$27:$O$40,9,0)</f>
        <v>1119.1287878787878</v>
      </c>
      <c r="BO998" s="48">
        <f>$G998/5280*VLOOKUP($AC998,'Cost and Score'!$B$27:$O$40,10,0)</f>
        <v>117.8030303030303</v>
      </c>
      <c r="BP998" s="48">
        <f>$G998/5280*VLOOKUP($AC998,'Cost and Score'!$B$27:$O$40,11,0)</f>
        <v>0</v>
      </c>
      <c r="BQ998" s="48">
        <f>$G998/5280*VLOOKUP($AC998,'Cost and Score'!$B$27:$O$40,12,0)</f>
        <v>23.560606060606059</v>
      </c>
      <c r="BR998" s="48">
        <f>$G998/5280*VLOOKUP($AC998,'Cost and Score'!$B$27:$O$40,13,0)</f>
        <v>21.204545454545453</v>
      </c>
      <c r="BS998" s="48">
        <f>$G998/5280*VLOOKUP($AC998,'Cost and Score'!$B$27:$O$40,14,0)</f>
        <v>28.272727272727273</v>
      </c>
      <c r="BT998" s="220">
        <f t="shared" si="507"/>
        <v>0.1178030303030303</v>
      </c>
      <c r="CR998" s="112"/>
    </row>
    <row r="999" spans="1:103" s="2" customFormat="1" ht="15" hidden="1" customHeight="1" x14ac:dyDescent="0.25">
      <c r="A999" s="38" t="s">
        <v>2102</v>
      </c>
      <c r="B999" s="34" t="s">
        <v>1850</v>
      </c>
      <c r="C999" s="26" t="s">
        <v>1850</v>
      </c>
      <c r="D999" s="82"/>
      <c r="E999" s="82" t="s">
        <v>1427</v>
      </c>
      <c r="F999" s="82" t="s">
        <v>10</v>
      </c>
      <c r="G999" s="29">
        <v>1007</v>
      </c>
      <c r="H999" s="29">
        <f t="shared" si="522"/>
        <v>20</v>
      </c>
      <c r="I999" s="26" t="s">
        <v>8</v>
      </c>
      <c r="J999" s="26" t="s">
        <v>26</v>
      </c>
      <c r="K999" s="26">
        <f t="shared" ref="K999:K1004" si="528">VLOOKUP(J999,TOWNSHIPS,2,FALSE)</f>
        <v>0</v>
      </c>
      <c r="L999" s="42">
        <v>6</v>
      </c>
      <c r="M999" s="42">
        <v>6</v>
      </c>
      <c r="N999" s="42">
        <v>6</v>
      </c>
      <c r="O999" s="83">
        <v>6</v>
      </c>
      <c r="P999" s="83">
        <v>6</v>
      </c>
      <c r="Q999" s="83">
        <v>6</v>
      </c>
      <c r="R999" s="83">
        <v>6</v>
      </c>
      <c r="S999" s="83">
        <v>6</v>
      </c>
      <c r="T999" s="83">
        <v>7</v>
      </c>
      <c r="U999" s="83">
        <v>7</v>
      </c>
      <c r="V999" s="42"/>
      <c r="W999" s="42"/>
      <c r="X999" s="42"/>
      <c r="Y999" s="26">
        <v>50</v>
      </c>
      <c r="Z999" s="26">
        <f t="shared" si="509"/>
        <v>0</v>
      </c>
      <c r="AA999" s="82" t="s">
        <v>1851</v>
      </c>
      <c r="AB999" s="111">
        <f t="shared" si="504"/>
        <v>4</v>
      </c>
      <c r="AC999" s="82" t="s">
        <v>2072</v>
      </c>
      <c r="AD999" s="84">
        <f t="shared" si="521"/>
        <v>8773.1060606060601</v>
      </c>
      <c r="AE999" s="140"/>
      <c r="AF999" s="113">
        <f t="shared" si="510"/>
        <v>0</v>
      </c>
      <c r="AG999" s="26">
        <v>2027</v>
      </c>
      <c r="AH999" s="26" t="str">
        <f t="shared" si="520"/>
        <v/>
      </c>
      <c r="AI999" s="26" t="str">
        <f t="shared" si="526"/>
        <v/>
      </c>
      <c r="AJ999" s="26" t="str">
        <f t="shared" ref="AJ999:AJ1062" si="529">IF($AG999=AJ$1,VLOOKUP($AC999,RSL,3,FALSE),"")</f>
        <v/>
      </c>
      <c r="AK999" s="26" t="str">
        <f t="shared" si="524"/>
        <v/>
      </c>
      <c r="AL999" s="26" t="str">
        <f t="shared" si="524"/>
        <v/>
      </c>
      <c r="AM999" s="26" t="str">
        <f t="shared" si="524"/>
        <v>Chip Seal - Triple</v>
      </c>
      <c r="AN999" s="26" t="str">
        <f t="shared" si="523"/>
        <v>Chip Seal - Triple</v>
      </c>
      <c r="AO999" s="26" t="str">
        <f t="shared" ref="AO999:AO1062" si="530">IF(AY999=AO$1,VLOOKUP(AZ999,RSL,3,FALSE),"")</f>
        <v>Chip Seal - Double and Fog</v>
      </c>
      <c r="AP999" s="26" t="str">
        <f t="shared" si="527"/>
        <v/>
      </c>
      <c r="AQ999" s="68">
        <f t="shared" si="511"/>
        <v>8</v>
      </c>
      <c r="AR999" s="68">
        <f t="shared" si="512"/>
        <v>8</v>
      </c>
      <c r="AS999" s="68">
        <f t="shared" si="513"/>
        <v>1.1000000000000001</v>
      </c>
      <c r="AT999" s="68">
        <f t="shared" si="514"/>
        <v>1.1000000000000001</v>
      </c>
      <c r="AU999" s="68">
        <f t="shared" si="515"/>
        <v>1.1000000000000001</v>
      </c>
      <c r="AV999" s="68">
        <f t="shared" si="516"/>
        <v>1.1000000000000001</v>
      </c>
      <c r="AW999" s="68">
        <f t="shared" si="517"/>
        <v>1.1000000000000001</v>
      </c>
      <c r="AX999" s="68">
        <f t="shared" ca="1" si="518"/>
        <v>3.3000000000000003</v>
      </c>
      <c r="AY999" s="68">
        <v>2021</v>
      </c>
      <c r="AZ999" s="68" t="s">
        <v>2073</v>
      </c>
      <c r="BA999" s="106" t="str">
        <f t="shared" si="519"/>
        <v/>
      </c>
      <c r="BB999" s="178"/>
      <c r="BC999" s="178"/>
      <c r="BD999" s="178"/>
      <c r="BE999" s="178"/>
      <c r="BF999" s="178"/>
      <c r="BG999" s="178"/>
      <c r="BH999" s="178"/>
      <c r="BI999" s="33"/>
      <c r="BK999" s="48">
        <f>$G999/5280*VLOOKUP($AC999,'Cost and Score'!$B$27:$O$40,6,0)</f>
        <v>0.11443181818181819</v>
      </c>
      <c r="BL999" s="48">
        <f>$G999/5280*VLOOKUP($AC999,'Cost and Score'!$B$27:$O$40,7,0)</f>
        <v>23.839962121212125</v>
      </c>
      <c r="BM999" s="48">
        <f>$G999/5280*VLOOKUP($AC999,'Cost and Score'!$B$27:$O$40,8,0)</f>
        <v>38.143939393939398</v>
      </c>
      <c r="BN999" s="48">
        <f>$G999/5280*VLOOKUP($AC999,'Cost and Score'!$B$27:$O$40,9,0)</f>
        <v>381.43939393939399</v>
      </c>
      <c r="BO999" s="48">
        <f>$G999/5280*VLOOKUP($AC999,'Cost and Score'!$B$27:$O$40,10,0)</f>
        <v>95.359848484848499</v>
      </c>
      <c r="BP999" s="48">
        <f>$G999/5280*VLOOKUP($AC999,'Cost and Score'!$B$27:$O$40,11,0)</f>
        <v>19.071969696969699</v>
      </c>
      <c r="BQ999" s="48">
        <f>$G999/5280*VLOOKUP($AC999,'Cost and Score'!$B$27:$O$40,12,0)</f>
        <v>152.57575757575759</v>
      </c>
      <c r="BR999" s="48">
        <f>$G999/5280*VLOOKUP($AC999,'Cost and Score'!$B$27:$O$40,13,0)</f>
        <v>15.257575757575758</v>
      </c>
      <c r="BS999" s="48">
        <f>$G999/5280*VLOOKUP($AC999,'Cost and Score'!$B$27:$O$40,14,0)</f>
        <v>0</v>
      </c>
      <c r="BT999" s="220">
        <f t="shared" si="507"/>
        <v>0.19071969696969698</v>
      </c>
      <c r="CF999" s="112"/>
    </row>
    <row r="1000" spans="1:103" s="2" customFormat="1" ht="15" hidden="1" customHeight="1" x14ac:dyDescent="0.25">
      <c r="A1000" s="38" t="s">
        <v>2102</v>
      </c>
      <c r="B1000" s="108" t="s">
        <v>1852</v>
      </c>
      <c r="C1000" s="106" t="s">
        <v>1852</v>
      </c>
      <c r="D1000" s="106"/>
      <c r="E1000" s="106" t="s">
        <v>1853</v>
      </c>
      <c r="F1000" s="106"/>
      <c r="G1000" s="109">
        <v>835</v>
      </c>
      <c r="H1000" s="109">
        <f t="shared" si="522"/>
        <v>20</v>
      </c>
      <c r="I1000" s="106" t="s">
        <v>62</v>
      </c>
      <c r="J1000" s="106" t="s">
        <v>125</v>
      </c>
      <c r="K1000" s="106">
        <f t="shared" si="528"/>
        <v>0</v>
      </c>
      <c r="L1000" s="110">
        <v>7</v>
      </c>
      <c r="M1000" s="110">
        <v>7</v>
      </c>
      <c r="N1000" s="110">
        <v>6</v>
      </c>
      <c r="O1000" s="110">
        <v>6</v>
      </c>
      <c r="P1000" s="110">
        <v>6</v>
      </c>
      <c r="Q1000" s="110">
        <v>6</v>
      </c>
      <c r="R1000" s="110">
        <v>5</v>
      </c>
      <c r="S1000" s="110">
        <v>5</v>
      </c>
      <c r="T1000" s="110">
        <v>5</v>
      </c>
      <c r="U1000" s="110">
        <v>5</v>
      </c>
      <c r="V1000" s="110"/>
      <c r="W1000" s="110"/>
      <c r="X1000" s="110"/>
      <c r="Y1000" s="106">
        <v>50</v>
      </c>
      <c r="Z1000" s="106">
        <f t="shared" si="509"/>
        <v>0</v>
      </c>
      <c r="AA1000" s="106" t="s">
        <v>1851</v>
      </c>
      <c r="AB1000" s="111">
        <f t="shared" si="504"/>
        <v>4</v>
      </c>
      <c r="AC1000" s="26" t="s">
        <v>13</v>
      </c>
      <c r="AD1000" s="107">
        <f t="shared" si="521"/>
        <v>3321.0227272727275</v>
      </c>
      <c r="AE1000" s="198"/>
      <c r="AF1000" s="113">
        <f t="shared" si="510"/>
        <v>0</v>
      </c>
      <c r="AG1000" s="26">
        <v>2023</v>
      </c>
      <c r="AH1000" s="26" t="str">
        <f t="shared" si="520"/>
        <v/>
      </c>
      <c r="AI1000" s="26" t="str">
        <f t="shared" si="526"/>
        <v>Chip Seal and Fog</v>
      </c>
      <c r="AJ1000" s="26" t="str">
        <f t="shared" si="529"/>
        <v/>
      </c>
      <c r="AK1000" s="26" t="str">
        <f t="shared" si="524"/>
        <v/>
      </c>
      <c r="AL1000" s="26" t="str">
        <f t="shared" si="524"/>
        <v/>
      </c>
      <c r="AM1000" s="26" t="str">
        <f t="shared" si="524"/>
        <v/>
      </c>
      <c r="AN1000" s="26" t="str">
        <f t="shared" si="523"/>
        <v>Chip Seal and Fog</v>
      </c>
      <c r="AO1000" s="26" t="str">
        <f t="shared" si="530"/>
        <v/>
      </c>
      <c r="AP1000" s="26" t="str">
        <f t="shared" si="527"/>
        <v/>
      </c>
      <c r="AQ1000" s="68">
        <f t="shared" si="511"/>
        <v>8</v>
      </c>
      <c r="AR1000" s="68">
        <f t="shared" si="512"/>
        <v>6</v>
      </c>
      <c r="AS1000" s="68">
        <f t="shared" si="513"/>
        <v>1.05</v>
      </c>
      <c r="AT1000" s="68">
        <f t="shared" si="514"/>
        <v>1.05</v>
      </c>
      <c r="AU1000" s="68">
        <f t="shared" si="515"/>
        <v>1.1000000000000001</v>
      </c>
      <c r="AV1000" s="68">
        <f t="shared" si="516"/>
        <v>1.1000000000000001</v>
      </c>
      <c r="AW1000" s="68">
        <f t="shared" si="517"/>
        <v>1.1000000000000001</v>
      </c>
      <c r="AX1000" s="68">
        <f t="shared" ca="1" si="518"/>
        <v>-1.1000000000000001</v>
      </c>
      <c r="AY1000" s="106">
        <v>2017</v>
      </c>
      <c r="AZ1000" s="68" t="s">
        <v>13</v>
      </c>
      <c r="BA1000" s="106" t="str">
        <f t="shared" si="519"/>
        <v/>
      </c>
      <c r="BB1000" s="178"/>
      <c r="BC1000" s="178"/>
      <c r="BD1000" s="178"/>
      <c r="BE1000" s="178"/>
      <c r="BF1000" s="178"/>
      <c r="BG1000" s="178"/>
      <c r="BH1000" s="178"/>
      <c r="BI1000" s="33"/>
      <c r="BK1000" s="48">
        <f>$G1000/5280*VLOOKUP($AC1000,'Cost and Score'!$B$27:$O$40,6,0)</f>
        <v>3.1628787878787881E-2</v>
      </c>
      <c r="BL1000" s="48">
        <f>$G1000/5280*VLOOKUP($AC1000,'Cost and Score'!$B$27:$O$40,7,0)</f>
        <v>3.4791666666666665</v>
      </c>
      <c r="BM1000" s="48">
        <f>$G1000/5280*VLOOKUP($AC1000,'Cost and Score'!$B$27:$O$40,8,0)</f>
        <v>0</v>
      </c>
      <c r="BN1000" s="48">
        <f>$G1000/5280*VLOOKUP($AC1000,'Cost and Score'!$B$27:$O$40,9,0)</f>
        <v>711.64772727272725</v>
      </c>
      <c r="BO1000" s="48">
        <f>$G1000/5280*VLOOKUP($AC1000,'Cost and Score'!$B$27:$O$40,10,0)</f>
        <v>158.14393939393941</v>
      </c>
      <c r="BP1000" s="48">
        <f>$G1000/5280*VLOOKUP($AC1000,'Cost and Score'!$B$27:$O$40,11,0)</f>
        <v>0</v>
      </c>
      <c r="BQ1000" s="48">
        <f>$G1000/5280*VLOOKUP($AC1000,'Cost and Score'!$B$27:$O$40,12,0)</f>
        <v>15.814393939393939</v>
      </c>
      <c r="BR1000" s="48">
        <f>$G1000/5280*VLOOKUP($AC1000,'Cost and Score'!$B$27:$O$40,13,0)</f>
        <v>18.977272727272727</v>
      </c>
      <c r="BS1000" s="48">
        <f>$G1000/5280*VLOOKUP($AC1000,'Cost and Score'!$B$27:$O$40,14,0)</f>
        <v>0</v>
      </c>
      <c r="BT1000" s="220">
        <f t="shared" si="507"/>
        <v>0.15814393939393939</v>
      </c>
      <c r="CF1000" s="112"/>
      <c r="CS1000" s="112"/>
      <c r="CT1000" s="112"/>
      <c r="CU1000" s="112"/>
    </row>
    <row r="1001" spans="1:103" s="2" customFormat="1" ht="14.45" hidden="1" customHeight="1" x14ac:dyDescent="0.25">
      <c r="A1001" s="31" t="s">
        <v>2102</v>
      </c>
      <c r="B1001" s="226" t="s">
        <v>1854</v>
      </c>
      <c r="C1001" s="106" t="s">
        <v>1854</v>
      </c>
      <c r="D1001" s="116" t="s">
        <v>2256</v>
      </c>
      <c r="E1001" s="106" t="s">
        <v>1458</v>
      </c>
      <c r="F1001" s="106" t="s">
        <v>1495</v>
      </c>
      <c r="G1001" s="109">
        <v>1267</v>
      </c>
      <c r="H1001" s="109">
        <f t="shared" si="522"/>
        <v>26</v>
      </c>
      <c r="I1001" s="106" t="s">
        <v>2098</v>
      </c>
      <c r="J1001" s="106" t="s">
        <v>160</v>
      </c>
      <c r="K1001" s="106">
        <f t="shared" si="528"/>
        <v>0</v>
      </c>
      <c r="L1001" s="110">
        <v>7</v>
      </c>
      <c r="M1001" s="110">
        <v>7</v>
      </c>
      <c r="N1001" s="110">
        <v>7</v>
      </c>
      <c r="O1001" s="110">
        <v>7</v>
      </c>
      <c r="P1001" s="110">
        <v>7</v>
      </c>
      <c r="Q1001" s="110">
        <v>7</v>
      </c>
      <c r="R1001" s="110">
        <v>7</v>
      </c>
      <c r="S1001" s="110">
        <v>7</v>
      </c>
      <c r="T1001" s="110">
        <v>7</v>
      </c>
      <c r="U1001" s="110">
        <v>7</v>
      </c>
      <c r="V1001" s="110"/>
      <c r="W1001" s="110"/>
      <c r="X1001" s="110"/>
      <c r="Y1001" s="106">
        <v>191</v>
      </c>
      <c r="Z1001" s="106">
        <f t="shared" si="509"/>
        <v>0</v>
      </c>
      <c r="AA1001" s="106" t="s">
        <v>1854</v>
      </c>
      <c r="AB1001" s="111">
        <f t="shared" si="504"/>
        <v>3</v>
      </c>
      <c r="AC1001" s="85" t="s">
        <v>2425</v>
      </c>
      <c r="AD1001" s="107">
        <f t="shared" si="521"/>
        <v>5999.05303030303</v>
      </c>
      <c r="AE1001" s="198"/>
      <c r="AF1001" s="113">
        <f t="shared" si="510"/>
        <v>0</v>
      </c>
      <c r="AG1001" s="85">
        <v>2026</v>
      </c>
      <c r="AH1001" s="26" t="str">
        <f t="shared" si="520"/>
        <v/>
      </c>
      <c r="AI1001" s="26" t="str">
        <f t="shared" si="526"/>
        <v/>
      </c>
      <c r="AJ1001" s="26" t="str">
        <f t="shared" si="529"/>
        <v/>
      </c>
      <c r="AK1001" s="26" t="str">
        <f t="shared" si="524"/>
        <v/>
      </c>
      <c r="AL1001" s="26" t="str">
        <f t="shared" si="524"/>
        <v>Liquid Road</v>
      </c>
      <c r="AM1001" s="26" t="str">
        <f t="shared" si="524"/>
        <v/>
      </c>
      <c r="AN1001" s="26" t="str">
        <f t="shared" si="523"/>
        <v>Liquid Road</v>
      </c>
      <c r="AO1001" s="26" t="str">
        <f t="shared" si="530"/>
        <v/>
      </c>
      <c r="AP1001" s="26" t="str">
        <f t="shared" si="527"/>
        <v/>
      </c>
      <c r="AQ1001" s="68">
        <f t="shared" si="511"/>
        <v>10</v>
      </c>
      <c r="AR1001" s="68">
        <f t="shared" si="512"/>
        <v>10</v>
      </c>
      <c r="AS1001" s="68">
        <f t="shared" si="513"/>
        <v>1.05</v>
      </c>
      <c r="AT1001" s="68">
        <f t="shared" si="514"/>
        <v>1.05</v>
      </c>
      <c r="AU1001" s="68">
        <f t="shared" si="515"/>
        <v>1.05</v>
      </c>
      <c r="AV1001" s="68">
        <f t="shared" si="516"/>
        <v>1.05</v>
      </c>
      <c r="AW1001" s="68">
        <f t="shared" si="517"/>
        <v>1.05</v>
      </c>
      <c r="AX1001" s="68">
        <f t="shared" ca="1" si="518"/>
        <v>2.1</v>
      </c>
      <c r="AY1001" s="106">
        <v>2017</v>
      </c>
      <c r="AZ1001" s="106" t="s">
        <v>2075</v>
      </c>
      <c r="BA1001" s="106" t="str">
        <f t="shared" si="519"/>
        <v/>
      </c>
      <c r="BB1001" s="177"/>
      <c r="BC1001" s="177"/>
      <c r="BD1001" s="177">
        <v>1</v>
      </c>
      <c r="BE1001" s="177"/>
      <c r="BF1001" s="177"/>
      <c r="BG1001" s="177"/>
      <c r="BH1001" s="177"/>
      <c r="BI1001" s="33"/>
      <c r="BK1001" s="48">
        <f>$G1001/5280*VLOOKUP($AC1001,'Cost and Score'!$B$27:$O$40,6,0)</f>
        <v>0.23996212121212121</v>
      </c>
      <c r="BL1001" s="48">
        <f>$G1001/5280*VLOOKUP($AC1001,'Cost and Score'!$B$27:$O$40,7,0)</f>
        <v>3.8393939393939394</v>
      </c>
      <c r="BM1001" s="48">
        <f>$G1001/5280*VLOOKUP($AC1001,'Cost and Score'!$B$27:$O$40,8,0)</f>
        <v>0</v>
      </c>
      <c r="BN1001" s="48">
        <f>$G1001/5280*VLOOKUP($AC1001,'Cost and Score'!$B$27:$O$40,9,0)</f>
        <v>0</v>
      </c>
      <c r="BO1001" s="48">
        <f>$G1001/5280*VLOOKUP($AC1001,'Cost and Score'!$B$27:$O$40,10,0)</f>
        <v>0</v>
      </c>
      <c r="BP1001" s="48">
        <f>$G1001/5280*VLOOKUP($AC1001,'Cost and Score'!$B$27:$O$40,11,0)</f>
        <v>0</v>
      </c>
      <c r="BQ1001" s="48">
        <f>$G1001/5280*VLOOKUP($AC1001,'Cost and Score'!$B$27:$O$40,12,0)</f>
        <v>0</v>
      </c>
      <c r="BR1001" s="48">
        <f>$G1001/5280*VLOOKUP($AC1001,'Cost and Score'!$B$27:$O$40,13,0)</f>
        <v>0</v>
      </c>
      <c r="BS1001" s="48">
        <f>$G1001/5280*VLOOKUP($AC1001,'Cost and Score'!$B$27:$O$40,14,0)</f>
        <v>0</v>
      </c>
      <c r="BT1001" s="220">
        <f t="shared" si="507"/>
        <v>0.23996212121212121</v>
      </c>
      <c r="CG1001" s="112"/>
      <c r="CH1001" s="112"/>
      <c r="CI1001" s="112"/>
      <c r="CJ1001" s="112"/>
      <c r="CK1001" s="112"/>
      <c r="CL1001" s="112"/>
      <c r="CM1001" s="112"/>
      <c r="CS1001" s="112"/>
      <c r="CT1001" s="112"/>
      <c r="CU1001" s="112"/>
      <c r="CW1001" s="112"/>
      <c r="CX1001" s="112"/>
      <c r="CY1001" s="112"/>
    </row>
    <row r="1002" spans="1:103" s="112" customFormat="1" ht="14.45" hidden="1" customHeight="1" x14ac:dyDescent="0.25">
      <c r="A1002" s="31" t="s">
        <v>2102</v>
      </c>
      <c r="B1002" s="225" t="s">
        <v>1855</v>
      </c>
      <c r="C1002" s="26" t="s">
        <v>1855</v>
      </c>
      <c r="D1002" s="36" t="s">
        <v>2247</v>
      </c>
      <c r="E1002" s="26" t="s">
        <v>1504</v>
      </c>
      <c r="F1002" s="26" t="s">
        <v>1502</v>
      </c>
      <c r="G1002" s="29">
        <v>792</v>
      </c>
      <c r="H1002" s="29">
        <f t="shared" si="522"/>
        <v>26</v>
      </c>
      <c r="I1002" s="26" t="s">
        <v>2098</v>
      </c>
      <c r="J1002" s="26" t="s">
        <v>160</v>
      </c>
      <c r="K1002" s="26">
        <f t="shared" si="528"/>
        <v>0</v>
      </c>
      <c r="L1002" s="42">
        <v>7</v>
      </c>
      <c r="M1002" s="42">
        <v>7</v>
      </c>
      <c r="N1002" s="42">
        <v>7</v>
      </c>
      <c r="O1002" s="42">
        <v>8</v>
      </c>
      <c r="P1002" s="42">
        <v>8</v>
      </c>
      <c r="Q1002" s="42">
        <v>7</v>
      </c>
      <c r="R1002" s="42">
        <v>7</v>
      </c>
      <c r="S1002" s="42">
        <v>7</v>
      </c>
      <c r="T1002" s="42">
        <v>7</v>
      </c>
      <c r="U1002" s="42">
        <v>7</v>
      </c>
      <c r="V1002" s="42"/>
      <c r="W1002" s="42"/>
      <c r="X1002" s="42"/>
      <c r="Y1002" s="26">
        <v>69</v>
      </c>
      <c r="Z1002" s="26">
        <f t="shared" ref="Z1002:Z1033" si="531">VLOOKUP(Y1002,AADT,2)</f>
        <v>0</v>
      </c>
      <c r="AA1002" s="26" t="s">
        <v>1855</v>
      </c>
      <c r="AB1002" s="111">
        <f t="shared" si="504"/>
        <v>2</v>
      </c>
      <c r="AC1002" s="106" t="s">
        <v>2489</v>
      </c>
      <c r="AD1002" s="47">
        <f t="shared" si="521"/>
        <v>3750</v>
      </c>
      <c r="AE1002" s="140"/>
      <c r="AF1002" s="113">
        <f t="shared" si="510"/>
        <v>0</v>
      </c>
      <c r="AG1002" s="85">
        <v>2026</v>
      </c>
      <c r="AH1002" s="26" t="str">
        <f t="shared" si="520"/>
        <v/>
      </c>
      <c r="AI1002" s="26" t="str">
        <f t="shared" si="526"/>
        <v/>
      </c>
      <c r="AJ1002" s="26" t="str">
        <f t="shared" si="529"/>
        <v/>
      </c>
      <c r="AK1002" s="26" t="str">
        <f t="shared" si="524"/>
        <v/>
      </c>
      <c r="AL1002" s="26" t="str">
        <f t="shared" si="524"/>
        <v>Liquid Road</v>
      </c>
      <c r="AM1002" s="26" t="str">
        <f t="shared" si="524"/>
        <v/>
      </c>
      <c r="AN1002" s="26" t="str">
        <f t="shared" si="523"/>
        <v>Liquid Road</v>
      </c>
      <c r="AO1002" s="26" t="str">
        <f t="shared" si="530"/>
        <v/>
      </c>
      <c r="AP1002" s="26" t="str">
        <f t="shared" si="527"/>
        <v/>
      </c>
      <c r="AQ1002" s="68">
        <f t="shared" ref="AQ1002:AQ1033" si="532">VLOOKUP(O1002,RSLrem,2,FALSE)</f>
        <v>12</v>
      </c>
      <c r="AR1002" s="68">
        <f t="shared" ref="AR1002:AR1033" si="533">VLOOKUP(AC1002,RSL,5,FALSE)</f>
        <v>10</v>
      </c>
      <c r="AS1002" s="68">
        <f t="shared" si="513"/>
        <v>1.05</v>
      </c>
      <c r="AT1002" s="68">
        <f t="shared" si="514"/>
        <v>1.05</v>
      </c>
      <c r="AU1002" s="68">
        <f t="shared" si="515"/>
        <v>1.05</v>
      </c>
      <c r="AV1002" s="68">
        <f t="shared" si="516"/>
        <v>1</v>
      </c>
      <c r="AW1002" s="68">
        <f t="shared" si="517"/>
        <v>1</v>
      </c>
      <c r="AX1002" s="68">
        <f t="shared" ref="AX1002:AX1033" ca="1" si="534">AU1002*(AG1002-YEAR(TODAY()))</f>
        <v>2.1</v>
      </c>
      <c r="AY1002" s="68">
        <v>2016</v>
      </c>
      <c r="AZ1002" s="68" t="s">
        <v>2371</v>
      </c>
      <c r="BA1002" s="106" t="str">
        <f t="shared" ref="BA1002:BA1033" si="535">IF(AY1002=2018,AZ1002,"")</f>
        <v/>
      </c>
      <c r="BB1002" s="178"/>
      <c r="BC1002" s="178"/>
      <c r="BD1002" s="178"/>
      <c r="BE1002" s="178">
        <v>2</v>
      </c>
      <c r="BF1002" s="178"/>
      <c r="BG1002" s="178"/>
      <c r="BH1002" s="178"/>
      <c r="BI1002" s="33"/>
      <c r="BJ1002" s="2"/>
      <c r="BK1002" s="48">
        <f>$G1002/5280*VLOOKUP($AC1002,'Cost and Score'!$B$27:$O$40,6,0)</f>
        <v>0.15</v>
      </c>
      <c r="BL1002" s="48">
        <f>$G1002/5280*VLOOKUP($AC1002,'Cost and Score'!$B$27:$O$40,7,0)</f>
        <v>2.4</v>
      </c>
      <c r="BM1002" s="48">
        <f>$G1002/5280*VLOOKUP($AC1002,'Cost and Score'!$B$27:$O$40,8,0)</f>
        <v>0</v>
      </c>
      <c r="BN1002" s="48">
        <f>$G1002/5280*VLOOKUP($AC1002,'Cost and Score'!$B$27:$O$40,9,0)</f>
        <v>0</v>
      </c>
      <c r="BO1002" s="48">
        <f>$G1002/5280*VLOOKUP($AC1002,'Cost and Score'!$B$27:$O$40,10,0)</f>
        <v>0</v>
      </c>
      <c r="BP1002" s="48">
        <f>$G1002/5280*VLOOKUP($AC1002,'Cost and Score'!$B$27:$O$40,11,0)</f>
        <v>0</v>
      </c>
      <c r="BQ1002" s="48">
        <f>$G1002/5280*VLOOKUP($AC1002,'Cost and Score'!$B$27:$O$40,12,0)</f>
        <v>0</v>
      </c>
      <c r="BR1002" s="48">
        <f>$G1002/5280*VLOOKUP($AC1002,'Cost and Score'!$B$27:$O$40,13,0)</f>
        <v>0</v>
      </c>
      <c r="BS1002" s="48">
        <f>$G1002/5280*VLOOKUP($AC1002,'Cost and Score'!$B$27:$O$40,14,0)</f>
        <v>0</v>
      </c>
      <c r="BT1002" s="220">
        <f t="shared" si="507"/>
        <v>0.15</v>
      </c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N1002" s="2"/>
      <c r="CO1002" s="2"/>
      <c r="CP1002" s="2"/>
      <c r="CQ1002" s="2"/>
      <c r="CR1002" s="2"/>
      <c r="CS1002" s="2"/>
      <c r="CT1002" s="2"/>
      <c r="CU1002" s="2"/>
      <c r="CV1002" s="2"/>
    </row>
    <row r="1003" spans="1:103" s="112" customFormat="1" ht="14.45" hidden="1" customHeight="1" x14ac:dyDescent="0.25">
      <c r="A1003" s="31" t="s">
        <v>2102</v>
      </c>
      <c r="B1003" s="224" t="s">
        <v>1856</v>
      </c>
      <c r="C1003" s="26" t="s">
        <v>1856</v>
      </c>
      <c r="D1003" s="119" t="s">
        <v>2268</v>
      </c>
      <c r="E1003" s="82" t="s">
        <v>1473</v>
      </c>
      <c r="F1003" s="82" t="s">
        <v>1857</v>
      </c>
      <c r="G1003" s="29">
        <v>581</v>
      </c>
      <c r="H1003" s="29">
        <f t="shared" si="522"/>
        <v>26</v>
      </c>
      <c r="I1003" s="26" t="s">
        <v>2098</v>
      </c>
      <c r="J1003" s="26" t="s">
        <v>160</v>
      </c>
      <c r="K1003" s="26">
        <f t="shared" si="528"/>
        <v>0</v>
      </c>
      <c r="L1003" s="42">
        <v>9</v>
      </c>
      <c r="M1003" s="42">
        <v>8</v>
      </c>
      <c r="N1003" s="42">
        <v>8</v>
      </c>
      <c r="O1003" s="83">
        <v>8</v>
      </c>
      <c r="P1003" s="83">
        <v>8</v>
      </c>
      <c r="Q1003" s="83">
        <v>8</v>
      </c>
      <c r="R1003" s="83">
        <v>8</v>
      </c>
      <c r="S1003" s="83">
        <v>7</v>
      </c>
      <c r="T1003" s="83">
        <v>7</v>
      </c>
      <c r="U1003" s="83">
        <v>7</v>
      </c>
      <c r="V1003" s="42"/>
      <c r="W1003" s="42"/>
      <c r="X1003" s="42"/>
      <c r="Y1003" s="26">
        <v>217</v>
      </c>
      <c r="Z1003" s="26">
        <f t="shared" si="531"/>
        <v>0</v>
      </c>
      <c r="AA1003" s="82" t="s">
        <v>1856</v>
      </c>
      <c r="AB1003" s="111">
        <f t="shared" si="504"/>
        <v>2</v>
      </c>
      <c r="AC1003" s="85" t="s">
        <v>2425</v>
      </c>
      <c r="AD1003" s="84">
        <f t="shared" si="521"/>
        <v>2750.9469696969695</v>
      </c>
      <c r="AE1003" s="140"/>
      <c r="AF1003" s="113">
        <f t="shared" si="510"/>
        <v>0</v>
      </c>
      <c r="AG1003" s="85">
        <v>2026</v>
      </c>
      <c r="AH1003" s="26" t="str">
        <f t="shared" si="520"/>
        <v/>
      </c>
      <c r="AI1003" s="26" t="str">
        <f t="shared" si="526"/>
        <v/>
      </c>
      <c r="AJ1003" s="26" t="str">
        <f t="shared" si="529"/>
        <v/>
      </c>
      <c r="AK1003" s="26" t="str">
        <f t="shared" si="524"/>
        <v/>
      </c>
      <c r="AL1003" s="26" t="str">
        <f t="shared" si="524"/>
        <v>Liquid Road</v>
      </c>
      <c r="AM1003" s="26" t="str">
        <f t="shared" si="524"/>
        <v/>
      </c>
      <c r="AN1003" s="26" t="str">
        <f t="shared" si="523"/>
        <v>Liquid Road</v>
      </c>
      <c r="AO1003" s="26" t="str">
        <f t="shared" si="530"/>
        <v/>
      </c>
      <c r="AP1003" s="26" t="str">
        <f t="shared" si="527"/>
        <v/>
      </c>
      <c r="AQ1003" s="68">
        <f t="shared" si="532"/>
        <v>12</v>
      </c>
      <c r="AR1003" s="68">
        <f t="shared" si="533"/>
        <v>10</v>
      </c>
      <c r="AS1003" s="68">
        <f t="shared" si="513"/>
        <v>1</v>
      </c>
      <c r="AT1003" s="68">
        <f t="shared" si="514"/>
        <v>1</v>
      </c>
      <c r="AU1003" s="68">
        <f t="shared" si="515"/>
        <v>1</v>
      </c>
      <c r="AV1003" s="68">
        <f t="shared" si="516"/>
        <v>1</v>
      </c>
      <c r="AW1003" s="68">
        <f t="shared" si="517"/>
        <v>1</v>
      </c>
      <c r="AX1003" s="68">
        <f t="shared" ca="1" si="534"/>
        <v>2</v>
      </c>
      <c r="AY1003" s="68">
        <v>2017</v>
      </c>
      <c r="AZ1003" s="68" t="s">
        <v>2075</v>
      </c>
      <c r="BA1003" s="106" t="str">
        <f t="shared" si="535"/>
        <v/>
      </c>
      <c r="BB1003" s="178"/>
      <c r="BC1003" s="178"/>
      <c r="BD1003" s="178"/>
      <c r="BE1003" s="178"/>
      <c r="BF1003" s="178">
        <v>3</v>
      </c>
      <c r="BG1003" s="178"/>
      <c r="BH1003" s="178"/>
      <c r="BI1003" s="33"/>
      <c r="BJ1003" s="2"/>
      <c r="BK1003" s="48">
        <f>$G1003/5280*VLOOKUP($AC1003,'Cost and Score'!$B$27:$O$40,6,0)</f>
        <v>0.11003787878787878</v>
      </c>
      <c r="BL1003" s="48">
        <f>$G1003/5280*VLOOKUP($AC1003,'Cost and Score'!$B$27:$O$40,7,0)</f>
        <v>1.7606060606060605</v>
      </c>
      <c r="BM1003" s="48">
        <f>$G1003/5280*VLOOKUP($AC1003,'Cost and Score'!$B$27:$O$40,8,0)</f>
        <v>0</v>
      </c>
      <c r="BN1003" s="48">
        <f>$G1003/5280*VLOOKUP($AC1003,'Cost and Score'!$B$27:$O$40,9,0)</f>
        <v>0</v>
      </c>
      <c r="BO1003" s="48">
        <f>$G1003/5280*VLOOKUP($AC1003,'Cost and Score'!$B$27:$O$40,10,0)</f>
        <v>0</v>
      </c>
      <c r="BP1003" s="48">
        <f>$G1003/5280*VLOOKUP($AC1003,'Cost and Score'!$B$27:$O$40,11,0)</f>
        <v>0</v>
      </c>
      <c r="BQ1003" s="48">
        <f>$G1003/5280*VLOOKUP($AC1003,'Cost and Score'!$B$27:$O$40,12,0)</f>
        <v>0</v>
      </c>
      <c r="BR1003" s="48">
        <f>$G1003/5280*VLOOKUP($AC1003,'Cost and Score'!$B$27:$O$40,13,0)</f>
        <v>0</v>
      </c>
      <c r="BS1003" s="48">
        <f>$G1003/5280*VLOOKUP($AC1003,'Cost and Score'!$B$27:$O$40,14,0)</f>
        <v>0</v>
      </c>
      <c r="BT1003" s="220">
        <f t="shared" si="507"/>
        <v>0.11003787878787878</v>
      </c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W1003" s="2"/>
      <c r="CX1003" s="2"/>
      <c r="CY1003" s="2"/>
    </row>
    <row r="1004" spans="1:103" s="2" customFormat="1" ht="14.45" hidden="1" customHeight="1" x14ac:dyDescent="0.25">
      <c r="A1004" s="31" t="s">
        <v>2102</v>
      </c>
      <c r="B1004" s="224" t="s">
        <v>1858</v>
      </c>
      <c r="C1004" s="26" t="s">
        <v>1858</v>
      </c>
      <c r="D1004" s="119" t="s">
        <v>2268</v>
      </c>
      <c r="E1004" s="82" t="s">
        <v>1473</v>
      </c>
      <c r="F1004" s="82" t="s">
        <v>1857</v>
      </c>
      <c r="G1004" s="29">
        <v>2165</v>
      </c>
      <c r="H1004" s="29">
        <f t="shared" si="522"/>
        <v>26</v>
      </c>
      <c r="I1004" s="26" t="s">
        <v>2098</v>
      </c>
      <c r="J1004" s="26" t="s">
        <v>160</v>
      </c>
      <c r="K1004" s="26">
        <f t="shared" si="528"/>
        <v>0</v>
      </c>
      <c r="L1004" s="42">
        <v>9</v>
      </c>
      <c r="M1004" s="42">
        <v>8</v>
      </c>
      <c r="N1004" s="42">
        <v>8</v>
      </c>
      <c r="O1004" s="83">
        <v>8</v>
      </c>
      <c r="P1004" s="83">
        <v>8</v>
      </c>
      <c r="Q1004" s="83">
        <v>7</v>
      </c>
      <c r="R1004" s="83">
        <v>7</v>
      </c>
      <c r="S1004" s="83">
        <v>7</v>
      </c>
      <c r="T1004" s="83">
        <v>7</v>
      </c>
      <c r="U1004" s="83">
        <v>7</v>
      </c>
      <c r="V1004" s="42"/>
      <c r="W1004" s="42"/>
      <c r="X1004" s="42"/>
      <c r="Y1004" s="26">
        <v>217</v>
      </c>
      <c r="Z1004" s="26">
        <f t="shared" si="531"/>
        <v>0</v>
      </c>
      <c r="AA1004" s="82" t="s">
        <v>1858</v>
      </c>
      <c r="AB1004" s="111">
        <f t="shared" si="504"/>
        <v>2</v>
      </c>
      <c r="AC1004" s="85" t="s">
        <v>2425</v>
      </c>
      <c r="AD1004" s="84">
        <f t="shared" si="521"/>
        <v>10250.94696969697</v>
      </c>
      <c r="AE1004" s="140"/>
      <c r="AF1004" s="113">
        <f t="shared" si="510"/>
        <v>0</v>
      </c>
      <c r="AG1004" s="85">
        <v>2026</v>
      </c>
      <c r="AH1004" s="26" t="str">
        <f t="shared" si="520"/>
        <v/>
      </c>
      <c r="AI1004" s="26" t="str">
        <f t="shared" si="526"/>
        <v/>
      </c>
      <c r="AJ1004" s="26" t="str">
        <f t="shared" si="529"/>
        <v/>
      </c>
      <c r="AK1004" s="26" t="str">
        <f t="shared" si="524"/>
        <v/>
      </c>
      <c r="AL1004" s="26" t="str">
        <f t="shared" si="524"/>
        <v>Liquid Road</v>
      </c>
      <c r="AM1004" s="26" t="str">
        <f t="shared" si="524"/>
        <v/>
      </c>
      <c r="AN1004" s="26" t="str">
        <f t="shared" si="523"/>
        <v>Liquid Road</v>
      </c>
      <c r="AO1004" s="26" t="str">
        <f t="shared" si="530"/>
        <v/>
      </c>
      <c r="AP1004" s="26" t="str">
        <f t="shared" si="527"/>
        <v/>
      </c>
      <c r="AQ1004" s="68">
        <f t="shared" si="532"/>
        <v>12</v>
      </c>
      <c r="AR1004" s="68">
        <f t="shared" si="533"/>
        <v>10</v>
      </c>
      <c r="AS1004" s="68">
        <f t="shared" si="513"/>
        <v>1</v>
      </c>
      <c r="AT1004" s="68">
        <f t="shared" si="514"/>
        <v>1</v>
      </c>
      <c r="AU1004" s="68">
        <f t="shared" si="515"/>
        <v>1</v>
      </c>
      <c r="AV1004" s="68">
        <f t="shared" si="516"/>
        <v>1</v>
      </c>
      <c r="AW1004" s="68">
        <f t="shared" si="517"/>
        <v>1</v>
      </c>
      <c r="AX1004" s="68">
        <f t="shared" ca="1" si="534"/>
        <v>2</v>
      </c>
      <c r="AY1004" s="68">
        <v>2017</v>
      </c>
      <c r="AZ1004" s="68" t="s">
        <v>2075</v>
      </c>
      <c r="BA1004" s="106" t="str">
        <f t="shared" si="535"/>
        <v/>
      </c>
      <c r="BB1004" s="178"/>
      <c r="BC1004" s="178"/>
      <c r="BD1004" s="178"/>
      <c r="BE1004" s="178"/>
      <c r="BF1004" s="178">
        <v>3</v>
      </c>
      <c r="BG1004" s="178"/>
      <c r="BH1004" s="178"/>
      <c r="BI1004" s="33"/>
      <c r="BK1004" s="48">
        <f>$G1004/5280*VLOOKUP($AC1004,'Cost and Score'!$B$27:$O$40,6,0)</f>
        <v>0.41003787878787878</v>
      </c>
      <c r="BL1004" s="48">
        <f>$G1004/5280*VLOOKUP($AC1004,'Cost and Score'!$B$27:$O$40,7,0)</f>
        <v>6.5606060606060606</v>
      </c>
      <c r="BM1004" s="48">
        <f>$G1004/5280*VLOOKUP($AC1004,'Cost and Score'!$B$27:$O$40,8,0)</f>
        <v>0</v>
      </c>
      <c r="BN1004" s="48">
        <f>$G1004/5280*VLOOKUP($AC1004,'Cost and Score'!$B$27:$O$40,9,0)</f>
        <v>0</v>
      </c>
      <c r="BO1004" s="48">
        <f>$G1004/5280*VLOOKUP($AC1004,'Cost and Score'!$B$27:$O$40,10,0)</f>
        <v>0</v>
      </c>
      <c r="BP1004" s="48">
        <f>$G1004/5280*VLOOKUP($AC1004,'Cost and Score'!$B$27:$O$40,11,0)</f>
        <v>0</v>
      </c>
      <c r="BQ1004" s="48">
        <f>$G1004/5280*VLOOKUP($AC1004,'Cost and Score'!$B$27:$O$40,12,0)</f>
        <v>0</v>
      </c>
      <c r="BR1004" s="48">
        <f>$G1004/5280*VLOOKUP($AC1004,'Cost and Score'!$B$27:$O$40,13,0)</f>
        <v>0</v>
      </c>
      <c r="BS1004" s="48">
        <f>$G1004/5280*VLOOKUP($AC1004,'Cost and Score'!$B$27:$O$40,14,0)</f>
        <v>0</v>
      </c>
      <c r="BT1004" s="220">
        <f t="shared" si="507"/>
        <v>0.41003787878787878</v>
      </c>
      <c r="CN1004" s="112"/>
      <c r="CO1004" s="112"/>
      <c r="CP1004" s="112"/>
      <c r="CQ1004" s="112"/>
      <c r="CV1004" s="112"/>
    </row>
    <row r="1005" spans="1:103" s="2" customFormat="1" ht="14.45" hidden="1" customHeight="1" x14ac:dyDescent="0.25">
      <c r="A1005" s="31" t="s">
        <v>2102</v>
      </c>
      <c r="B1005" s="45" t="s">
        <v>1859</v>
      </c>
      <c r="C1005" s="26" t="s">
        <v>1859</v>
      </c>
      <c r="D1005" s="119" t="s">
        <v>2267</v>
      </c>
      <c r="E1005" s="82" t="s">
        <v>487</v>
      </c>
      <c r="F1005" s="82" t="s">
        <v>1502</v>
      </c>
      <c r="G1005" s="29">
        <v>1056</v>
      </c>
      <c r="H1005" s="29">
        <f t="shared" si="522"/>
        <v>26</v>
      </c>
      <c r="I1005" s="26" t="s">
        <v>2098</v>
      </c>
      <c r="J1005" s="26" t="s">
        <v>101</v>
      </c>
      <c r="K1005" s="26">
        <v>0</v>
      </c>
      <c r="L1005" s="42">
        <v>6</v>
      </c>
      <c r="M1005" s="42">
        <v>6</v>
      </c>
      <c r="N1005" s="42">
        <v>6</v>
      </c>
      <c r="O1005" s="83">
        <v>5</v>
      </c>
      <c r="P1005" s="83">
        <v>4</v>
      </c>
      <c r="Q1005" s="83">
        <v>9</v>
      </c>
      <c r="R1005" s="83">
        <v>8</v>
      </c>
      <c r="S1005" s="83">
        <v>7</v>
      </c>
      <c r="T1005" s="83">
        <v>7</v>
      </c>
      <c r="U1005" s="83">
        <v>7</v>
      </c>
      <c r="V1005" s="42"/>
      <c r="W1005" s="42"/>
      <c r="X1005" s="42"/>
      <c r="Y1005" s="26">
        <v>50</v>
      </c>
      <c r="Z1005" s="26">
        <f t="shared" si="531"/>
        <v>0</v>
      </c>
      <c r="AA1005" s="82" t="s">
        <v>1859</v>
      </c>
      <c r="AB1005" s="111">
        <f t="shared" si="504"/>
        <v>6</v>
      </c>
      <c r="AC1005" s="85" t="s">
        <v>13</v>
      </c>
      <c r="AD1005" s="84">
        <f t="shared" si="521"/>
        <v>4200</v>
      </c>
      <c r="AE1005" s="140"/>
      <c r="AF1005" s="113">
        <f t="shared" si="510"/>
        <v>0</v>
      </c>
      <c r="AG1005" s="26">
        <v>2024</v>
      </c>
      <c r="AH1005" s="26" t="str">
        <f t="shared" si="520"/>
        <v/>
      </c>
      <c r="AI1005" s="26" t="str">
        <f t="shared" si="526"/>
        <v/>
      </c>
      <c r="AJ1005" s="26" t="str">
        <f t="shared" si="529"/>
        <v>Chip Seal and Fog</v>
      </c>
      <c r="AK1005" s="26" t="str">
        <f t="shared" si="524"/>
        <v/>
      </c>
      <c r="AL1005" s="26" t="str">
        <f t="shared" si="524"/>
        <v/>
      </c>
      <c r="AM1005" s="26" t="str">
        <f t="shared" si="524"/>
        <v/>
      </c>
      <c r="AN1005" s="26" t="str">
        <f t="shared" si="523"/>
        <v>Chip Seal and Fog</v>
      </c>
      <c r="AO1005" s="26" t="str">
        <f t="shared" si="530"/>
        <v/>
      </c>
      <c r="AP1005" s="26" t="str">
        <f t="shared" si="527"/>
        <v/>
      </c>
      <c r="AQ1005" s="68">
        <f t="shared" si="532"/>
        <v>6</v>
      </c>
      <c r="AR1005" s="68">
        <f t="shared" si="533"/>
        <v>6</v>
      </c>
      <c r="AS1005" s="68">
        <f t="shared" si="513"/>
        <v>1.1000000000000001</v>
      </c>
      <c r="AT1005" s="68">
        <f t="shared" si="514"/>
        <v>1.1000000000000001</v>
      </c>
      <c r="AU1005" s="68">
        <f t="shared" si="515"/>
        <v>1.1000000000000001</v>
      </c>
      <c r="AV1005" s="68">
        <f t="shared" si="516"/>
        <v>1.25</v>
      </c>
      <c r="AW1005" s="68">
        <f t="shared" si="517"/>
        <v>1.5</v>
      </c>
      <c r="AX1005" s="68">
        <f t="shared" ca="1" si="534"/>
        <v>0</v>
      </c>
      <c r="AY1005" s="68">
        <v>2018</v>
      </c>
      <c r="AZ1005" s="68" t="s">
        <v>751</v>
      </c>
      <c r="BA1005" s="106" t="str">
        <f t="shared" si="535"/>
        <v>P</v>
      </c>
      <c r="BB1005" s="178"/>
      <c r="BC1005" s="178"/>
      <c r="BD1005" s="178"/>
      <c r="BE1005" s="178"/>
      <c r="BF1005" s="178"/>
      <c r="BG1005" s="178"/>
      <c r="BH1005" s="178"/>
      <c r="BI1005" s="33"/>
      <c r="BK1005" s="48">
        <f>$G1005/5280*VLOOKUP($AC1005,'Cost and Score'!$B$27:$O$40,6,0)</f>
        <v>4.0000000000000008E-2</v>
      </c>
      <c r="BL1005" s="48">
        <f>$G1005/5280*VLOOKUP($AC1005,'Cost and Score'!$B$27:$O$40,7,0)</f>
        <v>4.4000000000000004</v>
      </c>
      <c r="BM1005" s="48">
        <f>$G1005/5280*VLOOKUP($AC1005,'Cost and Score'!$B$27:$O$40,8,0)</f>
        <v>0</v>
      </c>
      <c r="BN1005" s="48">
        <f>$G1005/5280*VLOOKUP($AC1005,'Cost and Score'!$B$27:$O$40,9,0)</f>
        <v>900</v>
      </c>
      <c r="BO1005" s="48">
        <f>$G1005/5280*VLOOKUP($AC1005,'Cost and Score'!$B$27:$O$40,10,0)</f>
        <v>200</v>
      </c>
      <c r="BP1005" s="48">
        <f>$G1005/5280*VLOOKUP($AC1005,'Cost and Score'!$B$27:$O$40,11,0)</f>
        <v>0</v>
      </c>
      <c r="BQ1005" s="48">
        <f>$G1005/5280*VLOOKUP($AC1005,'Cost and Score'!$B$27:$O$40,12,0)</f>
        <v>20</v>
      </c>
      <c r="BR1005" s="48">
        <f>$G1005/5280*VLOOKUP($AC1005,'Cost and Score'!$B$27:$O$40,13,0)</f>
        <v>24</v>
      </c>
      <c r="BS1005" s="48">
        <f>$G1005/5280*VLOOKUP($AC1005,'Cost and Score'!$B$27:$O$40,14,0)</f>
        <v>0</v>
      </c>
      <c r="BT1005" s="220">
        <f t="shared" si="507"/>
        <v>0.2</v>
      </c>
    </row>
    <row r="1006" spans="1:103" s="2" customFormat="1" ht="14.45" hidden="1" customHeight="1" x14ac:dyDescent="0.25">
      <c r="A1006" s="31" t="s">
        <v>2102</v>
      </c>
      <c r="B1006" s="34" t="s">
        <v>1860</v>
      </c>
      <c r="C1006" s="26" t="s">
        <v>1860</v>
      </c>
      <c r="D1006" s="26"/>
      <c r="E1006" s="26" t="s">
        <v>1861</v>
      </c>
      <c r="F1006" s="26" t="s">
        <v>1861</v>
      </c>
      <c r="G1006" s="29">
        <v>1645</v>
      </c>
      <c r="H1006" s="29">
        <f t="shared" si="522"/>
        <v>20</v>
      </c>
      <c r="I1006" s="26" t="s">
        <v>8</v>
      </c>
      <c r="J1006" s="26" t="s">
        <v>17</v>
      </c>
      <c r="K1006" s="26">
        <f t="shared" ref="K1006:K1015" si="536">VLOOKUP(J1006,TOWNSHIPS,2,FALSE)</f>
        <v>0</v>
      </c>
      <c r="L1006" s="42">
        <v>8</v>
      </c>
      <c r="M1006" s="42">
        <v>7</v>
      </c>
      <c r="N1006" s="42">
        <v>7</v>
      </c>
      <c r="O1006" s="42">
        <v>7</v>
      </c>
      <c r="P1006" s="42">
        <v>7</v>
      </c>
      <c r="Q1006" s="42">
        <v>7</v>
      </c>
      <c r="R1006" s="42">
        <v>7</v>
      </c>
      <c r="S1006" s="42">
        <v>7</v>
      </c>
      <c r="T1006" s="42">
        <v>7</v>
      </c>
      <c r="U1006" s="42">
        <v>7</v>
      </c>
      <c r="V1006" s="42"/>
      <c r="W1006" s="42"/>
      <c r="X1006" s="42"/>
      <c r="Y1006" s="26">
        <v>50</v>
      </c>
      <c r="Z1006" s="26">
        <f t="shared" si="531"/>
        <v>0</v>
      </c>
      <c r="AA1006" s="26" t="s">
        <v>1862</v>
      </c>
      <c r="AB1006" s="111">
        <f t="shared" si="504"/>
        <v>3</v>
      </c>
      <c r="AC1006" s="85" t="s">
        <v>2075</v>
      </c>
      <c r="AD1006" s="47">
        <f t="shared" si="521"/>
        <v>1682.3863636363637</v>
      </c>
      <c r="AE1006" s="140"/>
      <c r="AF1006" s="113">
        <f t="shared" si="510"/>
        <v>0</v>
      </c>
      <c r="AG1006" s="26">
        <v>2022</v>
      </c>
      <c r="AH1006" s="26" t="str">
        <f t="shared" si="520"/>
        <v>Crack Seal</v>
      </c>
      <c r="AI1006" s="26" t="str">
        <f t="shared" si="526"/>
        <v/>
      </c>
      <c r="AJ1006" s="26" t="str">
        <f t="shared" si="529"/>
        <v/>
      </c>
      <c r="AK1006" s="26" t="str">
        <f t="shared" si="524"/>
        <v/>
      </c>
      <c r="AL1006" s="26" t="str">
        <f t="shared" si="524"/>
        <v/>
      </c>
      <c r="AM1006" s="26" t="str">
        <f t="shared" si="524"/>
        <v/>
      </c>
      <c r="AN1006" s="26" t="str">
        <f t="shared" si="523"/>
        <v>Crack Seal</v>
      </c>
      <c r="AO1006" s="26" t="str">
        <f t="shared" si="530"/>
        <v/>
      </c>
      <c r="AP1006" s="26" t="str">
        <f t="shared" si="527"/>
        <v/>
      </c>
      <c r="AQ1006" s="68">
        <f t="shared" si="532"/>
        <v>10</v>
      </c>
      <c r="AR1006" s="68">
        <f t="shared" si="533"/>
        <v>3</v>
      </c>
      <c r="AS1006" s="68">
        <f t="shared" si="513"/>
        <v>1</v>
      </c>
      <c r="AT1006" s="68">
        <f t="shared" si="514"/>
        <v>1.05</v>
      </c>
      <c r="AU1006" s="68">
        <f t="shared" si="515"/>
        <v>1.05</v>
      </c>
      <c r="AV1006" s="68">
        <f t="shared" si="516"/>
        <v>1.05</v>
      </c>
      <c r="AW1006" s="68">
        <f t="shared" si="517"/>
        <v>1.05</v>
      </c>
      <c r="AX1006" s="68">
        <f t="shared" ca="1" si="534"/>
        <v>-2.1</v>
      </c>
      <c r="AY1006" s="68"/>
      <c r="AZ1006" s="68"/>
      <c r="BA1006" s="106" t="str">
        <f t="shared" si="535"/>
        <v/>
      </c>
      <c r="BB1006" s="178"/>
      <c r="BC1006" s="178"/>
      <c r="BD1006" s="178"/>
      <c r="BE1006" s="178"/>
      <c r="BF1006" s="178"/>
      <c r="BG1006" s="178"/>
      <c r="BH1006" s="178"/>
      <c r="BI1006" s="33"/>
      <c r="BK1006" s="48">
        <f>$G1006/5280*VLOOKUP($AC1006,'Cost and Score'!$B$27:$O$40,6,0)</f>
        <v>0.31155303030303028</v>
      </c>
      <c r="BL1006" s="48">
        <f>$G1006/5280*VLOOKUP($AC1006,'Cost and Score'!$B$27:$O$40,7,0)</f>
        <v>0</v>
      </c>
      <c r="BM1006" s="48">
        <f>$G1006/5280*VLOOKUP($AC1006,'Cost and Score'!$B$27:$O$40,8,0)</f>
        <v>0</v>
      </c>
      <c r="BN1006" s="48">
        <f>$G1006/5280*VLOOKUP($AC1006,'Cost and Score'!$B$27:$O$40,9,0)</f>
        <v>0</v>
      </c>
      <c r="BO1006" s="48">
        <f>$G1006/5280*VLOOKUP($AC1006,'Cost and Score'!$B$27:$O$40,10,0)</f>
        <v>0</v>
      </c>
      <c r="BP1006" s="48">
        <f>$G1006/5280*VLOOKUP($AC1006,'Cost and Score'!$B$27:$O$40,11,0)</f>
        <v>0</v>
      </c>
      <c r="BQ1006" s="48">
        <f>$G1006/5280*VLOOKUP($AC1006,'Cost and Score'!$B$27:$O$40,12,0)</f>
        <v>0</v>
      </c>
      <c r="BR1006" s="48">
        <f>$G1006/5280*VLOOKUP($AC1006,'Cost and Score'!$B$27:$O$40,13,0)</f>
        <v>0</v>
      </c>
      <c r="BS1006" s="48">
        <f>$G1006/5280*VLOOKUP($AC1006,'Cost and Score'!$B$27:$O$40,14,0)</f>
        <v>0</v>
      </c>
      <c r="BT1006" s="220">
        <f t="shared" si="507"/>
        <v>0.31155303030303028</v>
      </c>
      <c r="CR1006" s="28"/>
      <c r="CW1006" s="112"/>
      <c r="CX1006" s="112"/>
      <c r="CY1006" s="112"/>
    </row>
    <row r="1007" spans="1:103" s="2" customFormat="1" ht="14.45" hidden="1" customHeight="1" x14ac:dyDescent="0.25">
      <c r="A1007" s="31" t="s">
        <v>2102</v>
      </c>
      <c r="B1007" s="45" t="s">
        <v>1863</v>
      </c>
      <c r="C1007" s="26" t="s">
        <v>1863</v>
      </c>
      <c r="D1007" s="119" t="s">
        <v>2278</v>
      </c>
      <c r="E1007" s="82" t="s">
        <v>1451</v>
      </c>
      <c r="F1007" s="82" t="s">
        <v>1452</v>
      </c>
      <c r="G1007" s="29">
        <v>1056</v>
      </c>
      <c r="H1007" s="29">
        <f t="shared" si="522"/>
        <v>26</v>
      </c>
      <c r="I1007" s="26" t="s">
        <v>2098</v>
      </c>
      <c r="J1007" s="26" t="s">
        <v>160</v>
      </c>
      <c r="K1007" s="26">
        <f t="shared" si="536"/>
        <v>0</v>
      </c>
      <c r="L1007" s="42">
        <v>7</v>
      </c>
      <c r="M1007" s="42">
        <v>8</v>
      </c>
      <c r="N1007" s="42">
        <v>7</v>
      </c>
      <c r="O1007" s="83">
        <v>7</v>
      </c>
      <c r="P1007" s="83">
        <v>7</v>
      </c>
      <c r="Q1007" s="83">
        <v>6</v>
      </c>
      <c r="R1007" s="83">
        <v>7</v>
      </c>
      <c r="S1007" s="83">
        <v>8</v>
      </c>
      <c r="T1007" s="83">
        <v>7</v>
      </c>
      <c r="U1007" s="83">
        <v>6</v>
      </c>
      <c r="V1007" s="42"/>
      <c r="W1007" s="42"/>
      <c r="X1007" s="42"/>
      <c r="Y1007" s="26">
        <v>1074</v>
      </c>
      <c r="Z1007" s="26">
        <f t="shared" si="531"/>
        <v>0.5</v>
      </c>
      <c r="AA1007" s="82" t="s">
        <v>1864</v>
      </c>
      <c r="AB1007" s="111">
        <f t="shared" si="504"/>
        <v>3.5</v>
      </c>
      <c r="AC1007" s="85" t="s">
        <v>2371</v>
      </c>
      <c r="AD1007" s="84">
        <f t="shared" ref="AD1007:AD1038" si="537">VLOOKUP(AC1007,Cost,2,FALSE)*G1007/5280</f>
        <v>16000</v>
      </c>
      <c r="AE1007" s="140">
        <v>1</v>
      </c>
      <c r="AF1007" s="113">
        <f t="shared" si="510"/>
        <v>16000</v>
      </c>
      <c r="AG1007" s="106">
        <v>2024</v>
      </c>
      <c r="AH1007" s="26" t="str">
        <f t="shared" si="520"/>
        <v/>
      </c>
      <c r="AI1007" s="26" t="str">
        <f t="shared" si="526"/>
        <v/>
      </c>
      <c r="AJ1007" s="26" t="str">
        <f t="shared" si="529"/>
        <v>Microsurface double</v>
      </c>
      <c r="AK1007" s="26" t="str">
        <f t="shared" si="524"/>
        <v/>
      </c>
      <c r="AL1007" s="26" t="str">
        <f t="shared" si="524"/>
        <v/>
      </c>
      <c r="AM1007" s="26" t="str">
        <f t="shared" si="524"/>
        <v/>
      </c>
      <c r="AN1007" s="26" t="str">
        <f t="shared" si="523"/>
        <v>Microsurface double</v>
      </c>
      <c r="AO1007" s="26" t="str">
        <f t="shared" si="530"/>
        <v/>
      </c>
      <c r="AP1007" s="26" t="str">
        <f t="shared" si="527"/>
        <v/>
      </c>
      <c r="AQ1007" s="68">
        <f t="shared" si="532"/>
        <v>10</v>
      </c>
      <c r="AR1007" s="68">
        <f t="shared" si="533"/>
        <v>10</v>
      </c>
      <c r="AS1007" s="68">
        <f t="shared" si="513"/>
        <v>1.05</v>
      </c>
      <c r="AT1007" s="68">
        <f t="shared" si="514"/>
        <v>1</v>
      </c>
      <c r="AU1007" s="68">
        <f t="shared" si="515"/>
        <v>1.05</v>
      </c>
      <c r="AV1007" s="68">
        <f t="shared" si="516"/>
        <v>1.05</v>
      </c>
      <c r="AW1007" s="68">
        <f t="shared" si="517"/>
        <v>1.05</v>
      </c>
      <c r="AX1007" s="68">
        <f t="shared" ca="1" si="534"/>
        <v>0</v>
      </c>
      <c r="AY1007" s="68">
        <v>2019</v>
      </c>
      <c r="AZ1007" s="68" t="s">
        <v>2075</v>
      </c>
      <c r="BA1007" s="106" t="str">
        <f t="shared" si="535"/>
        <v/>
      </c>
      <c r="BB1007" s="178"/>
      <c r="BC1007" s="178"/>
      <c r="BD1007" s="178"/>
      <c r="BE1007" s="178"/>
      <c r="BF1007" s="178"/>
      <c r="BG1007" s="178"/>
      <c r="BH1007" s="178"/>
      <c r="BI1007" s="33"/>
      <c r="BK1007" s="48">
        <f>$G1007/5280*VLOOKUP($AC1007,'Cost and Score'!$B$27:$O$40,6,0)</f>
        <v>0.1</v>
      </c>
      <c r="BL1007" s="48">
        <f>$G1007/5280*VLOOKUP($AC1007,'Cost and Score'!$B$27:$O$40,7,0)</f>
        <v>0</v>
      </c>
      <c r="BM1007" s="48">
        <f>$G1007/5280*VLOOKUP($AC1007,'Cost and Score'!$B$27:$O$40,8,0)</f>
        <v>0</v>
      </c>
      <c r="BN1007" s="48">
        <f>$G1007/5280*VLOOKUP($AC1007,'Cost and Score'!$B$27:$O$40,9,0)</f>
        <v>0</v>
      </c>
      <c r="BO1007" s="48">
        <f>$G1007/5280*VLOOKUP($AC1007,'Cost and Score'!$B$27:$O$40,10,0)</f>
        <v>0</v>
      </c>
      <c r="BP1007" s="48">
        <f>$G1007/5280*VLOOKUP($AC1007,'Cost and Score'!$B$27:$O$40,11,0)</f>
        <v>0</v>
      </c>
      <c r="BQ1007" s="48">
        <f>$G1007/5280*VLOOKUP($AC1007,'Cost and Score'!$B$27:$O$40,12,0)</f>
        <v>0</v>
      </c>
      <c r="BR1007" s="48">
        <f>$G1007/5280*VLOOKUP($AC1007,'Cost and Score'!$B$27:$O$40,13,0)</f>
        <v>0</v>
      </c>
      <c r="BS1007" s="48">
        <f>$G1007/5280*VLOOKUP($AC1007,'Cost and Score'!$B$27:$O$40,14,0)</f>
        <v>0</v>
      </c>
      <c r="BT1007" s="220">
        <f t="shared" si="507"/>
        <v>0.2</v>
      </c>
      <c r="CW1007" s="112"/>
      <c r="CX1007" s="112"/>
      <c r="CY1007" s="112"/>
    </row>
    <row r="1008" spans="1:103" s="2" customFormat="1" ht="14.45" hidden="1" customHeight="1" x14ac:dyDescent="0.25">
      <c r="A1008" s="38" t="s">
        <v>1866</v>
      </c>
      <c r="B1008" s="34" t="s">
        <v>1865</v>
      </c>
      <c r="C1008" s="26" t="s">
        <v>1865</v>
      </c>
      <c r="D1008" s="26"/>
      <c r="E1008" s="26" t="s">
        <v>38</v>
      </c>
      <c r="F1008" s="26" t="s">
        <v>83</v>
      </c>
      <c r="G1008" s="29">
        <v>3981</v>
      </c>
      <c r="H1008" s="29">
        <f t="shared" ref="H1008:H1039" si="538">IF(I1008="NC",26,20)</f>
        <v>20</v>
      </c>
      <c r="I1008" s="26" t="s">
        <v>13</v>
      </c>
      <c r="J1008" s="26" t="s">
        <v>62</v>
      </c>
      <c r="K1008" s="26">
        <f t="shared" si="536"/>
        <v>0</v>
      </c>
      <c r="L1008" s="42">
        <v>7</v>
      </c>
      <c r="M1008" s="42">
        <v>6</v>
      </c>
      <c r="N1008" s="42">
        <v>6</v>
      </c>
      <c r="O1008" s="42">
        <v>5</v>
      </c>
      <c r="P1008" s="42">
        <v>5</v>
      </c>
      <c r="Q1008" s="42">
        <v>5</v>
      </c>
      <c r="R1008" s="42">
        <v>5</v>
      </c>
      <c r="S1008" s="42">
        <v>8</v>
      </c>
      <c r="T1008" s="42">
        <v>8</v>
      </c>
      <c r="U1008" s="42">
        <v>7</v>
      </c>
      <c r="V1008" s="42"/>
      <c r="W1008" s="42"/>
      <c r="X1008" s="42"/>
      <c r="Y1008" s="26">
        <v>15</v>
      </c>
      <c r="Z1008" s="26">
        <f t="shared" si="531"/>
        <v>0</v>
      </c>
      <c r="AA1008" s="26" t="s">
        <v>1373</v>
      </c>
      <c r="AB1008" s="111">
        <f t="shared" si="504"/>
        <v>5</v>
      </c>
      <c r="AC1008" s="85" t="s">
        <v>13</v>
      </c>
      <c r="AD1008" s="47">
        <f t="shared" si="537"/>
        <v>15833.522727272728</v>
      </c>
      <c r="AE1008" s="140"/>
      <c r="AF1008" s="113">
        <f t="shared" si="510"/>
        <v>0</v>
      </c>
      <c r="AG1008" s="85">
        <v>2026</v>
      </c>
      <c r="AH1008" s="26" t="str">
        <f t="shared" si="520"/>
        <v/>
      </c>
      <c r="AI1008" s="26" t="str">
        <f t="shared" si="526"/>
        <v/>
      </c>
      <c r="AJ1008" s="26" t="str">
        <f t="shared" si="529"/>
        <v/>
      </c>
      <c r="AK1008" s="26" t="str">
        <f t="shared" ref="AK1008:AM1027" si="539">IF($AG1008=AK$1,VLOOKUP($AC1008,RSL,3,FALSE),"")</f>
        <v/>
      </c>
      <c r="AL1008" s="26" t="str">
        <f t="shared" si="539"/>
        <v>Chip Seal and Fog</v>
      </c>
      <c r="AM1008" s="26" t="str">
        <f t="shared" si="539"/>
        <v/>
      </c>
      <c r="AN1008" s="26" t="str">
        <f t="shared" si="523"/>
        <v>Chip Seal and Fog</v>
      </c>
      <c r="AO1008" s="26" t="str">
        <f t="shared" si="530"/>
        <v/>
      </c>
      <c r="AP1008" s="26" t="str">
        <f t="shared" si="527"/>
        <v/>
      </c>
      <c r="AQ1008" s="68">
        <f t="shared" si="532"/>
        <v>6</v>
      </c>
      <c r="AR1008" s="68">
        <f t="shared" si="533"/>
        <v>6</v>
      </c>
      <c r="AS1008" s="68">
        <f t="shared" si="513"/>
        <v>1.05</v>
      </c>
      <c r="AT1008" s="68">
        <f t="shared" si="514"/>
        <v>1.1000000000000001</v>
      </c>
      <c r="AU1008" s="68">
        <f t="shared" si="515"/>
        <v>1.1000000000000001</v>
      </c>
      <c r="AV1008" s="68">
        <f t="shared" si="516"/>
        <v>1.25</v>
      </c>
      <c r="AW1008" s="68">
        <f t="shared" si="517"/>
        <v>1.25</v>
      </c>
      <c r="AX1008" s="68">
        <f t="shared" ca="1" si="534"/>
        <v>2.2000000000000002</v>
      </c>
      <c r="AY1008" s="68">
        <v>2020</v>
      </c>
      <c r="AZ1008" s="68" t="s">
        <v>2072</v>
      </c>
      <c r="BA1008" s="106" t="str">
        <f t="shared" si="535"/>
        <v/>
      </c>
      <c r="BB1008" s="178">
        <v>102</v>
      </c>
      <c r="BC1008" s="178">
        <v>4</v>
      </c>
      <c r="BD1008" s="178"/>
      <c r="BE1008" s="178"/>
      <c r="BF1008" s="178"/>
      <c r="BG1008" s="178"/>
      <c r="BH1008" s="178"/>
      <c r="BI1008" s="33"/>
      <c r="BK1008" s="48">
        <f>$G1008/5280*VLOOKUP($AC1008,'Cost and Score'!$B$27:$O$40,6,0)</f>
        <v>0.15079545454545457</v>
      </c>
      <c r="BL1008" s="48">
        <f>$G1008/5280*VLOOKUP($AC1008,'Cost and Score'!$B$27:$O$40,7,0)</f>
        <v>16.587500000000002</v>
      </c>
      <c r="BM1008" s="48">
        <f>$G1008/5280*VLOOKUP($AC1008,'Cost and Score'!$B$27:$O$40,8,0)</f>
        <v>0</v>
      </c>
      <c r="BN1008" s="48">
        <f>$G1008/5280*VLOOKUP($AC1008,'Cost and Score'!$B$27:$O$40,9,0)</f>
        <v>3392.8977272727275</v>
      </c>
      <c r="BO1008" s="48">
        <f>$G1008/5280*VLOOKUP($AC1008,'Cost and Score'!$B$27:$O$40,10,0)</f>
        <v>753.97727272727275</v>
      </c>
      <c r="BP1008" s="48">
        <f>$G1008/5280*VLOOKUP($AC1008,'Cost and Score'!$B$27:$O$40,11,0)</f>
        <v>0</v>
      </c>
      <c r="BQ1008" s="48">
        <f>$G1008/5280*VLOOKUP($AC1008,'Cost and Score'!$B$27:$O$40,12,0)</f>
        <v>75.39772727272728</v>
      </c>
      <c r="BR1008" s="48">
        <f>$G1008/5280*VLOOKUP($AC1008,'Cost and Score'!$B$27:$O$40,13,0)</f>
        <v>90.477272727272734</v>
      </c>
      <c r="BS1008" s="48">
        <f>$G1008/5280*VLOOKUP($AC1008,'Cost and Score'!$B$27:$O$40,14,0)</f>
        <v>0</v>
      </c>
      <c r="BT1008" s="220">
        <f t="shared" si="507"/>
        <v>0.75397727272727277</v>
      </c>
      <c r="BV1008" s="28"/>
      <c r="BW1008" s="28"/>
      <c r="BX1008" s="28"/>
      <c r="BY1008" s="28"/>
      <c r="BZ1008" s="28"/>
      <c r="CA1008" s="28"/>
      <c r="CB1008" s="28"/>
      <c r="CC1008" s="28"/>
      <c r="CD1008" s="28"/>
      <c r="CE1008" s="28"/>
      <c r="CF1008" s="28"/>
      <c r="CW1008" s="112"/>
      <c r="CX1008" s="112"/>
      <c r="CY1008" s="112"/>
    </row>
    <row r="1009" spans="1:103" s="2" customFormat="1" ht="14.45" customHeight="1" x14ac:dyDescent="0.25">
      <c r="A1009" s="36" t="s">
        <v>1006</v>
      </c>
      <c r="B1009" s="34" t="s">
        <v>1005</v>
      </c>
      <c r="C1009" s="85" t="s">
        <v>1005</v>
      </c>
      <c r="D1009" s="85"/>
      <c r="E1009" s="85" t="s">
        <v>440</v>
      </c>
      <c r="F1009" s="85" t="s">
        <v>104</v>
      </c>
      <c r="G1009" s="29">
        <v>2692</v>
      </c>
      <c r="H1009" s="29">
        <f t="shared" si="538"/>
        <v>20</v>
      </c>
      <c r="I1009" s="85" t="s">
        <v>8</v>
      </c>
      <c r="J1009" s="85" t="s">
        <v>172</v>
      </c>
      <c r="K1009" s="85">
        <f t="shared" si="536"/>
        <v>0</v>
      </c>
      <c r="L1009" s="74">
        <v>8</v>
      </c>
      <c r="M1009" s="74">
        <v>7</v>
      </c>
      <c r="N1009" s="74">
        <v>7</v>
      </c>
      <c r="O1009" s="74">
        <v>7</v>
      </c>
      <c r="P1009" s="74">
        <v>6</v>
      </c>
      <c r="Q1009" s="74">
        <v>7</v>
      </c>
      <c r="R1009" s="74">
        <v>7</v>
      </c>
      <c r="S1009" s="74">
        <v>6</v>
      </c>
      <c r="T1009" s="74">
        <v>7</v>
      </c>
      <c r="U1009" s="74">
        <v>7</v>
      </c>
      <c r="V1009" s="74"/>
      <c r="W1009" s="74"/>
      <c r="X1009" s="74" t="s">
        <v>2612</v>
      </c>
      <c r="Y1009" s="85">
        <v>1415</v>
      </c>
      <c r="Z1009" s="85">
        <f t="shared" si="531"/>
        <v>0.5</v>
      </c>
      <c r="AA1009" s="85" t="s">
        <v>73</v>
      </c>
      <c r="AB1009" s="111">
        <f t="shared" si="504"/>
        <v>4.5</v>
      </c>
      <c r="AC1009" s="85" t="s">
        <v>751</v>
      </c>
      <c r="AD1009" s="47">
        <f t="shared" si="537"/>
        <v>56083.333333333336</v>
      </c>
      <c r="AE1009" s="140"/>
      <c r="AF1009" s="113">
        <f t="shared" si="510"/>
        <v>0</v>
      </c>
      <c r="AG1009" s="85">
        <v>2025</v>
      </c>
      <c r="AH1009" s="26" t="str">
        <f t="shared" si="520"/>
        <v/>
      </c>
      <c r="AI1009" s="26" t="str">
        <f t="shared" si="526"/>
        <v/>
      </c>
      <c r="AJ1009" s="26" t="str">
        <f t="shared" si="529"/>
        <v/>
      </c>
      <c r="AK1009" s="26" t="str">
        <f t="shared" si="539"/>
        <v>Overlay - 2"</v>
      </c>
      <c r="AL1009" s="26" t="str">
        <f t="shared" si="539"/>
        <v/>
      </c>
      <c r="AM1009" s="26" t="str">
        <f t="shared" si="539"/>
        <v/>
      </c>
      <c r="AN1009" s="26" t="str">
        <f t="shared" si="523"/>
        <v>Overlay - 2"</v>
      </c>
      <c r="AO1009" s="26" t="str">
        <f t="shared" si="530"/>
        <v/>
      </c>
      <c r="AP1009" s="26" t="str">
        <f t="shared" si="527"/>
        <v/>
      </c>
      <c r="AQ1009" s="68">
        <f t="shared" si="532"/>
        <v>10</v>
      </c>
      <c r="AR1009" s="68">
        <f t="shared" si="533"/>
        <v>12</v>
      </c>
      <c r="AS1009" s="68">
        <f t="shared" si="513"/>
        <v>1</v>
      </c>
      <c r="AT1009" s="68">
        <f t="shared" si="514"/>
        <v>1.05</v>
      </c>
      <c r="AU1009" s="68">
        <f t="shared" si="515"/>
        <v>1.05</v>
      </c>
      <c r="AV1009" s="68">
        <f t="shared" si="516"/>
        <v>1.05</v>
      </c>
      <c r="AW1009" s="68">
        <f t="shared" si="517"/>
        <v>1.1000000000000001</v>
      </c>
      <c r="AX1009" s="68">
        <f t="shared" ca="1" si="534"/>
        <v>1.05</v>
      </c>
      <c r="AY1009" s="68">
        <v>2020</v>
      </c>
      <c r="AZ1009" s="68" t="s">
        <v>2075</v>
      </c>
      <c r="BA1009" s="106" t="str">
        <f t="shared" si="535"/>
        <v/>
      </c>
      <c r="BB1009" s="178"/>
      <c r="BC1009" s="178">
        <v>9</v>
      </c>
      <c r="BD1009" s="178"/>
      <c r="BE1009" s="178"/>
      <c r="BF1009" s="178"/>
      <c r="BG1009" s="178"/>
      <c r="BH1009" s="178"/>
      <c r="BI1009" s="33"/>
      <c r="BK1009" s="48">
        <f>$G1009/5280*VLOOKUP($AC1009,'Cost and Score'!$B$27:$O$40,6,0)</f>
        <v>1.147159090909091</v>
      </c>
      <c r="BL1009" s="48">
        <f>$G1009/5280*VLOOKUP($AC1009,'Cost and Score'!$B$27:$O$40,7,0)</f>
        <v>107.06818181818183</v>
      </c>
      <c r="BM1009" s="48">
        <f>$G1009/5280*VLOOKUP($AC1009,'Cost and Score'!$B$27:$O$40,8,0)</f>
        <v>178.44696969696972</v>
      </c>
      <c r="BN1009" s="48">
        <f>$G1009/5280*VLOOKUP($AC1009,'Cost and Score'!$B$27:$O$40,9,0)</f>
        <v>0</v>
      </c>
      <c r="BO1009" s="48">
        <f>$G1009/5280*VLOOKUP($AC1009,'Cost and Score'!$B$27:$O$40,10,0)</f>
        <v>0</v>
      </c>
      <c r="BP1009" s="48">
        <f>$G1009/5280*VLOOKUP($AC1009,'Cost and Score'!$B$27:$O$40,11,0)</f>
        <v>101.96969696969698</v>
      </c>
      <c r="BQ1009" s="48">
        <f>$G1009/5280*VLOOKUP($AC1009,'Cost and Score'!$B$27:$O$40,12,0)</f>
        <v>866.74242424242425</v>
      </c>
      <c r="BR1009" s="48">
        <f>$G1009/5280*VLOOKUP($AC1009,'Cost and Score'!$B$27:$O$40,13,0)</f>
        <v>0</v>
      </c>
      <c r="BS1009" s="48">
        <f>$G1009/5280*VLOOKUP($AC1009,'Cost and Score'!$B$27:$O$40,14,0)</f>
        <v>0</v>
      </c>
      <c r="BT1009" s="220">
        <f t="shared" si="507"/>
        <v>0.50984848484848488</v>
      </c>
      <c r="CG1009" s="112"/>
      <c r="CH1009" s="112"/>
      <c r="CI1009" s="112"/>
      <c r="CJ1009" s="112"/>
      <c r="CK1009" s="112"/>
      <c r="CL1009" s="112"/>
      <c r="CM1009" s="112"/>
      <c r="CS1009" s="112"/>
      <c r="CT1009" s="112"/>
      <c r="CU1009" s="112"/>
    </row>
    <row r="1010" spans="1:103" s="2" customFormat="1" ht="14.45" hidden="1" customHeight="1" x14ac:dyDescent="0.25">
      <c r="A1010" s="31" t="s">
        <v>2102</v>
      </c>
      <c r="B1010" s="224" t="s">
        <v>1868</v>
      </c>
      <c r="C1010" s="26" t="s">
        <v>1868</v>
      </c>
      <c r="D1010" s="119" t="s">
        <v>2306</v>
      </c>
      <c r="E1010" s="82" t="s">
        <v>1407</v>
      </c>
      <c r="F1010" s="82" t="s">
        <v>1408</v>
      </c>
      <c r="G1010" s="29">
        <v>1954</v>
      </c>
      <c r="H1010" s="29">
        <f t="shared" si="538"/>
        <v>26</v>
      </c>
      <c r="I1010" s="26" t="s">
        <v>2098</v>
      </c>
      <c r="J1010" s="26" t="s">
        <v>125</v>
      </c>
      <c r="K1010" s="26">
        <f t="shared" si="536"/>
        <v>0</v>
      </c>
      <c r="L1010" s="42">
        <v>7</v>
      </c>
      <c r="M1010" s="42">
        <v>5</v>
      </c>
      <c r="N1010" s="42">
        <v>8</v>
      </c>
      <c r="O1010" s="83">
        <v>8</v>
      </c>
      <c r="P1010" s="83">
        <v>7</v>
      </c>
      <c r="Q1010" s="83">
        <v>6</v>
      </c>
      <c r="R1010" s="83">
        <v>6</v>
      </c>
      <c r="S1010" s="83">
        <v>6</v>
      </c>
      <c r="T1010" s="83">
        <v>6</v>
      </c>
      <c r="U1010" s="83">
        <v>6</v>
      </c>
      <c r="V1010" s="42"/>
      <c r="W1010" s="42"/>
      <c r="X1010" s="42"/>
      <c r="Y1010" s="26">
        <v>50</v>
      </c>
      <c r="Z1010" s="26">
        <f t="shared" si="531"/>
        <v>0</v>
      </c>
      <c r="AA1010" s="82" t="s">
        <v>1868</v>
      </c>
      <c r="AB1010" s="111">
        <f t="shared" si="504"/>
        <v>3</v>
      </c>
      <c r="AC1010" s="85" t="s">
        <v>2072</v>
      </c>
      <c r="AD1010" s="84">
        <f t="shared" si="537"/>
        <v>17023.484848484848</v>
      </c>
      <c r="AE1010" s="140"/>
      <c r="AF1010" s="113">
        <f t="shared" si="510"/>
        <v>0</v>
      </c>
      <c r="AG1010" s="85">
        <v>2026</v>
      </c>
      <c r="AH1010" s="26" t="str">
        <f t="shared" si="520"/>
        <v/>
      </c>
      <c r="AI1010" s="26" t="str">
        <f t="shared" si="526"/>
        <v/>
      </c>
      <c r="AJ1010" s="26" t="str">
        <f t="shared" si="529"/>
        <v/>
      </c>
      <c r="AK1010" s="26" t="str">
        <f t="shared" si="539"/>
        <v/>
      </c>
      <c r="AL1010" s="26" t="str">
        <f t="shared" si="539"/>
        <v>Chip Seal - Triple</v>
      </c>
      <c r="AM1010" s="26" t="str">
        <f t="shared" si="539"/>
        <v/>
      </c>
      <c r="AN1010" s="26" t="str">
        <f t="shared" si="523"/>
        <v>Chip Seal - Triple</v>
      </c>
      <c r="AO1010" s="26" t="str">
        <f t="shared" si="530"/>
        <v/>
      </c>
      <c r="AP1010" s="26" t="str">
        <f t="shared" si="527"/>
        <v/>
      </c>
      <c r="AQ1010" s="68">
        <f t="shared" si="532"/>
        <v>12</v>
      </c>
      <c r="AR1010" s="68">
        <f t="shared" si="533"/>
        <v>8</v>
      </c>
      <c r="AS1010" s="68">
        <f t="shared" si="513"/>
        <v>1.05</v>
      </c>
      <c r="AT1010" s="68">
        <f t="shared" si="514"/>
        <v>1.25</v>
      </c>
      <c r="AU1010" s="68">
        <f t="shared" si="515"/>
        <v>1</v>
      </c>
      <c r="AV1010" s="68">
        <f t="shared" si="516"/>
        <v>1</v>
      </c>
      <c r="AW1010" s="68">
        <f t="shared" si="517"/>
        <v>1.05</v>
      </c>
      <c r="AX1010" s="68">
        <f t="shared" ca="1" si="534"/>
        <v>2</v>
      </c>
      <c r="AY1010" s="68">
        <v>2020</v>
      </c>
      <c r="AZ1010" s="68" t="s">
        <v>2075</v>
      </c>
      <c r="BA1010" s="106" t="str">
        <f t="shared" si="535"/>
        <v/>
      </c>
      <c r="BB1010" s="178"/>
      <c r="BC1010" s="178"/>
      <c r="BD1010" s="178"/>
      <c r="BE1010" s="178"/>
      <c r="BF1010" s="178"/>
      <c r="BG1010" s="178"/>
      <c r="BH1010" s="178"/>
      <c r="BI1010" s="33"/>
      <c r="BK1010" s="48">
        <f>$G1010/5280*VLOOKUP($AC1010,'Cost and Score'!$B$27:$O$40,6,0)</f>
        <v>0.22204545454545452</v>
      </c>
      <c r="BL1010" s="48">
        <f>$G1010/5280*VLOOKUP($AC1010,'Cost and Score'!$B$27:$O$40,7,0)</f>
        <v>46.259469696969695</v>
      </c>
      <c r="BM1010" s="48">
        <f>$G1010/5280*VLOOKUP($AC1010,'Cost and Score'!$B$27:$O$40,8,0)</f>
        <v>74.015151515151516</v>
      </c>
      <c r="BN1010" s="48">
        <f>$G1010/5280*VLOOKUP($AC1010,'Cost and Score'!$B$27:$O$40,9,0)</f>
        <v>740.15151515151513</v>
      </c>
      <c r="BO1010" s="48">
        <f>$G1010/5280*VLOOKUP($AC1010,'Cost and Score'!$B$27:$O$40,10,0)</f>
        <v>185.03787878787878</v>
      </c>
      <c r="BP1010" s="48">
        <f>$G1010/5280*VLOOKUP($AC1010,'Cost and Score'!$B$27:$O$40,11,0)</f>
        <v>37.007575757575758</v>
      </c>
      <c r="BQ1010" s="48">
        <f>$G1010/5280*VLOOKUP($AC1010,'Cost and Score'!$B$27:$O$40,12,0)</f>
        <v>296.06060606060606</v>
      </c>
      <c r="BR1010" s="48">
        <f>$G1010/5280*VLOOKUP($AC1010,'Cost and Score'!$B$27:$O$40,13,0)</f>
        <v>29.606060606060606</v>
      </c>
      <c r="BS1010" s="48">
        <f>$G1010/5280*VLOOKUP($AC1010,'Cost and Score'!$B$27:$O$40,14,0)</f>
        <v>0</v>
      </c>
      <c r="BT1010" s="220">
        <f t="shared" si="507"/>
        <v>0.37007575757575756</v>
      </c>
      <c r="CG1010" s="28"/>
      <c r="CH1010" s="28"/>
      <c r="CI1010" s="28"/>
      <c r="CJ1010" s="28"/>
      <c r="CK1010" s="28"/>
      <c r="CL1010" s="28"/>
      <c r="CM1010" s="28"/>
      <c r="CR1010" s="112"/>
    </row>
    <row r="1011" spans="1:103" s="28" customFormat="1" ht="14.45" hidden="1" customHeight="1" x14ac:dyDescent="0.25">
      <c r="A1011" s="31" t="s">
        <v>2102</v>
      </c>
      <c r="B1011" s="224" t="s">
        <v>2209</v>
      </c>
      <c r="C1011" s="26" t="s">
        <v>2209</v>
      </c>
      <c r="D1011" s="36" t="s">
        <v>2246</v>
      </c>
      <c r="E1011" s="26" t="s">
        <v>4</v>
      </c>
      <c r="F1011" s="26" t="s">
        <v>5</v>
      </c>
      <c r="G1011" s="29">
        <v>317</v>
      </c>
      <c r="H1011" s="29">
        <f t="shared" si="538"/>
        <v>26</v>
      </c>
      <c r="I1011" s="26" t="s">
        <v>2098</v>
      </c>
      <c r="J1011" s="26" t="s">
        <v>6</v>
      </c>
      <c r="K1011" s="26">
        <f t="shared" si="536"/>
        <v>0</v>
      </c>
      <c r="L1011" s="42">
        <v>7</v>
      </c>
      <c r="M1011" s="42">
        <v>8</v>
      </c>
      <c r="N1011" s="42">
        <v>8</v>
      </c>
      <c r="O1011" s="42">
        <v>8</v>
      </c>
      <c r="P1011" s="42">
        <v>8</v>
      </c>
      <c r="Q1011" s="42">
        <v>8</v>
      </c>
      <c r="R1011" s="42">
        <v>7</v>
      </c>
      <c r="S1011" s="42">
        <v>7</v>
      </c>
      <c r="T1011" s="42">
        <v>7</v>
      </c>
      <c r="U1011" s="42">
        <v>7</v>
      </c>
      <c r="V1011" s="42"/>
      <c r="W1011" s="42"/>
      <c r="X1011" s="42"/>
      <c r="Y1011" s="26">
        <v>439</v>
      </c>
      <c r="Z1011" s="26">
        <f t="shared" si="531"/>
        <v>0</v>
      </c>
      <c r="AA1011" s="26" t="s">
        <v>3</v>
      </c>
      <c r="AB1011" s="111">
        <f t="shared" si="504"/>
        <v>2</v>
      </c>
      <c r="AC1011" s="85" t="s">
        <v>2371</v>
      </c>
      <c r="AD1011" s="47">
        <f t="shared" si="537"/>
        <v>4803.030303030303</v>
      </c>
      <c r="AE1011" s="140">
        <v>1</v>
      </c>
      <c r="AF1011" s="113">
        <f t="shared" si="510"/>
        <v>4803.030303030303</v>
      </c>
      <c r="AG1011" s="85">
        <v>2024</v>
      </c>
      <c r="AH1011" s="26" t="str">
        <f t="shared" si="520"/>
        <v/>
      </c>
      <c r="AI1011" s="26" t="str">
        <f t="shared" si="526"/>
        <v/>
      </c>
      <c r="AJ1011" s="26" t="str">
        <f t="shared" si="529"/>
        <v>Microsurface double</v>
      </c>
      <c r="AK1011" s="26" t="str">
        <f t="shared" si="539"/>
        <v/>
      </c>
      <c r="AL1011" s="26" t="str">
        <f t="shared" si="539"/>
        <v/>
      </c>
      <c r="AM1011" s="26" t="str">
        <f t="shared" si="539"/>
        <v/>
      </c>
      <c r="AN1011" s="26" t="str">
        <f t="shared" si="523"/>
        <v>Microsurface double</v>
      </c>
      <c r="AO1011" s="26" t="str">
        <f t="shared" si="530"/>
        <v/>
      </c>
      <c r="AP1011" s="26" t="str">
        <f t="shared" si="527"/>
        <v/>
      </c>
      <c r="AQ1011" s="68">
        <f t="shared" si="532"/>
        <v>12</v>
      </c>
      <c r="AR1011" s="68">
        <f t="shared" si="533"/>
        <v>10</v>
      </c>
      <c r="AS1011" s="68">
        <f t="shared" si="513"/>
        <v>1.05</v>
      </c>
      <c r="AT1011" s="68">
        <f t="shared" si="514"/>
        <v>1</v>
      </c>
      <c r="AU1011" s="68">
        <f t="shared" si="515"/>
        <v>1</v>
      </c>
      <c r="AV1011" s="68">
        <f t="shared" si="516"/>
        <v>1</v>
      </c>
      <c r="AW1011" s="68">
        <f t="shared" si="517"/>
        <v>1</v>
      </c>
      <c r="AX1011" s="68">
        <f t="shared" ca="1" si="534"/>
        <v>0</v>
      </c>
      <c r="AY1011" s="68">
        <v>2016</v>
      </c>
      <c r="AZ1011" s="68" t="s">
        <v>2086</v>
      </c>
      <c r="BA1011" s="106" t="str">
        <f t="shared" si="535"/>
        <v/>
      </c>
      <c r="BB1011" s="178"/>
      <c r="BC1011" s="178"/>
      <c r="BD1011" s="178"/>
      <c r="BE1011" s="178">
        <v>2</v>
      </c>
      <c r="BF1011" s="178"/>
      <c r="BG1011" s="178"/>
      <c r="BH1011" s="178"/>
      <c r="BI1011" s="33" t="s">
        <v>2623</v>
      </c>
      <c r="BJ1011" s="2"/>
      <c r="BK1011" s="48">
        <f>$G1011/5280*VLOOKUP($AC1011,'Cost and Score'!$B$27:$O$40,6,0)</f>
        <v>3.0018939393939393E-2</v>
      </c>
      <c r="BL1011" s="48">
        <f>$G1011/5280*VLOOKUP($AC1011,'Cost and Score'!$B$27:$O$40,7,0)</f>
        <v>0</v>
      </c>
      <c r="BM1011" s="48">
        <f>$G1011/5280*VLOOKUP($AC1011,'Cost and Score'!$B$27:$O$40,8,0)</f>
        <v>0</v>
      </c>
      <c r="BN1011" s="48">
        <f>$G1011/5280*VLOOKUP($AC1011,'Cost and Score'!$B$27:$O$40,9,0)</f>
        <v>0</v>
      </c>
      <c r="BO1011" s="48">
        <f>$G1011/5280*VLOOKUP($AC1011,'Cost and Score'!$B$27:$O$40,10,0)</f>
        <v>0</v>
      </c>
      <c r="BP1011" s="48">
        <f>$G1011/5280*VLOOKUP($AC1011,'Cost and Score'!$B$27:$O$40,11,0)</f>
        <v>0</v>
      </c>
      <c r="BQ1011" s="48">
        <f>$G1011/5280*VLOOKUP($AC1011,'Cost and Score'!$B$27:$O$40,12,0)</f>
        <v>0</v>
      </c>
      <c r="BR1011" s="48">
        <f>$G1011/5280*VLOOKUP($AC1011,'Cost and Score'!$B$27:$O$40,13,0)</f>
        <v>0</v>
      </c>
      <c r="BS1011" s="48">
        <f>$G1011/5280*VLOOKUP($AC1011,'Cost and Score'!$B$27:$O$40,14,0)</f>
        <v>0</v>
      </c>
      <c r="BT1011" s="220">
        <f t="shared" si="507"/>
        <v>6.0037878787878786E-2</v>
      </c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11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</row>
    <row r="1012" spans="1:103" s="2" customFormat="1" ht="14.45" hidden="1" customHeight="1" x14ac:dyDescent="0.25">
      <c r="A1012" s="31" t="s">
        <v>2102</v>
      </c>
      <c r="B1012" s="226" t="s">
        <v>1869</v>
      </c>
      <c r="C1012" s="106" t="s">
        <v>1869</v>
      </c>
      <c r="D1012" s="116" t="s">
        <v>2303</v>
      </c>
      <c r="E1012" s="106" t="s">
        <v>1815</v>
      </c>
      <c r="F1012" s="106" t="s">
        <v>1416</v>
      </c>
      <c r="G1012" s="109">
        <v>1478</v>
      </c>
      <c r="H1012" s="109">
        <f t="shared" si="538"/>
        <v>26</v>
      </c>
      <c r="I1012" s="106" t="s">
        <v>2098</v>
      </c>
      <c r="J1012" s="106" t="s">
        <v>160</v>
      </c>
      <c r="K1012" s="106">
        <f t="shared" si="536"/>
        <v>0</v>
      </c>
      <c r="L1012" s="110">
        <v>7</v>
      </c>
      <c r="M1012" s="110">
        <v>7</v>
      </c>
      <c r="N1012" s="110">
        <v>7</v>
      </c>
      <c r="O1012" s="110">
        <v>7</v>
      </c>
      <c r="P1012" s="110">
        <v>7</v>
      </c>
      <c r="Q1012" s="110">
        <v>7</v>
      </c>
      <c r="R1012" s="110">
        <v>6</v>
      </c>
      <c r="S1012" s="110">
        <v>7</v>
      </c>
      <c r="T1012" s="110">
        <v>7</v>
      </c>
      <c r="U1012" s="110">
        <v>7</v>
      </c>
      <c r="V1012" s="110"/>
      <c r="W1012" s="110"/>
      <c r="X1012" s="110"/>
      <c r="Y1012" s="106">
        <v>259</v>
      </c>
      <c r="Z1012" s="106">
        <f t="shared" si="531"/>
        <v>0</v>
      </c>
      <c r="AA1012" s="106" t="s">
        <v>1869</v>
      </c>
      <c r="AB1012" s="111">
        <f t="shared" si="504"/>
        <v>3</v>
      </c>
      <c r="AC1012" s="106" t="s">
        <v>2371</v>
      </c>
      <c r="AD1012" s="107">
        <f t="shared" si="537"/>
        <v>22393.939393939392</v>
      </c>
      <c r="AE1012" s="140">
        <v>1</v>
      </c>
      <c r="AF1012" s="113">
        <f t="shared" si="510"/>
        <v>22393.939393939392</v>
      </c>
      <c r="AG1012" s="85">
        <v>2024</v>
      </c>
      <c r="AH1012" s="26" t="str">
        <f t="shared" si="520"/>
        <v/>
      </c>
      <c r="AI1012" s="26" t="str">
        <f t="shared" si="526"/>
        <v/>
      </c>
      <c r="AJ1012" s="26" t="str">
        <f t="shared" si="529"/>
        <v>Microsurface double</v>
      </c>
      <c r="AK1012" s="26" t="str">
        <f t="shared" si="539"/>
        <v/>
      </c>
      <c r="AL1012" s="26" t="str">
        <f t="shared" si="539"/>
        <v/>
      </c>
      <c r="AM1012" s="26" t="str">
        <f t="shared" si="539"/>
        <v/>
      </c>
      <c r="AN1012" s="26" t="str">
        <f t="shared" si="523"/>
        <v>Microsurface double</v>
      </c>
      <c r="AO1012" s="26" t="str">
        <f t="shared" si="530"/>
        <v/>
      </c>
      <c r="AP1012" s="26" t="str">
        <f t="shared" si="527"/>
        <v/>
      </c>
      <c r="AQ1012" s="68">
        <f t="shared" si="532"/>
        <v>10</v>
      </c>
      <c r="AR1012" s="68">
        <f t="shared" si="533"/>
        <v>10</v>
      </c>
      <c r="AS1012" s="68">
        <f t="shared" si="513"/>
        <v>1.05</v>
      </c>
      <c r="AT1012" s="68">
        <f t="shared" si="514"/>
        <v>1.05</v>
      </c>
      <c r="AU1012" s="68">
        <f t="shared" si="515"/>
        <v>1.05</v>
      </c>
      <c r="AV1012" s="68">
        <f t="shared" si="516"/>
        <v>1.05</v>
      </c>
      <c r="AW1012" s="68">
        <f t="shared" si="517"/>
        <v>1.05</v>
      </c>
      <c r="AX1012" s="68">
        <f t="shared" ca="1" si="534"/>
        <v>0</v>
      </c>
      <c r="AY1012" s="106">
        <v>2017</v>
      </c>
      <c r="AZ1012" s="106" t="s">
        <v>2086</v>
      </c>
      <c r="BA1012" s="106" t="str">
        <f t="shared" si="535"/>
        <v/>
      </c>
      <c r="BB1012" s="177"/>
      <c r="BC1012" s="177"/>
      <c r="BD1012" s="177"/>
      <c r="BE1012" s="177"/>
      <c r="BF1012" s="177"/>
      <c r="BG1012" s="177"/>
      <c r="BH1012" s="177">
        <v>5</v>
      </c>
      <c r="BI1012" s="33"/>
      <c r="BK1012" s="48">
        <f>$G1012/5280*VLOOKUP($AC1012,'Cost and Score'!$B$27:$O$40,6,0)</f>
        <v>0.1399621212121212</v>
      </c>
      <c r="BL1012" s="48">
        <f>$G1012/5280*VLOOKUP($AC1012,'Cost and Score'!$B$27:$O$40,7,0)</f>
        <v>0</v>
      </c>
      <c r="BM1012" s="48">
        <f>$G1012/5280*VLOOKUP($AC1012,'Cost and Score'!$B$27:$O$40,8,0)</f>
        <v>0</v>
      </c>
      <c r="BN1012" s="48">
        <f>$G1012/5280*VLOOKUP($AC1012,'Cost and Score'!$B$27:$O$40,9,0)</f>
        <v>0</v>
      </c>
      <c r="BO1012" s="48">
        <f>$G1012/5280*VLOOKUP($AC1012,'Cost and Score'!$B$27:$O$40,10,0)</f>
        <v>0</v>
      </c>
      <c r="BP1012" s="48">
        <f>$G1012/5280*VLOOKUP($AC1012,'Cost and Score'!$B$27:$O$40,11,0)</f>
        <v>0</v>
      </c>
      <c r="BQ1012" s="48">
        <f>$G1012/5280*VLOOKUP($AC1012,'Cost and Score'!$B$27:$O$40,12,0)</f>
        <v>0</v>
      </c>
      <c r="BR1012" s="48">
        <f>$G1012/5280*VLOOKUP($AC1012,'Cost and Score'!$B$27:$O$40,13,0)</f>
        <v>0</v>
      </c>
      <c r="BS1012" s="48">
        <f>$G1012/5280*VLOOKUP($AC1012,'Cost and Score'!$B$27:$O$40,14,0)</f>
        <v>0</v>
      </c>
      <c r="BT1012" s="220">
        <f t="shared" si="507"/>
        <v>0.27992424242424241</v>
      </c>
      <c r="CF1012" s="112"/>
      <c r="CN1012" s="28"/>
      <c r="CO1012" s="28"/>
      <c r="CP1012" s="28"/>
      <c r="CQ1012" s="28"/>
      <c r="CS1012" s="112"/>
      <c r="CT1012" s="112"/>
      <c r="CU1012" s="112"/>
      <c r="CV1012" s="28"/>
      <c r="CW1012" s="112"/>
      <c r="CX1012" s="112"/>
      <c r="CY1012" s="112"/>
    </row>
    <row r="1013" spans="1:103" s="2" customFormat="1" ht="14.45" hidden="1" customHeight="1" x14ac:dyDescent="0.25">
      <c r="A1013" s="31" t="s">
        <v>2102</v>
      </c>
      <c r="B1013" s="120" t="s">
        <v>2321</v>
      </c>
      <c r="C1013" s="106" t="s">
        <v>2321</v>
      </c>
      <c r="D1013" s="116" t="s">
        <v>2231</v>
      </c>
      <c r="E1013" s="106" t="s">
        <v>1458</v>
      </c>
      <c r="F1013" s="106" t="s">
        <v>1459</v>
      </c>
      <c r="G1013" s="109">
        <v>1003</v>
      </c>
      <c r="H1013" s="109">
        <f t="shared" si="538"/>
        <v>26</v>
      </c>
      <c r="I1013" s="106" t="s">
        <v>2098</v>
      </c>
      <c r="J1013" s="106" t="s">
        <v>160</v>
      </c>
      <c r="K1013" s="106">
        <f t="shared" si="536"/>
        <v>0</v>
      </c>
      <c r="L1013" s="110">
        <v>7</v>
      </c>
      <c r="M1013" s="110">
        <v>8</v>
      </c>
      <c r="N1013" s="110">
        <v>8</v>
      </c>
      <c r="O1013" s="110">
        <v>8</v>
      </c>
      <c r="P1013" s="110">
        <v>8</v>
      </c>
      <c r="Q1013" s="110">
        <v>7</v>
      </c>
      <c r="R1013" s="110">
        <v>7</v>
      </c>
      <c r="S1013" s="110">
        <v>7</v>
      </c>
      <c r="T1013" s="110">
        <v>7</v>
      </c>
      <c r="U1013" s="110">
        <v>7</v>
      </c>
      <c r="V1013" s="110"/>
      <c r="W1013" s="110"/>
      <c r="X1013" s="110"/>
      <c r="Y1013" s="106">
        <v>433</v>
      </c>
      <c r="Z1013" s="106">
        <f t="shared" si="531"/>
        <v>0</v>
      </c>
      <c r="AA1013" s="106" t="s">
        <v>1870</v>
      </c>
      <c r="AB1013" s="111">
        <f t="shared" ref="AB1013:AB1076" si="540">(10-P1013)+Z1013+K1013</f>
        <v>2</v>
      </c>
      <c r="AC1013" s="26" t="s">
        <v>2086</v>
      </c>
      <c r="AD1013" s="107">
        <f t="shared" si="537"/>
        <v>474.905303030303</v>
      </c>
      <c r="AE1013" s="198"/>
      <c r="AF1013" s="113">
        <f t="shared" si="510"/>
        <v>0</v>
      </c>
      <c r="AG1013" s="26">
        <v>2024</v>
      </c>
      <c r="AH1013" s="26" t="str">
        <f t="shared" si="520"/>
        <v/>
      </c>
      <c r="AI1013" s="26" t="str">
        <f t="shared" si="526"/>
        <v/>
      </c>
      <c r="AJ1013" s="26" t="str">
        <f t="shared" si="529"/>
        <v>Fog Seal</v>
      </c>
      <c r="AK1013" s="26" t="str">
        <f t="shared" si="539"/>
        <v/>
      </c>
      <c r="AL1013" s="26" t="str">
        <f t="shared" si="539"/>
        <v/>
      </c>
      <c r="AM1013" s="26" t="str">
        <f t="shared" si="539"/>
        <v/>
      </c>
      <c r="AN1013" s="26" t="str">
        <f t="shared" si="523"/>
        <v>Fog Seal</v>
      </c>
      <c r="AO1013" s="26" t="str">
        <f t="shared" si="530"/>
        <v/>
      </c>
      <c r="AP1013" s="26" t="str">
        <f t="shared" si="527"/>
        <v/>
      </c>
      <c r="AQ1013" s="68">
        <f t="shared" si="532"/>
        <v>12</v>
      </c>
      <c r="AR1013" s="68">
        <f t="shared" si="533"/>
        <v>2</v>
      </c>
      <c r="AS1013" s="68">
        <f t="shared" si="513"/>
        <v>1.05</v>
      </c>
      <c r="AT1013" s="68">
        <f t="shared" si="514"/>
        <v>1</v>
      </c>
      <c r="AU1013" s="68">
        <f t="shared" si="515"/>
        <v>1</v>
      </c>
      <c r="AV1013" s="68">
        <f t="shared" si="516"/>
        <v>1</v>
      </c>
      <c r="AW1013" s="68">
        <f t="shared" si="517"/>
        <v>1</v>
      </c>
      <c r="AX1013" s="68">
        <f t="shared" ca="1" si="534"/>
        <v>0</v>
      </c>
      <c r="AY1013" s="106">
        <v>2018</v>
      </c>
      <c r="AZ1013" s="106" t="s">
        <v>2425</v>
      </c>
      <c r="BA1013" s="106" t="str">
        <f t="shared" si="535"/>
        <v>MICROSEAL</v>
      </c>
      <c r="BB1013" s="177"/>
      <c r="BC1013" s="177"/>
      <c r="BD1013" s="177"/>
      <c r="BE1013" s="177"/>
      <c r="BF1013" s="177"/>
      <c r="BG1013" s="177"/>
      <c r="BH1013" s="177"/>
      <c r="BI1013" s="33"/>
      <c r="BK1013" s="48">
        <f>$G1013/5280*VLOOKUP($AC1013,'Cost and Score'!$B$27:$O$40,6,0)</f>
        <v>1.8996212121212122E-2</v>
      </c>
      <c r="BL1013" s="48">
        <f>$G1013/5280*VLOOKUP($AC1013,'Cost and Score'!$B$27:$O$40,7,0)</f>
        <v>3.7992424242424244E-2</v>
      </c>
      <c r="BM1013" s="48">
        <f>$G1013/5280*VLOOKUP($AC1013,'Cost and Score'!$B$27:$O$40,8,0)</f>
        <v>0</v>
      </c>
      <c r="BN1013" s="48">
        <f>$G1013/5280*VLOOKUP($AC1013,'Cost and Score'!$B$27:$O$40,9,0)</f>
        <v>0</v>
      </c>
      <c r="BO1013" s="48">
        <f>$G1013/5280*VLOOKUP($AC1013,'Cost and Score'!$B$27:$O$40,10,0)</f>
        <v>189.96212121212122</v>
      </c>
      <c r="BP1013" s="48">
        <f>$G1013/5280*VLOOKUP($AC1013,'Cost and Score'!$B$27:$O$40,11,0)</f>
        <v>0</v>
      </c>
      <c r="BQ1013" s="48">
        <f>$G1013/5280*VLOOKUP($AC1013,'Cost and Score'!$B$27:$O$40,12,0)</f>
        <v>0</v>
      </c>
      <c r="BR1013" s="48">
        <f>$G1013/5280*VLOOKUP($AC1013,'Cost and Score'!$B$27:$O$40,13,0)</f>
        <v>0</v>
      </c>
      <c r="BS1013" s="48">
        <f>$G1013/5280*VLOOKUP($AC1013,'Cost and Score'!$B$27:$O$40,14,0)</f>
        <v>0</v>
      </c>
      <c r="BT1013" s="220">
        <f t="shared" si="507"/>
        <v>0.18996212121212122</v>
      </c>
      <c r="CG1013" s="112"/>
      <c r="CH1013" s="112"/>
      <c r="CI1013" s="112"/>
      <c r="CJ1013" s="112"/>
      <c r="CK1013" s="112"/>
      <c r="CL1013" s="112"/>
      <c r="CM1013" s="112"/>
      <c r="CR1013" s="112"/>
      <c r="CS1013" s="112"/>
      <c r="CT1013" s="112"/>
      <c r="CU1013" s="112"/>
      <c r="CW1013" s="112"/>
      <c r="CX1013" s="112"/>
      <c r="CY1013" s="112"/>
    </row>
    <row r="1014" spans="1:103" s="112" customFormat="1" ht="14.45" hidden="1" customHeight="1" x14ac:dyDescent="0.25">
      <c r="A1014" s="31" t="s">
        <v>2102</v>
      </c>
      <c r="B1014" s="225" t="s">
        <v>2326</v>
      </c>
      <c r="C1014" s="26" t="s">
        <v>2326</v>
      </c>
      <c r="D1014" s="36" t="s">
        <v>2224</v>
      </c>
      <c r="E1014" s="26" t="s">
        <v>1527</v>
      </c>
      <c r="F1014" s="26" t="s">
        <v>1465</v>
      </c>
      <c r="G1014" s="29">
        <v>965.4</v>
      </c>
      <c r="H1014" s="29"/>
      <c r="I1014" s="26" t="s">
        <v>2098</v>
      </c>
      <c r="J1014" s="26" t="s">
        <v>160</v>
      </c>
      <c r="K1014" s="26">
        <f t="shared" si="536"/>
        <v>0</v>
      </c>
      <c r="L1014" s="42"/>
      <c r="M1014" s="42">
        <v>8</v>
      </c>
      <c r="N1014" s="42">
        <v>8</v>
      </c>
      <c r="O1014" s="42">
        <v>8</v>
      </c>
      <c r="P1014" s="42">
        <v>8</v>
      </c>
      <c r="Q1014" s="42">
        <v>8</v>
      </c>
      <c r="R1014" s="42">
        <v>8</v>
      </c>
      <c r="S1014" s="42">
        <v>8</v>
      </c>
      <c r="T1014" s="42">
        <v>8</v>
      </c>
      <c r="U1014" s="42">
        <v>8</v>
      </c>
      <c r="V1014" s="42"/>
      <c r="W1014" s="42"/>
      <c r="X1014" s="42"/>
      <c r="Y1014" s="26">
        <v>325</v>
      </c>
      <c r="Z1014" s="26">
        <f t="shared" si="531"/>
        <v>0</v>
      </c>
      <c r="AA1014" s="26"/>
      <c r="AB1014" s="111">
        <f t="shared" si="540"/>
        <v>2</v>
      </c>
      <c r="AC1014" s="85" t="s">
        <v>2425</v>
      </c>
      <c r="AD1014" s="47">
        <f t="shared" si="537"/>
        <v>4571.022727272727</v>
      </c>
      <c r="AE1014" s="140"/>
      <c r="AF1014" s="113">
        <f t="shared" si="510"/>
        <v>0</v>
      </c>
      <c r="AG1014" s="85">
        <v>2026</v>
      </c>
      <c r="AH1014" s="26" t="str">
        <f t="shared" si="520"/>
        <v/>
      </c>
      <c r="AI1014" s="26" t="str">
        <f t="shared" si="526"/>
        <v/>
      </c>
      <c r="AJ1014" s="26" t="str">
        <f t="shared" si="529"/>
        <v/>
      </c>
      <c r="AK1014" s="26" t="str">
        <f t="shared" si="539"/>
        <v/>
      </c>
      <c r="AL1014" s="26" t="str">
        <f t="shared" si="539"/>
        <v>Liquid Road</v>
      </c>
      <c r="AM1014" s="26" t="str">
        <f t="shared" si="539"/>
        <v/>
      </c>
      <c r="AN1014" s="26" t="str">
        <f t="shared" si="523"/>
        <v>Liquid Road</v>
      </c>
      <c r="AO1014" s="26" t="str">
        <f t="shared" si="530"/>
        <v/>
      </c>
      <c r="AP1014" s="26" t="str">
        <f t="shared" si="527"/>
        <v/>
      </c>
      <c r="AQ1014" s="68">
        <f t="shared" si="532"/>
        <v>12</v>
      </c>
      <c r="AR1014" s="68">
        <f t="shared" si="533"/>
        <v>10</v>
      </c>
      <c r="AS1014" s="68">
        <f t="shared" si="513"/>
        <v>0</v>
      </c>
      <c r="AT1014" s="68">
        <f t="shared" si="514"/>
        <v>1</v>
      </c>
      <c r="AU1014" s="68">
        <f t="shared" si="515"/>
        <v>1</v>
      </c>
      <c r="AV1014" s="68">
        <f t="shared" si="516"/>
        <v>1</v>
      </c>
      <c r="AW1014" s="68">
        <f t="shared" si="517"/>
        <v>1</v>
      </c>
      <c r="AX1014" s="68">
        <f t="shared" ca="1" si="534"/>
        <v>2</v>
      </c>
      <c r="AY1014" s="68">
        <v>2016</v>
      </c>
      <c r="AZ1014" s="68" t="s">
        <v>2075</v>
      </c>
      <c r="BA1014" s="106" t="str">
        <f t="shared" si="535"/>
        <v/>
      </c>
      <c r="BB1014" s="178"/>
      <c r="BC1014" s="178"/>
      <c r="BD1014" s="178"/>
      <c r="BE1014" s="178">
        <v>2</v>
      </c>
      <c r="BF1014" s="178"/>
      <c r="BG1014" s="178"/>
      <c r="BH1014" s="178"/>
      <c r="BI1014" s="43"/>
      <c r="BJ1014" s="26"/>
      <c r="BK1014" s="48">
        <f>$G1014/5280*VLOOKUP($AC1014,'Cost and Score'!$B$27:$O$40,6,0)</f>
        <v>0.18284090909090908</v>
      </c>
      <c r="BL1014" s="48">
        <f>$G1014/5280*VLOOKUP($AC1014,'Cost and Score'!$B$27:$O$40,7,0)</f>
        <v>2.9254545454545453</v>
      </c>
      <c r="BM1014" s="48">
        <f>$G1014/5280*VLOOKUP($AC1014,'Cost and Score'!$B$27:$O$40,8,0)</f>
        <v>0</v>
      </c>
      <c r="BN1014" s="48">
        <f>$G1014/5280*VLOOKUP($AC1014,'Cost and Score'!$B$27:$O$40,9,0)</f>
        <v>0</v>
      </c>
      <c r="BO1014" s="48">
        <f>$G1014/5280*VLOOKUP($AC1014,'Cost and Score'!$B$27:$O$40,10,0)</f>
        <v>0</v>
      </c>
      <c r="BP1014" s="48">
        <f>$G1014/5280*VLOOKUP($AC1014,'Cost and Score'!$B$27:$O$40,11,0)</f>
        <v>0</v>
      </c>
      <c r="BQ1014" s="48">
        <f>$G1014/5280*VLOOKUP($AC1014,'Cost and Score'!$B$27:$O$40,12,0)</f>
        <v>0</v>
      </c>
      <c r="BR1014" s="48">
        <f>$G1014/5280*VLOOKUP($AC1014,'Cost and Score'!$B$27:$O$40,13,0)</f>
        <v>0</v>
      </c>
      <c r="BS1014" s="48">
        <f>$G1014/5280*VLOOKUP($AC1014,'Cost and Score'!$B$27:$O$40,14,0)</f>
        <v>0</v>
      </c>
      <c r="BT1014" s="220">
        <f t="shared" si="507"/>
        <v>0.18284090909090908</v>
      </c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</row>
    <row r="1015" spans="1:103" s="112" customFormat="1" ht="14.45" customHeight="1" x14ac:dyDescent="0.25">
      <c r="A1015" s="15" t="s">
        <v>563</v>
      </c>
      <c r="B1015" s="34" t="s">
        <v>562</v>
      </c>
      <c r="C1015" s="26" t="s">
        <v>562</v>
      </c>
      <c r="D1015" s="82"/>
      <c r="E1015" s="82" t="s">
        <v>340</v>
      </c>
      <c r="F1015" s="82" t="s">
        <v>138</v>
      </c>
      <c r="G1015" s="29">
        <v>5370</v>
      </c>
      <c r="H1015" s="29">
        <f t="shared" ref="H1015:H1050" si="541">IF(I1015="NC",26,20)</f>
        <v>20</v>
      </c>
      <c r="I1015" s="26" t="s">
        <v>8</v>
      </c>
      <c r="J1015" s="26" t="s">
        <v>160</v>
      </c>
      <c r="K1015" s="26">
        <f t="shared" si="536"/>
        <v>0</v>
      </c>
      <c r="L1015" s="42">
        <v>7</v>
      </c>
      <c r="M1015" s="42">
        <v>7</v>
      </c>
      <c r="N1015" s="42">
        <v>8</v>
      </c>
      <c r="O1015" s="83">
        <v>8</v>
      </c>
      <c r="P1015" s="83">
        <v>7</v>
      </c>
      <c r="Q1015" s="83">
        <v>6</v>
      </c>
      <c r="R1015" s="83">
        <v>6</v>
      </c>
      <c r="S1015" s="83">
        <v>6</v>
      </c>
      <c r="T1015" s="83">
        <v>6</v>
      </c>
      <c r="U1015" s="83">
        <v>6</v>
      </c>
      <c r="V1015" s="42">
        <v>2024</v>
      </c>
      <c r="W1015" s="42"/>
      <c r="X1015" s="42" t="s">
        <v>2619</v>
      </c>
      <c r="Y1015" s="26">
        <v>1412</v>
      </c>
      <c r="Z1015" s="26">
        <f t="shared" si="531"/>
        <v>0.5</v>
      </c>
      <c r="AA1015" s="82" t="s">
        <v>104</v>
      </c>
      <c r="AB1015" s="111">
        <f t="shared" si="540"/>
        <v>3.5</v>
      </c>
      <c r="AC1015" s="106" t="s">
        <v>751</v>
      </c>
      <c r="AD1015" s="84">
        <f t="shared" si="537"/>
        <v>111875</v>
      </c>
      <c r="AE1015" s="140"/>
      <c r="AF1015" s="113">
        <f t="shared" si="510"/>
        <v>0</v>
      </c>
      <c r="AG1015" s="106">
        <v>2025</v>
      </c>
      <c r="AH1015" s="26" t="str">
        <f t="shared" si="520"/>
        <v/>
      </c>
      <c r="AI1015" s="26" t="str">
        <f t="shared" si="526"/>
        <v/>
      </c>
      <c r="AJ1015" s="26" t="str">
        <f t="shared" si="529"/>
        <v/>
      </c>
      <c r="AK1015" s="26" t="str">
        <f t="shared" si="539"/>
        <v>Overlay - 2"</v>
      </c>
      <c r="AL1015" s="26" t="str">
        <f t="shared" si="539"/>
        <v/>
      </c>
      <c r="AM1015" s="26" t="str">
        <f t="shared" si="539"/>
        <v/>
      </c>
      <c r="AN1015" s="26" t="str">
        <f t="shared" si="523"/>
        <v>Overlay - 2"</v>
      </c>
      <c r="AO1015" s="26" t="str">
        <f t="shared" si="530"/>
        <v/>
      </c>
      <c r="AP1015" s="26" t="str">
        <f t="shared" si="527"/>
        <v/>
      </c>
      <c r="AQ1015" s="68">
        <f t="shared" si="532"/>
        <v>12</v>
      </c>
      <c r="AR1015" s="68">
        <f t="shared" si="533"/>
        <v>12</v>
      </c>
      <c r="AS1015" s="68">
        <f t="shared" si="513"/>
        <v>1.05</v>
      </c>
      <c r="AT1015" s="68">
        <f t="shared" si="514"/>
        <v>1.05</v>
      </c>
      <c r="AU1015" s="68">
        <f t="shared" si="515"/>
        <v>1</v>
      </c>
      <c r="AV1015" s="68">
        <f t="shared" si="516"/>
        <v>1</v>
      </c>
      <c r="AW1015" s="68">
        <f t="shared" si="517"/>
        <v>1.05</v>
      </c>
      <c r="AX1015" s="68">
        <f t="shared" ca="1" si="534"/>
        <v>1</v>
      </c>
      <c r="AY1015" s="106">
        <v>2019</v>
      </c>
      <c r="AZ1015" s="106" t="s">
        <v>2075</v>
      </c>
      <c r="BA1015" s="106" t="str">
        <f t="shared" si="535"/>
        <v/>
      </c>
      <c r="BB1015" s="177"/>
      <c r="BC1015" s="177">
        <v>8</v>
      </c>
      <c r="BD1015" s="177"/>
      <c r="BE1015" s="177"/>
      <c r="BF1015" s="177"/>
      <c r="BG1015" s="177"/>
      <c r="BH1015" s="177"/>
      <c r="BI1015" s="33"/>
      <c r="BJ1015" s="2"/>
      <c r="BK1015" s="48">
        <f>$G1015/5280*VLOOKUP($AC1015,'Cost and Score'!$B$27:$O$40,6,0)</f>
        <v>2.2883522727272729</v>
      </c>
      <c r="BL1015" s="48">
        <f>$G1015/5280*VLOOKUP($AC1015,'Cost and Score'!$B$27:$O$40,7,0)</f>
        <v>213.57954545454547</v>
      </c>
      <c r="BM1015" s="48">
        <f>$G1015/5280*VLOOKUP($AC1015,'Cost and Score'!$B$27:$O$40,8,0)</f>
        <v>355.96590909090912</v>
      </c>
      <c r="BN1015" s="48">
        <f>$G1015/5280*VLOOKUP($AC1015,'Cost and Score'!$B$27:$O$40,9,0)</f>
        <v>0</v>
      </c>
      <c r="BO1015" s="48">
        <f>$G1015/5280*VLOOKUP($AC1015,'Cost and Score'!$B$27:$O$40,10,0)</f>
        <v>0</v>
      </c>
      <c r="BP1015" s="48">
        <f>$G1015/5280*VLOOKUP($AC1015,'Cost and Score'!$B$27:$O$40,11,0)</f>
        <v>203.40909090909091</v>
      </c>
      <c r="BQ1015" s="48">
        <f>$G1015/5280*VLOOKUP($AC1015,'Cost and Score'!$B$27:$O$40,12,0)</f>
        <v>1728.9772727272727</v>
      </c>
      <c r="BR1015" s="48">
        <f>$G1015/5280*VLOOKUP($AC1015,'Cost and Score'!$B$27:$O$40,13,0)</f>
        <v>0</v>
      </c>
      <c r="BS1015" s="48">
        <f>$G1015/5280*VLOOKUP($AC1015,'Cost and Score'!$B$27:$O$40,14,0)</f>
        <v>0</v>
      </c>
      <c r="BT1015" s="220">
        <f t="shared" si="507"/>
        <v>1.0170454545454546</v>
      </c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W1015" s="2"/>
      <c r="CX1015" s="2"/>
      <c r="CY1015" s="2"/>
    </row>
    <row r="1016" spans="1:103" s="2" customFormat="1" ht="14.45" customHeight="1" x14ac:dyDescent="0.25">
      <c r="A1016" s="36" t="s">
        <v>508</v>
      </c>
      <c r="B1016" s="34" t="s">
        <v>506</v>
      </c>
      <c r="C1016" s="85" t="s">
        <v>506</v>
      </c>
      <c r="D1016" s="85"/>
      <c r="E1016" s="85" t="s">
        <v>499</v>
      </c>
      <c r="F1016" s="85" t="s">
        <v>507</v>
      </c>
      <c r="G1016" s="29">
        <v>4046</v>
      </c>
      <c r="H1016" s="29">
        <f t="shared" si="541"/>
        <v>20</v>
      </c>
      <c r="I1016" s="85" t="s">
        <v>8</v>
      </c>
      <c r="J1016" s="85" t="s">
        <v>101</v>
      </c>
      <c r="K1016" s="85">
        <v>0</v>
      </c>
      <c r="L1016" s="74">
        <v>8</v>
      </c>
      <c r="M1016" s="74">
        <v>7</v>
      </c>
      <c r="N1016" s="74">
        <v>7</v>
      </c>
      <c r="O1016" s="74">
        <v>7</v>
      </c>
      <c r="P1016" s="74">
        <v>7</v>
      </c>
      <c r="Q1016" s="74">
        <v>6</v>
      </c>
      <c r="R1016" s="74">
        <v>6</v>
      </c>
      <c r="S1016" s="74">
        <v>6</v>
      </c>
      <c r="T1016" s="74">
        <v>7</v>
      </c>
      <c r="U1016" s="74">
        <v>7</v>
      </c>
      <c r="V1016" s="74"/>
      <c r="W1016" s="74"/>
      <c r="X1016" s="74" t="s">
        <v>2612</v>
      </c>
      <c r="Y1016" s="85">
        <v>1394</v>
      </c>
      <c r="Z1016" s="85">
        <f t="shared" si="531"/>
        <v>0.5</v>
      </c>
      <c r="AA1016" s="85" t="s">
        <v>197</v>
      </c>
      <c r="AB1016" s="111">
        <f t="shared" si="540"/>
        <v>3.5</v>
      </c>
      <c r="AC1016" s="85" t="s">
        <v>751</v>
      </c>
      <c r="AD1016" s="47">
        <f t="shared" si="537"/>
        <v>84291.666666666672</v>
      </c>
      <c r="AE1016" s="140"/>
      <c r="AF1016" s="113">
        <f t="shared" si="510"/>
        <v>0</v>
      </c>
      <c r="AG1016" s="106">
        <v>2025</v>
      </c>
      <c r="AH1016" s="26" t="str">
        <f t="shared" si="520"/>
        <v/>
      </c>
      <c r="AI1016" s="26" t="str">
        <f t="shared" si="526"/>
        <v/>
      </c>
      <c r="AJ1016" s="26" t="str">
        <f t="shared" si="529"/>
        <v/>
      </c>
      <c r="AK1016" s="26" t="str">
        <f t="shared" si="539"/>
        <v>Overlay - 2"</v>
      </c>
      <c r="AL1016" s="26" t="str">
        <f t="shared" si="539"/>
        <v/>
      </c>
      <c r="AM1016" s="26" t="str">
        <f t="shared" si="539"/>
        <v/>
      </c>
      <c r="AN1016" s="26" t="str">
        <f t="shared" si="523"/>
        <v>Overlay - 2"</v>
      </c>
      <c r="AO1016" s="26" t="str">
        <f t="shared" si="530"/>
        <v/>
      </c>
      <c r="AP1016" s="26" t="str">
        <f t="shared" si="527"/>
        <v/>
      </c>
      <c r="AQ1016" s="68">
        <f t="shared" si="532"/>
        <v>10</v>
      </c>
      <c r="AR1016" s="68">
        <f t="shared" si="533"/>
        <v>12</v>
      </c>
      <c r="AS1016" s="68">
        <f t="shared" si="513"/>
        <v>1</v>
      </c>
      <c r="AT1016" s="68">
        <f t="shared" si="514"/>
        <v>1.05</v>
      </c>
      <c r="AU1016" s="68">
        <f t="shared" si="515"/>
        <v>1.05</v>
      </c>
      <c r="AV1016" s="68">
        <f t="shared" si="516"/>
        <v>1.05</v>
      </c>
      <c r="AW1016" s="68">
        <f t="shared" si="517"/>
        <v>1.05</v>
      </c>
      <c r="AX1016" s="68">
        <f t="shared" ca="1" si="534"/>
        <v>1.05</v>
      </c>
      <c r="AY1016" s="106">
        <v>2015</v>
      </c>
      <c r="AZ1016" s="106" t="s">
        <v>2075</v>
      </c>
      <c r="BA1016" s="106" t="str">
        <f t="shared" si="535"/>
        <v/>
      </c>
      <c r="BB1016" s="177"/>
      <c r="BC1016" s="177">
        <v>3</v>
      </c>
      <c r="BD1016" s="177"/>
      <c r="BE1016" s="177"/>
      <c r="BF1016" s="177"/>
      <c r="BG1016" s="177"/>
      <c r="BH1016" s="177"/>
      <c r="BI1016" s="33"/>
      <c r="BK1016" s="48">
        <f>$G1016/5280*VLOOKUP($AC1016,'Cost and Score'!$B$27:$O$40,6,0)</f>
        <v>1.7241477272727272</v>
      </c>
      <c r="BL1016" s="48">
        <f>$G1016/5280*VLOOKUP($AC1016,'Cost and Score'!$B$27:$O$40,7,0)</f>
        <v>160.92045454545453</v>
      </c>
      <c r="BM1016" s="48">
        <f>$G1016/5280*VLOOKUP($AC1016,'Cost and Score'!$B$27:$O$40,8,0)</f>
        <v>268.20075757575756</v>
      </c>
      <c r="BN1016" s="48">
        <f>$G1016/5280*VLOOKUP($AC1016,'Cost and Score'!$B$27:$O$40,9,0)</f>
        <v>0</v>
      </c>
      <c r="BO1016" s="48">
        <f>$G1016/5280*VLOOKUP($AC1016,'Cost and Score'!$B$27:$O$40,10,0)</f>
        <v>0</v>
      </c>
      <c r="BP1016" s="48">
        <f>$G1016/5280*VLOOKUP($AC1016,'Cost and Score'!$B$27:$O$40,11,0)</f>
        <v>153.25757575757575</v>
      </c>
      <c r="BQ1016" s="48">
        <f>$G1016/5280*VLOOKUP($AC1016,'Cost and Score'!$B$27:$O$40,12,0)</f>
        <v>1302.6893939393938</v>
      </c>
      <c r="BR1016" s="48">
        <f>$G1016/5280*VLOOKUP($AC1016,'Cost and Score'!$B$27:$O$40,13,0)</f>
        <v>0</v>
      </c>
      <c r="BS1016" s="48">
        <f>$G1016/5280*VLOOKUP($AC1016,'Cost and Score'!$B$27:$O$40,14,0)</f>
        <v>0</v>
      </c>
      <c r="BT1016" s="220">
        <f t="shared" si="507"/>
        <v>0.76628787878787874</v>
      </c>
    </row>
    <row r="1017" spans="1:103" s="2" customFormat="1" ht="14.45" hidden="1" customHeight="1" x14ac:dyDescent="0.25">
      <c r="A1017" s="31" t="s">
        <v>2102</v>
      </c>
      <c r="B1017" s="224" t="s">
        <v>1872</v>
      </c>
      <c r="C1017" s="26" t="s">
        <v>1872</v>
      </c>
      <c r="D1017" s="36" t="s">
        <v>2276</v>
      </c>
      <c r="E1017" s="26" t="s">
        <v>162</v>
      </c>
      <c r="F1017" s="26" t="s">
        <v>1495</v>
      </c>
      <c r="G1017" s="29">
        <v>1162</v>
      </c>
      <c r="H1017" s="29">
        <f t="shared" si="541"/>
        <v>26</v>
      </c>
      <c r="I1017" s="26" t="s">
        <v>2098</v>
      </c>
      <c r="J1017" s="26" t="s">
        <v>160</v>
      </c>
      <c r="K1017" s="26">
        <f>VLOOKUP(J1017,TOWNSHIPS,2,FALSE)</f>
        <v>0</v>
      </c>
      <c r="L1017" s="42">
        <v>7</v>
      </c>
      <c r="M1017" s="42">
        <v>7</v>
      </c>
      <c r="N1017" s="42">
        <v>10</v>
      </c>
      <c r="O1017" s="42">
        <v>9</v>
      </c>
      <c r="P1017" s="42">
        <v>8</v>
      </c>
      <c r="Q1017" s="42">
        <v>7</v>
      </c>
      <c r="R1017" s="42">
        <v>7</v>
      </c>
      <c r="S1017" s="42">
        <v>7</v>
      </c>
      <c r="T1017" s="42">
        <v>6</v>
      </c>
      <c r="U1017" s="42">
        <v>6</v>
      </c>
      <c r="V1017" s="42"/>
      <c r="W1017" s="42"/>
      <c r="X1017" s="42"/>
      <c r="Y1017" s="26">
        <v>202</v>
      </c>
      <c r="Z1017" s="26">
        <f t="shared" si="531"/>
        <v>0</v>
      </c>
      <c r="AA1017" s="26" t="s">
        <v>1872</v>
      </c>
      <c r="AB1017" s="111">
        <f t="shared" si="540"/>
        <v>2</v>
      </c>
      <c r="AC1017" s="85" t="s">
        <v>2371</v>
      </c>
      <c r="AD1017" s="47">
        <f t="shared" si="537"/>
        <v>17606.060606060608</v>
      </c>
      <c r="AE1017" s="140">
        <v>1</v>
      </c>
      <c r="AF1017" s="113">
        <f t="shared" si="510"/>
        <v>17606.060606060608</v>
      </c>
      <c r="AG1017" s="85">
        <v>2024</v>
      </c>
      <c r="AH1017" s="26" t="str">
        <f t="shared" si="520"/>
        <v/>
      </c>
      <c r="AI1017" s="26" t="str">
        <f t="shared" si="526"/>
        <v/>
      </c>
      <c r="AJ1017" s="26" t="str">
        <f t="shared" si="529"/>
        <v>Microsurface double</v>
      </c>
      <c r="AK1017" s="26" t="str">
        <f t="shared" si="539"/>
        <v/>
      </c>
      <c r="AL1017" s="26" t="str">
        <f t="shared" si="539"/>
        <v/>
      </c>
      <c r="AM1017" s="26" t="str">
        <f t="shared" si="539"/>
        <v/>
      </c>
      <c r="AN1017" s="26" t="str">
        <f t="shared" si="523"/>
        <v>Microsurface double</v>
      </c>
      <c r="AO1017" s="26" t="str">
        <f t="shared" si="530"/>
        <v/>
      </c>
      <c r="AP1017" s="26" t="str">
        <f t="shared" si="527"/>
        <v/>
      </c>
      <c r="AQ1017" s="68">
        <f t="shared" si="532"/>
        <v>14</v>
      </c>
      <c r="AR1017" s="68">
        <f t="shared" si="533"/>
        <v>10</v>
      </c>
      <c r="AS1017" s="68">
        <f t="shared" si="513"/>
        <v>1.05</v>
      </c>
      <c r="AT1017" s="68">
        <f t="shared" si="514"/>
        <v>1.05</v>
      </c>
      <c r="AU1017" s="68">
        <f t="shared" si="515"/>
        <v>1</v>
      </c>
      <c r="AV1017" s="68">
        <f t="shared" si="516"/>
        <v>1</v>
      </c>
      <c r="AW1017" s="68">
        <f t="shared" si="517"/>
        <v>1</v>
      </c>
      <c r="AX1017" s="68">
        <f t="shared" ca="1" si="534"/>
        <v>0</v>
      </c>
      <c r="AY1017" s="68">
        <v>2016</v>
      </c>
      <c r="AZ1017" s="68" t="s">
        <v>2371</v>
      </c>
      <c r="BA1017" s="106" t="str">
        <f t="shared" si="535"/>
        <v/>
      </c>
      <c r="BB1017" s="178"/>
      <c r="BC1017" s="178"/>
      <c r="BD1017" s="178"/>
      <c r="BE1017" s="178"/>
      <c r="BF1017" s="178"/>
      <c r="BG1017" s="178">
        <v>4</v>
      </c>
      <c r="BH1017" s="178"/>
      <c r="BI1017" s="33"/>
      <c r="BK1017" s="48">
        <f>$G1017/5280*VLOOKUP($AC1017,'Cost and Score'!$B$27:$O$40,6,0)</f>
        <v>0.11003787878787878</v>
      </c>
      <c r="BL1017" s="48">
        <f>$G1017/5280*VLOOKUP($AC1017,'Cost and Score'!$B$27:$O$40,7,0)</f>
        <v>0</v>
      </c>
      <c r="BM1017" s="48">
        <f>$G1017/5280*VLOOKUP($AC1017,'Cost and Score'!$B$27:$O$40,8,0)</f>
        <v>0</v>
      </c>
      <c r="BN1017" s="48">
        <f>$G1017/5280*VLOOKUP($AC1017,'Cost and Score'!$B$27:$O$40,9,0)</f>
        <v>0</v>
      </c>
      <c r="BO1017" s="48">
        <f>$G1017/5280*VLOOKUP($AC1017,'Cost and Score'!$B$27:$O$40,10,0)</f>
        <v>0</v>
      </c>
      <c r="BP1017" s="48">
        <f>$G1017/5280*VLOOKUP($AC1017,'Cost and Score'!$B$27:$O$40,11,0)</f>
        <v>0</v>
      </c>
      <c r="BQ1017" s="48">
        <f>$G1017/5280*VLOOKUP($AC1017,'Cost and Score'!$B$27:$O$40,12,0)</f>
        <v>0</v>
      </c>
      <c r="BR1017" s="48">
        <f>$G1017/5280*VLOOKUP($AC1017,'Cost and Score'!$B$27:$O$40,13,0)</f>
        <v>0</v>
      </c>
      <c r="BS1017" s="48">
        <f>$G1017/5280*VLOOKUP($AC1017,'Cost and Score'!$B$27:$O$40,14,0)</f>
        <v>0</v>
      </c>
      <c r="BT1017" s="220">
        <f t="shared" si="507"/>
        <v>0.22007575757575756</v>
      </c>
      <c r="CG1017" s="112"/>
      <c r="CH1017" s="112"/>
      <c r="CI1017" s="112"/>
      <c r="CJ1017" s="112"/>
      <c r="CK1017" s="112"/>
      <c r="CL1017" s="112"/>
      <c r="CM1017" s="112"/>
    </row>
    <row r="1018" spans="1:103" s="112" customFormat="1" ht="14.45" hidden="1" customHeight="1" x14ac:dyDescent="0.25">
      <c r="A1018" s="38" t="s">
        <v>2102</v>
      </c>
      <c r="B1018" s="34" t="s">
        <v>1873</v>
      </c>
      <c r="C1018" s="26" t="s">
        <v>1873</v>
      </c>
      <c r="D1018" s="82"/>
      <c r="E1018" s="82" t="s">
        <v>307</v>
      </c>
      <c r="F1018" s="82" t="s">
        <v>10</v>
      </c>
      <c r="G1018" s="29">
        <v>634</v>
      </c>
      <c r="H1018" s="29">
        <f t="shared" si="541"/>
        <v>20</v>
      </c>
      <c r="I1018" s="26" t="s">
        <v>8</v>
      </c>
      <c r="J1018" s="26" t="s">
        <v>101</v>
      </c>
      <c r="K1018" s="26">
        <v>0</v>
      </c>
      <c r="L1018" s="42">
        <v>7</v>
      </c>
      <c r="M1018" s="42">
        <v>7</v>
      </c>
      <c r="N1018" s="42">
        <v>6</v>
      </c>
      <c r="O1018" s="83">
        <v>6</v>
      </c>
      <c r="P1018" s="83">
        <v>6</v>
      </c>
      <c r="Q1018" s="83">
        <v>6</v>
      </c>
      <c r="R1018" s="83">
        <v>6</v>
      </c>
      <c r="S1018" s="83">
        <v>6</v>
      </c>
      <c r="T1018" s="83">
        <v>8</v>
      </c>
      <c r="U1018" s="83">
        <v>8</v>
      </c>
      <c r="V1018" s="42"/>
      <c r="W1018" s="42"/>
      <c r="X1018" s="42"/>
      <c r="Y1018" s="26">
        <v>50</v>
      </c>
      <c r="Z1018" s="26">
        <f t="shared" si="531"/>
        <v>0</v>
      </c>
      <c r="AA1018" s="82" t="s">
        <v>1873</v>
      </c>
      <c r="AB1018" s="111">
        <f t="shared" si="540"/>
        <v>4</v>
      </c>
      <c r="AC1018" s="85" t="s">
        <v>13</v>
      </c>
      <c r="AD1018" s="84">
        <f t="shared" si="537"/>
        <v>2521.590909090909</v>
      </c>
      <c r="AE1018" s="140"/>
      <c r="AF1018" s="113">
        <f t="shared" si="510"/>
        <v>0</v>
      </c>
      <c r="AG1018" s="26">
        <v>2027</v>
      </c>
      <c r="AH1018" s="26" t="str">
        <f t="shared" si="520"/>
        <v/>
      </c>
      <c r="AI1018" s="26" t="str">
        <f t="shared" si="526"/>
        <v/>
      </c>
      <c r="AJ1018" s="26" t="str">
        <f t="shared" si="529"/>
        <v/>
      </c>
      <c r="AK1018" s="26" t="str">
        <f t="shared" si="539"/>
        <v/>
      </c>
      <c r="AL1018" s="26" t="str">
        <f t="shared" si="539"/>
        <v/>
      </c>
      <c r="AM1018" s="26" t="str">
        <f t="shared" si="539"/>
        <v>Chip Seal and Fog</v>
      </c>
      <c r="AN1018" s="26" t="str">
        <f t="shared" si="523"/>
        <v>Chip Seal and Fog</v>
      </c>
      <c r="AO1018" s="26" t="str">
        <f t="shared" si="530"/>
        <v>Overlay - 2"</v>
      </c>
      <c r="AP1018" s="26" t="str">
        <f t="shared" si="527"/>
        <v/>
      </c>
      <c r="AQ1018" s="68">
        <f t="shared" si="532"/>
        <v>8</v>
      </c>
      <c r="AR1018" s="68">
        <f t="shared" si="533"/>
        <v>6</v>
      </c>
      <c r="AS1018" s="68">
        <f t="shared" si="513"/>
        <v>1.05</v>
      </c>
      <c r="AT1018" s="68">
        <f t="shared" si="514"/>
        <v>1.05</v>
      </c>
      <c r="AU1018" s="68">
        <f t="shared" si="515"/>
        <v>1.1000000000000001</v>
      </c>
      <c r="AV1018" s="68">
        <f t="shared" si="516"/>
        <v>1.1000000000000001</v>
      </c>
      <c r="AW1018" s="68">
        <f t="shared" si="517"/>
        <v>1.1000000000000001</v>
      </c>
      <c r="AX1018" s="68">
        <f t="shared" ca="1" si="534"/>
        <v>3.3000000000000003</v>
      </c>
      <c r="AY1018" s="68">
        <v>2021</v>
      </c>
      <c r="AZ1018" s="68" t="s">
        <v>751</v>
      </c>
      <c r="BA1018" s="106" t="str">
        <f t="shared" si="535"/>
        <v/>
      </c>
      <c r="BB1018" s="178"/>
      <c r="BC1018" s="178"/>
      <c r="BD1018" s="178"/>
      <c r="BE1018" s="178"/>
      <c r="BF1018" s="178"/>
      <c r="BG1018" s="178"/>
      <c r="BH1018" s="178"/>
      <c r="BI1018" s="33"/>
      <c r="BJ1018" s="2"/>
      <c r="BK1018" s="48">
        <f>$G1018/5280*VLOOKUP($AC1018,'Cost and Score'!$B$27:$O$40,6,0)</f>
        <v>2.4015151515151517E-2</v>
      </c>
      <c r="BL1018" s="48">
        <f>$G1018/5280*VLOOKUP($AC1018,'Cost and Score'!$B$27:$O$40,7,0)</f>
        <v>2.6416666666666666</v>
      </c>
      <c r="BM1018" s="48">
        <f>$G1018/5280*VLOOKUP($AC1018,'Cost and Score'!$B$27:$O$40,8,0)</f>
        <v>0</v>
      </c>
      <c r="BN1018" s="48">
        <f>$G1018/5280*VLOOKUP($AC1018,'Cost and Score'!$B$27:$O$40,9,0)</f>
        <v>540.34090909090912</v>
      </c>
      <c r="BO1018" s="48">
        <f>$G1018/5280*VLOOKUP($AC1018,'Cost and Score'!$B$27:$O$40,10,0)</f>
        <v>120.07575757575758</v>
      </c>
      <c r="BP1018" s="48">
        <f>$G1018/5280*VLOOKUP($AC1018,'Cost and Score'!$B$27:$O$40,11,0)</f>
        <v>0</v>
      </c>
      <c r="BQ1018" s="48">
        <f>$G1018/5280*VLOOKUP($AC1018,'Cost and Score'!$B$27:$O$40,12,0)</f>
        <v>12.007575757575758</v>
      </c>
      <c r="BR1018" s="48">
        <f>$G1018/5280*VLOOKUP($AC1018,'Cost and Score'!$B$27:$O$40,13,0)</f>
        <v>14.409090909090908</v>
      </c>
      <c r="BS1018" s="48">
        <f>$G1018/5280*VLOOKUP($AC1018,'Cost and Score'!$B$27:$O$40,14,0)</f>
        <v>0</v>
      </c>
      <c r="BT1018" s="220">
        <f t="shared" si="507"/>
        <v>0.12007575757575757</v>
      </c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</row>
    <row r="1019" spans="1:103" s="2" customFormat="1" ht="14.45" customHeight="1" x14ac:dyDescent="0.25">
      <c r="A1019" s="36" t="s">
        <v>743</v>
      </c>
      <c r="B1019" s="34" t="s">
        <v>741</v>
      </c>
      <c r="C1019" s="85" t="s">
        <v>741</v>
      </c>
      <c r="D1019" s="85"/>
      <c r="E1019" s="85" t="s">
        <v>119</v>
      </c>
      <c r="F1019" s="85" t="s">
        <v>742</v>
      </c>
      <c r="G1019" s="29">
        <v>6620</v>
      </c>
      <c r="H1019" s="29">
        <f t="shared" si="541"/>
        <v>20</v>
      </c>
      <c r="I1019" s="85" t="s">
        <v>8</v>
      </c>
      <c r="J1019" s="85" t="s">
        <v>125</v>
      </c>
      <c r="K1019" s="85">
        <f>VLOOKUP(J1019,TOWNSHIPS,2,FALSE)</f>
        <v>0</v>
      </c>
      <c r="L1019" s="74">
        <v>8</v>
      </c>
      <c r="M1019" s="74">
        <v>7</v>
      </c>
      <c r="N1019" s="74">
        <v>7</v>
      </c>
      <c r="O1019" s="74">
        <v>7</v>
      </c>
      <c r="P1019" s="74">
        <v>7</v>
      </c>
      <c r="Q1019" s="74">
        <v>7</v>
      </c>
      <c r="R1019" s="74">
        <v>7</v>
      </c>
      <c r="S1019" s="74">
        <v>7</v>
      </c>
      <c r="T1019" s="74">
        <v>7</v>
      </c>
      <c r="U1019" s="74">
        <v>7</v>
      </c>
      <c r="V1019" s="74">
        <v>2023</v>
      </c>
      <c r="W1019" s="74">
        <v>2023</v>
      </c>
      <c r="X1019" s="74" t="s">
        <v>2612</v>
      </c>
      <c r="Y1019" s="85">
        <v>982</v>
      </c>
      <c r="Z1019" s="85">
        <f t="shared" si="531"/>
        <v>0.5</v>
      </c>
      <c r="AA1019" s="85" t="s">
        <v>129</v>
      </c>
      <c r="AB1019" s="111">
        <f t="shared" si="540"/>
        <v>3.5</v>
      </c>
      <c r="AC1019" s="85" t="s">
        <v>751</v>
      </c>
      <c r="AD1019" s="47">
        <f t="shared" si="537"/>
        <v>137916.66666666666</v>
      </c>
      <c r="AE1019" s="140"/>
      <c r="AF1019" s="113">
        <f t="shared" si="510"/>
        <v>0</v>
      </c>
      <c r="AG1019" s="106">
        <v>2025</v>
      </c>
      <c r="AH1019" s="26" t="str">
        <f t="shared" si="520"/>
        <v/>
      </c>
      <c r="AI1019" s="26" t="str">
        <f t="shared" si="526"/>
        <v/>
      </c>
      <c r="AJ1019" s="26" t="str">
        <f t="shared" si="529"/>
        <v/>
      </c>
      <c r="AK1019" s="26" t="str">
        <f t="shared" si="539"/>
        <v>Overlay - 2"</v>
      </c>
      <c r="AL1019" s="26" t="str">
        <f t="shared" si="539"/>
        <v/>
      </c>
      <c r="AM1019" s="26" t="str">
        <f t="shared" si="539"/>
        <v/>
      </c>
      <c r="AN1019" s="26" t="str">
        <f t="shared" si="523"/>
        <v>Overlay - 2"</v>
      </c>
      <c r="AO1019" s="26" t="str">
        <f t="shared" si="530"/>
        <v/>
      </c>
      <c r="AP1019" s="26" t="str">
        <f t="shared" si="527"/>
        <v/>
      </c>
      <c r="AQ1019" s="68">
        <f t="shared" si="532"/>
        <v>10</v>
      </c>
      <c r="AR1019" s="68">
        <f t="shared" si="533"/>
        <v>12</v>
      </c>
      <c r="AS1019" s="68">
        <f t="shared" si="513"/>
        <v>1</v>
      </c>
      <c r="AT1019" s="68">
        <f t="shared" si="514"/>
        <v>1.05</v>
      </c>
      <c r="AU1019" s="68">
        <f t="shared" si="515"/>
        <v>1.05</v>
      </c>
      <c r="AV1019" s="68">
        <f t="shared" si="516"/>
        <v>1.05</v>
      </c>
      <c r="AW1019" s="68">
        <f t="shared" si="517"/>
        <v>1.05</v>
      </c>
      <c r="AX1019" s="68">
        <f t="shared" ca="1" si="534"/>
        <v>1.05</v>
      </c>
      <c r="AY1019" s="68">
        <v>2015</v>
      </c>
      <c r="AZ1019" s="68" t="s">
        <v>2075</v>
      </c>
      <c r="BA1019" s="106" t="str">
        <f t="shared" si="535"/>
        <v/>
      </c>
      <c r="BB1019" s="178"/>
      <c r="BC1019" s="178">
        <v>6</v>
      </c>
      <c r="BD1019" s="178"/>
      <c r="BE1019" s="178"/>
      <c r="BF1019" s="178"/>
      <c r="BG1019" s="178"/>
      <c r="BH1019" s="178"/>
      <c r="BI1019" s="33"/>
      <c r="BK1019" s="48">
        <f>$G1019/5280*VLOOKUP($AC1019,'Cost and Score'!$B$27:$O$40,6,0)</f>
        <v>2.8210227272727275</v>
      </c>
      <c r="BL1019" s="48">
        <f>$G1019/5280*VLOOKUP($AC1019,'Cost and Score'!$B$27:$O$40,7,0)</f>
        <v>263.29545454545456</v>
      </c>
      <c r="BM1019" s="48">
        <f>$G1019/5280*VLOOKUP($AC1019,'Cost and Score'!$B$27:$O$40,8,0)</f>
        <v>438.82575757575762</v>
      </c>
      <c r="BN1019" s="48">
        <f>$G1019/5280*VLOOKUP($AC1019,'Cost and Score'!$B$27:$O$40,9,0)</f>
        <v>0</v>
      </c>
      <c r="BO1019" s="48">
        <f>$G1019/5280*VLOOKUP($AC1019,'Cost and Score'!$B$27:$O$40,10,0)</f>
        <v>0</v>
      </c>
      <c r="BP1019" s="48">
        <f>$G1019/5280*VLOOKUP($AC1019,'Cost and Score'!$B$27:$O$40,11,0)</f>
        <v>250.75757575757578</v>
      </c>
      <c r="BQ1019" s="48">
        <f>$G1019/5280*VLOOKUP($AC1019,'Cost and Score'!$B$27:$O$40,12,0)</f>
        <v>2131.439393939394</v>
      </c>
      <c r="BR1019" s="48">
        <f>$G1019/5280*VLOOKUP($AC1019,'Cost and Score'!$B$27:$O$40,13,0)</f>
        <v>0</v>
      </c>
      <c r="BS1019" s="48">
        <f>$G1019/5280*VLOOKUP($AC1019,'Cost and Score'!$B$27:$O$40,14,0)</f>
        <v>0</v>
      </c>
      <c r="BT1019" s="220">
        <f t="shared" si="507"/>
        <v>1.2537878787878789</v>
      </c>
    </row>
    <row r="1020" spans="1:103" s="2" customFormat="1" ht="14.45" customHeight="1" x14ac:dyDescent="0.25">
      <c r="A1020" s="36" t="s">
        <v>708</v>
      </c>
      <c r="B1020" s="34" t="s">
        <v>707</v>
      </c>
      <c r="C1020" s="85" t="s">
        <v>707</v>
      </c>
      <c r="D1020" s="85"/>
      <c r="E1020" s="85" t="s">
        <v>102</v>
      </c>
      <c r="F1020" s="85" t="s">
        <v>155</v>
      </c>
      <c r="G1020" s="29">
        <v>5115</v>
      </c>
      <c r="H1020" s="29">
        <f t="shared" si="541"/>
        <v>20</v>
      </c>
      <c r="I1020" s="85" t="s">
        <v>8</v>
      </c>
      <c r="J1020" s="85" t="s">
        <v>6</v>
      </c>
      <c r="K1020" s="85">
        <f>VLOOKUP(J1020,TOWNSHIPS,2,FALSE)</f>
        <v>0</v>
      </c>
      <c r="L1020" s="74">
        <v>8</v>
      </c>
      <c r="M1020" s="74">
        <v>7</v>
      </c>
      <c r="N1020" s="74">
        <v>7</v>
      </c>
      <c r="O1020" s="74">
        <v>7</v>
      </c>
      <c r="P1020" s="74">
        <v>6</v>
      </c>
      <c r="Q1020" s="74">
        <v>6</v>
      </c>
      <c r="R1020" s="74">
        <v>5</v>
      </c>
      <c r="S1020" s="74">
        <v>5</v>
      </c>
      <c r="T1020" s="74">
        <v>5</v>
      </c>
      <c r="U1020" s="74">
        <v>6</v>
      </c>
      <c r="V1020" s="74"/>
      <c r="W1020" s="74"/>
      <c r="X1020" s="74"/>
      <c r="Y1020" s="85">
        <v>608</v>
      </c>
      <c r="Z1020" s="85">
        <f t="shared" si="531"/>
        <v>0.5</v>
      </c>
      <c r="AA1020" s="85" t="s">
        <v>107</v>
      </c>
      <c r="AB1020" s="111">
        <f t="shared" si="540"/>
        <v>4.5</v>
      </c>
      <c r="AC1020" s="85" t="s">
        <v>751</v>
      </c>
      <c r="AD1020" s="47">
        <f t="shared" si="537"/>
        <v>106562.5</v>
      </c>
      <c r="AE1020" s="140"/>
      <c r="AF1020" s="113">
        <f t="shared" si="510"/>
        <v>0</v>
      </c>
      <c r="AG1020" s="85">
        <v>2025</v>
      </c>
      <c r="AH1020" s="26" t="str">
        <f t="shared" si="520"/>
        <v/>
      </c>
      <c r="AI1020" s="26" t="str">
        <f t="shared" si="526"/>
        <v/>
      </c>
      <c r="AJ1020" s="26" t="str">
        <f t="shared" si="529"/>
        <v/>
      </c>
      <c r="AK1020" s="26" t="str">
        <f t="shared" si="539"/>
        <v>Overlay - 2"</v>
      </c>
      <c r="AL1020" s="26" t="str">
        <f t="shared" si="539"/>
        <v/>
      </c>
      <c r="AM1020" s="26" t="str">
        <f t="shared" si="539"/>
        <v/>
      </c>
      <c r="AN1020" s="26" t="str">
        <f t="shared" si="523"/>
        <v>Overlay - 2"</v>
      </c>
      <c r="AO1020" s="26" t="str">
        <f t="shared" si="530"/>
        <v/>
      </c>
      <c r="AP1020" s="26" t="str">
        <f t="shared" si="527"/>
        <v/>
      </c>
      <c r="AQ1020" s="68">
        <f t="shared" si="532"/>
        <v>10</v>
      </c>
      <c r="AR1020" s="68">
        <f t="shared" si="533"/>
        <v>12</v>
      </c>
      <c r="AS1020" s="68">
        <f t="shared" si="513"/>
        <v>1</v>
      </c>
      <c r="AT1020" s="68">
        <f t="shared" si="514"/>
        <v>1.05</v>
      </c>
      <c r="AU1020" s="68">
        <f t="shared" si="515"/>
        <v>1.05</v>
      </c>
      <c r="AV1020" s="68">
        <f t="shared" si="516"/>
        <v>1.05</v>
      </c>
      <c r="AW1020" s="68">
        <f t="shared" si="517"/>
        <v>1.1000000000000001</v>
      </c>
      <c r="AX1020" s="68">
        <f t="shared" ca="1" si="534"/>
        <v>1.05</v>
      </c>
      <c r="AY1020" s="68">
        <v>2020</v>
      </c>
      <c r="AZ1020" s="68" t="s">
        <v>2075</v>
      </c>
      <c r="BA1020" s="106" t="str">
        <f t="shared" si="535"/>
        <v/>
      </c>
      <c r="BB1020" s="178"/>
      <c r="BC1020" s="178">
        <v>8</v>
      </c>
      <c r="BD1020" s="178"/>
      <c r="BE1020" s="178"/>
      <c r="BF1020" s="178"/>
      <c r="BG1020" s="178"/>
      <c r="BH1020" s="178"/>
      <c r="BI1020" s="33"/>
      <c r="BK1020" s="48">
        <f>$G1020/5280*VLOOKUP($AC1020,'Cost and Score'!$B$27:$O$40,6,0)</f>
        <v>2.1796875</v>
      </c>
      <c r="BL1020" s="48">
        <f>$G1020/5280*VLOOKUP($AC1020,'Cost and Score'!$B$27:$O$40,7,0)</f>
        <v>203.4375</v>
      </c>
      <c r="BM1020" s="48">
        <f>$G1020/5280*VLOOKUP($AC1020,'Cost and Score'!$B$27:$O$40,8,0)</f>
        <v>339.0625</v>
      </c>
      <c r="BN1020" s="48">
        <f>$G1020/5280*VLOOKUP($AC1020,'Cost and Score'!$B$27:$O$40,9,0)</f>
        <v>0</v>
      </c>
      <c r="BO1020" s="48">
        <f>$G1020/5280*VLOOKUP($AC1020,'Cost and Score'!$B$27:$O$40,10,0)</f>
        <v>0</v>
      </c>
      <c r="BP1020" s="48">
        <f>$G1020/5280*VLOOKUP($AC1020,'Cost and Score'!$B$27:$O$40,11,0)</f>
        <v>193.75</v>
      </c>
      <c r="BQ1020" s="48">
        <f>$G1020/5280*VLOOKUP($AC1020,'Cost and Score'!$B$27:$O$40,12,0)</f>
        <v>1646.875</v>
      </c>
      <c r="BR1020" s="48">
        <f>$G1020/5280*VLOOKUP($AC1020,'Cost and Score'!$B$27:$O$40,13,0)</f>
        <v>0</v>
      </c>
      <c r="BS1020" s="48">
        <f>$G1020/5280*VLOOKUP($AC1020,'Cost and Score'!$B$27:$O$40,14,0)</f>
        <v>0</v>
      </c>
      <c r="BT1020" s="220">
        <f t="shared" si="507"/>
        <v>0.96875</v>
      </c>
    </row>
    <row r="1021" spans="1:103" s="2" customFormat="1" ht="14.45" hidden="1" customHeight="1" x14ac:dyDescent="0.25">
      <c r="A1021" s="31" t="s">
        <v>2102</v>
      </c>
      <c r="B1021" s="120" t="s">
        <v>1876</v>
      </c>
      <c r="C1021" s="106" t="s">
        <v>1876</v>
      </c>
      <c r="D1021" s="116" t="s">
        <v>2231</v>
      </c>
      <c r="E1021" s="106" t="s">
        <v>1458</v>
      </c>
      <c r="F1021" s="106" t="s">
        <v>1459</v>
      </c>
      <c r="G1021" s="109">
        <v>1073</v>
      </c>
      <c r="H1021" s="109">
        <f t="shared" si="541"/>
        <v>26</v>
      </c>
      <c r="I1021" s="106" t="s">
        <v>2098</v>
      </c>
      <c r="J1021" s="106" t="s">
        <v>160</v>
      </c>
      <c r="K1021" s="106">
        <f>VLOOKUP(J1021,TOWNSHIPS,2,FALSE)</f>
        <v>0</v>
      </c>
      <c r="L1021" s="110">
        <v>7</v>
      </c>
      <c r="M1021" s="110">
        <v>6</v>
      </c>
      <c r="N1021" s="110">
        <v>7</v>
      </c>
      <c r="O1021" s="110">
        <v>7</v>
      </c>
      <c r="P1021" s="110">
        <v>7</v>
      </c>
      <c r="Q1021" s="110">
        <v>7</v>
      </c>
      <c r="R1021" s="110">
        <v>7</v>
      </c>
      <c r="S1021" s="110">
        <v>7</v>
      </c>
      <c r="T1021" s="110">
        <v>7</v>
      </c>
      <c r="U1021" s="110">
        <v>7</v>
      </c>
      <c r="V1021" s="110"/>
      <c r="W1021" s="110"/>
      <c r="X1021" s="110"/>
      <c r="Y1021" s="106">
        <v>515</v>
      </c>
      <c r="Z1021" s="106">
        <f t="shared" si="531"/>
        <v>0.5</v>
      </c>
      <c r="AA1021" s="106" t="s">
        <v>1876</v>
      </c>
      <c r="AB1021" s="111">
        <f t="shared" si="540"/>
        <v>3.5</v>
      </c>
      <c r="AC1021" s="26" t="s">
        <v>2086</v>
      </c>
      <c r="AD1021" s="107">
        <f t="shared" si="537"/>
        <v>508.04924242424244</v>
      </c>
      <c r="AE1021" s="198"/>
      <c r="AF1021" s="113">
        <f t="shared" si="510"/>
        <v>0</v>
      </c>
      <c r="AG1021" s="26">
        <v>2024</v>
      </c>
      <c r="AH1021" s="26" t="str">
        <f t="shared" si="520"/>
        <v/>
      </c>
      <c r="AI1021" s="26" t="str">
        <f t="shared" si="526"/>
        <v/>
      </c>
      <c r="AJ1021" s="26" t="str">
        <f t="shared" si="529"/>
        <v>Fog Seal</v>
      </c>
      <c r="AK1021" s="26" t="str">
        <f t="shared" si="539"/>
        <v/>
      </c>
      <c r="AL1021" s="26" t="str">
        <f t="shared" si="539"/>
        <v/>
      </c>
      <c r="AM1021" s="26" t="str">
        <f t="shared" si="539"/>
        <v/>
      </c>
      <c r="AN1021" s="26" t="str">
        <f t="shared" si="523"/>
        <v>Fog Seal</v>
      </c>
      <c r="AO1021" s="26" t="str">
        <f t="shared" si="530"/>
        <v/>
      </c>
      <c r="AP1021" s="26" t="str">
        <f t="shared" si="527"/>
        <v/>
      </c>
      <c r="AQ1021" s="68">
        <f t="shared" si="532"/>
        <v>10</v>
      </c>
      <c r="AR1021" s="68">
        <f t="shared" si="533"/>
        <v>2</v>
      </c>
      <c r="AS1021" s="68">
        <f t="shared" si="513"/>
        <v>1.05</v>
      </c>
      <c r="AT1021" s="68">
        <f t="shared" si="514"/>
        <v>1.1000000000000001</v>
      </c>
      <c r="AU1021" s="68">
        <f t="shared" si="515"/>
        <v>1.05</v>
      </c>
      <c r="AV1021" s="68">
        <f t="shared" si="516"/>
        <v>1.05</v>
      </c>
      <c r="AW1021" s="68">
        <f t="shared" si="517"/>
        <v>1.05</v>
      </c>
      <c r="AX1021" s="68">
        <f t="shared" ca="1" si="534"/>
        <v>0</v>
      </c>
      <c r="AY1021" s="106">
        <v>2018</v>
      </c>
      <c r="AZ1021" s="106" t="s">
        <v>2425</v>
      </c>
      <c r="BA1021" s="106" t="str">
        <f t="shared" si="535"/>
        <v>MICROSEAL</v>
      </c>
      <c r="BB1021" s="177"/>
      <c r="BC1021" s="177"/>
      <c r="BD1021" s="177"/>
      <c r="BE1021" s="177"/>
      <c r="BF1021" s="177"/>
      <c r="BG1021" s="177"/>
      <c r="BH1021" s="177"/>
      <c r="BI1021" s="33"/>
      <c r="BK1021" s="48">
        <f>$G1021/5280*VLOOKUP($AC1021,'Cost and Score'!$B$27:$O$40,6,0)</f>
        <v>2.0321969696969699E-2</v>
      </c>
      <c r="BL1021" s="48">
        <f>$G1021/5280*VLOOKUP($AC1021,'Cost and Score'!$B$27:$O$40,7,0)</f>
        <v>4.0643939393939399E-2</v>
      </c>
      <c r="BM1021" s="48">
        <f>$G1021/5280*VLOOKUP($AC1021,'Cost and Score'!$B$27:$O$40,8,0)</f>
        <v>0</v>
      </c>
      <c r="BN1021" s="48">
        <f>$G1021/5280*VLOOKUP($AC1021,'Cost and Score'!$B$27:$O$40,9,0)</f>
        <v>0</v>
      </c>
      <c r="BO1021" s="48">
        <f>$G1021/5280*VLOOKUP($AC1021,'Cost and Score'!$B$27:$O$40,10,0)</f>
        <v>203.21969696969697</v>
      </c>
      <c r="BP1021" s="48">
        <f>$G1021/5280*VLOOKUP($AC1021,'Cost and Score'!$B$27:$O$40,11,0)</f>
        <v>0</v>
      </c>
      <c r="BQ1021" s="48">
        <f>$G1021/5280*VLOOKUP($AC1021,'Cost and Score'!$B$27:$O$40,12,0)</f>
        <v>0</v>
      </c>
      <c r="BR1021" s="48">
        <f>$G1021/5280*VLOOKUP($AC1021,'Cost and Score'!$B$27:$O$40,13,0)</f>
        <v>0</v>
      </c>
      <c r="BS1021" s="48">
        <f>$G1021/5280*VLOOKUP($AC1021,'Cost and Score'!$B$27:$O$40,14,0)</f>
        <v>0</v>
      </c>
      <c r="BT1021" s="220">
        <f t="shared" si="507"/>
        <v>0.20321969696969697</v>
      </c>
      <c r="CG1021" s="112"/>
      <c r="CH1021" s="112"/>
      <c r="CI1021" s="112"/>
      <c r="CJ1021" s="112"/>
      <c r="CK1021" s="112"/>
      <c r="CL1021" s="112"/>
      <c r="CM1021" s="112"/>
    </row>
    <row r="1022" spans="1:103" s="2" customFormat="1" ht="14.45" hidden="1" customHeight="1" x14ac:dyDescent="0.25">
      <c r="A1022" s="31" t="s">
        <v>2102</v>
      </c>
      <c r="B1022" s="224" t="s">
        <v>1877</v>
      </c>
      <c r="C1022" s="26" t="s">
        <v>1877</v>
      </c>
      <c r="D1022" s="119" t="s">
        <v>2228</v>
      </c>
      <c r="E1022" s="85" t="s">
        <v>1451</v>
      </c>
      <c r="F1022" s="82" t="s">
        <v>1408</v>
      </c>
      <c r="G1022" s="29">
        <v>317</v>
      </c>
      <c r="H1022" s="29">
        <f t="shared" si="541"/>
        <v>26</v>
      </c>
      <c r="I1022" s="26" t="s">
        <v>2098</v>
      </c>
      <c r="J1022" s="26" t="s">
        <v>125</v>
      </c>
      <c r="K1022" s="26">
        <f>VLOOKUP(J1022,TOWNSHIPS,2,FALSE)</f>
        <v>0</v>
      </c>
      <c r="L1022" s="42">
        <v>6</v>
      </c>
      <c r="M1022" s="42">
        <v>6</v>
      </c>
      <c r="N1022" s="42">
        <v>8</v>
      </c>
      <c r="O1022" s="83">
        <v>8</v>
      </c>
      <c r="P1022" s="83">
        <v>7</v>
      </c>
      <c r="Q1022" s="83">
        <v>7</v>
      </c>
      <c r="R1022" s="83">
        <v>6</v>
      </c>
      <c r="S1022" s="83">
        <v>7</v>
      </c>
      <c r="T1022" s="83">
        <v>7</v>
      </c>
      <c r="U1022" s="83">
        <v>7</v>
      </c>
      <c r="V1022" s="42"/>
      <c r="W1022" s="42"/>
      <c r="X1022" s="42"/>
      <c r="Y1022" s="26">
        <v>50</v>
      </c>
      <c r="Z1022" s="26">
        <f t="shared" si="531"/>
        <v>0</v>
      </c>
      <c r="AA1022" s="85" t="s">
        <v>1877</v>
      </c>
      <c r="AB1022" s="111">
        <f t="shared" si="540"/>
        <v>3</v>
      </c>
      <c r="AC1022" s="85" t="s">
        <v>2425</v>
      </c>
      <c r="AD1022" s="84">
        <f t="shared" si="537"/>
        <v>1500.9469696969697</v>
      </c>
      <c r="AE1022" s="140"/>
      <c r="AF1022" s="113">
        <f t="shared" si="510"/>
        <v>0</v>
      </c>
      <c r="AG1022" s="85">
        <v>2026</v>
      </c>
      <c r="AH1022" s="26" t="str">
        <f t="shared" si="520"/>
        <v/>
      </c>
      <c r="AI1022" s="26" t="str">
        <f t="shared" si="526"/>
        <v/>
      </c>
      <c r="AJ1022" s="26" t="str">
        <f t="shared" si="529"/>
        <v/>
      </c>
      <c r="AK1022" s="26" t="str">
        <f t="shared" si="539"/>
        <v/>
      </c>
      <c r="AL1022" s="26" t="str">
        <f t="shared" si="539"/>
        <v>Liquid Road</v>
      </c>
      <c r="AM1022" s="26" t="str">
        <f t="shared" si="539"/>
        <v/>
      </c>
      <c r="AN1022" s="26" t="str">
        <f t="shared" si="523"/>
        <v>Liquid Road</v>
      </c>
      <c r="AO1022" s="26" t="str">
        <f t="shared" si="530"/>
        <v/>
      </c>
      <c r="AP1022" s="26" t="str">
        <f t="shared" si="527"/>
        <v/>
      </c>
      <c r="AQ1022" s="68">
        <f t="shared" si="532"/>
        <v>12</v>
      </c>
      <c r="AR1022" s="68">
        <f t="shared" si="533"/>
        <v>10</v>
      </c>
      <c r="AS1022" s="68">
        <f t="shared" si="513"/>
        <v>1.1000000000000001</v>
      </c>
      <c r="AT1022" s="68">
        <f t="shared" si="514"/>
        <v>1.1000000000000001</v>
      </c>
      <c r="AU1022" s="68">
        <f t="shared" si="515"/>
        <v>1</v>
      </c>
      <c r="AV1022" s="68">
        <f t="shared" si="516"/>
        <v>1</v>
      </c>
      <c r="AW1022" s="68">
        <f t="shared" si="517"/>
        <v>1.05</v>
      </c>
      <c r="AX1022" s="68">
        <f t="shared" ca="1" si="534"/>
        <v>2</v>
      </c>
      <c r="AY1022" s="68"/>
      <c r="AZ1022" s="68"/>
      <c r="BA1022" s="106" t="str">
        <f t="shared" si="535"/>
        <v/>
      </c>
      <c r="BB1022" s="178"/>
      <c r="BC1022" s="178"/>
      <c r="BD1022" s="178">
        <v>1</v>
      </c>
      <c r="BE1022" s="178"/>
      <c r="BF1022" s="178"/>
      <c r="BG1022" s="178"/>
      <c r="BH1022" s="178"/>
      <c r="BI1022" s="33"/>
      <c r="BK1022" s="48">
        <f>$G1022/5280*VLOOKUP($AC1022,'Cost and Score'!$B$27:$O$40,6,0)</f>
        <v>6.0037878787878786E-2</v>
      </c>
      <c r="BL1022" s="48">
        <f>$G1022/5280*VLOOKUP($AC1022,'Cost and Score'!$B$27:$O$40,7,0)</f>
        <v>0.96060606060606057</v>
      </c>
      <c r="BM1022" s="48">
        <f>$G1022/5280*VLOOKUP($AC1022,'Cost and Score'!$B$27:$O$40,8,0)</f>
        <v>0</v>
      </c>
      <c r="BN1022" s="48">
        <f>$G1022/5280*VLOOKUP($AC1022,'Cost and Score'!$B$27:$O$40,9,0)</f>
        <v>0</v>
      </c>
      <c r="BO1022" s="48">
        <f>$G1022/5280*VLOOKUP($AC1022,'Cost and Score'!$B$27:$O$40,10,0)</f>
        <v>0</v>
      </c>
      <c r="BP1022" s="48">
        <f>$G1022/5280*VLOOKUP($AC1022,'Cost and Score'!$B$27:$O$40,11,0)</f>
        <v>0</v>
      </c>
      <c r="BQ1022" s="48">
        <f>$G1022/5280*VLOOKUP($AC1022,'Cost and Score'!$B$27:$O$40,12,0)</f>
        <v>0</v>
      </c>
      <c r="BR1022" s="48">
        <f>$G1022/5280*VLOOKUP($AC1022,'Cost and Score'!$B$27:$O$40,13,0)</f>
        <v>0</v>
      </c>
      <c r="BS1022" s="48">
        <f>$G1022/5280*VLOOKUP($AC1022,'Cost and Score'!$B$27:$O$40,14,0)</f>
        <v>0</v>
      </c>
      <c r="BT1022" s="220">
        <f t="shared" si="507"/>
        <v>6.0037878787878786E-2</v>
      </c>
      <c r="CG1022" s="112"/>
      <c r="CH1022" s="112"/>
      <c r="CI1022" s="112"/>
      <c r="CJ1022" s="112"/>
      <c r="CK1022" s="112"/>
      <c r="CL1022" s="112"/>
      <c r="CM1022" s="112"/>
    </row>
    <row r="1023" spans="1:103" s="112" customFormat="1" ht="14.45" hidden="1" customHeight="1" x14ac:dyDescent="0.25">
      <c r="A1023" s="38" t="s">
        <v>2102</v>
      </c>
      <c r="B1023" s="34" t="s">
        <v>1878</v>
      </c>
      <c r="C1023" s="26" t="s">
        <v>1878</v>
      </c>
      <c r="D1023" s="82"/>
      <c r="E1023" s="82" t="s">
        <v>1427</v>
      </c>
      <c r="F1023" s="82" t="s">
        <v>288</v>
      </c>
      <c r="G1023" s="29">
        <v>793</v>
      </c>
      <c r="H1023" s="29">
        <f t="shared" si="541"/>
        <v>20</v>
      </c>
      <c r="I1023" s="26" t="s">
        <v>8</v>
      </c>
      <c r="J1023" s="26" t="s">
        <v>26</v>
      </c>
      <c r="K1023" s="26">
        <f>VLOOKUP(J1023,TOWNSHIPS,2,FALSE)</f>
        <v>0</v>
      </c>
      <c r="L1023" s="42">
        <v>6</v>
      </c>
      <c r="M1023" s="42">
        <v>6</v>
      </c>
      <c r="N1023" s="42">
        <v>6</v>
      </c>
      <c r="O1023" s="83">
        <v>9</v>
      </c>
      <c r="P1023" s="83">
        <v>8</v>
      </c>
      <c r="Q1023" s="83">
        <v>7</v>
      </c>
      <c r="R1023" s="83">
        <v>7</v>
      </c>
      <c r="S1023" s="83">
        <v>7</v>
      </c>
      <c r="T1023" s="83">
        <v>7</v>
      </c>
      <c r="U1023" s="83">
        <v>7</v>
      </c>
      <c r="V1023" s="42"/>
      <c r="W1023" s="42"/>
      <c r="X1023" s="42"/>
      <c r="Y1023" s="26">
        <v>50</v>
      </c>
      <c r="Z1023" s="26">
        <f t="shared" si="531"/>
        <v>0</v>
      </c>
      <c r="AA1023" s="82" t="s">
        <v>1878</v>
      </c>
      <c r="AB1023" s="111">
        <f t="shared" si="540"/>
        <v>2</v>
      </c>
      <c r="AC1023" s="82" t="s">
        <v>2073</v>
      </c>
      <c r="AD1023" s="84">
        <f t="shared" si="537"/>
        <v>4806.060606060606</v>
      </c>
      <c r="AE1023" s="140"/>
      <c r="AF1023" s="113">
        <f t="shared" si="510"/>
        <v>0</v>
      </c>
      <c r="AG1023" s="26">
        <v>2027</v>
      </c>
      <c r="AH1023" s="26" t="str">
        <f t="shared" si="520"/>
        <v/>
      </c>
      <c r="AI1023" s="26" t="str">
        <f t="shared" si="526"/>
        <v/>
      </c>
      <c r="AJ1023" s="26" t="str">
        <f t="shared" si="529"/>
        <v/>
      </c>
      <c r="AK1023" s="26" t="str">
        <f t="shared" si="539"/>
        <v/>
      </c>
      <c r="AL1023" s="26" t="str">
        <f t="shared" si="539"/>
        <v/>
      </c>
      <c r="AM1023" s="26" t="str">
        <f t="shared" si="539"/>
        <v>Chip Seal - Double and Fog</v>
      </c>
      <c r="AN1023" s="26" t="str">
        <f t="shared" si="523"/>
        <v>Chip Seal - Double and Fog</v>
      </c>
      <c r="AO1023" s="26" t="str">
        <f t="shared" si="530"/>
        <v>Chip Seal - Double and Fog</v>
      </c>
      <c r="AP1023" s="26" t="str">
        <f t="shared" si="527"/>
        <v/>
      </c>
      <c r="AQ1023" s="68">
        <f t="shared" si="532"/>
        <v>14</v>
      </c>
      <c r="AR1023" s="68">
        <f t="shared" si="533"/>
        <v>6</v>
      </c>
      <c r="AS1023" s="68">
        <f t="shared" si="513"/>
        <v>1.1000000000000001</v>
      </c>
      <c r="AT1023" s="68">
        <f t="shared" si="514"/>
        <v>1.1000000000000001</v>
      </c>
      <c r="AU1023" s="68">
        <f t="shared" si="515"/>
        <v>1.1000000000000001</v>
      </c>
      <c r="AV1023" s="68">
        <f t="shared" si="516"/>
        <v>1</v>
      </c>
      <c r="AW1023" s="68">
        <f t="shared" si="517"/>
        <v>1</v>
      </c>
      <c r="AX1023" s="68">
        <f t="shared" ca="1" si="534"/>
        <v>3.3000000000000003</v>
      </c>
      <c r="AY1023" s="68">
        <v>2021</v>
      </c>
      <c r="AZ1023" s="68" t="s">
        <v>2073</v>
      </c>
      <c r="BA1023" s="106" t="str">
        <f t="shared" si="535"/>
        <v/>
      </c>
      <c r="BB1023" s="178"/>
      <c r="BC1023" s="178"/>
      <c r="BD1023" s="178"/>
      <c r="BE1023" s="178"/>
      <c r="BF1023" s="178"/>
      <c r="BG1023" s="178"/>
      <c r="BH1023" s="178"/>
      <c r="BI1023" s="33"/>
      <c r="BJ1023" s="2"/>
      <c r="BK1023" s="48">
        <f>$G1023/5280*VLOOKUP($AC1023,'Cost and Score'!$B$27:$O$40,6,0)</f>
        <v>7.5094696969696964E-2</v>
      </c>
      <c r="BL1023" s="48">
        <f>$G1023/5280*VLOOKUP($AC1023,'Cost and Score'!$B$27:$O$40,7,0)</f>
        <v>7.5094696969696964</v>
      </c>
      <c r="BM1023" s="48">
        <f>$G1023/5280*VLOOKUP($AC1023,'Cost and Score'!$B$27:$O$40,8,0)</f>
        <v>0</v>
      </c>
      <c r="BN1023" s="48">
        <f>$G1023/5280*VLOOKUP($AC1023,'Cost and Score'!$B$27:$O$40,9,0)</f>
        <v>1426.7992424242423</v>
      </c>
      <c r="BO1023" s="48">
        <f>$G1023/5280*VLOOKUP($AC1023,'Cost and Score'!$B$27:$O$40,10,0)</f>
        <v>150.18939393939394</v>
      </c>
      <c r="BP1023" s="48">
        <f>$G1023/5280*VLOOKUP($AC1023,'Cost and Score'!$B$27:$O$40,11,0)</f>
        <v>0</v>
      </c>
      <c r="BQ1023" s="48">
        <f>$G1023/5280*VLOOKUP($AC1023,'Cost and Score'!$B$27:$O$40,12,0)</f>
        <v>30.037878787878785</v>
      </c>
      <c r="BR1023" s="48">
        <f>$G1023/5280*VLOOKUP($AC1023,'Cost and Score'!$B$27:$O$40,13,0)</f>
        <v>27.034090909090907</v>
      </c>
      <c r="BS1023" s="48">
        <f>$G1023/5280*VLOOKUP($AC1023,'Cost and Score'!$B$27:$O$40,14,0)</f>
        <v>36.04545454545454</v>
      </c>
      <c r="BT1023" s="220">
        <f t="shared" si="507"/>
        <v>0.15018939393939393</v>
      </c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</row>
    <row r="1024" spans="1:103" s="2" customFormat="1" ht="14.45" hidden="1" customHeight="1" x14ac:dyDescent="0.25">
      <c r="A1024" s="31" t="s">
        <v>2102</v>
      </c>
      <c r="B1024" s="224" t="s">
        <v>1879</v>
      </c>
      <c r="C1024" s="85" t="s">
        <v>1879</v>
      </c>
      <c r="D1024" s="86" t="s">
        <v>2301</v>
      </c>
      <c r="E1024" s="85" t="s">
        <v>1407</v>
      </c>
      <c r="F1024" s="85" t="s">
        <v>1880</v>
      </c>
      <c r="G1024" s="29">
        <v>1056</v>
      </c>
      <c r="H1024" s="29">
        <f t="shared" si="541"/>
        <v>26</v>
      </c>
      <c r="I1024" s="124" t="s">
        <v>2098</v>
      </c>
      <c r="J1024" s="85" t="s">
        <v>101</v>
      </c>
      <c r="K1024" s="85">
        <v>0</v>
      </c>
      <c r="L1024" s="74">
        <v>7</v>
      </c>
      <c r="M1024" s="74">
        <v>7</v>
      </c>
      <c r="N1024" s="74">
        <v>7</v>
      </c>
      <c r="O1024" s="74">
        <v>7</v>
      </c>
      <c r="P1024" s="74">
        <v>7</v>
      </c>
      <c r="Q1024" s="74">
        <v>7</v>
      </c>
      <c r="R1024" s="74">
        <v>7</v>
      </c>
      <c r="S1024" s="74">
        <v>7</v>
      </c>
      <c r="T1024" s="74">
        <v>7</v>
      </c>
      <c r="U1024" s="74">
        <v>7</v>
      </c>
      <c r="V1024" s="74"/>
      <c r="W1024" s="74"/>
      <c r="X1024" s="74"/>
      <c r="Y1024" s="85">
        <v>50</v>
      </c>
      <c r="Z1024" s="85">
        <f t="shared" si="531"/>
        <v>0</v>
      </c>
      <c r="AA1024" s="85" t="s">
        <v>1879</v>
      </c>
      <c r="AB1024" s="111">
        <f t="shared" si="540"/>
        <v>3</v>
      </c>
      <c r="AC1024" s="85" t="s">
        <v>2425</v>
      </c>
      <c r="AD1024" s="47">
        <f t="shared" si="537"/>
        <v>5000</v>
      </c>
      <c r="AE1024" s="140"/>
      <c r="AF1024" s="113">
        <f t="shared" si="510"/>
        <v>0</v>
      </c>
      <c r="AG1024" s="85">
        <v>2026</v>
      </c>
      <c r="AH1024" s="26" t="str">
        <f t="shared" si="520"/>
        <v/>
      </c>
      <c r="AI1024" s="26" t="str">
        <f t="shared" si="526"/>
        <v/>
      </c>
      <c r="AJ1024" s="26" t="str">
        <f t="shared" si="529"/>
        <v/>
      </c>
      <c r="AK1024" s="26" t="str">
        <f t="shared" si="539"/>
        <v/>
      </c>
      <c r="AL1024" s="26" t="str">
        <f t="shared" si="539"/>
        <v>Liquid Road</v>
      </c>
      <c r="AM1024" s="26" t="str">
        <f t="shared" si="539"/>
        <v/>
      </c>
      <c r="AN1024" s="26" t="str">
        <f t="shared" si="523"/>
        <v>Liquid Road</v>
      </c>
      <c r="AO1024" s="26" t="str">
        <f t="shared" si="530"/>
        <v/>
      </c>
      <c r="AP1024" s="26" t="str">
        <f t="shared" si="527"/>
        <v/>
      </c>
      <c r="AQ1024" s="68">
        <f t="shared" si="532"/>
        <v>10</v>
      </c>
      <c r="AR1024" s="68">
        <f t="shared" si="533"/>
        <v>10</v>
      </c>
      <c r="AS1024" s="68">
        <f t="shared" si="513"/>
        <v>1.05</v>
      </c>
      <c r="AT1024" s="68">
        <f t="shared" si="514"/>
        <v>1.05</v>
      </c>
      <c r="AU1024" s="68">
        <f t="shared" si="515"/>
        <v>1.05</v>
      </c>
      <c r="AV1024" s="68">
        <f t="shared" si="516"/>
        <v>1.05</v>
      </c>
      <c r="AW1024" s="68">
        <f t="shared" si="517"/>
        <v>1.05</v>
      </c>
      <c r="AX1024" s="68">
        <f t="shared" ca="1" si="534"/>
        <v>2.1</v>
      </c>
      <c r="AY1024" s="68">
        <v>2018</v>
      </c>
      <c r="AZ1024" s="68" t="s">
        <v>2075</v>
      </c>
      <c r="BA1024" s="106" t="str">
        <f t="shared" si="535"/>
        <v>CRACK</v>
      </c>
      <c r="BB1024" s="178"/>
      <c r="BC1024" s="178"/>
      <c r="BD1024" s="178"/>
      <c r="BE1024" s="178"/>
      <c r="BF1024" s="178"/>
      <c r="BG1024" s="178"/>
      <c r="BH1024" s="178">
        <v>5</v>
      </c>
      <c r="BI1024" s="33"/>
      <c r="BK1024" s="48">
        <f>$G1024/5280*VLOOKUP($AC1024,'Cost and Score'!$B$27:$O$40,6,0)</f>
        <v>0.2</v>
      </c>
      <c r="BL1024" s="48">
        <f>$G1024/5280*VLOOKUP($AC1024,'Cost and Score'!$B$27:$O$40,7,0)</f>
        <v>3.2</v>
      </c>
      <c r="BM1024" s="48">
        <f>$G1024/5280*VLOOKUP($AC1024,'Cost and Score'!$B$27:$O$40,8,0)</f>
        <v>0</v>
      </c>
      <c r="BN1024" s="48">
        <f>$G1024/5280*VLOOKUP($AC1024,'Cost and Score'!$B$27:$O$40,9,0)</f>
        <v>0</v>
      </c>
      <c r="BO1024" s="48">
        <f>$G1024/5280*VLOOKUP($AC1024,'Cost and Score'!$B$27:$O$40,10,0)</f>
        <v>0</v>
      </c>
      <c r="BP1024" s="48">
        <f>$G1024/5280*VLOOKUP($AC1024,'Cost and Score'!$B$27:$O$40,11,0)</f>
        <v>0</v>
      </c>
      <c r="BQ1024" s="48">
        <f>$G1024/5280*VLOOKUP($AC1024,'Cost and Score'!$B$27:$O$40,12,0)</f>
        <v>0</v>
      </c>
      <c r="BR1024" s="48">
        <f>$G1024/5280*VLOOKUP($AC1024,'Cost and Score'!$B$27:$O$40,13,0)</f>
        <v>0</v>
      </c>
      <c r="BS1024" s="48">
        <f>$G1024/5280*VLOOKUP($AC1024,'Cost and Score'!$B$27:$O$40,14,0)</f>
        <v>0</v>
      </c>
      <c r="BT1024" s="220">
        <f t="shared" si="507"/>
        <v>0.2</v>
      </c>
      <c r="CN1024" s="112"/>
      <c r="CO1024" s="112"/>
      <c r="CP1024" s="112"/>
      <c r="CQ1024" s="112"/>
      <c r="CV1024" s="112"/>
      <c r="CW1024" s="112"/>
      <c r="CX1024" s="112"/>
      <c r="CY1024" s="112"/>
    </row>
    <row r="1025" spans="1:103" s="2" customFormat="1" ht="14.45" hidden="1" customHeight="1" x14ac:dyDescent="0.25">
      <c r="A1025" s="31" t="s">
        <v>2102</v>
      </c>
      <c r="B1025" s="224" t="s">
        <v>1881</v>
      </c>
      <c r="C1025" s="26" t="s">
        <v>1881</v>
      </c>
      <c r="D1025" s="36" t="s">
        <v>2276</v>
      </c>
      <c r="E1025" s="26" t="s">
        <v>162</v>
      </c>
      <c r="F1025" s="26" t="s">
        <v>1495</v>
      </c>
      <c r="G1025" s="29">
        <v>581</v>
      </c>
      <c r="H1025" s="29">
        <f t="shared" si="541"/>
        <v>26</v>
      </c>
      <c r="I1025" s="26" t="s">
        <v>2098</v>
      </c>
      <c r="J1025" s="26" t="s">
        <v>160</v>
      </c>
      <c r="K1025" s="26">
        <f t="shared" ref="K1025:K1040" si="542">VLOOKUP(J1025,TOWNSHIPS,2,FALSE)</f>
        <v>0</v>
      </c>
      <c r="L1025" s="42">
        <v>7</v>
      </c>
      <c r="M1025" s="42">
        <v>8</v>
      </c>
      <c r="N1025" s="42">
        <v>10</v>
      </c>
      <c r="O1025" s="42">
        <v>9</v>
      </c>
      <c r="P1025" s="42">
        <v>8</v>
      </c>
      <c r="Q1025" s="42">
        <v>7</v>
      </c>
      <c r="R1025" s="42">
        <v>7</v>
      </c>
      <c r="S1025" s="42">
        <v>7</v>
      </c>
      <c r="T1025" s="42">
        <v>6</v>
      </c>
      <c r="U1025" s="42">
        <v>6</v>
      </c>
      <c r="V1025" s="42"/>
      <c r="W1025" s="42"/>
      <c r="X1025" s="42"/>
      <c r="Y1025" s="26">
        <v>202</v>
      </c>
      <c r="Z1025" s="26">
        <f t="shared" si="531"/>
        <v>0</v>
      </c>
      <c r="AA1025" s="26" t="s">
        <v>1881</v>
      </c>
      <c r="AB1025" s="111">
        <f t="shared" si="540"/>
        <v>2</v>
      </c>
      <c r="AC1025" s="85" t="s">
        <v>2371</v>
      </c>
      <c r="AD1025" s="47">
        <f t="shared" si="537"/>
        <v>8803.0303030303039</v>
      </c>
      <c r="AE1025" s="140">
        <v>1</v>
      </c>
      <c r="AF1025" s="113">
        <f t="shared" si="510"/>
        <v>8803.0303030303039</v>
      </c>
      <c r="AG1025" s="85">
        <v>2024</v>
      </c>
      <c r="AH1025" s="26" t="str">
        <f t="shared" si="520"/>
        <v/>
      </c>
      <c r="AI1025" s="26" t="str">
        <f t="shared" si="526"/>
        <v/>
      </c>
      <c r="AJ1025" s="26" t="str">
        <f t="shared" si="529"/>
        <v>Microsurface double</v>
      </c>
      <c r="AK1025" s="26" t="str">
        <f t="shared" si="539"/>
        <v/>
      </c>
      <c r="AL1025" s="26" t="str">
        <f t="shared" si="539"/>
        <v/>
      </c>
      <c r="AM1025" s="26" t="str">
        <f t="shared" si="539"/>
        <v/>
      </c>
      <c r="AN1025" s="26" t="str">
        <f t="shared" si="523"/>
        <v>Microsurface double</v>
      </c>
      <c r="AO1025" s="26" t="str">
        <f t="shared" si="530"/>
        <v/>
      </c>
      <c r="AP1025" s="26" t="str">
        <f t="shared" si="527"/>
        <v/>
      </c>
      <c r="AQ1025" s="68">
        <f t="shared" si="532"/>
        <v>14</v>
      </c>
      <c r="AR1025" s="68">
        <f t="shared" si="533"/>
        <v>10</v>
      </c>
      <c r="AS1025" s="68">
        <f t="shared" si="513"/>
        <v>1.05</v>
      </c>
      <c r="AT1025" s="68">
        <f t="shared" si="514"/>
        <v>1</v>
      </c>
      <c r="AU1025" s="68">
        <f t="shared" si="515"/>
        <v>1</v>
      </c>
      <c r="AV1025" s="68">
        <f t="shared" si="516"/>
        <v>1</v>
      </c>
      <c r="AW1025" s="68">
        <f t="shared" si="517"/>
        <v>1</v>
      </c>
      <c r="AX1025" s="68">
        <f t="shared" ca="1" si="534"/>
        <v>0</v>
      </c>
      <c r="AY1025" s="68">
        <v>2016</v>
      </c>
      <c r="AZ1025" s="68" t="s">
        <v>2371</v>
      </c>
      <c r="BA1025" s="106" t="str">
        <f t="shared" si="535"/>
        <v/>
      </c>
      <c r="BB1025" s="178"/>
      <c r="BC1025" s="178"/>
      <c r="BD1025" s="178"/>
      <c r="BE1025" s="178"/>
      <c r="BF1025" s="178"/>
      <c r="BG1025" s="178">
        <v>4</v>
      </c>
      <c r="BH1025" s="178"/>
      <c r="BI1025" s="33"/>
      <c r="BK1025" s="48">
        <f>$G1025/5280*VLOOKUP($AC1025,'Cost and Score'!$B$27:$O$40,6,0)</f>
        <v>5.5018939393939391E-2</v>
      </c>
      <c r="BL1025" s="48">
        <f>$G1025/5280*VLOOKUP($AC1025,'Cost and Score'!$B$27:$O$40,7,0)</f>
        <v>0</v>
      </c>
      <c r="BM1025" s="48">
        <f>$G1025/5280*VLOOKUP($AC1025,'Cost and Score'!$B$27:$O$40,8,0)</f>
        <v>0</v>
      </c>
      <c r="BN1025" s="48">
        <f>$G1025/5280*VLOOKUP($AC1025,'Cost and Score'!$B$27:$O$40,9,0)</f>
        <v>0</v>
      </c>
      <c r="BO1025" s="48">
        <f>$G1025/5280*VLOOKUP($AC1025,'Cost and Score'!$B$27:$O$40,10,0)</f>
        <v>0</v>
      </c>
      <c r="BP1025" s="48">
        <f>$G1025/5280*VLOOKUP($AC1025,'Cost and Score'!$B$27:$O$40,11,0)</f>
        <v>0</v>
      </c>
      <c r="BQ1025" s="48">
        <f>$G1025/5280*VLOOKUP($AC1025,'Cost and Score'!$B$27:$O$40,12,0)</f>
        <v>0</v>
      </c>
      <c r="BR1025" s="48">
        <f>$G1025/5280*VLOOKUP($AC1025,'Cost and Score'!$B$27:$O$40,13,0)</f>
        <v>0</v>
      </c>
      <c r="BS1025" s="48">
        <f>$G1025/5280*VLOOKUP($AC1025,'Cost and Score'!$B$27:$O$40,14,0)</f>
        <v>0</v>
      </c>
      <c r="BT1025" s="220">
        <f t="shared" si="507"/>
        <v>0.11003787878787878</v>
      </c>
      <c r="CR1025" s="112"/>
      <c r="CW1025" s="112"/>
      <c r="CX1025" s="112"/>
      <c r="CY1025" s="112"/>
    </row>
    <row r="1026" spans="1:103" s="2" customFormat="1" ht="14.45" customHeight="1" x14ac:dyDescent="0.25">
      <c r="A1026" s="38" t="s">
        <v>1361</v>
      </c>
      <c r="B1026" s="108" t="s">
        <v>1360</v>
      </c>
      <c r="C1026" s="106" t="s">
        <v>1360</v>
      </c>
      <c r="D1026" s="106"/>
      <c r="E1026" s="106" t="s">
        <v>168</v>
      </c>
      <c r="F1026" s="106" t="s">
        <v>895</v>
      </c>
      <c r="G1026" s="121">
        <v>2703</v>
      </c>
      <c r="H1026" s="109">
        <f t="shared" si="541"/>
        <v>20</v>
      </c>
      <c r="I1026" s="106" t="s">
        <v>8</v>
      </c>
      <c r="J1026" s="106" t="s">
        <v>11</v>
      </c>
      <c r="K1026" s="106">
        <f t="shared" si="542"/>
        <v>0</v>
      </c>
      <c r="L1026" s="110">
        <v>6</v>
      </c>
      <c r="M1026" s="110">
        <v>6</v>
      </c>
      <c r="N1026" s="110">
        <v>6</v>
      </c>
      <c r="O1026" s="110">
        <v>6</v>
      </c>
      <c r="P1026" s="110">
        <v>9</v>
      </c>
      <c r="Q1026" s="110">
        <v>8</v>
      </c>
      <c r="R1026" s="110">
        <v>8</v>
      </c>
      <c r="S1026" s="110">
        <v>7</v>
      </c>
      <c r="T1026" s="110">
        <v>7</v>
      </c>
      <c r="U1026" s="110">
        <v>7</v>
      </c>
      <c r="V1026" s="110"/>
      <c r="W1026" s="110"/>
      <c r="X1026" s="110"/>
      <c r="Y1026" s="106">
        <v>287</v>
      </c>
      <c r="Z1026" s="106">
        <f t="shared" si="531"/>
        <v>0</v>
      </c>
      <c r="AA1026" s="106" t="s">
        <v>38</v>
      </c>
      <c r="AB1026" s="111">
        <f t="shared" si="540"/>
        <v>1</v>
      </c>
      <c r="AC1026" s="85" t="s">
        <v>751</v>
      </c>
      <c r="AD1026" s="107">
        <f t="shared" si="537"/>
        <v>56312.5</v>
      </c>
      <c r="AE1026" s="198"/>
      <c r="AF1026" s="113">
        <f t="shared" si="510"/>
        <v>0</v>
      </c>
      <c r="AG1026" s="106">
        <v>2025</v>
      </c>
      <c r="AH1026" s="26" t="str">
        <f t="shared" si="520"/>
        <v/>
      </c>
      <c r="AI1026" s="26" t="str">
        <f t="shared" si="526"/>
        <v/>
      </c>
      <c r="AJ1026" s="26" t="str">
        <f t="shared" si="529"/>
        <v/>
      </c>
      <c r="AK1026" s="26" t="str">
        <f t="shared" si="539"/>
        <v>Overlay - 2"</v>
      </c>
      <c r="AL1026" s="26" t="str">
        <f t="shared" si="539"/>
        <v/>
      </c>
      <c r="AM1026" s="26" t="str">
        <f t="shared" si="539"/>
        <v/>
      </c>
      <c r="AN1026" s="26" t="str">
        <f t="shared" si="523"/>
        <v>Overlay - 2"</v>
      </c>
      <c r="AO1026" s="26" t="str">
        <f t="shared" si="530"/>
        <v/>
      </c>
      <c r="AP1026" s="26" t="str">
        <f t="shared" si="527"/>
        <v/>
      </c>
      <c r="AQ1026" s="68">
        <f t="shared" si="532"/>
        <v>8</v>
      </c>
      <c r="AR1026" s="68">
        <f t="shared" si="533"/>
        <v>12</v>
      </c>
      <c r="AS1026" s="68">
        <f t="shared" si="513"/>
        <v>1.1000000000000001</v>
      </c>
      <c r="AT1026" s="68">
        <f t="shared" si="514"/>
        <v>1.1000000000000001</v>
      </c>
      <c r="AU1026" s="68">
        <f t="shared" si="515"/>
        <v>1.1000000000000001</v>
      </c>
      <c r="AV1026" s="68">
        <f t="shared" si="516"/>
        <v>1.1000000000000001</v>
      </c>
      <c r="AW1026" s="68">
        <f t="shared" si="517"/>
        <v>1</v>
      </c>
      <c r="AX1026" s="68">
        <f t="shared" ca="1" si="534"/>
        <v>1.1000000000000001</v>
      </c>
      <c r="AY1026" s="106">
        <v>2017</v>
      </c>
      <c r="AZ1026" s="106" t="s">
        <v>751</v>
      </c>
      <c r="BA1026" s="106" t="str">
        <f t="shared" si="535"/>
        <v/>
      </c>
      <c r="BB1026" s="177"/>
      <c r="BC1026" s="177">
        <v>2</v>
      </c>
      <c r="BD1026" s="177"/>
      <c r="BE1026" s="177"/>
      <c r="BF1026" s="177"/>
      <c r="BG1026" s="177"/>
      <c r="BH1026" s="177"/>
      <c r="BI1026" s="33"/>
      <c r="BK1026" s="48">
        <f>$G1026/5280*VLOOKUP($AC1026,'Cost and Score'!$B$27:$O$40,6,0)</f>
        <v>1.1518465909090909</v>
      </c>
      <c r="BL1026" s="48">
        <f>$G1026/5280*VLOOKUP($AC1026,'Cost and Score'!$B$27:$O$40,7,0)</f>
        <v>107.50568181818183</v>
      </c>
      <c r="BM1026" s="48">
        <f>$G1026/5280*VLOOKUP($AC1026,'Cost and Score'!$B$27:$O$40,8,0)</f>
        <v>179.17613636363637</v>
      </c>
      <c r="BN1026" s="48">
        <f>$G1026/5280*VLOOKUP($AC1026,'Cost and Score'!$B$27:$O$40,9,0)</f>
        <v>0</v>
      </c>
      <c r="BO1026" s="48">
        <f>$G1026/5280*VLOOKUP($AC1026,'Cost and Score'!$B$27:$O$40,10,0)</f>
        <v>0</v>
      </c>
      <c r="BP1026" s="48">
        <f>$G1026/5280*VLOOKUP($AC1026,'Cost and Score'!$B$27:$O$40,11,0)</f>
        <v>102.38636363636364</v>
      </c>
      <c r="BQ1026" s="48">
        <f>$G1026/5280*VLOOKUP($AC1026,'Cost and Score'!$B$27:$O$40,12,0)</f>
        <v>870.28409090909099</v>
      </c>
      <c r="BR1026" s="48">
        <f>$G1026/5280*VLOOKUP($AC1026,'Cost and Score'!$B$27:$O$40,13,0)</f>
        <v>0</v>
      </c>
      <c r="BS1026" s="48">
        <f>$G1026/5280*VLOOKUP($AC1026,'Cost and Score'!$B$27:$O$40,14,0)</f>
        <v>0</v>
      </c>
      <c r="BT1026" s="220">
        <f t="shared" ref="BT1026:BT1089" si="543">G1026/5280</f>
        <v>0.51193181818181821</v>
      </c>
      <c r="CF1026" s="112"/>
    </row>
    <row r="1027" spans="1:103" s="2" customFormat="1" ht="14.45" hidden="1" customHeight="1" x14ac:dyDescent="0.25">
      <c r="A1027" s="31" t="s">
        <v>2102</v>
      </c>
      <c r="B1027" s="224" t="s">
        <v>1883</v>
      </c>
      <c r="C1027" s="26" t="s">
        <v>1883</v>
      </c>
      <c r="D1027" s="36" t="s">
        <v>2271</v>
      </c>
      <c r="E1027" s="26" t="s">
        <v>1512</v>
      </c>
      <c r="F1027" s="26" t="s">
        <v>1505</v>
      </c>
      <c r="G1027" s="29">
        <v>1320</v>
      </c>
      <c r="H1027" s="29">
        <f t="shared" si="541"/>
        <v>26</v>
      </c>
      <c r="I1027" s="26" t="s">
        <v>2098</v>
      </c>
      <c r="J1027" s="26" t="s">
        <v>125</v>
      </c>
      <c r="K1027" s="26">
        <f t="shared" si="542"/>
        <v>0</v>
      </c>
      <c r="L1027" s="42">
        <v>6</v>
      </c>
      <c r="M1027" s="42">
        <v>5</v>
      </c>
      <c r="N1027" s="42">
        <v>10</v>
      </c>
      <c r="O1027" s="42">
        <v>7</v>
      </c>
      <c r="P1027" s="42">
        <v>7</v>
      </c>
      <c r="Q1027" s="42">
        <v>8</v>
      </c>
      <c r="R1027" s="42">
        <v>7</v>
      </c>
      <c r="S1027" s="42">
        <v>7</v>
      </c>
      <c r="T1027" s="42">
        <v>7</v>
      </c>
      <c r="U1027" s="42">
        <v>7</v>
      </c>
      <c r="V1027" s="42"/>
      <c r="W1027" s="42"/>
      <c r="X1027" s="42"/>
      <c r="Y1027" s="26">
        <v>50</v>
      </c>
      <c r="Z1027" s="26">
        <f t="shared" si="531"/>
        <v>0</v>
      </c>
      <c r="AA1027" s="26" t="s">
        <v>1883</v>
      </c>
      <c r="AB1027" s="111">
        <f t="shared" si="540"/>
        <v>3</v>
      </c>
      <c r="AC1027" s="85" t="s">
        <v>2425</v>
      </c>
      <c r="AD1027" s="47">
        <f t="shared" si="537"/>
        <v>6250</v>
      </c>
      <c r="AE1027" s="140"/>
      <c r="AF1027" s="113">
        <f t="shared" si="510"/>
        <v>0</v>
      </c>
      <c r="AG1027" s="85">
        <v>2026</v>
      </c>
      <c r="AH1027" s="26" t="str">
        <f t="shared" si="520"/>
        <v/>
      </c>
      <c r="AI1027" s="26" t="str">
        <f t="shared" si="526"/>
        <v/>
      </c>
      <c r="AJ1027" s="26" t="str">
        <f t="shared" si="529"/>
        <v/>
      </c>
      <c r="AK1027" s="26" t="str">
        <f t="shared" si="539"/>
        <v/>
      </c>
      <c r="AL1027" s="26" t="str">
        <f t="shared" si="539"/>
        <v>Liquid Road</v>
      </c>
      <c r="AM1027" s="26" t="str">
        <f t="shared" si="539"/>
        <v/>
      </c>
      <c r="AN1027" s="26" t="str">
        <f t="shared" si="523"/>
        <v>Liquid Road</v>
      </c>
      <c r="AO1027" s="26" t="str">
        <f t="shared" si="530"/>
        <v/>
      </c>
      <c r="AP1027" s="26" t="str">
        <f t="shared" si="527"/>
        <v/>
      </c>
      <c r="AQ1027" s="68">
        <f t="shared" si="532"/>
        <v>10</v>
      </c>
      <c r="AR1027" s="68">
        <f t="shared" si="533"/>
        <v>10</v>
      </c>
      <c r="AS1027" s="68">
        <f t="shared" si="513"/>
        <v>1.1000000000000001</v>
      </c>
      <c r="AT1027" s="68">
        <f t="shared" si="514"/>
        <v>1.25</v>
      </c>
      <c r="AU1027" s="68">
        <f t="shared" si="515"/>
        <v>1</v>
      </c>
      <c r="AV1027" s="68">
        <f t="shared" si="516"/>
        <v>1.05</v>
      </c>
      <c r="AW1027" s="68">
        <f t="shared" si="517"/>
        <v>1.05</v>
      </c>
      <c r="AX1027" s="68">
        <f t="shared" ca="1" si="534"/>
        <v>2</v>
      </c>
      <c r="AY1027" s="68">
        <v>2016</v>
      </c>
      <c r="AZ1027" s="68" t="s">
        <v>751</v>
      </c>
      <c r="BA1027" s="106" t="str">
        <f t="shared" si="535"/>
        <v/>
      </c>
      <c r="BB1027" s="178"/>
      <c r="BC1027" s="178"/>
      <c r="BD1027" s="178"/>
      <c r="BE1027" s="178"/>
      <c r="BF1027" s="178">
        <v>3</v>
      </c>
      <c r="BG1027" s="178"/>
      <c r="BH1027" s="178"/>
      <c r="BI1027" s="33"/>
      <c r="BK1027" s="48">
        <f>$G1027/5280*VLOOKUP($AC1027,'Cost and Score'!$B$27:$O$40,6,0)</f>
        <v>0.25</v>
      </c>
      <c r="BL1027" s="48">
        <f>$G1027/5280*VLOOKUP($AC1027,'Cost and Score'!$B$27:$O$40,7,0)</f>
        <v>4</v>
      </c>
      <c r="BM1027" s="48">
        <f>$G1027/5280*VLOOKUP($AC1027,'Cost and Score'!$B$27:$O$40,8,0)</f>
        <v>0</v>
      </c>
      <c r="BN1027" s="48">
        <f>$G1027/5280*VLOOKUP($AC1027,'Cost and Score'!$B$27:$O$40,9,0)</f>
        <v>0</v>
      </c>
      <c r="BO1027" s="48">
        <f>$G1027/5280*VLOOKUP($AC1027,'Cost and Score'!$B$27:$O$40,10,0)</f>
        <v>0</v>
      </c>
      <c r="BP1027" s="48">
        <f>$G1027/5280*VLOOKUP($AC1027,'Cost and Score'!$B$27:$O$40,11,0)</f>
        <v>0</v>
      </c>
      <c r="BQ1027" s="48">
        <f>$G1027/5280*VLOOKUP($AC1027,'Cost and Score'!$B$27:$O$40,12,0)</f>
        <v>0</v>
      </c>
      <c r="BR1027" s="48">
        <f>$G1027/5280*VLOOKUP($AC1027,'Cost and Score'!$B$27:$O$40,13,0)</f>
        <v>0</v>
      </c>
      <c r="BS1027" s="48">
        <f>$G1027/5280*VLOOKUP($AC1027,'Cost and Score'!$B$27:$O$40,14,0)</f>
        <v>0</v>
      </c>
      <c r="BT1027" s="220">
        <f t="shared" si="543"/>
        <v>0.25</v>
      </c>
      <c r="CR1027" s="112"/>
    </row>
    <row r="1028" spans="1:103" s="2" customFormat="1" ht="14.45" hidden="1" customHeight="1" x14ac:dyDescent="0.25">
      <c r="A1028" s="31" t="s">
        <v>2102</v>
      </c>
      <c r="B1028" s="224" t="s">
        <v>1884</v>
      </c>
      <c r="C1028" s="26" t="s">
        <v>1884</v>
      </c>
      <c r="D1028" s="36" t="s">
        <v>2271</v>
      </c>
      <c r="E1028" s="26" t="s">
        <v>1512</v>
      </c>
      <c r="F1028" s="26" t="s">
        <v>1742</v>
      </c>
      <c r="G1028" s="29">
        <v>634</v>
      </c>
      <c r="H1028" s="29">
        <f t="shared" si="541"/>
        <v>26</v>
      </c>
      <c r="I1028" s="26" t="s">
        <v>2098</v>
      </c>
      <c r="J1028" s="26" t="s">
        <v>125</v>
      </c>
      <c r="K1028" s="26">
        <f t="shared" si="542"/>
        <v>0</v>
      </c>
      <c r="L1028" s="42">
        <v>6</v>
      </c>
      <c r="M1028" s="42">
        <v>7</v>
      </c>
      <c r="N1028" s="42">
        <v>10</v>
      </c>
      <c r="O1028" s="42">
        <v>9</v>
      </c>
      <c r="P1028" s="42">
        <v>9</v>
      </c>
      <c r="Q1028" s="42">
        <v>9</v>
      </c>
      <c r="R1028" s="42">
        <v>8</v>
      </c>
      <c r="S1028" s="42">
        <v>7</v>
      </c>
      <c r="T1028" s="42">
        <v>7</v>
      </c>
      <c r="U1028" s="42">
        <v>7</v>
      </c>
      <c r="V1028" s="42"/>
      <c r="W1028" s="42"/>
      <c r="X1028" s="42"/>
      <c r="Y1028" s="26">
        <v>50</v>
      </c>
      <c r="Z1028" s="26">
        <f t="shared" si="531"/>
        <v>0</v>
      </c>
      <c r="AA1028" s="26" t="s">
        <v>1884</v>
      </c>
      <c r="AB1028" s="111">
        <f t="shared" si="540"/>
        <v>1</v>
      </c>
      <c r="AC1028" s="85" t="s">
        <v>2425</v>
      </c>
      <c r="AD1028" s="47">
        <f t="shared" si="537"/>
        <v>3001.8939393939395</v>
      </c>
      <c r="AE1028" s="140"/>
      <c r="AF1028" s="113">
        <f t="shared" si="510"/>
        <v>0</v>
      </c>
      <c r="AG1028" s="85">
        <v>2026</v>
      </c>
      <c r="AH1028" s="26" t="str">
        <f t="shared" si="520"/>
        <v/>
      </c>
      <c r="AI1028" s="26" t="str">
        <f t="shared" si="526"/>
        <v/>
      </c>
      <c r="AJ1028" s="26" t="str">
        <f t="shared" si="529"/>
        <v/>
      </c>
      <c r="AK1028" s="26" t="str">
        <f t="shared" ref="AK1028:AM1047" si="544">IF($AG1028=AK$1,VLOOKUP($AC1028,RSL,3,FALSE),"")</f>
        <v/>
      </c>
      <c r="AL1028" s="26" t="str">
        <f t="shared" si="544"/>
        <v>Liquid Road</v>
      </c>
      <c r="AM1028" s="26" t="str">
        <f t="shared" si="544"/>
        <v/>
      </c>
      <c r="AN1028" s="26" t="str">
        <f t="shared" si="523"/>
        <v>Liquid Road</v>
      </c>
      <c r="AO1028" s="26" t="str">
        <f t="shared" si="530"/>
        <v/>
      </c>
      <c r="AP1028" s="26" t="str">
        <f t="shared" si="527"/>
        <v/>
      </c>
      <c r="AQ1028" s="68">
        <f t="shared" si="532"/>
        <v>14</v>
      </c>
      <c r="AR1028" s="68">
        <f t="shared" si="533"/>
        <v>10</v>
      </c>
      <c r="AS1028" s="68">
        <f t="shared" si="513"/>
        <v>1.1000000000000001</v>
      </c>
      <c r="AT1028" s="68">
        <f t="shared" si="514"/>
        <v>1.05</v>
      </c>
      <c r="AU1028" s="68">
        <f t="shared" si="515"/>
        <v>1</v>
      </c>
      <c r="AV1028" s="68">
        <f t="shared" si="516"/>
        <v>1</v>
      </c>
      <c r="AW1028" s="68">
        <f t="shared" si="517"/>
        <v>1</v>
      </c>
      <c r="AX1028" s="68">
        <f t="shared" ca="1" si="534"/>
        <v>2</v>
      </c>
      <c r="AY1028" s="68">
        <v>2016</v>
      </c>
      <c r="AZ1028" s="68" t="s">
        <v>751</v>
      </c>
      <c r="BA1028" s="106" t="str">
        <f t="shared" si="535"/>
        <v/>
      </c>
      <c r="BB1028" s="178"/>
      <c r="BC1028" s="178"/>
      <c r="BD1028" s="178"/>
      <c r="BE1028" s="178"/>
      <c r="BF1028" s="178">
        <v>3</v>
      </c>
      <c r="BG1028" s="178"/>
      <c r="BH1028" s="178"/>
      <c r="BI1028" s="33"/>
      <c r="BK1028" s="48">
        <f>$G1028/5280*VLOOKUP($AC1028,'Cost and Score'!$B$27:$O$40,6,0)</f>
        <v>0.12007575757575757</v>
      </c>
      <c r="BL1028" s="48">
        <f>$G1028/5280*VLOOKUP($AC1028,'Cost and Score'!$B$27:$O$40,7,0)</f>
        <v>1.9212121212121211</v>
      </c>
      <c r="BM1028" s="48">
        <f>$G1028/5280*VLOOKUP($AC1028,'Cost and Score'!$B$27:$O$40,8,0)</f>
        <v>0</v>
      </c>
      <c r="BN1028" s="48">
        <f>$G1028/5280*VLOOKUP($AC1028,'Cost and Score'!$B$27:$O$40,9,0)</f>
        <v>0</v>
      </c>
      <c r="BO1028" s="48">
        <f>$G1028/5280*VLOOKUP($AC1028,'Cost and Score'!$B$27:$O$40,10,0)</f>
        <v>0</v>
      </c>
      <c r="BP1028" s="48">
        <f>$G1028/5280*VLOOKUP($AC1028,'Cost and Score'!$B$27:$O$40,11,0)</f>
        <v>0</v>
      </c>
      <c r="BQ1028" s="48">
        <f>$G1028/5280*VLOOKUP($AC1028,'Cost and Score'!$B$27:$O$40,12,0)</f>
        <v>0</v>
      </c>
      <c r="BR1028" s="48">
        <f>$G1028/5280*VLOOKUP($AC1028,'Cost and Score'!$B$27:$O$40,13,0)</f>
        <v>0</v>
      </c>
      <c r="BS1028" s="48">
        <f>$G1028/5280*VLOOKUP($AC1028,'Cost and Score'!$B$27:$O$40,14,0)</f>
        <v>0</v>
      </c>
      <c r="BT1028" s="220">
        <f t="shared" si="543"/>
        <v>0.12007575757575757</v>
      </c>
      <c r="CF1028" s="112"/>
    </row>
    <row r="1029" spans="1:103" s="2" customFormat="1" ht="14.45" hidden="1" customHeight="1" x14ac:dyDescent="0.25">
      <c r="A1029" s="31" t="s">
        <v>2102</v>
      </c>
      <c r="B1029" s="45" t="s">
        <v>1885</v>
      </c>
      <c r="C1029" s="26" t="s">
        <v>1885</v>
      </c>
      <c r="D1029" s="36" t="s">
        <v>2306</v>
      </c>
      <c r="E1029" s="26" t="s">
        <v>1407</v>
      </c>
      <c r="F1029" s="26" t="s">
        <v>1408</v>
      </c>
      <c r="G1029" s="29">
        <v>1954</v>
      </c>
      <c r="H1029" s="29">
        <f t="shared" si="541"/>
        <v>26</v>
      </c>
      <c r="I1029" s="26" t="s">
        <v>2098</v>
      </c>
      <c r="J1029" s="26" t="s">
        <v>125</v>
      </c>
      <c r="K1029" s="26">
        <f t="shared" si="542"/>
        <v>0</v>
      </c>
      <c r="L1029" s="42">
        <v>7</v>
      </c>
      <c r="M1029" s="42">
        <v>7</v>
      </c>
      <c r="N1029" s="42">
        <v>6</v>
      </c>
      <c r="O1029" s="42">
        <v>6</v>
      </c>
      <c r="P1029" s="42">
        <v>6</v>
      </c>
      <c r="Q1029" s="42">
        <v>7</v>
      </c>
      <c r="R1029" s="42">
        <v>7</v>
      </c>
      <c r="S1029" s="42">
        <v>6</v>
      </c>
      <c r="T1029" s="42">
        <v>6</v>
      </c>
      <c r="U1029" s="42">
        <v>6</v>
      </c>
      <c r="V1029" s="42"/>
      <c r="W1029" s="42"/>
      <c r="X1029" s="42"/>
      <c r="Y1029" s="26">
        <v>50</v>
      </c>
      <c r="Z1029" s="26">
        <f t="shared" si="531"/>
        <v>0</v>
      </c>
      <c r="AA1029" s="26" t="s">
        <v>1885</v>
      </c>
      <c r="AB1029" s="111">
        <f t="shared" si="540"/>
        <v>4</v>
      </c>
      <c r="AC1029" s="26" t="s">
        <v>2086</v>
      </c>
      <c r="AD1029" s="47">
        <v>22015</v>
      </c>
      <c r="AE1029" s="140"/>
      <c r="AF1029" s="113">
        <f t="shared" si="510"/>
        <v>0</v>
      </c>
      <c r="AG1029" s="26">
        <v>2024</v>
      </c>
      <c r="AH1029" s="26" t="str">
        <f t="shared" si="520"/>
        <v/>
      </c>
      <c r="AI1029" s="26" t="str">
        <f t="shared" si="526"/>
        <v/>
      </c>
      <c r="AJ1029" s="26" t="str">
        <f t="shared" si="529"/>
        <v>Fog Seal</v>
      </c>
      <c r="AK1029" s="26" t="str">
        <f t="shared" si="544"/>
        <v/>
      </c>
      <c r="AL1029" s="26" t="str">
        <f t="shared" si="544"/>
        <v/>
      </c>
      <c r="AM1029" s="26" t="str">
        <f t="shared" si="544"/>
        <v/>
      </c>
      <c r="AN1029" s="26" t="str">
        <f t="shared" si="523"/>
        <v>Fog Seal</v>
      </c>
      <c r="AO1029" s="26" t="str">
        <f t="shared" si="530"/>
        <v/>
      </c>
      <c r="AP1029" s="26" t="str">
        <f t="shared" si="527"/>
        <v/>
      </c>
      <c r="AQ1029" s="68">
        <f t="shared" si="532"/>
        <v>8</v>
      </c>
      <c r="AR1029" s="68">
        <f t="shared" si="533"/>
        <v>2</v>
      </c>
      <c r="AS1029" s="68">
        <f t="shared" si="513"/>
        <v>1.05</v>
      </c>
      <c r="AT1029" s="68">
        <f t="shared" si="514"/>
        <v>1.05</v>
      </c>
      <c r="AU1029" s="68">
        <f t="shared" si="515"/>
        <v>1.1000000000000001</v>
      </c>
      <c r="AV1029" s="68">
        <f t="shared" si="516"/>
        <v>1.1000000000000001</v>
      </c>
      <c r="AW1029" s="68">
        <f t="shared" si="517"/>
        <v>1.1000000000000001</v>
      </c>
      <c r="AX1029" s="68">
        <f t="shared" ca="1" si="534"/>
        <v>0</v>
      </c>
      <c r="AY1029" s="68">
        <v>2018</v>
      </c>
      <c r="AZ1029" s="68" t="s">
        <v>2371</v>
      </c>
      <c r="BA1029" s="106" t="str">
        <f t="shared" si="535"/>
        <v>MICRO</v>
      </c>
      <c r="BB1029" s="178"/>
      <c r="BC1029" s="178"/>
      <c r="BD1029" s="178"/>
      <c r="BE1029" s="178"/>
      <c r="BF1029" s="178"/>
      <c r="BG1029" s="178"/>
      <c r="BH1029" s="178"/>
      <c r="BI1029" s="33"/>
      <c r="BK1029" s="48">
        <f>$G1029/5280*VLOOKUP($AC1029,'Cost and Score'!$B$27:$O$40,6,0)</f>
        <v>3.700757575757576E-2</v>
      </c>
      <c r="BL1029" s="48">
        <f>$G1029/5280*VLOOKUP($AC1029,'Cost and Score'!$B$27:$O$40,7,0)</f>
        <v>7.401515151515152E-2</v>
      </c>
      <c r="BM1029" s="48">
        <f>$G1029/5280*VLOOKUP($AC1029,'Cost and Score'!$B$27:$O$40,8,0)</f>
        <v>0</v>
      </c>
      <c r="BN1029" s="48">
        <f>$G1029/5280*VLOOKUP($AC1029,'Cost and Score'!$B$27:$O$40,9,0)</f>
        <v>0</v>
      </c>
      <c r="BO1029" s="48">
        <f>$G1029/5280*VLOOKUP($AC1029,'Cost and Score'!$B$27:$O$40,10,0)</f>
        <v>370.07575757575756</v>
      </c>
      <c r="BP1029" s="48">
        <f>$G1029/5280*VLOOKUP($AC1029,'Cost and Score'!$B$27:$O$40,11,0)</f>
        <v>0</v>
      </c>
      <c r="BQ1029" s="48">
        <f>$G1029/5280*VLOOKUP($AC1029,'Cost and Score'!$B$27:$O$40,12,0)</f>
        <v>0</v>
      </c>
      <c r="BR1029" s="48">
        <f>$G1029/5280*VLOOKUP($AC1029,'Cost and Score'!$B$27:$O$40,13,0)</f>
        <v>0</v>
      </c>
      <c r="BS1029" s="48">
        <f>$G1029/5280*VLOOKUP($AC1029,'Cost and Score'!$B$27:$O$40,14,0)</f>
        <v>0</v>
      </c>
      <c r="BT1029" s="220">
        <f t="shared" si="543"/>
        <v>0.37007575757575756</v>
      </c>
      <c r="CF1029" s="112"/>
      <c r="CS1029" s="112"/>
      <c r="CT1029" s="112"/>
      <c r="CU1029" s="112"/>
    </row>
    <row r="1030" spans="1:103" s="2" customFormat="1" ht="14.45" hidden="1" customHeight="1" x14ac:dyDescent="0.25">
      <c r="A1030" s="31" t="s">
        <v>2102</v>
      </c>
      <c r="B1030" s="226" t="s">
        <v>1886</v>
      </c>
      <c r="C1030" s="106" t="s">
        <v>1886</v>
      </c>
      <c r="D1030" s="116" t="s">
        <v>2237</v>
      </c>
      <c r="E1030" s="106" t="s">
        <v>1548</v>
      </c>
      <c r="F1030" s="106" t="s">
        <v>1416</v>
      </c>
      <c r="G1030" s="109">
        <v>317</v>
      </c>
      <c r="H1030" s="109">
        <f t="shared" si="541"/>
        <v>26</v>
      </c>
      <c r="I1030" s="106" t="s">
        <v>2098</v>
      </c>
      <c r="J1030" s="106" t="s">
        <v>160</v>
      </c>
      <c r="K1030" s="106">
        <f t="shared" si="542"/>
        <v>0</v>
      </c>
      <c r="L1030" s="110">
        <v>7</v>
      </c>
      <c r="M1030" s="110">
        <v>8</v>
      </c>
      <c r="N1030" s="110">
        <v>7</v>
      </c>
      <c r="O1030" s="110">
        <v>7</v>
      </c>
      <c r="P1030" s="110">
        <v>7</v>
      </c>
      <c r="Q1030" s="110">
        <v>7</v>
      </c>
      <c r="R1030" s="110">
        <v>7</v>
      </c>
      <c r="S1030" s="110">
        <v>7</v>
      </c>
      <c r="T1030" s="110">
        <v>7</v>
      </c>
      <c r="U1030" s="110">
        <v>7</v>
      </c>
      <c r="V1030" s="110"/>
      <c r="W1030" s="110"/>
      <c r="X1030" s="110"/>
      <c r="Y1030" s="106">
        <v>392</v>
      </c>
      <c r="Z1030" s="106">
        <f t="shared" si="531"/>
        <v>0</v>
      </c>
      <c r="AA1030" s="106" t="s">
        <v>1886</v>
      </c>
      <c r="AB1030" s="111">
        <f t="shared" si="540"/>
        <v>3</v>
      </c>
      <c r="AC1030" s="106" t="s">
        <v>2425</v>
      </c>
      <c r="AD1030" s="107">
        <f t="shared" ref="AD1030:AD1039" si="545">VLOOKUP(AC1030,Cost,2,FALSE)*G1030/5280</f>
        <v>1500.9469696969697</v>
      </c>
      <c r="AE1030" s="198"/>
      <c r="AF1030" s="113">
        <f t="shared" si="510"/>
        <v>0</v>
      </c>
      <c r="AG1030" s="85">
        <v>2026</v>
      </c>
      <c r="AH1030" s="26" t="str">
        <f t="shared" si="520"/>
        <v/>
      </c>
      <c r="AI1030" s="26" t="str">
        <f t="shared" si="526"/>
        <v/>
      </c>
      <c r="AJ1030" s="26" t="str">
        <f t="shared" si="529"/>
        <v/>
      </c>
      <c r="AK1030" s="26" t="str">
        <f t="shared" si="544"/>
        <v/>
      </c>
      <c r="AL1030" s="26" t="str">
        <f t="shared" si="544"/>
        <v>Liquid Road</v>
      </c>
      <c r="AM1030" s="26" t="str">
        <f t="shared" si="544"/>
        <v/>
      </c>
      <c r="AN1030" s="26" t="str">
        <f t="shared" si="523"/>
        <v>Liquid Road</v>
      </c>
      <c r="AO1030" s="26" t="str">
        <f t="shared" si="530"/>
        <v/>
      </c>
      <c r="AP1030" s="26" t="str">
        <f t="shared" si="527"/>
        <v/>
      </c>
      <c r="AQ1030" s="68">
        <f t="shared" si="532"/>
        <v>10</v>
      </c>
      <c r="AR1030" s="68">
        <f t="shared" si="533"/>
        <v>10</v>
      </c>
      <c r="AS1030" s="68">
        <f t="shared" si="513"/>
        <v>1.05</v>
      </c>
      <c r="AT1030" s="68">
        <f t="shared" si="514"/>
        <v>1</v>
      </c>
      <c r="AU1030" s="68">
        <f t="shared" si="515"/>
        <v>1.05</v>
      </c>
      <c r="AV1030" s="68">
        <f t="shared" si="516"/>
        <v>1.05</v>
      </c>
      <c r="AW1030" s="68">
        <f t="shared" si="517"/>
        <v>1.05</v>
      </c>
      <c r="AX1030" s="68">
        <f t="shared" ca="1" si="534"/>
        <v>2.1</v>
      </c>
      <c r="AY1030" s="106">
        <v>2017</v>
      </c>
      <c r="AZ1030" s="106" t="s">
        <v>2086</v>
      </c>
      <c r="BA1030" s="106" t="str">
        <f t="shared" si="535"/>
        <v/>
      </c>
      <c r="BB1030" s="177"/>
      <c r="BC1030" s="177"/>
      <c r="BD1030" s="177"/>
      <c r="BE1030" s="177">
        <v>2</v>
      </c>
      <c r="BF1030" s="177"/>
      <c r="BG1030" s="177"/>
      <c r="BH1030" s="177"/>
      <c r="BI1030" s="33"/>
      <c r="BK1030" s="48">
        <f>$G1030/5280*VLOOKUP($AC1030,'Cost and Score'!$B$27:$O$40,6,0)</f>
        <v>6.0037878787878786E-2</v>
      </c>
      <c r="BL1030" s="48">
        <f>$G1030/5280*VLOOKUP($AC1030,'Cost and Score'!$B$27:$O$40,7,0)</f>
        <v>0.96060606060606057</v>
      </c>
      <c r="BM1030" s="48">
        <f>$G1030/5280*VLOOKUP($AC1030,'Cost and Score'!$B$27:$O$40,8,0)</f>
        <v>0</v>
      </c>
      <c r="BN1030" s="48">
        <f>$G1030/5280*VLOOKUP($AC1030,'Cost and Score'!$B$27:$O$40,9,0)</f>
        <v>0</v>
      </c>
      <c r="BO1030" s="48">
        <f>$G1030/5280*VLOOKUP($AC1030,'Cost and Score'!$B$27:$O$40,10,0)</f>
        <v>0</v>
      </c>
      <c r="BP1030" s="48">
        <f>$G1030/5280*VLOOKUP($AC1030,'Cost and Score'!$B$27:$O$40,11,0)</f>
        <v>0</v>
      </c>
      <c r="BQ1030" s="48">
        <f>$G1030/5280*VLOOKUP($AC1030,'Cost and Score'!$B$27:$O$40,12,0)</f>
        <v>0</v>
      </c>
      <c r="BR1030" s="48">
        <f>$G1030/5280*VLOOKUP($AC1030,'Cost and Score'!$B$27:$O$40,13,0)</f>
        <v>0</v>
      </c>
      <c r="BS1030" s="48">
        <f>$G1030/5280*VLOOKUP($AC1030,'Cost and Score'!$B$27:$O$40,14,0)</f>
        <v>0</v>
      </c>
      <c r="BT1030" s="220">
        <f t="shared" si="543"/>
        <v>6.0037878787878786E-2</v>
      </c>
      <c r="CS1030" s="112"/>
      <c r="CT1030" s="112"/>
      <c r="CU1030" s="112"/>
    </row>
    <row r="1031" spans="1:103" s="2" customFormat="1" ht="14.45" hidden="1" customHeight="1" x14ac:dyDescent="0.25">
      <c r="A1031" s="31" t="s">
        <v>2102</v>
      </c>
      <c r="B1031" s="226" t="s">
        <v>1887</v>
      </c>
      <c r="C1031" s="106" t="s">
        <v>1887</v>
      </c>
      <c r="D1031" s="116" t="s">
        <v>2284</v>
      </c>
      <c r="E1031" s="106" t="s">
        <v>1458</v>
      </c>
      <c r="F1031" s="106" t="s">
        <v>1701</v>
      </c>
      <c r="G1031" s="109">
        <v>581</v>
      </c>
      <c r="H1031" s="109">
        <f t="shared" si="541"/>
        <v>26</v>
      </c>
      <c r="I1031" s="106" t="s">
        <v>2098</v>
      </c>
      <c r="J1031" s="106" t="s">
        <v>160</v>
      </c>
      <c r="K1031" s="106">
        <f t="shared" si="542"/>
        <v>0</v>
      </c>
      <c r="L1031" s="110">
        <v>7</v>
      </c>
      <c r="M1031" s="110">
        <v>8</v>
      </c>
      <c r="N1031" s="110">
        <v>8</v>
      </c>
      <c r="O1031" s="110">
        <v>8</v>
      </c>
      <c r="P1031" s="110">
        <v>8</v>
      </c>
      <c r="Q1031" s="110">
        <v>7</v>
      </c>
      <c r="R1031" s="110">
        <v>7</v>
      </c>
      <c r="S1031" s="110">
        <v>7</v>
      </c>
      <c r="T1031" s="110">
        <v>7</v>
      </c>
      <c r="U1031" s="110">
        <v>6</v>
      </c>
      <c r="V1031" s="110"/>
      <c r="W1031" s="110"/>
      <c r="X1031" s="110"/>
      <c r="Y1031" s="106">
        <v>580</v>
      </c>
      <c r="Z1031" s="106">
        <f t="shared" si="531"/>
        <v>0.5</v>
      </c>
      <c r="AA1031" s="106" t="s">
        <v>1887</v>
      </c>
      <c r="AB1031" s="111">
        <f t="shared" si="540"/>
        <v>2.5</v>
      </c>
      <c r="AC1031" s="106" t="s">
        <v>2425</v>
      </c>
      <c r="AD1031" s="107">
        <f t="shared" si="545"/>
        <v>2750.9469696969695</v>
      </c>
      <c r="AE1031" s="198"/>
      <c r="AF1031" s="113">
        <f t="shared" si="510"/>
        <v>0</v>
      </c>
      <c r="AG1031" s="85">
        <v>2026</v>
      </c>
      <c r="AH1031" s="26" t="str">
        <f t="shared" si="520"/>
        <v/>
      </c>
      <c r="AI1031" s="26" t="str">
        <f t="shared" si="526"/>
        <v/>
      </c>
      <c r="AJ1031" s="26" t="str">
        <f t="shared" si="529"/>
        <v/>
      </c>
      <c r="AK1031" s="26" t="str">
        <f t="shared" si="544"/>
        <v/>
      </c>
      <c r="AL1031" s="26" t="str">
        <f t="shared" si="544"/>
        <v>Liquid Road</v>
      </c>
      <c r="AM1031" s="26" t="str">
        <f t="shared" si="544"/>
        <v/>
      </c>
      <c r="AN1031" s="26" t="str">
        <f t="shared" si="523"/>
        <v>Liquid Road</v>
      </c>
      <c r="AO1031" s="26" t="str">
        <f t="shared" si="530"/>
        <v/>
      </c>
      <c r="AP1031" s="26" t="str">
        <f t="shared" si="527"/>
        <v/>
      </c>
      <c r="AQ1031" s="68">
        <f t="shared" si="532"/>
        <v>12</v>
      </c>
      <c r="AR1031" s="68">
        <f t="shared" si="533"/>
        <v>10</v>
      </c>
      <c r="AS1031" s="68">
        <f t="shared" si="513"/>
        <v>1.05</v>
      </c>
      <c r="AT1031" s="68">
        <f t="shared" si="514"/>
        <v>1</v>
      </c>
      <c r="AU1031" s="68">
        <f t="shared" si="515"/>
        <v>1</v>
      </c>
      <c r="AV1031" s="68">
        <f t="shared" si="516"/>
        <v>1</v>
      </c>
      <c r="AW1031" s="68">
        <f t="shared" si="517"/>
        <v>1</v>
      </c>
      <c r="AX1031" s="68">
        <f t="shared" ca="1" si="534"/>
        <v>2</v>
      </c>
      <c r="AY1031" s="106">
        <v>2017</v>
      </c>
      <c r="AZ1031" s="106" t="s">
        <v>2086</v>
      </c>
      <c r="BA1031" s="106" t="str">
        <f t="shared" si="535"/>
        <v/>
      </c>
      <c r="BB1031" s="177"/>
      <c r="BC1031" s="177"/>
      <c r="BD1031" s="177"/>
      <c r="BE1031" s="177"/>
      <c r="BF1031" s="177"/>
      <c r="BG1031" s="177">
        <v>4</v>
      </c>
      <c r="BH1031" s="177"/>
      <c r="BI1031" s="33"/>
      <c r="BK1031" s="48">
        <f>$G1031/5280*VLOOKUP($AC1031,'Cost and Score'!$B$27:$O$40,6,0)</f>
        <v>0.11003787878787878</v>
      </c>
      <c r="BL1031" s="48">
        <f>$G1031/5280*VLOOKUP($AC1031,'Cost and Score'!$B$27:$O$40,7,0)</f>
        <v>1.7606060606060605</v>
      </c>
      <c r="BM1031" s="48">
        <f>$G1031/5280*VLOOKUP($AC1031,'Cost and Score'!$B$27:$O$40,8,0)</f>
        <v>0</v>
      </c>
      <c r="BN1031" s="48">
        <f>$G1031/5280*VLOOKUP($AC1031,'Cost and Score'!$B$27:$O$40,9,0)</f>
        <v>0</v>
      </c>
      <c r="BO1031" s="48">
        <f>$G1031/5280*VLOOKUP($AC1031,'Cost and Score'!$B$27:$O$40,10,0)</f>
        <v>0</v>
      </c>
      <c r="BP1031" s="48">
        <f>$G1031/5280*VLOOKUP($AC1031,'Cost and Score'!$B$27:$O$40,11,0)</f>
        <v>0</v>
      </c>
      <c r="BQ1031" s="48">
        <f>$G1031/5280*VLOOKUP($AC1031,'Cost and Score'!$B$27:$O$40,12,0)</f>
        <v>0</v>
      </c>
      <c r="BR1031" s="48">
        <f>$G1031/5280*VLOOKUP($AC1031,'Cost and Score'!$B$27:$O$40,13,0)</f>
        <v>0</v>
      </c>
      <c r="BS1031" s="48">
        <f>$G1031/5280*VLOOKUP($AC1031,'Cost and Score'!$B$27:$O$40,14,0)</f>
        <v>0</v>
      </c>
      <c r="BT1031" s="220">
        <f t="shared" si="543"/>
        <v>0.11003787878787878</v>
      </c>
      <c r="CF1031" s="112"/>
      <c r="CG1031" s="112"/>
      <c r="CH1031" s="112"/>
      <c r="CI1031" s="112"/>
      <c r="CJ1031" s="112"/>
      <c r="CK1031" s="112"/>
      <c r="CL1031" s="112"/>
      <c r="CM1031" s="112"/>
      <c r="CR1031" s="112"/>
      <c r="CS1031" s="112"/>
      <c r="CT1031" s="112"/>
      <c r="CU1031" s="112"/>
    </row>
    <row r="1032" spans="1:103" s="112" customFormat="1" ht="14.45" hidden="1" customHeight="1" x14ac:dyDescent="0.25">
      <c r="A1032" s="31" t="s">
        <v>2102</v>
      </c>
      <c r="B1032" s="226" t="s">
        <v>1888</v>
      </c>
      <c r="C1032" s="106" t="s">
        <v>1888</v>
      </c>
      <c r="D1032" s="116" t="s">
        <v>2284</v>
      </c>
      <c r="E1032" s="106" t="s">
        <v>1458</v>
      </c>
      <c r="F1032" s="106" t="s">
        <v>1701</v>
      </c>
      <c r="G1032" s="109">
        <v>2429</v>
      </c>
      <c r="H1032" s="109">
        <f t="shared" si="541"/>
        <v>26</v>
      </c>
      <c r="I1032" s="106" t="s">
        <v>2098</v>
      </c>
      <c r="J1032" s="106" t="s">
        <v>160</v>
      </c>
      <c r="K1032" s="106">
        <f t="shared" si="542"/>
        <v>0</v>
      </c>
      <c r="L1032" s="110">
        <v>7</v>
      </c>
      <c r="M1032" s="110">
        <v>8</v>
      </c>
      <c r="N1032" s="110">
        <v>8</v>
      </c>
      <c r="O1032" s="110">
        <v>8</v>
      </c>
      <c r="P1032" s="110">
        <v>8</v>
      </c>
      <c r="Q1032" s="110">
        <v>7</v>
      </c>
      <c r="R1032" s="110">
        <v>7</v>
      </c>
      <c r="S1032" s="110">
        <v>7</v>
      </c>
      <c r="T1032" s="110">
        <v>7</v>
      </c>
      <c r="U1032" s="110">
        <v>7</v>
      </c>
      <c r="V1032" s="110"/>
      <c r="W1032" s="110"/>
      <c r="X1032" s="110"/>
      <c r="Y1032" s="106">
        <v>580</v>
      </c>
      <c r="Z1032" s="106">
        <f t="shared" si="531"/>
        <v>0.5</v>
      </c>
      <c r="AA1032" s="106" t="s">
        <v>1888</v>
      </c>
      <c r="AB1032" s="111">
        <f t="shared" si="540"/>
        <v>2.5</v>
      </c>
      <c r="AC1032" s="106" t="s">
        <v>2425</v>
      </c>
      <c r="AD1032" s="107">
        <f t="shared" si="545"/>
        <v>11500.94696969697</v>
      </c>
      <c r="AE1032" s="198"/>
      <c r="AF1032" s="113">
        <f t="shared" si="510"/>
        <v>0</v>
      </c>
      <c r="AG1032" s="85">
        <v>2026</v>
      </c>
      <c r="AH1032" s="26" t="str">
        <f t="shared" si="520"/>
        <v/>
      </c>
      <c r="AI1032" s="26" t="str">
        <f t="shared" si="526"/>
        <v/>
      </c>
      <c r="AJ1032" s="26" t="str">
        <f t="shared" si="529"/>
        <v/>
      </c>
      <c r="AK1032" s="26" t="str">
        <f t="shared" si="544"/>
        <v/>
      </c>
      <c r="AL1032" s="26" t="str">
        <f t="shared" si="544"/>
        <v>Liquid Road</v>
      </c>
      <c r="AM1032" s="26" t="str">
        <f t="shared" si="544"/>
        <v/>
      </c>
      <c r="AN1032" s="26" t="str">
        <f t="shared" si="523"/>
        <v>Liquid Road</v>
      </c>
      <c r="AO1032" s="26" t="str">
        <f t="shared" si="530"/>
        <v/>
      </c>
      <c r="AP1032" s="26" t="str">
        <f t="shared" si="527"/>
        <v/>
      </c>
      <c r="AQ1032" s="68">
        <f t="shared" si="532"/>
        <v>12</v>
      </c>
      <c r="AR1032" s="68">
        <f t="shared" si="533"/>
        <v>10</v>
      </c>
      <c r="AS1032" s="68">
        <f t="shared" si="513"/>
        <v>1.05</v>
      </c>
      <c r="AT1032" s="68">
        <f t="shared" si="514"/>
        <v>1</v>
      </c>
      <c r="AU1032" s="68">
        <f t="shared" si="515"/>
        <v>1</v>
      </c>
      <c r="AV1032" s="68">
        <f t="shared" si="516"/>
        <v>1</v>
      </c>
      <c r="AW1032" s="68">
        <f t="shared" si="517"/>
        <v>1</v>
      </c>
      <c r="AX1032" s="68">
        <f t="shared" ca="1" si="534"/>
        <v>2</v>
      </c>
      <c r="AY1032" s="106">
        <v>2017</v>
      </c>
      <c r="AZ1032" s="106" t="s">
        <v>2086</v>
      </c>
      <c r="BA1032" s="106" t="str">
        <f t="shared" si="535"/>
        <v/>
      </c>
      <c r="BB1032" s="177"/>
      <c r="BC1032" s="177"/>
      <c r="BD1032" s="177"/>
      <c r="BE1032" s="177"/>
      <c r="BF1032" s="177"/>
      <c r="BG1032" s="177">
        <v>4</v>
      </c>
      <c r="BH1032" s="177"/>
      <c r="BI1032" s="33"/>
      <c r="BJ1032" s="2"/>
      <c r="BK1032" s="48">
        <f>$G1032/5280*VLOOKUP($AC1032,'Cost and Score'!$B$27:$O$40,6,0)</f>
        <v>0.46003787878787877</v>
      </c>
      <c r="BL1032" s="48">
        <f>$G1032/5280*VLOOKUP($AC1032,'Cost and Score'!$B$27:$O$40,7,0)</f>
        <v>7.3606060606060604</v>
      </c>
      <c r="BM1032" s="48">
        <f>$G1032/5280*VLOOKUP($AC1032,'Cost and Score'!$B$27:$O$40,8,0)</f>
        <v>0</v>
      </c>
      <c r="BN1032" s="48">
        <f>$G1032/5280*VLOOKUP($AC1032,'Cost and Score'!$B$27:$O$40,9,0)</f>
        <v>0</v>
      </c>
      <c r="BO1032" s="48">
        <f>$G1032/5280*VLOOKUP($AC1032,'Cost and Score'!$B$27:$O$40,10,0)</f>
        <v>0</v>
      </c>
      <c r="BP1032" s="48">
        <f>$G1032/5280*VLOOKUP($AC1032,'Cost and Score'!$B$27:$O$40,11,0)</f>
        <v>0</v>
      </c>
      <c r="BQ1032" s="48">
        <f>$G1032/5280*VLOOKUP($AC1032,'Cost and Score'!$B$27:$O$40,12,0)</f>
        <v>0</v>
      </c>
      <c r="BR1032" s="48">
        <f>$G1032/5280*VLOOKUP($AC1032,'Cost and Score'!$B$27:$O$40,13,0)</f>
        <v>0</v>
      </c>
      <c r="BS1032" s="48">
        <f>$G1032/5280*VLOOKUP($AC1032,'Cost and Score'!$B$27:$O$40,14,0)</f>
        <v>0</v>
      </c>
      <c r="BT1032" s="220">
        <f t="shared" si="543"/>
        <v>0.46003787878787877</v>
      </c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</row>
    <row r="1033" spans="1:103" s="112" customFormat="1" ht="14.45" customHeight="1" x14ac:dyDescent="0.25">
      <c r="A1033" s="31" t="s">
        <v>2102</v>
      </c>
      <c r="B1033" s="224" t="s">
        <v>1406</v>
      </c>
      <c r="C1033" s="26" t="s">
        <v>1406</v>
      </c>
      <c r="D1033" s="36" t="s">
        <v>2305</v>
      </c>
      <c r="E1033" s="26" t="s">
        <v>1407</v>
      </c>
      <c r="F1033" s="26" t="s">
        <v>1408</v>
      </c>
      <c r="G1033" s="29">
        <v>1637</v>
      </c>
      <c r="H1033" s="29">
        <f t="shared" si="541"/>
        <v>26</v>
      </c>
      <c r="I1033" s="26" t="s">
        <v>2098</v>
      </c>
      <c r="J1033" s="26" t="s">
        <v>125</v>
      </c>
      <c r="K1033" s="26">
        <f t="shared" si="542"/>
        <v>0</v>
      </c>
      <c r="L1033" s="42">
        <v>5</v>
      </c>
      <c r="M1033" s="42">
        <v>5</v>
      </c>
      <c r="N1033" s="42">
        <v>5</v>
      </c>
      <c r="O1033" s="42">
        <v>6</v>
      </c>
      <c r="P1033" s="42">
        <v>6</v>
      </c>
      <c r="Q1033" s="42">
        <v>6</v>
      </c>
      <c r="R1033" s="42">
        <v>6</v>
      </c>
      <c r="S1033" s="42">
        <v>6</v>
      </c>
      <c r="T1033" s="42">
        <v>7</v>
      </c>
      <c r="U1033" s="42">
        <v>7</v>
      </c>
      <c r="V1033" s="42"/>
      <c r="W1033" s="42"/>
      <c r="X1033" s="42"/>
      <c r="Y1033" s="26">
        <v>50</v>
      </c>
      <c r="Z1033" s="26">
        <f t="shared" si="531"/>
        <v>0</v>
      </c>
      <c r="AA1033" s="26" t="s">
        <v>1406</v>
      </c>
      <c r="AB1033" s="111">
        <f t="shared" si="540"/>
        <v>4</v>
      </c>
      <c r="AC1033" s="85" t="s">
        <v>751</v>
      </c>
      <c r="AD1033" s="47">
        <f t="shared" si="545"/>
        <v>34104.166666666664</v>
      </c>
      <c r="AE1033" s="140"/>
      <c r="AF1033" s="113">
        <f t="shared" si="510"/>
        <v>0</v>
      </c>
      <c r="AG1033" s="85">
        <v>2025</v>
      </c>
      <c r="AH1033" s="26" t="str">
        <f t="shared" si="520"/>
        <v/>
      </c>
      <c r="AI1033" s="26" t="str">
        <f t="shared" si="526"/>
        <v/>
      </c>
      <c r="AJ1033" s="26" t="str">
        <f t="shared" si="529"/>
        <v/>
      </c>
      <c r="AK1033" s="26" t="str">
        <f t="shared" si="544"/>
        <v>Overlay - 2"</v>
      </c>
      <c r="AL1033" s="26" t="str">
        <f t="shared" si="544"/>
        <v/>
      </c>
      <c r="AM1033" s="26" t="str">
        <f t="shared" si="544"/>
        <v/>
      </c>
      <c r="AN1033" s="26" t="str">
        <f t="shared" si="523"/>
        <v>Overlay - 2"</v>
      </c>
      <c r="AO1033" s="26" t="str">
        <f t="shared" si="530"/>
        <v/>
      </c>
      <c r="AP1033" s="26" t="str">
        <f t="shared" si="527"/>
        <v/>
      </c>
      <c r="AQ1033" s="68">
        <f t="shared" si="532"/>
        <v>8</v>
      </c>
      <c r="AR1033" s="68">
        <f t="shared" si="533"/>
        <v>12</v>
      </c>
      <c r="AS1033" s="68">
        <f t="shared" si="513"/>
        <v>1.25</v>
      </c>
      <c r="AT1033" s="68">
        <f t="shared" si="514"/>
        <v>1.25</v>
      </c>
      <c r="AU1033" s="68">
        <f t="shared" si="515"/>
        <v>1.25</v>
      </c>
      <c r="AV1033" s="68">
        <f t="shared" si="516"/>
        <v>1.1000000000000001</v>
      </c>
      <c r="AW1033" s="68">
        <f t="shared" si="517"/>
        <v>1.1000000000000001</v>
      </c>
      <c r="AX1033" s="68">
        <f t="shared" ca="1" si="534"/>
        <v>1.25</v>
      </c>
      <c r="AY1033" s="68">
        <v>2016</v>
      </c>
      <c r="AZ1033" s="68" t="s">
        <v>751</v>
      </c>
      <c r="BA1033" s="106" t="str">
        <f t="shared" si="535"/>
        <v/>
      </c>
      <c r="BB1033" s="178"/>
      <c r="BC1033" s="178"/>
      <c r="BD1033" s="178"/>
      <c r="BE1033" s="178"/>
      <c r="BF1033" s="178"/>
      <c r="BG1033" s="178"/>
      <c r="BH1033" s="178">
        <v>5</v>
      </c>
      <c r="BI1033" s="33"/>
      <c r="BJ1033" s="2" t="s">
        <v>2617</v>
      </c>
      <c r="BK1033" s="48">
        <f>$G1033/5280*VLOOKUP($AC1033,'Cost and Score'!$B$27:$O$40,6,0)</f>
        <v>0.69758522727272732</v>
      </c>
      <c r="BL1033" s="48">
        <f>$G1033/5280*VLOOKUP($AC1033,'Cost and Score'!$B$27:$O$40,7,0)</f>
        <v>65.107954545454547</v>
      </c>
      <c r="BM1033" s="48">
        <f>$G1033/5280*VLOOKUP($AC1033,'Cost and Score'!$B$27:$O$40,8,0)</f>
        <v>108.51325757575758</v>
      </c>
      <c r="BN1033" s="48">
        <f>$G1033/5280*VLOOKUP($AC1033,'Cost and Score'!$B$27:$O$40,9,0)</f>
        <v>0</v>
      </c>
      <c r="BO1033" s="48">
        <f>$G1033/5280*VLOOKUP($AC1033,'Cost and Score'!$B$27:$O$40,10,0)</f>
        <v>0</v>
      </c>
      <c r="BP1033" s="48">
        <f>$G1033/5280*VLOOKUP($AC1033,'Cost and Score'!$B$27:$O$40,11,0)</f>
        <v>62.007575757575765</v>
      </c>
      <c r="BQ1033" s="48">
        <f>$G1033/5280*VLOOKUP($AC1033,'Cost and Score'!$B$27:$O$40,12,0)</f>
        <v>527.06439393939399</v>
      </c>
      <c r="BR1033" s="48">
        <f>$G1033/5280*VLOOKUP($AC1033,'Cost and Score'!$B$27:$O$40,13,0)</f>
        <v>0</v>
      </c>
      <c r="BS1033" s="48">
        <f>$G1033/5280*VLOOKUP($AC1033,'Cost and Score'!$B$27:$O$40,14,0)</f>
        <v>0</v>
      </c>
      <c r="BT1033" s="220">
        <f t="shared" si="543"/>
        <v>0.31003787878787881</v>
      </c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</row>
    <row r="1034" spans="1:103" s="112" customFormat="1" ht="14.45" customHeight="1" x14ac:dyDescent="0.25">
      <c r="A1034" s="31" t="s">
        <v>2102</v>
      </c>
      <c r="B1034" s="45" t="s">
        <v>1464</v>
      </c>
      <c r="C1034" s="26" t="s">
        <v>1464</v>
      </c>
      <c r="D1034" s="36" t="s">
        <v>2220</v>
      </c>
      <c r="E1034" s="26" t="s">
        <v>4</v>
      </c>
      <c r="F1034" s="26" t="s">
        <v>1465</v>
      </c>
      <c r="G1034" s="29">
        <v>528</v>
      </c>
      <c r="H1034" s="29">
        <f t="shared" si="541"/>
        <v>26</v>
      </c>
      <c r="I1034" s="26" t="s">
        <v>2098</v>
      </c>
      <c r="J1034" s="26" t="s">
        <v>6</v>
      </c>
      <c r="K1034" s="26">
        <f t="shared" si="542"/>
        <v>0</v>
      </c>
      <c r="L1034" s="42">
        <v>7</v>
      </c>
      <c r="M1034" s="42">
        <v>7</v>
      </c>
      <c r="N1034" s="42">
        <v>10</v>
      </c>
      <c r="O1034" s="42">
        <v>9</v>
      </c>
      <c r="P1034" s="42">
        <v>7</v>
      </c>
      <c r="Q1034" s="42">
        <v>7</v>
      </c>
      <c r="R1034" s="42">
        <v>6</v>
      </c>
      <c r="S1034" s="42">
        <v>7</v>
      </c>
      <c r="T1034" s="42">
        <v>6</v>
      </c>
      <c r="U1034" s="42">
        <v>6</v>
      </c>
      <c r="V1034" s="42"/>
      <c r="W1034" s="42"/>
      <c r="X1034" s="42"/>
      <c r="Y1034" s="26">
        <v>50</v>
      </c>
      <c r="Z1034" s="26">
        <f t="shared" ref="Z1034:Z1065" si="546">VLOOKUP(Y1034,AADT,2)</f>
        <v>0</v>
      </c>
      <c r="AA1034" s="26" t="s">
        <v>1464</v>
      </c>
      <c r="AB1034" s="111">
        <f t="shared" si="540"/>
        <v>3</v>
      </c>
      <c r="AC1034" s="26" t="s">
        <v>751</v>
      </c>
      <c r="AD1034" s="47">
        <f t="shared" si="545"/>
        <v>11000</v>
      </c>
      <c r="AE1034" s="140"/>
      <c r="AF1034" s="113">
        <f t="shared" ref="AF1034:AF1097" si="547">AD1034*AE1034</f>
        <v>0</v>
      </c>
      <c r="AG1034" s="26">
        <v>2025</v>
      </c>
      <c r="AH1034" s="26" t="str">
        <f t="shared" si="520"/>
        <v/>
      </c>
      <c r="AI1034" s="26" t="str">
        <f t="shared" si="526"/>
        <v/>
      </c>
      <c r="AJ1034" s="26" t="str">
        <f t="shared" si="529"/>
        <v/>
      </c>
      <c r="AK1034" s="26" t="str">
        <f t="shared" si="544"/>
        <v>Overlay - 2"</v>
      </c>
      <c r="AL1034" s="26" t="str">
        <f t="shared" si="544"/>
        <v/>
      </c>
      <c r="AM1034" s="26" t="str">
        <f t="shared" si="544"/>
        <v/>
      </c>
      <c r="AN1034" s="26" t="str">
        <f t="shared" si="523"/>
        <v>Overlay - 2"</v>
      </c>
      <c r="AO1034" s="26" t="str">
        <f t="shared" si="530"/>
        <v/>
      </c>
      <c r="AP1034" s="26" t="str">
        <f t="shared" si="527"/>
        <v/>
      </c>
      <c r="AQ1034" s="68">
        <f t="shared" ref="AQ1034:AQ1055" si="548">VLOOKUP(O1034,RSLrem,2,FALSE)</f>
        <v>14</v>
      </c>
      <c r="AR1034" s="68">
        <f t="shared" ref="AR1034:AR1055" si="549">VLOOKUP(AC1034,RSL,5,FALSE)</f>
        <v>12</v>
      </c>
      <c r="AS1034" s="68">
        <f t="shared" ref="AS1034:AS1097" si="550">IF(L1034 &lt;&gt; "",VLOOKUP(L1034,RSLloss,3,FALSE),0)</f>
        <v>1.05</v>
      </c>
      <c r="AT1034" s="68">
        <f t="shared" ref="AT1034:AT1097" si="551">IF(M1034 &lt;&gt; "",VLOOKUP(M1034,RSLloss,3,FALSE),0)</f>
        <v>1.05</v>
      </c>
      <c r="AU1034" s="68">
        <f t="shared" ref="AU1034:AU1097" si="552">IF(N1034 &lt;&gt; "",VLOOKUP(N1034,RSLloss,3,FALSE),0)</f>
        <v>1</v>
      </c>
      <c r="AV1034" s="68">
        <f t="shared" ref="AV1034:AV1097" si="553">IF(O1034 &lt;&gt; "",VLOOKUP(O1034,RSLloss,3,FALSE),0)</f>
        <v>1</v>
      </c>
      <c r="AW1034" s="68">
        <f t="shared" ref="AW1034:AW1097" si="554">IF(P1034 &lt;&gt; "",VLOOKUP(P1034,RSLloss,3,FALSE),0)</f>
        <v>1.05</v>
      </c>
      <c r="AX1034" s="68">
        <f t="shared" ref="AX1034:AX1055" ca="1" si="555">AU1034*(AG1034-YEAR(TODAY()))</f>
        <v>1</v>
      </c>
      <c r="AY1034" s="68">
        <v>2018</v>
      </c>
      <c r="AZ1034" s="68" t="s">
        <v>2086</v>
      </c>
      <c r="BA1034" s="106" t="str">
        <f t="shared" ref="BA1034:BA1065" si="556">IF(AY1034=2018,AZ1034,"")</f>
        <v>F</v>
      </c>
      <c r="BB1034" s="178"/>
      <c r="BC1034" s="178"/>
      <c r="BD1034" s="178"/>
      <c r="BE1034" s="178"/>
      <c r="BF1034" s="178"/>
      <c r="BG1034" s="178"/>
      <c r="BH1034" s="178"/>
      <c r="BI1034" s="33"/>
      <c r="BJ1034" s="2"/>
      <c r="BK1034" s="48">
        <f>$G1034/5280*VLOOKUP($AC1034,'Cost and Score'!$B$27:$O$40,6,0)</f>
        <v>0.22500000000000001</v>
      </c>
      <c r="BL1034" s="48">
        <f>$G1034/5280*VLOOKUP($AC1034,'Cost and Score'!$B$27:$O$40,7,0)</f>
        <v>21</v>
      </c>
      <c r="BM1034" s="48">
        <f>$G1034/5280*VLOOKUP($AC1034,'Cost and Score'!$B$27:$O$40,8,0)</f>
        <v>35</v>
      </c>
      <c r="BN1034" s="48">
        <f>$G1034/5280*VLOOKUP($AC1034,'Cost and Score'!$B$27:$O$40,9,0)</f>
        <v>0</v>
      </c>
      <c r="BO1034" s="48">
        <f>$G1034/5280*VLOOKUP($AC1034,'Cost and Score'!$B$27:$O$40,10,0)</f>
        <v>0</v>
      </c>
      <c r="BP1034" s="48">
        <f>$G1034/5280*VLOOKUP($AC1034,'Cost and Score'!$B$27:$O$40,11,0)</f>
        <v>20</v>
      </c>
      <c r="BQ1034" s="48">
        <f>$G1034/5280*VLOOKUP($AC1034,'Cost and Score'!$B$27:$O$40,12,0)</f>
        <v>170</v>
      </c>
      <c r="BR1034" s="48">
        <f>$G1034/5280*VLOOKUP($AC1034,'Cost and Score'!$B$27:$O$40,13,0)</f>
        <v>0</v>
      </c>
      <c r="BS1034" s="48">
        <f>$G1034/5280*VLOOKUP($AC1034,'Cost and Score'!$B$27:$O$40,14,0)</f>
        <v>0</v>
      </c>
      <c r="BT1034" s="220">
        <f t="shared" si="543"/>
        <v>0.1</v>
      </c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</row>
    <row r="1035" spans="1:103" s="2" customFormat="1" ht="14.45" customHeight="1" x14ac:dyDescent="0.25">
      <c r="A1035" s="31" t="s">
        <v>2102</v>
      </c>
      <c r="B1035" s="45" t="s">
        <v>1508</v>
      </c>
      <c r="C1035" s="26" t="s">
        <v>1508</v>
      </c>
      <c r="D1035" s="119" t="s">
        <v>2220</v>
      </c>
      <c r="E1035" s="82" t="s">
        <v>4</v>
      </c>
      <c r="F1035" s="82" t="s">
        <v>1465</v>
      </c>
      <c r="G1035" s="29">
        <v>1690</v>
      </c>
      <c r="H1035" s="29">
        <f t="shared" si="541"/>
        <v>26</v>
      </c>
      <c r="I1035" s="26" t="s">
        <v>2098</v>
      </c>
      <c r="J1035" s="26" t="s">
        <v>6</v>
      </c>
      <c r="K1035" s="26">
        <f t="shared" si="542"/>
        <v>0</v>
      </c>
      <c r="L1035" s="42">
        <v>6</v>
      </c>
      <c r="M1035" s="42">
        <v>6</v>
      </c>
      <c r="N1035" s="42">
        <v>10</v>
      </c>
      <c r="O1035" s="83">
        <v>9</v>
      </c>
      <c r="P1035" s="83">
        <v>7</v>
      </c>
      <c r="Q1035" s="83">
        <v>7</v>
      </c>
      <c r="R1035" s="83">
        <v>6</v>
      </c>
      <c r="S1035" s="83">
        <v>6</v>
      </c>
      <c r="T1035" s="83">
        <v>6</v>
      </c>
      <c r="U1035" s="83">
        <v>6</v>
      </c>
      <c r="V1035" s="42"/>
      <c r="W1035" s="42"/>
      <c r="X1035" s="42"/>
      <c r="Y1035" s="26">
        <v>50</v>
      </c>
      <c r="Z1035" s="26">
        <f t="shared" si="546"/>
        <v>0</v>
      </c>
      <c r="AA1035" s="82" t="s">
        <v>1508</v>
      </c>
      <c r="AB1035" s="111">
        <f t="shared" si="540"/>
        <v>3</v>
      </c>
      <c r="AC1035" s="26" t="s">
        <v>751</v>
      </c>
      <c r="AD1035" s="84">
        <f t="shared" si="545"/>
        <v>35208.333333333336</v>
      </c>
      <c r="AE1035" s="140"/>
      <c r="AF1035" s="113">
        <f t="shared" si="547"/>
        <v>0</v>
      </c>
      <c r="AG1035" s="26">
        <v>2025</v>
      </c>
      <c r="AH1035" s="26" t="str">
        <f t="shared" si="520"/>
        <v/>
      </c>
      <c r="AI1035" s="26" t="str">
        <f t="shared" si="526"/>
        <v/>
      </c>
      <c r="AJ1035" s="26" t="str">
        <f t="shared" si="529"/>
        <v/>
      </c>
      <c r="AK1035" s="26" t="str">
        <f t="shared" si="544"/>
        <v>Overlay - 2"</v>
      </c>
      <c r="AL1035" s="26" t="str">
        <f t="shared" si="544"/>
        <v/>
      </c>
      <c r="AM1035" s="26" t="str">
        <f t="shared" si="544"/>
        <v/>
      </c>
      <c r="AN1035" s="26" t="str">
        <f t="shared" si="523"/>
        <v>Overlay - 2"</v>
      </c>
      <c r="AO1035" s="26" t="str">
        <f t="shared" si="530"/>
        <v/>
      </c>
      <c r="AP1035" s="26" t="str">
        <f t="shared" si="527"/>
        <v/>
      </c>
      <c r="AQ1035" s="68">
        <f t="shared" si="548"/>
        <v>14</v>
      </c>
      <c r="AR1035" s="68">
        <f t="shared" si="549"/>
        <v>12</v>
      </c>
      <c r="AS1035" s="68">
        <f t="shared" si="550"/>
        <v>1.1000000000000001</v>
      </c>
      <c r="AT1035" s="68">
        <f t="shared" si="551"/>
        <v>1.1000000000000001</v>
      </c>
      <c r="AU1035" s="68">
        <f t="shared" si="552"/>
        <v>1</v>
      </c>
      <c r="AV1035" s="68">
        <f t="shared" si="553"/>
        <v>1</v>
      </c>
      <c r="AW1035" s="68">
        <f t="shared" si="554"/>
        <v>1.05</v>
      </c>
      <c r="AX1035" s="68">
        <f t="shared" ca="1" si="555"/>
        <v>1</v>
      </c>
      <c r="AY1035" s="68">
        <v>2018</v>
      </c>
      <c r="AZ1035" s="85" t="s">
        <v>2425</v>
      </c>
      <c r="BA1035" s="106" t="str">
        <f t="shared" si="556"/>
        <v>MICROSEAL</v>
      </c>
      <c r="BB1035" s="203"/>
      <c r="BC1035" s="178"/>
      <c r="BD1035" s="178"/>
      <c r="BE1035" s="178"/>
      <c r="BF1035" s="178"/>
      <c r="BG1035" s="178"/>
      <c r="BH1035" s="178"/>
      <c r="BI1035" s="33"/>
      <c r="BK1035" s="48">
        <f>$G1035/5280*VLOOKUP($AC1035,'Cost and Score'!$B$27:$O$40,6,0)</f>
        <v>0.72017045454545459</v>
      </c>
      <c r="BL1035" s="48">
        <f>$G1035/5280*VLOOKUP($AC1035,'Cost and Score'!$B$27:$O$40,7,0)</f>
        <v>67.215909090909093</v>
      </c>
      <c r="BM1035" s="48">
        <f>$G1035/5280*VLOOKUP($AC1035,'Cost and Score'!$B$27:$O$40,8,0)</f>
        <v>112.02651515151516</v>
      </c>
      <c r="BN1035" s="48">
        <f>$G1035/5280*VLOOKUP($AC1035,'Cost and Score'!$B$27:$O$40,9,0)</f>
        <v>0</v>
      </c>
      <c r="BO1035" s="48">
        <f>$G1035/5280*VLOOKUP($AC1035,'Cost and Score'!$B$27:$O$40,10,0)</f>
        <v>0</v>
      </c>
      <c r="BP1035" s="48">
        <f>$G1035/5280*VLOOKUP($AC1035,'Cost and Score'!$B$27:$O$40,11,0)</f>
        <v>64.015151515151516</v>
      </c>
      <c r="BQ1035" s="48">
        <f>$G1035/5280*VLOOKUP($AC1035,'Cost and Score'!$B$27:$O$40,12,0)</f>
        <v>544.12878787878788</v>
      </c>
      <c r="BR1035" s="48">
        <f>$G1035/5280*VLOOKUP($AC1035,'Cost and Score'!$B$27:$O$40,13,0)</f>
        <v>0</v>
      </c>
      <c r="BS1035" s="48">
        <f>$G1035/5280*VLOOKUP($AC1035,'Cost and Score'!$B$27:$O$40,14,0)</f>
        <v>0</v>
      </c>
      <c r="BT1035" s="220">
        <f t="shared" si="543"/>
        <v>0.32007575757575757</v>
      </c>
    </row>
    <row r="1036" spans="1:103" s="2" customFormat="1" ht="14.45" customHeight="1" x14ac:dyDescent="0.25">
      <c r="A1036" s="31" t="s">
        <v>2102</v>
      </c>
      <c r="B1036" s="120" t="s">
        <v>1509</v>
      </c>
      <c r="C1036" s="106" t="s">
        <v>1509</v>
      </c>
      <c r="D1036" s="116" t="s">
        <v>2220</v>
      </c>
      <c r="E1036" s="106" t="s">
        <v>4</v>
      </c>
      <c r="F1036" s="106" t="s">
        <v>1465</v>
      </c>
      <c r="G1036" s="109">
        <v>317</v>
      </c>
      <c r="H1036" s="109">
        <f t="shared" si="541"/>
        <v>26</v>
      </c>
      <c r="I1036" s="106" t="s">
        <v>2098</v>
      </c>
      <c r="J1036" s="106" t="s">
        <v>6</v>
      </c>
      <c r="K1036" s="106">
        <f t="shared" si="542"/>
        <v>0</v>
      </c>
      <c r="L1036" s="110">
        <v>7</v>
      </c>
      <c r="M1036" s="110">
        <v>7</v>
      </c>
      <c r="N1036" s="110">
        <v>7</v>
      </c>
      <c r="O1036" s="110">
        <v>9</v>
      </c>
      <c r="P1036" s="110">
        <v>7</v>
      </c>
      <c r="Q1036" s="110">
        <v>7</v>
      </c>
      <c r="R1036" s="110">
        <v>7</v>
      </c>
      <c r="S1036" s="110">
        <v>7</v>
      </c>
      <c r="T1036" s="110">
        <v>6</v>
      </c>
      <c r="U1036" s="110">
        <v>6</v>
      </c>
      <c r="V1036" s="110"/>
      <c r="W1036" s="110"/>
      <c r="X1036" s="110"/>
      <c r="Y1036" s="106">
        <v>50</v>
      </c>
      <c r="Z1036" s="106">
        <f t="shared" si="546"/>
        <v>0</v>
      </c>
      <c r="AA1036" s="106" t="s">
        <v>1509</v>
      </c>
      <c r="AB1036" s="111">
        <f t="shared" si="540"/>
        <v>3</v>
      </c>
      <c r="AC1036" s="26" t="s">
        <v>751</v>
      </c>
      <c r="AD1036" s="107">
        <f t="shared" si="545"/>
        <v>6604.166666666667</v>
      </c>
      <c r="AE1036" s="198"/>
      <c r="AF1036" s="113">
        <f t="shared" si="547"/>
        <v>0</v>
      </c>
      <c r="AG1036" s="26">
        <v>2025</v>
      </c>
      <c r="AH1036" s="26" t="str">
        <f t="shared" si="520"/>
        <v/>
      </c>
      <c r="AI1036" s="26" t="str">
        <f t="shared" si="526"/>
        <v/>
      </c>
      <c r="AJ1036" s="26" t="str">
        <f t="shared" si="529"/>
        <v/>
      </c>
      <c r="AK1036" s="26" t="str">
        <f t="shared" si="544"/>
        <v>Overlay - 2"</v>
      </c>
      <c r="AL1036" s="26" t="str">
        <f t="shared" si="544"/>
        <v/>
      </c>
      <c r="AM1036" s="26" t="str">
        <f t="shared" si="544"/>
        <v/>
      </c>
      <c r="AN1036" s="26" t="str">
        <f t="shared" si="523"/>
        <v>Overlay - 2"</v>
      </c>
      <c r="AO1036" s="26" t="str">
        <f t="shared" si="530"/>
        <v/>
      </c>
      <c r="AP1036" s="26" t="str">
        <f t="shared" si="527"/>
        <v/>
      </c>
      <c r="AQ1036" s="68">
        <f t="shared" si="548"/>
        <v>14</v>
      </c>
      <c r="AR1036" s="68">
        <f t="shared" si="549"/>
        <v>12</v>
      </c>
      <c r="AS1036" s="68">
        <f t="shared" si="550"/>
        <v>1.05</v>
      </c>
      <c r="AT1036" s="68">
        <f t="shared" si="551"/>
        <v>1.05</v>
      </c>
      <c r="AU1036" s="68">
        <f t="shared" si="552"/>
        <v>1.05</v>
      </c>
      <c r="AV1036" s="68">
        <f t="shared" si="553"/>
        <v>1</v>
      </c>
      <c r="AW1036" s="68">
        <f t="shared" si="554"/>
        <v>1.05</v>
      </c>
      <c r="AX1036" s="68">
        <f t="shared" ca="1" si="555"/>
        <v>1.05</v>
      </c>
      <c r="AY1036" s="106">
        <v>2018</v>
      </c>
      <c r="AZ1036" s="85" t="s">
        <v>2425</v>
      </c>
      <c r="BA1036" s="106" t="str">
        <f t="shared" si="556"/>
        <v>MICROSEAL</v>
      </c>
      <c r="BB1036" s="203"/>
      <c r="BC1036" s="178"/>
      <c r="BD1036" s="178"/>
      <c r="BE1036" s="178"/>
      <c r="BF1036" s="178"/>
      <c r="BG1036" s="178"/>
      <c r="BH1036" s="178"/>
      <c r="BI1036" s="33" t="s">
        <v>2425</v>
      </c>
      <c r="BK1036" s="48">
        <f>$G1036/5280*VLOOKUP($AC1036,'Cost and Score'!$B$27:$O$40,6,0)</f>
        <v>0.13508522727272726</v>
      </c>
      <c r="BL1036" s="48">
        <f>$G1036/5280*VLOOKUP($AC1036,'Cost and Score'!$B$27:$O$40,7,0)</f>
        <v>12.607954545454545</v>
      </c>
      <c r="BM1036" s="48">
        <f>$G1036/5280*VLOOKUP($AC1036,'Cost and Score'!$B$27:$O$40,8,0)</f>
        <v>21.013257575757574</v>
      </c>
      <c r="BN1036" s="48">
        <f>$G1036/5280*VLOOKUP($AC1036,'Cost and Score'!$B$27:$O$40,9,0)</f>
        <v>0</v>
      </c>
      <c r="BO1036" s="48">
        <f>$G1036/5280*VLOOKUP($AC1036,'Cost and Score'!$B$27:$O$40,10,0)</f>
        <v>0</v>
      </c>
      <c r="BP1036" s="48">
        <f>$G1036/5280*VLOOKUP($AC1036,'Cost and Score'!$B$27:$O$40,11,0)</f>
        <v>12.007575757575758</v>
      </c>
      <c r="BQ1036" s="48">
        <f>$G1036/5280*VLOOKUP($AC1036,'Cost and Score'!$B$27:$O$40,12,0)</f>
        <v>102.06439393939394</v>
      </c>
      <c r="BR1036" s="48">
        <f>$G1036/5280*VLOOKUP($AC1036,'Cost and Score'!$B$27:$O$40,13,0)</f>
        <v>0</v>
      </c>
      <c r="BS1036" s="48">
        <f>$G1036/5280*VLOOKUP($AC1036,'Cost and Score'!$B$27:$O$40,14,0)</f>
        <v>0</v>
      </c>
      <c r="BT1036" s="220">
        <f t="shared" si="543"/>
        <v>6.0037878787878786E-2</v>
      </c>
      <c r="CF1036" s="112"/>
      <c r="CR1036" s="112"/>
    </row>
    <row r="1037" spans="1:103" s="2" customFormat="1" hidden="1" x14ac:dyDescent="0.25">
      <c r="A1037" s="31" t="s">
        <v>2102</v>
      </c>
      <c r="B1037" s="224" t="s">
        <v>1893</v>
      </c>
      <c r="C1037" s="85" t="s">
        <v>1893</v>
      </c>
      <c r="D1037" s="86" t="s">
        <v>2273</v>
      </c>
      <c r="E1037" s="85" t="s">
        <v>1711</v>
      </c>
      <c r="F1037" s="85" t="s">
        <v>1408</v>
      </c>
      <c r="G1037" s="29">
        <v>1267</v>
      </c>
      <c r="H1037" s="29">
        <f t="shared" si="541"/>
        <v>26</v>
      </c>
      <c r="I1037" s="124" t="s">
        <v>2098</v>
      </c>
      <c r="J1037" s="85" t="s">
        <v>125</v>
      </c>
      <c r="K1037" s="85">
        <f t="shared" si="542"/>
        <v>0</v>
      </c>
      <c r="L1037" s="74">
        <v>7</v>
      </c>
      <c r="M1037" s="74">
        <v>7</v>
      </c>
      <c r="N1037" s="74">
        <v>7</v>
      </c>
      <c r="O1037" s="74">
        <v>6</v>
      </c>
      <c r="P1037" s="74">
        <v>6</v>
      </c>
      <c r="Q1037" s="74">
        <v>6</v>
      </c>
      <c r="R1037" s="74">
        <v>6</v>
      </c>
      <c r="S1037" s="74">
        <v>7</v>
      </c>
      <c r="T1037" s="74">
        <v>7</v>
      </c>
      <c r="U1037" s="74">
        <v>7</v>
      </c>
      <c r="V1037" s="74"/>
      <c r="W1037" s="74"/>
      <c r="X1037" s="74"/>
      <c r="Y1037" s="85">
        <v>50</v>
      </c>
      <c r="Z1037" s="85">
        <f t="shared" si="546"/>
        <v>0</v>
      </c>
      <c r="AA1037" s="85" t="s">
        <v>1893</v>
      </c>
      <c r="AB1037" s="111">
        <f t="shared" si="540"/>
        <v>4</v>
      </c>
      <c r="AC1037" s="85" t="s">
        <v>2425</v>
      </c>
      <c r="AD1037" s="47">
        <f t="shared" si="545"/>
        <v>5999.05303030303</v>
      </c>
      <c r="AE1037" s="140"/>
      <c r="AF1037" s="113">
        <f t="shared" si="547"/>
        <v>0</v>
      </c>
      <c r="AG1037" s="85">
        <v>2026</v>
      </c>
      <c r="AH1037" s="26" t="str">
        <f t="shared" ref="AH1037:AH1100" si="557">IF($AG1037=AH$1,VLOOKUP($AC1037,RSL,3,FALSE),"")</f>
        <v/>
      </c>
      <c r="AI1037" s="26" t="str">
        <f t="shared" si="526"/>
        <v/>
      </c>
      <c r="AJ1037" s="26" t="str">
        <f t="shared" si="529"/>
        <v/>
      </c>
      <c r="AK1037" s="26" t="str">
        <f t="shared" si="544"/>
        <v/>
      </c>
      <c r="AL1037" s="26" t="str">
        <f t="shared" si="544"/>
        <v>Liquid Road</v>
      </c>
      <c r="AM1037" s="26" t="str">
        <f t="shared" si="544"/>
        <v/>
      </c>
      <c r="AN1037" s="26" t="str">
        <f t="shared" si="523"/>
        <v>Liquid Road</v>
      </c>
      <c r="AO1037" s="26" t="str">
        <f t="shared" si="530"/>
        <v/>
      </c>
      <c r="AP1037" s="26" t="str">
        <f t="shared" si="527"/>
        <v/>
      </c>
      <c r="AQ1037" s="68">
        <f t="shared" si="548"/>
        <v>8</v>
      </c>
      <c r="AR1037" s="68">
        <f t="shared" si="549"/>
        <v>10</v>
      </c>
      <c r="AS1037" s="68">
        <f t="shared" si="550"/>
        <v>1.05</v>
      </c>
      <c r="AT1037" s="68">
        <f t="shared" si="551"/>
        <v>1.05</v>
      </c>
      <c r="AU1037" s="68">
        <f t="shared" si="552"/>
        <v>1.05</v>
      </c>
      <c r="AV1037" s="68">
        <f t="shared" si="553"/>
        <v>1.1000000000000001</v>
      </c>
      <c r="AW1037" s="68">
        <f t="shared" si="554"/>
        <v>1.1000000000000001</v>
      </c>
      <c r="AX1037" s="68">
        <f t="shared" ca="1" si="555"/>
        <v>2.1</v>
      </c>
      <c r="AY1037" s="68">
        <v>2016</v>
      </c>
      <c r="AZ1037" s="68" t="s">
        <v>2086</v>
      </c>
      <c r="BA1037" s="106" t="str">
        <f t="shared" si="556"/>
        <v/>
      </c>
      <c r="BB1037" s="178"/>
      <c r="BC1037" s="178"/>
      <c r="BD1037" s="178">
        <v>1</v>
      </c>
      <c r="BE1037" s="178"/>
      <c r="BF1037" s="178"/>
      <c r="BG1037" s="178"/>
      <c r="BH1037" s="178"/>
      <c r="BI1037" s="33"/>
      <c r="BK1037" s="48">
        <f>$G1037/5280*VLOOKUP($AC1037,'Cost and Score'!$B$27:$O$40,6,0)</f>
        <v>0.23996212121212121</v>
      </c>
      <c r="BL1037" s="48">
        <f>$G1037/5280*VLOOKUP($AC1037,'Cost and Score'!$B$27:$O$40,7,0)</f>
        <v>3.8393939393939394</v>
      </c>
      <c r="BM1037" s="48">
        <f>$G1037/5280*VLOOKUP($AC1037,'Cost and Score'!$B$27:$O$40,8,0)</f>
        <v>0</v>
      </c>
      <c r="BN1037" s="48">
        <f>$G1037/5280*VLOOKUP($AC1037,'Cost and Score'!$B$27:$O$40,9,0)</f>
        <v>0</v>
      </c>
      <c r="BO1037" s="48">
        <f>$G1037/5280*VLOOKUP($AC1037,'Cost and Score'!$B$27:$O$40,10,0)</f>
        <v>0</v>
      </c>
      <c r="BP1037" s="48">
        <f>$G1037/5280*VLOOKUP($AC1037,'Cost and Score'!$B$27:$O$40,11,0)</f>
        <v>0</v>
      </c>
      <c r="BQ1037" s="48">
        <f>$G1037/5280*VLOOKUP($AC1037,'Cost and Score'!$B$27:$O$40,12,0)</f>
        <v>0</v>
      </c>
      <c r="BR1037" s="48">
        <f>$G1037/5280*VLOOKUP($AC1037,'Cost and Score'!$B$27:$O$40,13,0)</f>
        <v>0</v>
      </c>
      <c r="BS1037" s="48">
        <f>$G1037/5280*VLOOKUP($AC1037,'Cost and Score'!$B$27:$O$40,14,0)</f>
        <v>0</v>
      </c>
      <c r="BT1037" s="220">
        <f t="shared" si="543"/>
        <v>0.23996212121212121</v>
      </c>
      <c r="CF1037" s="112"/>
    </row>
    <row r="1038" spans="1:103" s="2" customFormat="1" ht="14.45" hidden="1" customHeight="1" x14ac:dyDescent="0.25">
      <c r="A1038" s="31" t="s">
        <v>2102</v>
      </c>
      <c r="B1038" s="224" t="s">
        <v>2329</v>
      </c>
      <c r="C1038" s="85" t="s">
        <v>2329</v>
      </c>
      <c r="D1038" s="86" t="s">
        <v>2273</v>
      </c>
      <c r="E1038" s="85" t="s">
        <v>1711</v>
      </c>
      <c r="F1038" s="85" t="s">
        <v>1408</v>
      </c>
      <c r="G1038" s="29">
        <v>686</v>
      </c>
      <c r="H1038" s="29">
        <f t="shared" si="541"/>
        <v>26</v>
      </c>
      <c r="I1038" s="124" t="s">
        <v>2098</v>
      </c>
      <c r="J1038" s="85" t="s">
        <v>125</v>
      </c>
      <c r="K1038" s="85">
        <f t="shared" si="542"/>
        <v>0</v>
      </c>
      <c r="L1038" s="74">
        <v>7</v>
      </c>
      <c r="M1038" s="74">
        <v>7</v>
      </c>
      <c r="N1038" s="74">
        <v>7</v>
      </c>
      <c r="O1038" s="74">
        <v>6</v>
      </c>
      <c r="P1038" s="74">
        <v>6</v>
      </c>
      <c r="Q1038" s="74">
        <v>6</v>
      </c>
      <c r="R1038" s="74">
        <v>6</v>
      </c>
      <c r="S1038" s="74">
        <v>7</v>
      </c>
      <c r="T1038" s="74">
        <v>6</v>
      </c>
      <c r="U1038" s="74">
        <v>7</v>
      </c>
      <c r="V1038" s="74"/>
      <c r="W1038" s="74"/>
      <c r="X1038" s="74"/>
      <c r="Y1038" s="85">
        <v>50</v>
      </c>
      <c r="Z1038" s="85">
        <f t="shared" si="546"/>
        <v>0</v>
      </c>
      <c r="AA1038" s="85" t="s">
        <v>1894</v>
      </c>
      <c r="AB1038" s="111">
        <f t="shared" si="540"/>
        <v>4</v>
      </c>
      <c r="AC1038" s="85" t="s">
        <v>2425</v>
      </c>
      <c r="AD1038" s="47">
        <f t="shared" si="545"/>
        <v>3248.1060606060605</v>
      </c>
      <c r="AE1038" s="140"/>
      <c r="AF1038" s="113">
        <f t="shared" si="547"/>
        <v>0</v>
      </c>
      <c r="AG1038" s="85">
        <v>2026</v>
      </c>
      <c r="AH1038" s="26" t="str">
        <f t="shared" si="557"/>
        <v/>
      </c>
      <c r="AI1038" s="26" t="str">
        <f t="shared" si="526"/>
        <v/>
      </c>
      <c r="AJ1038" s="26" t="str">
        <f t="shared" si="529"/>
        <v/>
      </c>
      <c r="AK1038" s="26" t="str">
        <f t="shared" si="544"/>
        <v/>
      </c>
      <c r="AL1038" s="26" t="str">
        <f t="shared" si="544"/>
        <v>Liquid Road</v>
      </c>
      <c r="AM1038" s="26" t="str">
        <f t="shared" si="544"/>
        <v/>
      </c>
      <c r="AN1038" s="26" t="str">
        <f t="shared" si="523"/>
        <v>Liquid Road</v>
      </c>
      <c r="AO1038" s="26" t="str">
        <f t="shared" si="530"/>
        <v/>
      </c>
      <c r="AP1038" s="26" t="str">
        <f t="shared" si="527"/>
        <v/>
      </c>
      <c r="AQ1038" s="68">
        <f t="shared" si="548"/>
        <v>8</v>
      </c>
      <c r="AR1038" s="68">
        <f t="shared" si="549"/>
        <v>10</v>
      </c>
      <c r="AS1038" s="68">
        <f t="shared" si="550"/>
        <v>1.05</v>
      </c>
      <c r="AT1038" s="68">
        <f t="shared" si="551"/>
        <v>1.05</v>
      </c>
      <c r="AU1038" s="68">
        <f t="shared" si="552"/>
        <v>1.05</v>
      </c>
      <c r="AV1038" s="68">
        <f t="shared" si="553"/>
        <v>1.1000000000000001</v>
      </c>
      <c r="AW1038" s="68">
        <f t="shared" si="554"/>
        <v>1.1000000000000001</v>
      </c>
      <c r="AX1038" s="68">
        <f t="shared" ca="1" si="555"/>
        <v>2.1</v>
      </c>
      <c r="AY1038" s="68">
        <v>2016</v>
      </c>
      <c r="AZ1038" s="68" t="s">
        <v>2086</v>
      </c>
      <c r="BA1038" s="106" t="str">
        <f t="shared" si="556"/>
        <v/>
      </c>
      <c r="BB1038" s="178"/>
      <c r="BC1038" s="178"/>
      <c r="BD1038" s="178">
        <v>1</v>
      </c>
      <c r="BE1038" s="178"/>
      <c r="BF1038" s="178"/>
      <c r="BG1038" s="178"/>
      <c r="BH1038" s="178"/>
      <c r="BI1038" s="33"/>
      <c r="BK1038" s="48">
        <f>$G1038/5280*VLOOKUP($AC1038,'Cost and Score'!$B$27:$O$40,6,0)</f>
        <v>0.12992424242424241</v>
      </c>
      <c r="BL1038" s="48">
        <f>$G1038/5280*VLOOKUP($AC1038,'Cost and Score'!$B$27:$O$40,7,0)</f>
        <v>2.0787878787878786</v>
      </c>
      <c r="BM1038" s="48">
        <f>$G1038/5280*VLOOKUP($AC1038,'Cost and Score'!$B$27:$O$40,8,0)</f>
        <v>0</v>
      </c>
      <c r="BN1038" s="48">
        <f>$G1038/5280*VLOOKUP($AC1038,'Cost and Score'!$B$27:$O$40,9,0)</f>
        <v>0</v>
      </c>
      <c r="BO1038" s="48">
        <f>$G1038/5280*VLOOKUP($AC1038,'Cost and Score'!$B$27:$O$40,10,0)</f>
        <v>0</v>
      </c>
      <c r="BP1038" s="48">
        <f>$G1038/5280*VLOOKUP($AC1038,'Cost and Score'!$B$27:$O$40,11,0)</f>
        <v>0</v>
      </c>
      <c r="BQ1038" s="48">
        <f>$G1038/5280*VLOOKUP($AC1038,'Cost and Score'!$B$27:$O$40,12,0)</f>
        <v>0</v>
      </c>
      <c r="BR1038" s="48">
        <f>$G1038/5280*VLOOKUP($AC1038,'Cost and Score'!$B$27:$O$40,13,0)</f>
        <v>0</v>
      </c>
      <c r="BS1038" s="48">
        <f>$G1038/5280*VLOOKUP($AC1038,'Cost and Score'!$B$27:$O$40,14,0)</f>
        <v>0</v>
      </c>
      <c r="BT1038" s="220">
        <f t="shared" si="543"/>
        <v>0.12992424242424241</v>
      </c>
      <c r="CS1038" s="112"/>
      <c r="CT1038" s="112"/>
      <c r="CU1038" s="112"/>
      <c r="CW1038" s="112"/>
      <c r="CX1038" s="112"/>
      <c r="CY1038" s="112"/>
    </row>
    <row r="1039" spans="1:103" s="2" customFormat="1" ht="14.45" hidden="1" customHeight="1" x14ac:dyDescent="0.25">
      <c r="A1039" s="31" t="s">
        <v>2102</v>
      </c>
      <c r="B1039" s="226" t="s">
        <v>1895</v>
      </c>
      <c r="C1039" s="106" t="s">
        <v>1895</v>
      </c>
      <c r="D1039" s="116" t="s">
        <v>2260</v>
      </c>
      <c r="E1039" s="106" t="s">
        <v>1690</v>
      </c>
      <c r="F1039" s="106" t="s">
        <v>1502</v>
      </c>
      <c r="G1039" s="109">
        <v>1716</v>
      </c>
      <c r="H1039" s="109">
        <f t="shared" si="541"/>
        <v>26</v>
      </c>
      <c r="I1039" s="106" t="s">
        <v>2098</v>
      </c>
      <c r="J1039" s="106" t="s">
        <v>160</v>
      </c>
      <c r="K1039" s="106">
        <f t="shared" si="542"/>
        <v>0</v>
      </c>
      <c r="L1039" s="110">
        <v>8</v>
      </c>
      <c r="M1039" s="110">
        <v>8</v>
      </c>
      <c r="N1039" s="110">
        <v>8</v>
      </c>
      <c r="O1039" s="110">
        <v>8</v>
      </c>
      <c r="P1039" s="110">
        <v>8</v>
      </c>
      <c r="Q1039" s="110">
        <v>7</v>
      </c>
      <c r="R1039" s="110">
        <v>7</v>
      </c>
      <c r="S1039" s="110">
        <v>7</v>
      </c>
      <c r="T1039" s="110">
        <v>7</v>
      </c>
      <c r="U1039" s="110">
        <v>7</v>
      </c>
      <c r="V1039" s="110"/>
      <c r="W1039" s="110"/>
      <c r="X1039" s="110"/>
      <c r="Y1039" s="106">
        <v>364</v>
      </c>
      <c r="Z1039" s="106">
        <f t="shared" si="546"/>
        <v>0</v>
      </c>
      <c r="AA1039" s="106" t="s">
        <v>1895</v>
      </c>
      <c r="AB1039" s="111">
        <f t="shared" si="540"/>
        <v>2</v>
      </c>
      <c r="AC1039" s="85" t="s">
        <v>2425</v>
      </c>
      <c r="AD1039" s="107">
        <f t="shared" si="545"/>
        <v>8125</v>
      </c>
      <c r="AE1039" s="198"/>
      <c r="AF1039" s="113">
        <f t="shared" si="547"/>
        <v>0</v>
      </c>
      <c r="AG1039" s="85">
        <v>2026</v>
      </c>
      <c r="AH1039" s="26" t="str">
        <f t="shared" si="557"/>
        <v/>
      </c>
      <c r="AI1039" s="26" t="str">
        <f t="shared" si="526"/>
        <v/>
      </c>
      <c r="AJ1039" s="26" t="str">
        <f t="shared" si="529"/>
        <v/>
      </c>
      <c r="AK1039" s="26" t="str">
        <f t="shared" si="544"/>
        <v/>
      </c>
      <c r="AL1039" s="26" t="str">
        <f t="shared" si="544"/>
        <v>Liquid Road</v>
      </c>
      <c r="AM1039" s="26" t="str">
        <f t="shared" si="544"/>
        <v/>
      </c>
      <c r="AN1039" s="26" t="str">
        <f t="shared" si="523"/>
        <v>Liquid Road</v>
      </c>
      <c r="AO1039" s="26" t="str">
        <f t="shared" si="530"/>
        <v/>
      </c>
      <c r="AP1039" s="26" t="str">
        <f t="shared" si="527"/>
        <v/>
      </c>
      <c r="AQ1039" s="68">
        <f t="shared" si="548"/>
        <v>12</v>
      </c>
      <c r="AR1039" s="68">
        <f t="shared" si="549"/>
        <v>10</v>
      </c>
      <c r="AS1039" s="68">
        <f t="shared" si="550"/>
        <v>1</v>
      </c>
      <c r="AT1039" s="68">
        <f t="shared" si="551"/>
        <v>1</v>
      </c>
      <c r="AU1039" s="68">
        <f t="shared" si="552"/>
        <v>1</v>
      </c>
      <c r="AV1039" s="68">
        <f t="shared" si="553"/>
        <v>1</v>
      </c>
      <c r="AW1039" s="68">
        <f t="shared" si="554"/>
        <v>1</v>
      </c>
      <c r="AX1039" s="68">
        <f t="shared" ca="1" si="555"/>
        <v>2</v>
      </c>
      <c r="AY1039" s="106">
        <v>2017</v>
      </c>
      <c r="AZ1039" s="106" t="s">
        <v>2075</v>
      </c>
      <c r="BA1039" s="106" t="str">
        <f t="shared" si="556"/>
        <v/>
      </c>
      <c r="BB1039" s="177"/>
      <c r="BC1039" s="177"/>
      <c r="BD1039" s="177">
        <v>1</v>
      </c>
      <c r="BE1039" s="177"/>
      <c r="BF1039" s="177"/>
      <c r="BG1039" s="177"/>
      <c r="BH1039" s="177"/>
      <c r="BI1039" s="33"/>
      <c r="BK1039" s="48">
        <f>$G1039/5280*VLOOKUP($AC1039,'Cost and Score'!$B$27:$O$40,6,0)</f>
        <v>0.32500000000000001</v>
      </c>
      <c r="BL1039" s="48">
        <f>$G1039/5280*VLOOKUP($AC1039,'Cost and Score'!$B$27:$O$40,7,0)</f>
        <v>5.2</v>
      </c>
      <c r="BM1039" s="48">
        <f>$G1039/5280*VLOOKUP($AC1039,'Cost and Score'!$B$27:$O$40,8,0)</f>
        <v>0</v>
      </c>
      <c r="BN1039" s="48">
        <f>$G1039/5280*VLOOKUP($AC1039,'Cost and Score'!$B$27:$O$40,9,0)</f>
        <v>0</v>
      </c>
      <c r="BO1039" s="48">
        <f>$G1039/5280*VLOOKUP($AC1039,'Cost and Score'!$B$27:$O$40,10,0)</f>
        <v>0</v>
      </c>
      <c r="BP1039" s="48">
        <f>$G1039/5280*VLOOKUP($AC1039,'Cost and Score'!$B$27:$O$40,11,0)</f>
        <v>0</v>
      </c>
      <c r="BQ1039" s="48">
        <f>$G1039/5280*VLOOKUP($AC1039,'Cost and Score'!$B$27:$O$40,12,0)</f>
        <v>0</v>
      </c>
      <c r="BR1039" s="48">
        <f>$G1039/5280*VLOOKUP($AC1039,'Cost and Score'!$B$27:$O$40,13,0)</f>
        <v>0</v>
      </c>
      <c r="BS1039" s="48">
        <f>$G1039/5280*VLOOKUP($AC1039,'Cost and Score'!$B$27:$O$40,14,0)</f>
        <v>0</v>
      </c>
      <c r="BT1039" s="220">
        <f t="shared" si="543"/>
        <v>0.32500000000000001</v>
      </c>
      <c r="CF1039" s="112"/>
      <c r="CG1039" s="112"/>
      <c r="CH1039" s="112"/>
      <c r="CI1039" s="112"/>
      <c r="CJ1039" s="112"/>
      <c r="CK1039" s="112"/>
      <c r="CL1039" s="112"/>
      <c r="CM1039" s="112"/>
    </row>
    <row r="1040" spans="1:103" s="2" customFormat="1" ht="14.45" hidden="1" customHeight="1" x14ac:dyDescent="0.25">
      <c r="A1040" s="31" t="s">
        <v>2102</v>
      </c>
      <c r="B1040" s="45" t="s">
        <v>1896</v>
      </c>
      <c r="C1040" s="26" t="s">
        <v>1896</v>
      </c>
      <c r="D1040" s="36" t="s">
        <v>2243</v>
      </c>
      <c r="E1040" s="26" t="s">
        <v>1472</v>
      </c>
      <c r="F1040" s="26" t="s">
        <v>1473</v>
      </c>
      <c r="G1040" s="29">
        <v>475</v>
      </c>
      <c r="H1040" s="29">
        <f t="shared" si="541"/>
        <v>26</v>
      </c>
      <c r="I1040" s="26" t="s">
        <v>2098</v>
      </c>
      <c r="J1040" s="26" t="s">
        <v>160</v>
      </c>
      <c r="K1040" s="26">
        <f t="shared" si="542"/>
        <v>0</v>
      </c>
      <c r="L1040" s="42">
        <v>7</v>
      </c>
      <c r="M1040" s="42">
        <v>7</v>
      </c>
      <c r="N1040" s="42">
        <v>7</v>
      </c>
      <c r="O1040" s="42">
        <v>7</v>
      </c>
      <c r="P1040" s="42">
        <v>7</v>
      </c>
      <c r="Q1040" s="42">
        <v>8</v>
      </c>
      <c r="R1040" s="42">
        <v>8</v>
      </c>
      <c r="S1040" s="42">
        <v>8</v>
      </c>
      <c r="T1040" s="42">
        <v>7</v>
      </c>
      <c r="U1040" s="42">
        <v>7</v>
      </c>
      <c r="V1040" s="42"/>
      <c r="W1040" s="42"/>
      <c r="X1040" s="42"/>
      <c r="Y1040" s="26">
        <v>667</v>
      </c>
      <c r="Z1040" s="26">
        <f t="shared" si="546"/>
        <v>0.5</v>
      </c>
      <c r="AA1040" s="26" t="s">
        <v>1896</v>
      </c>
      <c r="AB1040" s="111">
        <f t="shared" si="540"/>
        <v>3.5</v>
      </c>
      <c r="AC1040" s="26" t="s">
        <v>2086</v>
      </c>
      <c r="AD1040" s="47">
        <v>3786</v>
      </c>
      <c r="AE1040" s="140"/>
      <c r="AF1040" s="113">
        <f t="shared" si="547"/>
        <v>0</v>
      </c>
      <c r="AG1040" s="26">
        <v>2024</v>
      </c>
      <c r="AH1040" s="26" t="str">
        <f t="shared" si="557"/>
        <v/>
      </c>
      <c r="AI1040" s="26" t="str">
        <f t="shared" si="526"/>
        <v/>
      </c>
      <c r="AJ1040" s="26" t="str">
        <f t="shared" si="529"/>
        <v>Fog Seal</v>
      </c>
      <c r="AK1040" s="26" t="str">
        <f t="shared" si="544"/>
        <v/>
      </c>
      <c r="AL1040" s="26" t="str">
        <f t="shared" si="544"/>
        <v/>
      </c>
      <c r="AM1040" s="26" t="str">
        <f t="shared" si="544"/>
        <v/>
      </c>
      <c r="AN1040" s="26" t="str">
        <f t="shared" si="523"/>
        <v>Fog Seal</v>
      </c>
      <c r="AO1040" s="26" t="str">
        <f t="shared" si="530"/>
        <v/>
      </c>
      <c r="AP1040" s="26" t="str">
        <f t="shared" si="527"/>
        <v/>
      </c>
      <c r="AQ1040" s="68">
        <f t="shared" si="548"/>
        <v>10</v>
      </c>
      <c r="AR1040" s="68">
        <f t="shared" si="549"/>
        <v>2</v>
      </c>
      <c r="AS1040" s="68">
        <f t="shared" si="550"/>
        <v>1.05</v>
      </c>
      <c r="AT1040" s="68">
        <f t="shared" si="551"/>
        <v>1.05</v>
      </c>
      <c r="AU1040" s="68">
        <f t="shared" si="552"/>
        <v>1.05</v>
      </c>
      <c r="AV1040" s="68">
        <f t="shared" si="553"/>
        <v>1.05</v>
      </c>
      <c r="AW1040" s="68">
        <f t="shared" si="554"/>
        <v>1.05</v>
      </c>
      <c r="AX1040" s="68">
        <f t="shared" ca="1" si="555"/>
        <v>0</v>
      </c>
      <c r="AY1040" s="68">
        <v>2018</v>
      </c>
      <c r="AZ1040" s="68" t="s">
        <v>2371</v>
      </c>
      <c r="BA1040" s="106" t="str">
        <f t="shared" si="556"/>
        <v>MICRO</v>
      </c>
      <c r="BB1040" s="178"/>
      <c r="BC1040" s="178"/>
      <c r="BD1040" s="178"/>
      <c r="BE1040" s="178"/>
      <c r="BF1040" s="178"/>
      <c r="BG1040" s="178"/>
      <c r="BH1040" s="178"/>
      <c r="BI1040" s="33"/>
      <c r="BK1040" s="48">
        <f>$G1040/5280*VLOOKUP($AC1040,'Cost and Score'!$B$27:$O$40,6,0)</f>
        <v>8.9962121212121219E-3</v>
      </c>
      <c r="BL1040" s="48">
        <f>$G1040/5280*VLOOKUP($AC1040,'Cost and Score'!$B$27:$O$40,7,0)</f>
        <v>1.7992424242424244E-2</v>
      </c>
      <c r="BM1040" s="48">
        <f>$G1040/5280*VLOOKUP($AC1040,'Cost and Score'!$B$27:$O$40,8,0)</f>
        <v>0</v>
      </c>
      <c r="BN1040" s="48">
        <f>$G1040/5280*VLOOKUP($AC1040,'Cost and Score'!$B$27:$O$40,9,0)</f>
        <v>0</v>
      </c>
      <c r="BO1040" s="48">
        <f>$G1040/5280*VLOOKUP($AC1040,'Cost and Score'!$B$27:$O$40,10,0)</f>
        <v>89.962121212121218</v>
      </c>
      <c r="BP1040" s="48">
        <f>$G1040/5280*VLOOKUP($AC1040,'Cost and Score'!$B$27:$O$40,11,0)</f>
        <v>0</v>
      </c>
      <c r="BQ1040" s="48">
        <f>$G1040/5280*VLOOKUP($AC1040,'Cost and Score'!$B$27:$O$40,12,0)</f>
        <v>0</v>
      </c>
      <c r="BR1040" s="48">
        <f>$G1040/5280*VLOOKUP($AC1040,'Cost and Score'!$B$27:$O$40,13,0)</f>
        <v>0</v>
      </c>
      <c r="BS1040" s="48">
        <f>$G1040/5280*VLOOKUP($AC1040,'Cost and Score'!$B$27:$O$40,14,0)</f>
        <v>0</v>
      </c>
      <c r="BT1040" s="220">
        <f t="shared" si="543"/>
        <v>8.9962121212121215E-2</v>
      </c>
      <c r="CR1040" s="112"/>
      <c r="CS1040" s="112"/>
      <c r="CT1040" s="112"/>
      <c r="CU1040" s="112"/>
    </row>
    <row r="1041" spans="1:103" s="112" customFormat="1" ht="14.45" hidden="1" customHeight="1" x14ac:dyDescent="0.25">
      <c r="A1041" s="31" t="s">
        <v>2102</v>
      </c>
      <c r="B1041" s="226" t="s">
        <v>1897</v>
      </c>
      <c r="C1041" s="106" t="s">
        <v>1897</v>
      </c>
      <c r="D1041" s="116" t="s">
        <v>2299</v>
      </c>
      <c r="E1041" s="106" t="s">
        <v>4</v>
      </c>
      <c r="F1041" s="106" t="s">
        <v>1405</v>
      </c>
      <c r="G1041" s="109">
        <v>2640</v>
      </c>
      <c r="H1041" s="109">
        <f t="shared" si="541"/>
        <v>26</v>
      </c>
      <c r="I1041" s="106" t="s">
        <v>2098</v>
      </c>
      <c r="J1041" s="106" t="s">
        <v>101</v>
      </c>
      <c r="K1041" s="106">
        <v>0</v>
      </c>
      <c r="L1041" s="110">
        <v>7</v>
      </c>
      <c r="M1041" s="110">
        <v>8</v>
      </c>
      <c r="N1041" s="110">
        <v>8</v>
      </c>
      <c r="O1041" s="110">
        <v>7</v>
      </c>
      <c r="P1041" s="110">
        <v>7</v>
      </c>
      <c r="Q1041" s="110">
        <v>8</v>
      </c>
      <c r="R1041" s="110">
        <v>7</v>
      </c>
      <c r="S1041" s="110">
        <v>7</v>
      </c>
      <c r="T1041" s="110">
        <v>6</v>
      </c>
      <c r="U1041" s="110">
        <v>6</v>
      </c>
      <c r="V1041" s="110"/>
      <c r="W1041" s="110"/>
      <c r="X1041" s="110"/>
      <c r="Y1041" s="106">
        <v>50</v>
      </c>
      <c r="Z1041" s="106">
        <f t="shared" si="546"/>
        <v>0</v>
      </c>
      <c r="AA1041" s="106" t="s">
        <v>1897</v>
      </c>
      <c r="AB1041" s="111">
        <f t="shared" si="540"/>
        <v>3</v>
      </c>
      <c r="AC1041" s="85" t="s">
        <v>2371</v>
      </c>
      <c r="AD1041" s="107">
        <f>VLOOKUP(AC1041,Cost,2,FALSE)*G1041/5280</f>
        <v>40000</v>
      </c>
      <c r="AE1041" s="140">
        <v>1</v>
      </c>
      <c r="AF1041" s="113">
        <f t="shared" si="547"/>
        <v>40000</v>
      </c>
      <c r="AG1041" s="106">
        <v>2024</v>
      </c>
      <c r="AH1041" s="26" t="str">
        <f t="shared" si="557"/>
        <v/>
      </c>
      <c r="AI1041" s="26" t="str">
        <f t="shared" si="526"/>
        <v/>
      </c>
      <c r="AJ1041" s="26" t="str">
        <f t="shared" si="529"/>
        <v>Microsurface double</v>
      </c>
      <c r="AK1041" s="26" t="str">
        <f t="shared" si="544"/>
        <v/>
      </c>
      <c r="AL1041" s="26" t="str">
        <f t="shared" si="544"/>
        <v/>
      </c>
      <c r="AM1041" s="26" t="str">
        <f t="shared" si="544"/>
        <v/>
      </c>
      <c r="AN1041" s="26" t="str">
        <f t="shared" si="523"/>
        <v>Microsurface double</v>
      </c>
      <c r="AO1041" s="26" t="str">
        <f t="shared" si="530"/>
        <v/>
      </c>
      <c r="AP1041" s="26" t="str">
        <f t="shared" si="527"/>
        <v/>
      </c>
      <c r="AQ1041" s="68">
        <f t="shared" si="548"/>
        <v>10</v>
      </c>
      <c r="AR1041" s="68">
        <f t="shared" si="549"/>
        <v>10</v>
      </c>
      <c r="AS1041" s="68">
        <f t="shared" si="550"/>
        <v>1.05</v>
      </c>
      <c r="AT1041" s="68">
        <f t="shared" si="551"/>
        <v>1</v>
      </c>
      <c r="AU1041" s="68">
        <f t="shared" si="552"/>
        <v>1</v>
      </c>
      <c r="AV1041" s="68">
        <f t="shared" si="553"/>
        <v>1.05</v>
      </c>
      <c r="AW1041" s="68">
        <f t="shared" si="554"/>
        <v>1.05</v>
      </c>
      <c r="AX1041" s="68">
        <f t="shared" ca="1" si="555"/>
        <v>0</v>
      </c>
      <c r="AY1041" s="106">
        <v>2017</v>
      </c>
      <c r="AZ1041" s="68" t="s">
        <v>2425</v>
      </c>
      <c r="BA1041" s="106" t="str">
        <f t="shared" si="556"/>
        <v/>
      </c>
      <c r="BB1041" s="178"/>
      <c r="BC1041" s="178"/>
      <c r="BD1041" s="178"/>
      <c r="BE1041" s="178"/>
      <c r="BF1041" s="178"/>
      <c r="BG1041" s="178"/>
      <c r="BH1041" s="178">
        <v>5</v>
      </c>
      <c r="BI1041" s="33" t="s">
        <v>2623</v>
      </c>
      <c r="BJ1041" s="2"/>
      <c r="BK1041" s="48">
        <f>$G1041/5280*VLOOKUP($AC1041,'Cost and Score'!$B$27:$O$40,6,0)</f>
        <v>0.25</v>
      </c>
      <c r="BL1041" s="48">
        <f>$G1041/5280*VLOOKUP($AC1041,'Cost and Score'!$B$27:$O$40,7,0)</f>
        <v>0</v>
      </c>
      <c r="BM1041" s="48">
        <f>$G1041/5280*VLOOKUP($AC1041,'Cost and Score'!$B$27:$O$40,8,0)</f>
        <v>0</v>
      </c>
      <c r="BN1041" s="48">
        <f>$G1041/5280*VLOOKUP($AC1041,'Cost and Score'!$B$27:$O$40,9,0)</f>
        <v>0</v>
      </c>
      <c r="BO1041" s="48">
        <f>$G1041/5280*VLOOKUP($AC1041,'Cost and Score'!$B$27:$O$40,10,0)</f>
        <v>0</v>
      </c>
      <c r="BP1041" s="48">
        <f>$G1041/5280*VLOOKUP($AC1041,'Cost and Score'!$B$27:$O$40,11,0)</f>
        <v>0</v>
      </c>
      <c r="BQ1041" s="48">
        <f>$G1041/5280*VLOOKUP($AC1041,'Cost and Score'!$B$27:$O$40,12,0)</f>
        <v>0</v>
      </c>
      <c r="BR1041" s="48">
        <f>$G1041/5280*VLOOKUP($AC1041,'Cost and Score'!$B$27:$O$40,13,0)</f>
        <v>0</v>
      </c>
      <c r="BS1041" s="48">
        <f>$G1041/5280*VLOOKUP($AC1041,'Cost and Score'!$B$27:$O$40,14,0)</f>
        <v>0</v>
      </c>
      <c r="BT1041" s="220">
        <f t="shared" si="543"/>
        <v>0.5</v>
      </c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N1041" s="2"/>
      <c r="CO1041" s="2"/>
      <c r="CP1041" s="2"/>
      <c r="CQ1041" s="2"/>
      <c r="CS1041" s="2"/>
      <c r="CT1041" s="2"/>
      <c r="CU1041" s="2"/>
      <c r="CV1041" s="2"/>
      <c r="CW1041" s="2"/>
      <c r="CX1041" s="2"/>
      <c r="CY1041" s="2"/>
    </row>
    <row r="1042" spans="1:103" s="2" customFormat="1" ht="14.45" hidden="1" customHeight="1" x14ac:dyDescent="0.25">
      <c r="A1042" s="31" t="s">
        <v>2102</v>
      </c>
      <c r="B1042" s="45" t="s">
        <v>1898</v>
      </c>
      <c r="C1042" s="26" t="s">
        <v>1898</v>
      </c>
      <c r="D1042" s="36" t="s">
        <v>2288</v>
      </c>
      <c r="E1042" s="26" t="s">
        <v>1504</v>
      </c>
      <c r="F1042" s="26" t="s">
        <v>1505</v>
      </c>
      <c r="G1042" s="29">
        <v>193</v>
      </c>
      <c r="H1042" s="29">
        <f t="shared" si="541"/>
        <v>26</v>
      </c>
      <c r="I1042" s="26" t="s">
        <v>2098</v>
      </c>
      <c r="J1042" s="26" t="s">
        <v>125</v>
      </c>
      <c r="K1042" s="26">
        <f t="shared" ref="K1042:K1053" si="558">VLOOKUP(J1042,TOWNSHIPS,2,FALSE)</f>
        <v>0</v>
      </c>
      <c r="L1042" s="42">
        <v>7</v>
      </c>
      <c r="M1042" s="42">
        <v>7</v>
      </c>
      <c r="N1042" s="42">
        <v>7</v>
      </c>
      <c r="O1042" s="42">
        <v>7</v>
      </c>
      <c r="P1042" s="42">
        <v>7</v>
      </c>
      <c r="Q1042" s="42">
        <v>8</v>
      </c>
      <c r="R1042" s="42">
        <v>8</v>
      </c>
      <c r="S1042" s="42">
        <v>7</v>
      </c>
      <c r="T1042" s="42">
        <v>7</v>
      </c>
      <c r="U1042" s="42">
        <v>7</v>
      </c>
      <c r="V1042" s="42"/>
      <c r="W1042" s="42"/>
      <c r="X1042" s="42"/>
      <c r="Y1042" s="26">
        <v>50</v>
      </c>
      <c r="Z1042" s="26">
        <f t="shared" si="546"/>
        <v>0</v>
      </c>
      <c r="AA1042" s="26" t="s">
        <v>1898</v>
      </c>
      <c r="AB1042" s="111">
        <f t="shared" si="540"/>
        <v>3</v>
      </c>
      <c r="AC1042" s="26" t="s">
        <v>2086</v>
      </c>
      <c r="AD1042" s="47">
        <v>1561.15</v>
      </c>
      <c r="AE1042" s="140"/>
      <c r="AF1042" s="113">
        <f t="shared" si="547"/>
        <v>0</v>
      </c>
      <c r="AG1042" s="26">
        <v>2024</v>
      </c>
      <c r="AH1042" s="26" t="str">
        <f t="shared" si="557"/>
        <v/>
      </c>
      <c r="AI1042" s="26" t="str">
        <f t="shared" si="526"/>
        <v/>
      </c>
      <c r="AJ1042" s="26" t="str">
        <f t="shared" si="529"/>
        <v>Fog Seal</v>
      </c>
      <c r="AK1042" s="26" t="str">
        <f t="shared" si="544"/>
        <v/>
      </c>
      <c r="AL1042" s="26" t="str">
        <f t="shared" si="544"/>
        <v/>
      </c>
      <c r="AM1042" s="26" t="str">
        <f t="shared" si="544"/>
        <v/>
      </c>
      <c r="AN1042" s="26" t="str">
        <f t="shared" si="523"/>
        <v>Fog Seal</v>
      </c>
      <c r="AO1042" s="26" t="str">
        <f t="shared" si="530"/>
        <v/>
      </c>
      <c r="AP1042" s="26" t="str">
        <f t="shared" si="527"/>
        <v/>
      </c>
      <c r="AQ1042" s="68">
        <f t="shared" si="548"/>
        <v>10</v>
      </c>
      <c r="AR1042" s="68">
        <f t="shared" si="549"/>
        <v>2</v>
      </c>
      <c r="AS1042" s="68">
        <f t="shared" si="550"/>
        <v>1.05</v>
      </c>
      <c r="AT1042" s="68">
        <f t="shared" si="551"/>
        <v>1.05</v>
      </c>
      <c r="AU1042" s="68">
        <f t="shared" si="552"/>
        <v>1.05</v>
      </c>
      <c r="AV1042" s="68">
        <f t="shared" si="553"/>
        <v>1.05</v>
      </c>
      <c r="AW1042" s="68">
        <f t="shared" si="554"/>
        <v>1.05</v>
      </c>
      <c r="AX1042" s="68">
        <f t="shared" ca="1" si="555"/>
        <v>0</v>
      </c>
      <c r="AY1042" s="68">
        <v>2018</v>
      </c>
      <c r="AZ1042" s="68" t="s">
        <v>2371</v>
      </c>
      <c r="BA1042" s="106" t="str">
        <f t="shared" si="556"/>
        <v>MICRO</v>
      </c>
      <c r="BB1042" s="178"/>
      <c r="BC1042" s="178"/>
      <c r="BD1042" s="178"/>
      <c r="BE1042" s="178"/>
      <c r="BF1042" s="178"/>
      <c r="BG1042" s="178"/>
      <c r="BH1042" s="178"/>
      <c r="BI1042" s="33"/>
      <c r="BK1042" s="48">
        <f>$G1042/5280*VLOOKUP($AC1042,'Cost and Score'!$B$27:$O$40,6,0)</f>
        <v>3.6553030303030304E-3</v>
      </c>
      <c r="BL1042" s="48">
        <f>$G1042/5280*VLOOKUP($AC1042,'Cost and Score'!$B$27:$O$40,7,0)</f>
        <v>7.3106060606060608E-3</v>
      </c>
      <c r="BM1042" s="48">
        <f>$G1042/5280*VLOOKUP($AC1042,'Cost and Score'!$B$27:$O$40,8,0)</f>
        <v>0</v>
      </c>
      <c r="BN1042" s="48">
        <f>$G1042/5280*VLOOKUP($AC1042,'Cost and Score'!$B$27:$O$40,9,0)</f>
        <v>0</v>
      </c>
      <c r="BO1042" s="48">
        <f>$G1042/5280*VLOOKUP($AC1042,'Cost and Score'!$B$27:$O$40,10,0)</f>
        <v>36.553030303030305</v>
      </c>
      <c r="BP1042" s="48">
        <f>$G1042/5280*VLOOKUP($AC1042,'Cost and Score'!$B$27:$O$40,11,0)</f>
        <v>0</v>
      </c>
      <c r="BQ1042" s="48">
        <f>$G1042/5280*VLOOKUP($AC1042,'Cost and Score'!$B$27:$O$40,12,0)</f>
        <v>0</v>
      </c>
      <c r="BR1042" s="48">
        <f>$G1042/5280*VLOOKUP($AC1042,'Cost and Score'!$B$27:$O$40,13,0)</f>
        <v>0</v>
      </c>
      <c r="BS1042" s="48">
        <f>$G1042/5280*VLOOKUP($AC1042,'Cost and Score'!$B$27:$O$40,14,0)</f>
        <v>0</v>
      </c>
      <c r="BT1042" s="220">
        <f t="shared" si="543"/>
        <v>3.6553030303030302E-2</v>
      </c>
      <c r="CN1042" s="112"/>
      <c r="CO1042" s="112"/>
      <c r="CP1042" s="112"/>
      <c r="CQ1042" s="112"/>
      <c r="CR1042" s="112"/>
      <c r="CV1042" s="112"/>
    </row>
    <row r="1043" spans="1:103" s="112" customFormat="1" ht="14.45" hidden="1" customHeight="1" x14ac:dyDescent="0.25">
      <c r="A1043" s="31" t="s">
        <v>2102</v>
      </c>
      <c r="B1043" s="224" t="s">
        <v>1899</v>
      </c>
      <c r="C1043" s="26" t="s">
        <v>1899</v>
      </c>
      <c r="D1043" s="36" t="s">
        <v>2279</v>
      </c>
      <c r="E1043" s="26" t="s">
        <v>1451</v>
      </c>
      <c r="F1043" s="26" t="s">
        <v>1452</v>
      </c>
      <c r="G1043" s="29">
        <v>158</v>
      </c>
      <c r="H1043" s="29">
        <f t="shared" si="541"/>
        <v>26</v>
      </c>
      <c r="I1043" s="26" t="s">
        <v>2098</v>
      </c>
      <c r="J1043" s="26" t="s">
        <v>160</v>
      </c>
      <c r="K1043" s="26">
        <f t="shared" si="558"/>
        <v>0</v>
      </c>
      <c r="L1043" s="42">
        <v>7</v>
      </c>
      <c r="M1043" s="42">
        <v>7</v>
      </c>
      <c r="N1043" s="42">
        <v>9</v>
      </c>
      <c r="O1043" s="42">
        <v>9</v>
      </c>
      <c r="P1043" s="42">
        <v>8</v>
      </c>
      <c r="Q1043" s="42">
        <v>7</v>
      </c>
      <c r="R1043" s="42">
        <v>7</v>
      </c>
      <c r="S1043" s="42">
        <v>8</v>
      </c>
      <c r="T1043" s="42">
        <v>7</v>
      </c>
      <c r="U1043" s="42">
        <v>8</v>
      </c>
      <c r="V1043" s="42"/>
      <c r="W1043" s="42"/>
      <c r="X1043" s="42"/>
      <c r="Y1043" s="26">
        <v>668</v>
      </c>
      <c r="Z1043" s="26">
        <f t="shared" si="546"/>
        <v>0.5</v>
      </c>
      <c r="AA1043" s="26" t="s">
        <v>1899</v>
      </c>
      <c r="AB1043" s="111">
        <f t="shared" si="540"/>
        <v>2.5</v>
      </c>
      <c r="AC1043" s="85" t="s">
        <v>2489</v>
      </c>
      <c r="AD1043" s="47">
        <f>VLOOKUP(AC1043,Cost,2,FALSE)*G1043/5280</f>
        <v>748.10606060606062</v>
      </c>
      <c r="AE1043" s="140"/>
      <c r="AF1043" s="113">
        <f t="shared" si="547"/>
        <v>0</v>
      </c>
      <c r="AG1043" s="85">
        <v>2026</v>
      </c>
      <c r="AH1043" s="26" t="str">
        <f t="shared" si="557"/>
        <v/>
      </c>
      <c r="AI1043" s="26" t="str">
        <f t="shared" si="526"/>
        <v/>
      </c>
      <c r="AJ1043" s="26" t="str">
        <f t="shared" si="529"/>
        <v/>
      </c>
      <c r="AK1043" s="26" t="str">
        <f t="shared" si="544"/>
        <v/>
      </c>
      <c r="AL1043" s="26" t="str">
        <f t="shared" si="544"/>
        <v>Liquid Road</v>
      </c>
      <c r="AM1043" s="26" t="str">
        <f t="shared" si="544"/>
        <v/>
      </c>
      <c r="AN1043" s="26" t="str">
        <f t="shared" si="523"/>
        <v>Liquid Road</v>
      </c>
      <c r="AO1043" s="26" t="str">
        <f t="shared" si="530"/>
        <v/>
      </c>
      <c r="AP1043" s="26" t="str">
        <f t="shared" si="527"/>
        <v/>
      </c>
      <c r="AQ1043" s="68">
        <f t="shared" si="548"/>
        <v>14</v>
      </c>
      <c r="AR1043" s="68">
        <f t="shared" si="549"/>
        <v>10</v>
      </c>
      <c r="AS1043" s="68">
        <f t="shared" si="550"/>
        <v>1.05</v>
      </c>
      <c r="AT1043" s="68">
        <f t="shared" si="551"/>
        <v>1.05</v>
      </c>
      <c r="AU1043" s="68">
        <f t="shared" si="552"/>
        <v>1</v>
      </c>
      <c r="AV1043" s="68">
        <f t="shared" si="553"/>
        <v>1</v>
      </c>
      <c r="AW1043" s="68">
        <f t="shared" si="554"/>
        <v>1</v>
      </c>
      <c r="AX1043" s="68">
        <f t="shared" ca="1" si="555"/>
        <v>2</v>
      </c>
      <c r="AY1043" s="68">
        <v>2014</v>
      </c>
      <c r="AZ1043" s="68" t="s">
        <v>2086</v>
      </c>
      <c r="BA1043" s="106" t="str">
        <f t="shared" si="556"/>
        <v/>
      </c>
      <c r="BB1043" s="178"/>
      <c r="BC1043" s="178"/>
      <c r="BD1043" s="178"/>
      <c r="BE1043" s="178"/>
      <c r="BF1043" s="178"/>
      <c r="BG1043" s="178">
        <v>4</v>
      </c>
      <c r="BH1043" s="178"/>
      <c r="BI1043" s="33"/>
      <c r="BJ1043" s="2"/>
      <c r="BK1043" s="48">
        <f>$G1043/5280*VLOOKUP($AC1043,'Cost and Score'!$B$27:$O$40,6,0)</f>
        <v>2.9924242424242423E-2</v>
      </c>
      <c r="BL1043" s="48">
        <f>$G1043/5280*VLOOKUP($AC1043,'Cost and Score'!$B$27:$O$40,7,0)</f>
        <v>0.47878787878787876</v>
      </c>
      <c r="BM1043" s="48">
        <f>$G1043/5280*VLOOKUP($AC1043,'Cost and Score'!$B$27:$O$40,8,0)</f>
        <v>0</v>
      </c>
      <c r="BN1043" s="48">
        <f>$G1043/5280*VLOOKUP($AC1043,'Cost and Score'!$B$27:$O$40,9,0)</f>
        <v>0</v>
      </c>
      <c r="BO1043" s="48">
        <f>$G1043/5280*VLOOKUP($AC1043,'Cost and Score'!$B$27:$O$40,10,0)</f>
        <v>0</v>
      </c>
      <c r="BP1043" s="48">
        <f>$G1043/5280*VLOOKUP($AC1043,'Cost and Score'!$B$27:$O$40,11,0)</f>
        <v>0</v>
      </c>
      <c r="BQ1043" s="48">
        <f>$G1043/5280*VLOOKUP($AC1043,'Cost and Score'!$B$27:$O$40,12,0)</f>
        <v>0</v>
      </c>
      <c r="BR1043" s="48">
        <f>$G1043/5280*VLOOKUP($AC1043,'Cost and Score'!$B$27:$O$40,13,0)</f>
        <v>0</v>
      </c>
      <c r="BS1043" s="48">
        <f>$G1043/5280*VLOOKUP($AC1043,'Cost and Score'!$B$27:$O$40,14,0)</f>
        <v>0</v>
      </c>
      <c r="BT1043" s="220">
        <f t="shared" si="543"/>
        <v>2.9924242424242423E-2</v>
      </c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S1043" s="2"/>
      <c r="CT1043" s="2"/>
      <c r="CU1043" s="2"/>
      <c r="CV1043" s="2"/>
      <c r="CW1043" s="2"/>
      <c r="CX1043" s="2"/>
      <c r="CY1043" s="2"/>
    </row>
    <row r="1044" spans="1:103" s="2" customFormat="1" ht="14.45" hidden="1" customHeight="1" x14ac:dyDescent="0.25">
      <c r="A1044" s="31" t="s">
        <v>2102</v>
      </c>
      <c r="B1044" s="45" t="s">
        <v>1900</v>
      </c>
      <c r="C1044" s="26" t="s">
        <v>1900</v>
      </c>
      <c r="D1044" s="36" t="s">
        <v>2243</v>
      </c>
      <c r="E1044" s="26" t="s">
        <v>1472</v>
      </c>
      <c r="F1044" s="26" t="s">
        <v>1473</v>
      </c>
      <c r="G1044" s="29">
        <v>528</v>
      </c>
      <c r="H1044" s="29">
        <f t="shared" si="541"/>
        <v>26</v>
      </c>
      <c r="I1044" s="26" t="s">
        <v>2098</v>
      </c>
      <c r="J1044" s="26" t="s">
        <v>160</v>
      </c>
      <c r="K1044" s="26">
        <f t="shared" si="558"/>
        <v>0</v>
      </c>
      <c r="L1044" s="42">
        <v>7</v>
      </c>
      <c r="M1044" s="42">
        <v>7</v>
      </c>
      <c r="N1044" s="42">
        <v>7</v>
      </c>
      <c r="O1044" s="42">
        <v>7</v>
      </c>
      <c r="P1044" s="42">
        <v>7</v>
      </c>
      <c r="Q1044" s="42">
        <v>7</v>
      </c>
      <c r="R1044" s="42">
        <v>7</v>
      </c>
      <c r="S1044" s="42">
        <v>7</v>
      </c>
      <c r="T1044" s="42">
        <v>7</v>
      </c>
      <c r="U1044" s="42">
        <v>7</v>
      </c>
      <c r="V1044" s="42"/>
      <c r="W1044" s="42"/>
      <c r="X1044" s="42"/>
      <c r="Y1044" s="26">
        <v>667</v>
      </c>
      <c r="Z1044" s="26">
        <f t="shared" si="546"/>
        <v>0.5</v>
      </c>
      <c r="AA1044" s="26" t="s">
        <v>1900</v>
      </c>
      <c r="AB1044" s="111">
        <f t="shared" si="540"/>
        <v>3.5</v>
      </c>
      <c r="AC1044" s="26" t="s">
        <v>2086</v>
      </c>
      <c r="AD1044" s="47">
        <v>4270.9399999999996</v>
      </c>
      <c r="AE1044" s="140"/>
      <c r="AF1044" s="113">
        <f t="shared" si="547"/>
        <v>0</v>
      </c>
      <c r="AG1044" s="26">
        <v>2024</v>
      </c>
      <c r="AH1044" s="26" t="str">
        <f t="shared" si="557"/>
        <v/>
      </c>
      <c r="AI1044" s="26" t="str">
        <f t="shared" si="526"/>
        <v/>
      </c>
      <c r="AJ1044" s="26" t="str">
        <f t="shared" si="529"/>
        <v>Fog Seal</v>
      </c>
      <c r="AK1044" s="26" t="str">
        <f t="shared" si="544"/>
        <v/>
      </c>
      <c r="AL1044" s="26" t="str">
        <f t="shared" si="544"/>
        <v/>
      </c>
      <c r="AM1044" s="26" t="str">
        <f t="shared" si="544"/>
        <v/>
      </c>
      <c r="AN1044" s="26" t="str">
        <f t="shared" si="523"/>
        <v>Fog Seal</v>
      </c>
      <c r="AO1044" s="26" t="str">
        <f t="shared" si="530"/>
        <v/>
      </c>
      <c r="AP1044" s="26" t="str">
        <f t="shared" si="527"/>
        <v/>
      </c>
      <c r="AQ1044" s="68">
        <f t="shared" si="548"/>
        <v>10</v>
      </c>
      <c r="AR1044" s="68">
        <f t="shared" si="549"/>
        <v>2</v>
      </c>
      <c r="AS1044" s="68">
        <f t="shared" si="550"/>
        <v>1.05</v>
      </c>
      <c r="AT1044" s="68">
        <f t="shared" si="551"/>
        <v>1.05</v>
      </c>
      <c r="AU1044" s="68">
        <f t="shared" si="552"/>
        <v>1.05</v>
      </c>
      <c r="AV1044" s="68">
        <f t="shared" si="553"/>
        <v>1.05</v>
      </c>
      <c r="AW1044" s="68">
        <f t="shared" si="554"/>
        <v>1.05</v>
      </c>
      <c r="AX1044" s="68">
        <f t="shared" ca="1" si="555"/>
        <v>0</v>
      </c>
      <c r="AY1044" s="68">
        <v>2018</v>
      </c>
      <c r="AZ1044" s="68" t="s">
        <v>2371</v>
      </c>
      <c r="BA1044" s="106" t="str">
        <f t="shared" si="556"/>
        <v>MICRO</v>
      </c>
      <c r="BB1044" s="178"/>
      <c r="BC1044" s="178"/>
      <c r="BD1044" s="178"/>
      <c r="BE1044" s="178"/>
      <c r="BF1044" s="178"/>
      <c r="BG1044" s="178"/>
      <c r="BH1044" s="178"/>
      <c r="BI1044" s="33"/>
      <c r="BK1044" s="48">
        <f>$G1044/5280*VLOOKUP($AC1044,'Cost and Score'!$B$27:$O$40,6,0)</f>
        <v>1.0000000000000002E-2</v>
      </c>
      <c r="BL1044" s="48">
        <f>$G1044/5280*VLOOKUP($AC1044,'Cost and Score'!$B$27:$O$40,7,0)</f>
        <v>2.0000000000000004E-2</v>
      </c>
      <c r="BM1044" s="48">
        <f>$G1044/5280*VLOOKUP($AC1044,'Cost and Score'!$B$27:$O$40,8,0)</f>
        <v>0</v>
      </c>
      <c r="BN1044" s="48">
        <f>$G1044/5280*VLOOKUP($AC1044,'Cost and Score'!$B$27:$O$40,9,0)</f>
        <v>0</v>
      </c>
      <c r="BO1044" s="48">
        <f>$G1044/5280*VLOOKUP($AC1044,'Cost and Score'!$B$27:$O$40,10,0)</f>
        <v>100</v>
      </c>
      <c r="BP1044" s="48">
        <f>$G1044/5280*VLOOKUP($AC1044,'Cost and Score'!$B$27:$O$40,11,0)</f>
        <v>0</v>
      </c>
      <c r="BQ1044" s="48">
        <f>$G1044/5280*VLOOKUP($AC1044,'Cost and Score'!$B$27:$O$40,12,0)</f>
        <v>0</v>
      </c>
      <c r="BR1044" s="48">
        <f>$G1044/5280*VLOOKUP($AC1044,'Cost and Score'!$B$27:$O$40,13,0)</f>
        <v>0</v>
      </c>
      <c r="BS1044" s="48">
        <f>$G1044/5280*VLOOKUP($AC1044,'Cost and Score'!$B$27:$O$40,14,0)</f>
        <v>0</v>
      </c>
      <c r="BT1044" s="220">
        <f t="shared" si="543"/>
        <v>0.1</v>
      </c>
      <c r="CF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</row>
    <row r="1045" spans="1:103" s="2" customFormat="1" ht="14.45" hidden="1" customHeight="1" x14ac:dyDescent="0.25">
      <c r="A1045" s="31" t="s">
        <v>2102</v>
      </c>
      <c r="B1045" s="226" t="s">
        <v>1901</v>
      </c>
      <c r="C1045" s="106" t="s">
        <v>1901</v>
      </c>
      <c r="D1045" s="116" t="s">
        <v>2274</v>
      </c>
      <c r="E1045" s="106" t="s">
        <v>1512</v>
      </c>
      <c r="F1045" s="106" t="s">
        <v>1902</v>
      </c>
      <c r="G1045" s="109">
        <v>264</v>
      </c>
      <c r="H1045" s="109">
        <f t="shared" si="541"/>
        <v>26</v>
      </c>
      <c r="I1045" s="106" t="s">
        <v>2098</v>
      </c>
      <c r="J1045" s="106" t="s">
        <v>160</v>
      </c>
      <c r="K1045" s="106">
        <f t="shared" si="558"/>
        <v>0</v>
      </c>
      <c r="L1045" s="110">
        <v>8</v>
      </c>
      <c r="M1045" s="110">
        <v>9</v>
      </c>
      <c r="N1045" s="110">
        <v>9</v>
      </c>
      <c r="O1045" s="110">
        <v>8</v>
      </c>
      <c r="P1045" s="110">
        <v>8</v>
      </c>
      <c r="Q1045" s="110">
        <v>7</v>
      </c>
      <c r="R1045" s="110">
        <v>7</v>
      </c>
      <c r="S1045" s="110">
        <v>7</v>
      </c>
      <c r="T1045" s="110">
        <v>7</v>
      </c>
      <c r="U1045" s="110">
        <v>7</v>
      </c>
      <c r="V1045" s="110"/>
      <c r="W1045" s="110"/>
      <c r="X1045" s="110"/>
      <c r="Y1045" s="106">
        <v>653</v>
      </c>
      <c r="Z1045" s="106">
        <f t="shared" si="546"/>
        <v>0.5</v>
      </c>
      <c r="AA1045" s="106" t="s">
        <v>1901</v>
      </c>
      <c r="AB1045" s="111">
        <f t="shared" si="540"/>
        <v>2.5</v>
      </c>
      <c r="AC1045" s="85" t="s">
        <v>2425</v>
      </c>
      <c r="AD1045" s="107">
        <f t="shared" ref="AD1045:AD1050" si="559">VLOOKUP(AC1045,Cost,2,FALSE)*G1045/5280</f>
        <v>1250</v>
      </c>
      <c r="AE1045" s="198"/>
      <c r="AF1045" s="113">
        <f t="shared" si="547"/>
        <v>0</v>
      </c>
      <c r="AG1045" s="85">
        <v>2026</v>
      </c>
      <c r="AH1045" s="26" t="str">
        <f t="shared" si="557"/>
        <v/>
      </c>
      <c r="AI1045" s="26" t="str">
        <f t="shared" si="526"/>
        <v/>
      </c>
      <c r="AJ1045" s="26" t="str">
        <f t="shared" si="529"/>
        <v/>
      </c>
      <c r="AK1045" s="26" t="str">
        <f t="shared" si="544"/>
        <v/>
      </c>
      <c r="AL1045" s="26" t="str">
        <f t="shared" si="544"/>
        <v>Liquid Road</v>
      </c>
      <c r="AM1045" s="26" t="str">
        <f t="shared" si="544"/>
        <v/>
      </c>
      <c r="AN1045" s="26" t="str">
        <f t="shared" ref="AN1045:AN1108" si="560">VLOOKUP($AC1045,RSL,3,FALSE)</f>
        <v>Liquid Road</v>
      </c>
      <c r="AO1045" s="26" t="str">
        <f t="shared" si="530"/>
        <v/>
      </c>
      <c r="AP1045" s="26" t="str">
        <f t="shared" si="527"/>
        <v/>
      </c>
      <c r="AQ1045" s="68">
        <f t="shared" si="548"/>
        <v>12</v>
      </c>
      <c r="AR1045" s="68">
        <f t="shared" si="549"/>
        <v>10</v>
      </c>
      <c r="AS1045" s="68">
        <f t="shared" si="550"/>
        <v>1</v>
      </c>
      <c r="AT1045" s="68">
        <f t="shared" si="551"/>
        <v>1</v>
      </c>
      <c r="AU1045" s="68">
        <f t="shared" si="552"/>
        <v>1</v>
      </c>
      <c r="AV1045" s="68">
        <f t="shared" si="553"/>
        <v>1</v>
      </c>
      <c r="AW1045" s="68">
        <f t="shared" si="554"/>
        <v>1</v>
      </c>
      <c r="AX1045" s="68">
        <f t="shared" ca="1" si="555"/>
        <v>2</v>
      </c>
      <c r="AY1045" s="106">
        <v>2017</v>
      </c>
      <c r="AZ1045" s="106" t="s">
        <v>2086</v>
      </c>
      <c r="BA1045" s="106" t="str">
        <f t="shared" si="556"/>
        <v/>
      </c>
      <c r="BB1045" s="177"/>
      <c r="BC1045" s="177"/>
      <c r="BD1045" s="177"/>
      <c r="BE1045" s="177"/>
      <c r="BF1045" s="177"/>
      <c r="BG1045" s="177">
        <v>4</v>
      </c>
      <c r="BH1045" s="177"/>
      <c r="BI1045" s="33"/>
      <c r="BK1045" s="48">
        <f>$G1045/5280*VLOOKUP($AC1045,'Cost and Score'!$B$27:$O$40,6,0)</f>
        <v>0.05</v>
      </c>
      <c r="BL1045" s="48">
        <f>$G1045/5280*VLOOKUP($AC1045,'Cost and Score'!$B$27:$O$40,7,0)</f>
        <v>0.8</v>
      </c>
      <c r="BM1045" s="48">
        <f>$G1045/5280*VLOOKUP($AC1045,'Cost and Score'!$B$27:$O$40,8,0)</f>
        <v>0</v>
      </c>
      <c r="BN1045" s="48">
        <f>$G1045/5280*VLOOKUP($AC1045,'Cost and Score'!$B$27:$O$40,9,0)</f>
        <v>0</v>
      </c>
      <c r="BO1045" s="48">
        <f>$G1045/5280*VLOOKUP($AC1045,'Cost and Score'!$B$27:$O$40,10,0)</f>
        <v>0</v>
      </c>
      <c r="BP1045" s="48">
        <f>$G1045/5280*VLOOKUP($AC1045,'Cost and Score'!$B$27:$O$40,11,0)</f>
        <v>0</v>
      </c>
      <c r="BQ1045" s="48">
        <f>$G1045/5280*VLOOKUP($AC1045,'Cost and Score'!$B$27:$O$40,12,0)</f>
        <v>0</v>
      </c>
      <c r="BR1045" s="48">
        <f>$G1045/5280*VLOOKUP($AC1045,'Cost and Score'!$B$27:$O$40,13,0)</f>
        <v>0</v>
      </c>
      <c r="BS1045" s="48">
        <f>$G1045/5280*VLOOKUP($AC1045,'Cost and Score'!$B$27:$O$40,14,0)</f>
        <v>0</v>
      </c>
      <c r="BT1045" s="220">
        <f t="shared" si="543"/>
        <v>0.05</v>
      </c>
      <c r="CF1045" s="112"/>
      <c r="CG1045" s="112"/>
      <c r="CH1045" s="112"/>
      <c r="CI1045" s="112"/>
      <c r="CJ1045" s="112"/>
      <c r="CK1045" s="112"/>
      <c r="CL1045" s="112"/>
      <c r="CM1045" s="112"/>
      <c r="CR1045" s="112"/>
      <c r="CS1045" s="112"/>
      <c r="CT1045" s="112"/>
      <c r="CU1045" s="112"/>
    </row>
    <row r="1046" spans="1:103" s="2" customFormat="1" ht="14.45" hidden="1" customHeight="1" x14ac:dyDescent="0.25">
      <c r="A1046" s="31"/>
      <c r="B1046" s="226" t="s">
        <v>2211</v>
      </c>
      <c r="C1046" s="106" t="s">
        <v>2211</v>
      </c>
      <c r="D1046" s="116" t="s">
        <v>2274</v>
      </c>
      <c r="E1046" s="106"/>
      <c r="F1046" s="106" t="s">
        <v>2365</v>
      </c>
      <c r="G1046" s="109">
        <v>264</v>
      </c>
      <c r="H1046" s="109">
        <f t="shared" si="541"/>
        <v>26</v>
      </c>
      <c r="I1046" s="106" t="s">
        <v>2098</v>
      </c>
      <c r="J1046" s="106" t="s">
        <v>160</v>
      </c>
      <c r="K1046" s="106">
        <f t="shared" si="558"/>
        <v>0</v>
      </c>
      <c r="L1046" s="110"/>
      <c r="M1046" s="110">
        <v>9</v>
      </c>
      <c r="N1046" s="110">
        <v>9</v>
      </c>
      <c r="O1046" s="110">
        <v>8</v>
      </c>
      <c r="P1046" s="110">
        <v>8</v>
      </c>
      <c r="Q1046" s="110">
        <v>7</v>
      </c>
      <c r="R1046" s="110">
        <v>7</v>
      </c>
      <c r="S1046" s="110">
        <v>7</v>
      </c>
      <c r="T1046" s="110">
        <v>7</v>
      </c>
      <c r="U1046" s="110">
        <v>7</v>
      </c>
      <c r="V1046" s="110"/>
      <c r="W1046" s="110"/>
      <c r="X1046" s="110"/>
      <c r="Y1046" s="106">
        <v>653</v>
      </c>
      <c r="Z1046" s="106">
        <f t="shared" si="546"/>
        <v>0.5</v>
      </c>
      <c r="AA1046" s="106" t="s">
        <v>2211</v>
      </c>
      <c r="AB1046" s="111">
        <f t="shared" si="540"/>
        <v>2.5</v>
      </c>
      <c r="AC1046" s="85" t="s">
        <v>2425</v>
      </c>
      <c r="AD1046" s="107">
        <f t="shared" si="559"/>
        <v>1250</v>
      </c>
      <c r="AE1046" s="198"/>
      <c r="AF1046" s="113">
        <f t="shared" si="547"/>
        <v>0</v>
      </c>
      <c r="AG1046" s="85">
        <v>2026</v>
      </c>
      <c r="AH1046" s="26" t="str">
        <f t="shared" si="557"/>
        <v/>
      </c>
      <c r="AI1046" s="26" t="str">
        <f t="shared" si="526"/>
        <v/>
      </c>
      <c r="AJ1046" s="26" t="str">
        <f t="shared" si="529"/>
        <v/>
      </c>
      <c r="AK1046" s="26" t="str">
        <f t="shared" si="544"/>
        <v/>
      </c>
      <c r="AL1046" s="26" t="str">
        <f t="shared" si="544"/>
        <v>Liquid Road</v>
      </c>
      <c r="AM1046" s="26" t="str">
        <f t="shared" si="544"/>
        <v/>
      </c>
      <c r="AN1046" s="26" t="str">
        <f t="shared" si="560"/>
        <v>Liquid Road</v>
      </c>
      <c r="AO1046" s="26" t="str">
        <f t="shared" si="530"/>
        <v/>
      </c>
      <c r="AP1046" s="26" t="str">
        <f t="shared" si="527"/>
        <v/>
      </c>
      <c r="AQ1046" s="68">
        <f t="shared" si="548"/>
        <v>12</v>
      </c>
      <c r="AR1046" s="68">
        <f t="shared" si="549"/>
        <v>10</v>
      </c>
      <c r="AS1046" s="68">
        <f t="shared" si="550"/>
        <v>0</v>
      </c>
      <c r="AT1046" s="68">
        <f t="shared" si="551"/>
        <v>1</v>
      </c>
      <c r="AU1046" s="68">
        <f t="shared" si="552"/>
        <v>1</v>
      </c>
      <c r="AV1046" s="68">
        <f t="shared" si="553"/>
        <v>1</v>
      </c>
      <c r="AW1046" s="68">
        <f t="shared" si="554"/>
        <v>1</v>
      </c>
      <c r="AX1046" s="68">
        <f t="shared" ca="1" si="555"/>
        <v>2</v>
      </c>
      <c r="AY1046" s="106">
        <v>2017</v>
      </c>
      <c r="AZ1046" s="106" t="s">
        <v>2086</v>
      </c>
      <c r="BA1046" s="106" t="str">
        <f t="shared" si="556"/>
        <v/>
      </c>
      <c r="BB1046" s="177"/>
      <c r="BC1046" s="177"/>
      <c r="BD1046" s="177"/>
      <c r="BE1046" s="177"/>
      <c r="BF1046" s="177"/>
      <c r="BG1046" s="177">
        <v>4</v>
      </c>
      <c r="BH1046" s="177"/>
      <c r="BI1046" s="33"/>
      <c r="BK1046" s="48">
        <f>$G1046/5280*VLOOKUP($AC1046,'Cost and Score'!$B$27:$O$40,6,0)</f>
        <v>0.05</v>
      </c>
      <c r="BL1046" s="48">
        <f>$G1046/5280*VLOOKUP($AC1046,'Cost and Score'!$B$27:$O$40,7,0)</f>
        <v>0.8</v>
      </c>
      <c r="BM1046" s="48">
        <f>$G1046/5280*VLOOKUP($AC1046,'Cost and Score'!$B$27:$O$40,8,0)</f>
        <v>0</v>
      </c>
      <c r="BN1046" s="48">
        <f>$G1046/5280*VLOOKUP($AC1046,'Cost and Score'!$B$27:$O$40,9,0)</f>
        <v>0</v>
      </c>
      <c r="BO1046" s="48">
        <f>$G1046/5280*VLOOKUP($AC1046,'Cost and Score'!$B$27:$O$40,10,0)</f>
        <v>0</v>
      </c>
      <c r="BP1046" s="48">
        <f>$G1046/5280*VLOOKUP($AC1046,'Cost and Score'!$B$27:$O$40,11,0)</f>
        <v>0</v>
      </c>
      <c r="BQ1046" s="48">
        <f>$G1046/5280*VLOOKUP($AC1046,'Cost and Score'!$B$27:$O$40,12,0)</f>
        <v>0</v>
      </c>
      <c r="BR1046" s="48">
        <f>$G1046/5280*VLOOKUP($AC1046,'Cost and Score'!$B$27:$O$40,13,0)</f>
        <v>0</v>
      </c>
      <c r="BS1046" s="48">
        <f>$G1046/5280*VLOOKUP($AC1046,'Cost and Score'!$B$27:$O$40,14,0)</f>
        <v>0</v>
      </c>
      <c r="BT1046" s="220">
        <f t="shared" si="543"/>
        <v>0.05</v>
      </c>
      <c r="CF1046" s="112"/>
      <c r="CG1046" s="112"/>
      <c r="CH1046" s="112"/>
      <c r="CI1046" s="112"/>
      <c r="CJ1046" s="112"/>
      <c r="CK1046" s="112"/>
      <c r="CL1046" s="112"/>
      <c r="CM1046" s="112"/>
      <c r="CS1046" s="112"/>
      <c r="CT1046" s="112"/>
      <c r="CU1046" s="112"/>
      <c r="CW1046" s="112"/>
      <c r="CX1046" s="112"/>
      <c r="CY1046" s="112"/>
    </row>
    <row r="1047" spans="1:103" s="112" customFormat="1" ht="14.45" hidden="1" customHeight="1" x14ac:dyDescent="0.25">
      <c r="A1047" s="31" t="s">
        <v>2102</v>
      </c>
      <c r="B1047" s="226" t="s">
        <v>1903</v>
      </c>
      <c r="C1047" s="106" t="s">
        <v>1903</v>
      </c>
      <c r="D1047" s="116" t="s">
        <v>2274</v>
      </c>
      <c r="E1047" s="106" t="s">
        <v>1512</v>
      </c>
      <c r="F1047" s="106" t="s">
        <v>1902</v>
      </c>
      <c r="G1047" s="109">
        <v>317</v>
      </c>
      <c r="H1047" s="109">
        <f t="shared" si="541"/>
        <v>26</v>
      </c>
      <c r="I1047" s="106" t="s">
        <v>2098</v>
      </c>
      <c r="J1047" s="106" t="s">
        <v>160</v>
      </c>
      <c r="K1047" s="106">
        <f t="shared" si="558"/>
        <v>0</v>
      </c>
      <c r="L1047" s="110">
        <v>8</v>
      </c>
      <c r="M1047" s="110">
        <v>9</v>
      </c>
      <c r="N1047" s="110">
        <v>9</v>
      </c>
      <c r="O1047" s="110">
        <v>8</v>
      </c>
      <c r="P1047" s="110">
        <v>8</v>
      </c>
      <c r="Q1047" s="110">
        <v>7</v>
      </c>
      <c r="R1047" s="110">
        <v>7</v>
      </c>
      <c r="S1047" s="110">
        <v>7</v>
      </c>
      <c r="T1047" s="110">
        <v>7</v>
      </c>
      <c r="U1047" s="110">
        <v>7</v>
      </c>
      <c r="V1047" s="110"/>
      <c r="W1047" s="110"/>
      <c r="X1047" s="110"/>
      <c r="Y1047" s="106">
        <v>653</v>
      </c>
      <c r="Z1047" s="106">
        <f t="shared" si="546"/>
        <v>0.5</v>
      </c>
      <c r="AA1047" s="106" t="s">
        <v>1903</v>
      </c>
      <c r="AB1047" s="111">
        <f t="shared" si="540"/>
        <v>2.5</v>
      </c>
      <c r="AC1047" s="85" t="s">
        <v>2425</v>
      </c>
      <c r="AD1047" s="107">
        <f t="shared" si="559"/>
        <v>1500.9469696969697</v>
      </c>
      <c r="AE1047" s="198"/>
      <c r="AF1047" s="113">
        <f t="shared" si="547"/>
        <v>0</v>
      </c>
      <c r="AG1047" s="85">
        <v>2026</v>
      </c>
      <c r="AH1047" s="26" t="str">
        <f t="shared" si="557"/>
        <v/>
      </c>
      <c r="AI1047" s="26" t="str">
        <f t="shared" si="526"/>
        <v/>
      </c>
      <c r="AJ1047" s="26" t="str">
        <f t="shared" si="529"/>
        <v/>
      </c>
      <c r="AK1047" s="26" t="str">
        <f t="shared" si="544"/>
        <v/>
      </c>
      <c r="AL1047" s="26" t="str">
        <f t="shared" si="544"/>
        <v>Liquid Road</v>
      </c>
      <c r="AM1047" s="26" t="str">
        <f t="shared" si="544"/>
        <v/>
      </c>
      <c r="AN1047" s="26" t="str">
        <f t="shared" si="560"/>
        <v>Liquid Road</v>
      </c>
      <c r="AO1047" s="26" t="str">
        <f t="shared" si="530"/>
        <v/>
      </c>
      <c r="AP1047" s="26" t="str">
        <f t="shared" si="527"/>
        <v/>
      </c>
      <c r="AQ1047" s="68">
        <f t="shared" si="548"/>
        <v>12</v>
      </c>
      <c r="AR1047" s="68">
        <f t="shared" si="549"/>
        <v>10</v>
      </c>
      <c r="AS1047" s="68">
        <f t="shared" si="550"/>
        <v>1</v>
      </c>
      <c r="AT1047" s="68">
        <f t="shared" si="551"/>
        <v>1</v>
      </c>
      <c r="AU1047" s="68">
        <f t="shared" si="552"/>
        <v>1</v>
      </c>
      <c r="AV1047" s="68">
        <f t="shared" si="553"/>
        <v>1</v>
      </c>
      <c r="AW1047" s="68">
        <f t="shared" si="554"/>
        <v>1</v>
      </c>
      <c r="AX1047" s="68">
        <f t="shared" ca="1" si="555"/>
        <v>2</v>
      </c>
      <c r="AY1047" s="106">
        <v>2017</v>
      </c>
      <c r="AZ1047" s="106" t="s">
        <v>2086</v>
      </c>
      <c r="BA1047" s="106" t="str">
        <f t="shared" si="556"/>
        <v/>
      </c>
      <c r="BB1047" s="177"/>
      <c r="BC1047" s="177"/>
      <c r="BD1047" s="177"/>
      <c r="BE1047" s="177"/>
      <c r="BF1047" s="177"/>
      <c r="BG1047" s="177">
        <v>4</v>
      </c>
      <c r="BH1047" s="177"/>
      <c r="BI1047" s="33"/>
      <c r="BJ1047" s="2"/>
      <c r="BK1047" s="48">
        <f>$G1047/5280*VLOOKUP($AC1047,'Cost and Score'!$B$27:$O$40,6,0)</f>
        <v>6.0037878787878786E-2</v>
      </c>
      <c r="BL1047" s="48">
        <f>$G1047/5280*VLOOKUP($AC1047,'Cost and Score'!$B$27:$O$40,7,0)</f>
        <v>0.96060606060606057</v>
      </c>
      <c r="BM1047" s="48">
        <f>$G1047/5280*VLOOKUP($AC1047,'Cost and Score'!$B$27:$O$40,8,0)</f>
        <v>0</v>
      </c>
      <c r="BN1047" s="48">
        <f>$G1047/5280*VLOOKUP($AC1047,'Cost and Score'!$B$27:$O$40,9,0)</f>
        <v>0</v>
      </c>
      <c r="BO1047" s="48">
        <f>$G1047/5280*VLOOKUP($AC1047,'Cost and Score'!$B$27:$O$40,10,0)</f>
        <v>0</v>
      </c>
      <c r="BP1047" s="48">
        <f>$G1047/5280*VLOOKUP($AC1047,'Cost and Score'!$B$27:$O$40,11,0)</f>
        <v>0</v>
      </c>
      <c r="BQ1047" s="48">
        <f>$G1047/5280*VLOOKUP($AC1047,'Cost and Score'!$B$27:$O$40,12,0)</f>
        <v>0</v>
      </c>
      <c r="BR1047" s="48">
        <f>$G1047/5280*VLOOKUP($AC1047,'Cost and Score'!$B$27:$O$40,13,0)</f>
        <v>0</v>
      </c>
      <c r="BS1047" s="48">
        <f>$G1047/5280*VLOOKUP($AC1047,'Cost and Score'!$B$27:$O$40,14,0)</f>
        <v>0</v>
      </c>
      <c r="BT1047" s="220">
        <f t="shared" si="543"/>
        <v>6.0037878787878786E-2</v>
      </c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N1047" s="2"/>
      <c r="CO1047" s="2"/>
      <c r="CP1047" s="2"/>
      <c r="CQ1047" s="2"/>
      <c r="CR1047" s="2"/>
      <c r="CV1047" s="2"/>
      <c r="CW1047" s="2"/>
      <c r="CX1047" s="2"/>
      <c r="CY1047" s="2"/>
    </row>
    <row r="1048" spans="1:103" s="112" customFormat="1" ht="14.45" hidden="1" customHeight="1" x14ac:dyDescent="0.25">
      <c r="A1048" s="31" t="s">
        <v>2102</v>
      </c>
      <c r="B1048" s="226" t="s">
        <v>1904</v>
      </c>
      <c r="C1048" s="106" t="s">
        <v>1904</v>
      </c>
      <c r="D1048" s="116" t="s">
        <v>2274</v>
      </c>
      <c r="E1048" s="106" t="s">
        <v>1512</v>
      </c>
      <c r="F1048" s="106" t="s">
        <v>1902</v>
      </c>
      <c r="G1048" s="109">
        <v>845</v>
      </c>
      <c r="H1048" s="109">
        <f t="shared" si="541"/>
        <v>26</v>
      </c>
      <c r="I1048" s="106" t="s">
        <v>2098</v>
      </c>
      <c r="J1048" s="106" t="s">
        <v>160</v>
      </c>
      <c r="K1048" s="106">
        <f t="shared" si="558"/>
        <v>0</v>
      </c>
      <c r="L1048" s="110">
        <v>8</v>
      </c>
      <c r="M1048" s="110">
        <v>9</v>
      </c>
      <c r="N1048" s="110">
        <v>9</v>
      </c>
      <c r="O1048" s="110">
        <v>8</v>
      </c>
      <c r="P1048" s="110">
        <v>8</v>
      </c>
      <c r="Q1048" s="110">
        <v>7</v>
      </c>
      <c r="R1048" s="110">
        <v>7</v>
      </c>
      <c r="S1048" s="110">
        <v>7</v>
      </c>
      <c r="T1048" s="110">
        <v>7</v>
      </c>
      <c r="U1048" s="110">
        <v>7</v>
      </c>
      <c r="V1048" s="110"/>
      <c r="W1048" s="110"/>
      <c r="X1048" s="110"/>
      <c r="Y1048" s="106">
        <v>653</v>
      </c>
      <c r="Z1048" s="106">
        <f t="shared" si="546"/>
        <v>0.5</v>
      </c>
      <c r="AA1048" s="106" t="s">
        <v>1904</v>
      </c>
      <c r="AB1048" s="111">
        <f t="shared" si="540"/>
        <v>2.5</v>
      </c>
      <c r="AC1048" s="85" t="s">
        <v>2425</v>
      </c>
      <c r="AD1048" s="107">
        <f t="shared" si="559"/>
        <v>4000.9469696969695</v>
      </c>
      <c r="AE1048" s="198"/>
      <c r="AF1048" s="113">
        <f t="shared" si="547"/>
        <v>0</v>
      </c>
      <c r="AG1048" s="85">
        <v>2026</v>
      </c>
      <c r="AH1048" s="26" t="str">
        <f t="shared" si="557"/>
        <v/>
      </c>
      <c r="AI1048" s="26" t="str">
        <f t="shared" si="526"/>
        <v/>
      </c>
      <c r="AJ1048" s="26" t="str">
        <f t="shared" si="529"/>
        <v/>
      </c>
      <c r="AK1048" s="26" t="str">
        <f t="shared" ref="AK1048:AM1067" si="561">IF($AG1048=AK$1,VLOOKUP($AC1048,RSL,3,FALSE),"")</f>
        <v/>
      </c>
      <c r="AL1048" s="26" t="str">
        <f t="shared" si="561"/>
        <v>Liquid Road</v>
      </c>
      <c r="AM1048" s="26" t="str">
        <f t="shared" si="561"/>
        <v/>
      </c>
      <c r="AN1048" s="26" t="str">
        <f t="shared" si="560"/>
        <v>Liquid Road</v>
      </c>
      <c r="AO1048" s="26" t="str">
        <f t="shared" si="530"/>
        <v/>
      </c>
      <c r="AP1048" s="26" t="str">
        <f t="shared" si="527"/>
        <v/>
      </c>
      <c r="AQ1048" s="68">
        <f t="shared" si="548"/>
        <v>12</v>
      </c>
      <c r="AR1048" s="68">
        <f t="shared" si="549"/>
        <v>10</v>
      </c>
      <c r="AS1048" s="68">
        <f t="shared" si="550"/>
        <v>1</v>
      </c>
      <c r="AT1048" s="68">
        <f t="shared" si="551"/>
        <v>1</v>
      </c>
      <c r="AU1048" s="68">
        <f t="shared" si="552"/>
        <v>1</v>
      </c>
      <c r="AV1048" s="68">
        <f t="shared" si="553"/>
        <v>1</v>
      </c>
      <c r="AW1048" s="68">
        <f t="shared" si="554"/>
        <v>1</v>
      </c>
      <c r="AX1048" s="68">
        <f t="shared" ca="1" si="555"/>
        <v>2</v>
      </c>
      <c r="AY1048" s="106">
        <v>2017</v>
      </c>
      <c r="AZ1048" s="106" t="s">
        <v>2086</v>
      </c>
      <c r="BA1048" s="106" t="str">
        <f t="shared" si="556"/>
        <v/>
      </c>
      <c r="BB1048" s="177"/>
      <c r="BC1048" s="177"/>
      <c r="BD1048" s="177"/>
      <c r="BE1048" s="177"/>
      <c r="BF1048" s="177"/>
      <c r="BG1048" s="177">
        <v>4</v>
      </c>
      <c r="BH1048" s="177"/>
      <c r="BI1048" s="33"/>
      <c r="BJ1048" s="2"/>
      <c r="BK1048" s="48">
        <f>$G1048/5280*VLOOKUP($AC1048,'Cost and Score'!$B$27:$O$40,6,0)</f>
        <v>0.16003787878787878</v>
      </c>
      <c r="BL1048" s="48">
        <f>$G1048/5280*VLOOKUP($AC1048,'Cost and Score'!$B$27:$O$40,7,0)</f>
        <v>2.5606060606060606</v>
      </c>
      <c r="BM1048" s="48">
        <f>$G1048/5280*VLOOKUP($AC1048,'Cost and Score'!$B$27:$O$40,8,0)</f>
        <v>0</v>
      </c>
      <c r="BN1048" s="48">
        <f>$G1048/5280*VLOOKUP($AC1048,'Cost and Score'!$B$27:$O$40,9,0)</f>
        <v>0</v>
      </c>
      <c r="BO1048" s="48">
        <f>$G1048/5280*VLOOKUP($AC1048,'Cost and Score'!$B$27:$O$40,10,0)</f>
        <v>0</v>
      </c>
      <c r="BP1048" s="48">
        <f>$G1048/5280*VLOOKUP($AC1048,'Cost and Score'!$B$27:$O$40,11,0)</f>
        <v>0</v>
      </c>
      <c r="BQ1048" s="48">
        <f>$G1048/5280*VLOOKUP($AC1048,'Cost and Score'!$B$27:$O$40,12,0)</f>
        <v>0</v>
      </c>
      <c r="BR1048" s="48">
        <f>$G1048/5280*VLOOKUP($AC1048,'Cost and Score'!$B$27:$O$40,13,0)</f>
        <v>0</v>
      </c>
      <c r="BS1048" s="48">
        <f>$G1048/5280*VLOOKUP($AC1048,'Cost and Score'!$B$27:$O$40,14,0)</f>
        <v>0</v>
      </c>
      <c r="BT1048" s="220">
        <f t="shared" si="543"/>
        <v>0.16003787878787878</v>
      </c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R1048" s="2"/>
      <c r="CW1048" s="2"/>
      <c r="CX1048" s="2"/>
      <c r="CY1048" s="2"/>
    </row>
    <row r="1049" spans="1:103" s="112" customFormat="1" ht="14.45" hidden="1" customHeight="1" x14ac:dyDescent="0.25">
      <c r="A1049" s="31" t="s">
        <v>2102</v>
      </c>
      <c r="B1049" s="226" t="s">
        <v>1905</v>
      </c>
      <c r="C1049" s="106" t="s">
        <v>1905</v>
      </c>
      <c r="D1049" s="116" t="s">
        <v>2274</v>
      </c>
      <c r="E1049" s="106" t="s">
        <v>1512</v>
      </c>
      <c r="F1049" s="106" t="s">
        <v>1902</v>
      </c>
      <c r="G1049" s="109">
        <v>1056</v>
      </c>
      <c r="H1049" s="109">
        <f t="shared" si="541"/>
        <v>26</v>
      </c>
      <c r="I1049" s="106" t="s">
        <v>2098</v>
      </c>
      <c r="J1049" s="106" t="s">
        <v>160</v>
      </c>
      <c r="K1049" s="106">
        <f t="shared" si="558"/>
        <v>0</v>
      </c>
      <c r="L1049" s="110">
        <v>8</v>
      </c>
      <c r="M1049" s="110">
        <v>9</v>
      </c>
      <c r="N1049" s="110">
        <v>9</v>
      </c>
      <c r="O1049" s="110">
        <v>8</v>
      </c>
      <c r="P1049" s="110">
        <v>8</v>
      </c>
      <c r="Q1049" s="110">
        <v>7</v>
      </c>
      <c r="R1049" s="110">
        <v>7</v>
      </c>
      <c r="S1049" s="110">
        <v>7</v>
      </c>
      <c r="T1049" s="110">
        <v>7</v>
      </c>
      <c r="U1049" s="110">
        <v>7</v>
      </c>
      <c r="V1049" s="110"/>
      <c r="W1049" s="110"/>
      <c r="X1049" s="110"/>
      <c r="Y1049" s="106">
        <v>653</v>
      </c>
      <c r="Z1049" s="106">
        <f t="shared" si="546"/>
        <v>0.5</v>
      </c>
      <c r="AA1049" s="106" t="s">
        <v>1905</v>
      </c>
      <c r="AB1049" s="111">
        <f t="shared" si="540"/>
        <v>2.5</v>
      </c>
      <c r="AC1049" s="85" t="s">
        <v>2425</v>
      </c>
      <c r="AD1049" s="107">
        <f t="shared" si="559"/>
        <v>5000</v>
      </c>
      <c r="AE1049" s="198"/>
      <c r="AF1049" s="113">
        <f t="shared" si="547"/>
        <v>0</v>
      </c>
      <c r="AG1049" s="85">
        <v>2026</v>
      </c>
      <c r="AH1049" s="26" t="str">
        <f t="shared" si="557"/>
        <v/>
      </c>
      <c r="AI1049" s="26" t="str">
        <f t="shared" si="526"/>
        <v/>
      </c>
      <c r="AJ1049" s="26" t="str">
        <f t="shared" si="529"/>
        <v/>
      </c>
      <c r="AK1049" s="26" t="str">
        <f t="shared" si="561"/>
        <v/>
      </c>
      <c r="AL1049" s="26" t="str">
        <f t="shared" si="561"/>
        <v>Liquid Road</v>
      </c>
      <c r="AM1049" s="26" t="str">
        <f t="shared" si="561"/>
        <v/>
      </c>
      <c r="AN1049" s="26" t="str">
        <f t="shared" si="560"/>
        <v>Liquid Road</v>
      </c>
      <c r="AO1049" s="26" t="str">
        <f t="shared" si="530"/>
        <v/>
      </c>
      <c r="AP1049" s="26" t="str">
        <f t="shared" si="527"/>
        <v/>
      </c>
      <c r="AQ1049" s="68">
        <f t="shared" si="548"/>
        <v>12</v>
      </c>
      <c r="AR1049" s="68">
        <f t="shared" si="549"/>
        <v>10</v>
      </c>
      <c r="AS1049" s="68">
        <f t="shared" si="550"/>
        <v>1</v>
      </c>
      <c r="AT1049" s="68">
        <f t="shared" si="551"/>
        <v>1</v>
      </c>
      <c r="AU1049" s="68">
        <f t="shared" si="552"/>
        <v>1</v>
      </c>
      <c r="AV1049" s="68">
        <f t="shared" si="553"/>
        <v>1</v>
      </c>
      <c r="AW1049" s="68">
        <f t="shared" si="554"/>
        <v>1</v>
      </c>
      <c r="AX1049" s="68">
        <f t="shared" ca="1" si="555"/>
        <v>2</v>
      </c>
      <c r="AY1049" s="106">
        <v>2017</v>
      </c>
      <c r="AZ1049" s="106" t="s">
        <v>2086</v>
      </c>
      <c r="BA1049" s="106" t="str">
        <f t="shared" si="556"/>
        <v/>
      </c>
      <c r="BB1049" s="177"/>
      <c r="BC1049" s="177"/>
      <c r="BD1049" s="177"/>
      <c r="BE1049" s="177"/>
      <c r="BF1049" s="177"/>
      <c r="BG1049" s="177">
        <v>4</v>
      </c>
      <c r="BH1049" s="177"/>
      <c r="BI1049" s="33"/>
      <c r="BJ1049" s="2"/>
      <c r="BK1049" s="48">
        <f>$G1049/5280*VLOOKUP($AC1049,'Cost and Score'!$B$27:$O$40,6,0)</f>
        <v>0.2</v>
      </c>
      <c r="BL1049" s="48">
        <f>$G1049/5280*VLOOKUP($AC1049,'Cost and Score'!$B$27:$O$40,7,0)</f>
        <v>3.2</v>
      </c>
      <c r="BM1049" s="48">
        <f>$G1049/5280*VLOOKUP($AC1049,'Cost and Score'!$B$27:$O$40,8,0)</f>
        <v>0</v>
      </c>
      <c r="BN1049" s="48">
        <f>$G1049/5280*VLOOKUP($AC1049,'Cost and Score'!$B$27:$O$40,9,0)</f>
        <v>0</v>
      </c>
      <c r="BO1049" s="48">
        <f>$G1049/5280*VLOOKUP($AC1049,'Cost and Score'!$B$27:$O$40,10,0)</f>
        <v>0</v>
      </c>
      <c r="BP1049" s="48">
        <f>$G1049/5280*VLOOKUP($AC1049,'Cost and Score'!$B$27:$O$40,11,0)</f>
        <v>0</v>
      </c>
      <c r="BQ1049" s="48">
        <f>$G1049/5280*VLOOKUP($AC1049,'Cost and Score'!$B$27:$O$40,12,0)</f>
        <v>0</v>
      </c>
      <c r="BR1049" s="48">
        <f>$G1049/5280*VLOOKUP($AC1049,'Cost and Score'!$B$27:$O$40,13,0)</f>
        <v>0</v>
      </c>
      <c r="BS1049" s="48">
        <f>$G1049/5280*VLOOKUP($AC1049,'Cost and Score'!$B$27:$O$40,14,0)</f>
        <v>0</v>
      </c>
      <c r="BT1049" s="220">
        <f t="shared" si="543"/>
        <v>0.2</v>
      </c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R1049" s="2"/>
    </row>
    <row r="1050" spans="1:103" s="112" customFormat="1" ht="14.45" hidden="1" customHeight="1" x14ac:dyDescent="0.25">
      <c r="A1050" s="31" t="s">
        <v>2102</v>
      </c>
      <c r="B1050" s="226" t="s">
        <v>1906</v>
      </c>
      <c r="C1050" s="106" t="s">
        <v>1906</v>
      </c>
      <c r="D1050" s="116" t="s">
        <v>2274</v>
      </c>
      <c r="E1050" s="106" t="s">
        <v>1512</v>
      </c>
      <c r="F1050" s="106" t="s">
        <v>1902</v>
      </c>
      <c r="G1050" s="109">
        <v>1531</v>
      </c>
      <c r="H1050" s="109">
        <f t="shared" si="541"/>
        <v>26</v>
      </c>
      <c r="I1050" s="106" t="s">
        <v>2098</v>
      </c>
      <c r="J1050" s="106" t="s">
        <v>160</v>
      </c>
      <c r="K1050" s="106">
        <f t="shared" si="558"/>
        <v>0</v>
      </c>
      <c r="L1050" s="110">
        <v>8</v>
      </c>
      <c r="M1050" s="110">
        <v>9</v>
      </c>
      <c r="N1050" s="110">
        <v>9</v>
      </c>
      <c r="O1050" s="110">
        <v>8</v>
      </c>
      <c r="P1050" s="110">
        <v>8</v>
      </c>
      <c r="Q1050" s="110">
        <v>7</v>
      </c>
      <c r="R1050" s="110">
        <v>7</v>
      </c>
      <c r="S1050" s="110">
        <v>7</v>
      </c>
      <c r="T1050" s="110">
        <v>7</v>
      </c>
      <c r="U1050" s="110">
        <v>7</v>
      </c>
      <c r="V1050" s="110"/>
      <c r="W1050" s="110"/>
      <c r="X1050" s="110"/>
      <c r="Y1050" s="106">
        <v>653</v>
      </c>
      <c r="Z1050" s="106">
        <f t="shared" si="546"/>
        <v>0.5</v>
      </c>
      <c r="AA1050" s="106" t="s">
        <v>1906</v>
      </c>
      <c r="AB1050" s="111">
        <f t="shared" si="540"/>
        <v>2.5</v>
      </c>
      <c r="AC1050" s="85" t="s">
        <v>2425</v>
      </c>
      <c r="AD1050" s="107">
        <f t="shared" si="559"/>
        <v>7249.05303030303</v>
      </c>
      <c r="AE1050" s="198"/>
      <c r="AF1050" s="113">
        <f t="shared" si="547"/>
        <v>0</v>
      </c>
      <c r="AG1050" s="85">
        <v>2026</v>
      </c>
      <c r="AH1050" s="26" t="str">
        <f t="shared" si="557"/>
        <v/>
      </c>
      <c r="AI1050" s="26" t="str">
        <f t="shared" si="526"/>
        <v/>
      </c>
      <c r="AJ1050" s="26" t="str">
        <f t="shared" si="529"/>
        <v/>
      </c>
      <c r="AK1050" s="26" t="str">
        <f t="shared" si="561"/>
        <v/>
      </c>
      <c r="AL1050" s="26" t="str">
        <f t="shared" si="561"/>
        <v>Liquid Road</v>
      </c>
      <c r="AM1050" s="26" t="str">
        <f t="shared" si="561"/>
        <v/>
      </c>
      <c r="AN1050" s="26" t="str">
        <f t="shared" si="560"/>
        <v>Liquid Road</v>
      </c>
      <c r="AO1050" s="26" t="str">
        <f t="shared" si="530"/>
        <v/>
      </c>
      <c r="AP1050" s="26" t="str">
        <f t="shared" si="527"/>
        <v/>
      </c>
      <c r="AQ1050" s="68">
        <f t="shared" si="548"/>
        <v>12</v>
      </c>
      <c r="AR1050" s="68">
        <f t="shared" si="549"/>
        <v>10</v>
      </c>
      <c r="AS1050" s="68">
        <f t="shared" si="550"/>
        <v>1</v>
      </c>
      <c r="AT1050" s="68">
        <f t="shared" si="551"/>
        <v>1</v>
      </c>
      <c r="AU1050" s="68">
        <f t="shared" si="552"/>
        <v>1</v>
      </c>
      <c r="AV1050" s="68">
        <f t="shared" si="553"/>
        <v>1</v>
      </c>
      <c r="AW1050" s="68">
        <f t="shared" si="554"/>
        <v>1</v>
      </c>
      <c r="AX1050" s="68">
        <f t="shared" ca="1" si="555"/>
        <v>2</v>
      </c>
      <c r="AY1050" s="106">
        <v>2017</v>
      </c>
      <c r="AZ1050" s="106" t="s">
        <v>2086</v>
      </c>
      <c r="BA1050" s="106" t="str">
        <f t="shared" si="556"/>
        <v/>
      </c>
      <c r="BB1050" s="177"/>
      <c r="BC1050" s="177"/>
      <c r="BD1050" s="177"/>
      <c r="BE1050" s="177"/>
      <c r="BF1050" s="177"/>
      <c r="BG1050" s="177">
        <v>4</v>
      </c>
      <c r="BH1050" s="177"/>
      <c r="BI1050" s="33"/>
      <c r="BJ1050" s="2"/>
      <c r="BK1050" s="48">
        <f>$G1050/5280*VLOOKUP($AC1050,'Cost and Score'!$B$27:$O$40,6,0)</f>
        <v>0.28996212121212123</v>
      </c>
      <c r="BL1050" s="48">
        <f>$G1050/5280*VLOOKUP($AC1050,'Cost and Score'!$B$27:$O$40,7,0)</f>
        <v>4.6393939393939396</v>
      </c>
      <c r="BM1050" s="48">
        <f>$G1050/5280*VLOOKUP($AC1050,'Cost and Score'!$B$27:$O$40,8,0)</f>
        <v>0</v>
      </c>
      <c r="BN1050" s="48">
        <f>$G1050/5280*VLOOKUP($AC1050,'Cost and Score'!$B$27:$O$40,9,0)</f>
        <v>0</v>
      </c>
      <c r="BO1050" s="48">
        <f>$G1050/5280*VLOOKUP($AC1050,'Cost and Score'!$B$27:$O$40,10,0)</f>
        <v>0</v>
      </c>
      <c r="BP1050" s="48">
        <f>$G1050/5280*VLOOKUP($AC1050,'Cost and Score'!$B$27:$O$40,11,0)</f>
        <v>0</v>
      </c>
      <c r="BQ1050" s="48">
        <f>$G1050/5280*VLOOKUP($AC1050,'Cost and Score'!$B$27:$O$40,12,0)</f>
        <v>0</v>
      </c>
      <c r="BR1050" s="48">
        <f>$G1050/5280*VLOOKUP($AC1050,'Cost and Score'!$B$27:$O$40,13,0)</f>
        <v>0</v>
      </c>
      <c r="BS1050" s="48">
        <f>$G1050/5280*VLOOKUP($AC1050,'Cost and Score'!$B$27:$O$40,14,0)</f>
        <v>0</v>
      </c>
      <c r="BT1050" s="220">
        <f t="shared" si="543"/>
        <v>0.28996212121212123</v>
      </c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R1050" s="2"/>
      <c r="CS1050" s="2"/>
      <c r="CT1050" s="2"/>
      <c r="CU1050" s="2"/>
      <c r="CW1050" s="2"/>
      <c r="CX1050" s="2"/>
      <c r="CY1050" s="2"/>
    </row>
    <row r="1051" spans="1:103" s="112" customFormat="1" ht="14.45" hidden="1" customHeight="1" x14ac:dyDescent="0.25">
      <c r="A1051" s="31" t="s">
        <v>2102</v>
      </c>
      <c r="B1051" s="45" t="s">
        <v>1907</v>
      </c>
      <c r="C1051" s="26" t="s">
        <v>1907</v>
      </c>
      <c r="D1051" s="36" t="s">
        <v>2310</v>
      </c>
      <c r="E1051" s="26" t="s">
        <v>1456</v>
      </c>
      <c r="F1051" s="26" t="s">
        <v>1908</v>
      </c>
      <c r="G1051" s="29">
        <v>1531</v>
      </c>
      <c r="H1051" s="29">
        <v>20</v>
      </c>
      <c r="I1051" s="26" t="s">
        <v>2098</v>
      </c>
      <c r="J1051" s="26" t="s">
        <v>11</v>
      </c>
      <c r="K1051" s="26">
        <f t="shared" si="558"/>
        <v>0</v>
      </c>
      <c r="L1051" s="42">
        <v>7</v>
      </c>
      <c r="M1051" s="42">
        <v>7</v>
      </c>
      <c r="N1051" s="42">
        <v>7</v>
      </c>
      <c r="O1051" s="42">
        <v>7</v>
      </c>
      <c r="P1051" s="42">
        <v>7</v>
      </c>
      <c r="Q1051" s="42">
        <v>8</v>
      </c>
      <c r="R1051" s="42">
        <v>8</v>
      </c>
      <c r="S1051" s="42">
        <v>7</v>
      </c>
      <c r="T1051" s="42">
        <v>7</v>
      </c>
      <c r="U1051" s="42">
        <v>7</v>
      </c>
      <c r="V1051" s="42"/>
      <c r="W1051" s="42"/>
      <c r="X1051" s="42"/>
      <c r="Y1051" s="26">
        <v>50</v>
      </c>
      <c r="Z1051" s="26">
        <f t="shared" si="546"/>
        <v>0</v>
      </c>
      <c r="AA1051" s="26" t="s">
        <v>1907</v>
      </c>
      <c r="AB1051" s="111">
        <f t="shared" si="540"/>
        <v>3</v>
      </c>
      <c r="AC1051" s="26" t="s">
        <v>2086</v>
      </c>
      <c r="AD1051" s="47">
        <v>13269</v>
      </c>
      <c r="AE1051" s="140"/>
      <c r="AF1051" s="113">
        <f t="shared" si="547"/>
        <v>0</v>
      </c>
      <c r="AG1051" s="26">
        <v>2024</v>
      </c>
      <c r="AH1051" s="26" t="str">
        <f t="shared" si="557"/>
        <v/>
      </c>
      <c r="AI1051" s="26" t="str">
        <f t="shared" si="526"/>
        <v/>
      </c>
      <c r="AJ1051" s="26" t="str">
        <f t="shared" si="529"/>
        <v>Fog Seal</v>
      </c>
      <c r="AK1051" s="26" t="str">
        <f t="shared" si="561"/>
        <v/>
      </c>
      <c r="AL1051" s="26" t="str">
        <f t="shared" si="561"/>
        <v/>
      </c>
      <c r="AM1051" s="26" t="str">
        <f t="shared" si="561"/>
        <v/>
      </c>
      <c r="AN1051" s="26" t="str">
        <f t="shared" si="560"/>
        <v>Fog Seal</v>
      </c>
      <c r="AO1051" s="26" t="str">
        <f t="shared" si="530"/>
        <v/>
      </c>
      <c r="AP1051" s="26" t="str">
        <f t="shared" si="527"/>
        <v/>
      </c>
      <c r="AQ1051" s="68">
        <f t="shared" si="548"/>
        <v>10</v>
      </c>
      <c r="AR1051" s="68">
        <f t="shared" si="549"/>
        <v>2</v>
      </c>
      <c r="AS1051" s="68">
        <f t="shared" si="550"/>
        <v>1.05</v>
      </c>
      <c r="AT1051" s="68">
        <f t="shared" si="551"/>
        <v>1.05</v>
      </c>
      <c r="AU1051" s="68">
        <f t="shared" si="552"/>
        <v>1.05</v>
      </c>
      <c r="AV1051" s="68">
        <f t="shared" si="553"/>
        <v>1.05</v>
      </c>
      <c r="AW1051" s="68">
        <f t="shared" si="554"/>
        <v>1.05</v>
      </c>
      <c r="AX1051" s="68">
        <f t="shared" ca="1" si="555"/>
        <v>0</v>
      </c>
      <c r="AY1051" s="68">
        <v>2018</v>
      </c>
      <c r="AZ1051" s="68" t="s">
        <v>2371</v>
      </c>
      <c r="BA1051" s="106" t="str">
        <f t="shared" si="556"/>
        <v>MICRO</v>
      </c>
      <c r="BB1051" s="178"/>
      <c r="BC1051" s="178"/>
      <c r="BD1051" s="178"/>
      <c r="BE1051" s="178"/>
      <c r="BF1051" s="178"/>
      <c r="BG1051" s="178"/>
      <c r="BH1051" s="178"/>
      <c r="BI1051" s="33"/>
      <c r="BJ1051" s="2"/>
      <c r="BK1051" s="48">
        <f>$G1051/5280*VLOOKUP($AC1051,'Cost and Score'!$B$27:$O$40,6,0)</f>
        <v>2.8996212121212124E-2</v>
      </c>
      <c r="BL1051" s="48">
        <f>$G1051/5280*VLOOKUP($AC1051,'Cost and Score'!$B$27:$O$40,7,0)</f>
        <v>5.7992424242424248E-2</v>
      </c>
      <c r="BM1051" s="48">
        <f>$G1051/5280*VLOOKUP($AC1051,'Cost and Score'!$B$27:$O$40,8,0)</f>
        <v>0</v>
      </c>
      <c r="BN1051" s="48">
        <f>$G1051/5280*VLOOKUP($AC1051,'Cost and Score'!$B$27:$O$40,9,0)</f>
        <v>0</v>
      </c>
      <c r="BO1051" s="48">
        <f>$G1051/5280*VLOOKUP($AC1051,'Cost and Score'!$B$27:$O$40,10,0)</f>
        <v>289.96212121212125</v>
      </c>
      <c r="BP1051" s="48">
        <f>$G1051/5280*VLOOKUP($AC1051,'Cost and Score'!$B$27:$O$40,11,0)</f>
        <v>0</v>
      </c>
      <c r="BQ1051" s="48">
        <f>$G1051/5280*VLOOKUP($AC1051,'Cost and Score'!$B$27:$O$40,12,0)</f>
        <v>0</v>
      </c>
      <c r="BR1051" s="48">
        <f>$G1051/5280*VLOOKUP($AC1051,'Cost and Score'!$B$27:$O$40,13,0)</f>
        <v>0</v>
      </c>
      <c r="BS1051" s="48">
        <f>$G1051/5280*VLOOKUP($AC1051,'Cost and Score'!$B$27:$O$40,14,0)</f>
        <v>0</v>
      </c>
      <c r="BT1051" s="220">
        <f t="shared" si="543"/>
        <v>0.28996212121212123</v>
      </c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R1051" s="2"/>
      <c r="CS1051" s="2"/>
      <c r="CT1051" s="2"/>
      <c r="CU1051" s="2"/>
      <c r="CW1051" s="2"/>
      <c r="CX1051" s="2"/>
      <c r="CY1051" s="2"/>
    </row>
    <row r="1052" spans="1:103" s="112" customFormat="1" ht="14.45" hidden="1" customHeight="1" x14ac:dyDescent="0.25">
      <c r="A1052" s="31" t="s">
        <v>2102</v>
      </c>
      <c r="B1052" s="45" t="s">
        <v>1909</v>
      </c>
      <c r="C1052" s="26" t="s">
        <v>1909</v>
      </c>
      <c r="D1052" s="36" t="s">
        <v>2310</v>
      </c>
      <c r="E1052" s="26" t="s">
        <v>1456</v>
      </c>
      <c r="F1052" s="26" t="s">
        <v>1908</v>
      </c>
      <c r="G1052" s="29">
        <v>422</v>
      </c>
      <c r="H1052" s="29">
        <v>20</v>
      </c>
      <c r="I1052" s="26" t="s">
        <v>2098</v>
      </c>
      <c r="J1052" s="26" t="s">
        <v>11</v>
      </c>
      <c r="K1052" s="26">
        <f t="shared" si="558"/>
        <v>0</v>
      </c>
      <c r="L1052" s="42">
        <v>7</v>
      </c>
      <c r="M1052" s="42">
        <v>7</v>
      </c>
      <c r="N1052" s="42">
        <v>7</v>
      </c>
      <c r="O1052" s="42">
        <v>7</v>
      </c>
      <c r="P1052" s="42">
        <v>7</v>
      </c>
      <c r="Q1052" s="42">
        <v>8</v>
      </c>
      <c r="R1052" s="42">
        <v>8</v>
      </c>
      <c r="S1052" s="42">
        <v>7</v>
      </c>
      <c r="T1052" s="42">
        <v>7</v>
      </c>
      <c r="U1052" s="42">
        <v>7</v>
      </c>
      <c r="V1052" s="42"/>
      <c r="W1052" s="42"/>
      <c r="X1052" s="42"/>
      <c r="Y1052" s="26">
        <v>50</v>
      </c>
      <c r="Z1052" s="26">
        <f t="shared" si="546"/>
        <v>0</v>
      </c>
      <c r="AA1052" s="26" t="s">
        <v>1909</v>
      </c>
      <c r="AB1052" s="111">
        <f t="shared" si="540"/>
        <v>3</v>
      </c>
      <c r="AC1052" s="26" t="s">
        <v>2086</v>
      </c>
      <c r="AD1052" s="47">
        <v>3658</v>
      </c>
      <c r="AE1052" s="140"/>
      <c r="AF1052" s="113">
        <f t="shared" si="547"/>
        <v>0</v>
      </c>
      <c r="AG1052" s="26">
        <v>2024</v>
      </c>
      <c r="AH1052" s="26" t="str">
        <f t="shared" si="557"/>
        <v/>
      </c>
      <c r="AI1052" s="26" t="str">
        <f t="shared" si="526"/>
        <v/>
      </c>
      <c r="AJ1052" s="26" t="str">
        <f t="shared" si="529"/>
        <v>Fog Seal</v>
      </c>
      <c r="AK1052" s="26" t="str">
        <f t="shared" si="561"/>
        <v/>
      </c>
      <c r="AL1052" s="26" t="str">
        <f t="shared" si="561"/>
        <v/>
      </c>
      <c r="AM1052" s="26" t="str">
        <f t="shared" si="561"/>
        <v/>
      </c>
      <c r="AN1052" s="26" t="str">
        <f t="shared" si="560"/>
        <v>Fog Seal</v>
      </c>
      <c r="AO1052" s="26" t="str">
        <f t="shared" si="530"/>
        <v/>
      </c>
      <c r="AP1052" s="26" t="str">
        <f t="shared" si="527"/>
        <v/>
      </c>
      <c r="AQ1052" s="68">
        <f t="shared" si="548"/>
        <v>10</v>
      </c>
      <c r="AR1052" s="68">
        <f t="shared" si="549"/>
        <v>2</v>
      </c>
      <c r="AS1052" s="68">
        <f t="shared" si="550"/>
        <v>1.05</v>
      </c>
      <c r="AT1052" s="68">
        <f t="shared" si="551"/>
        <v>1.05</v>
      </c>
      <c r="AU1052" s="68">
        <f t="shared" si="552"/>
        <v>1.05</v>
      </c>
      <c r="AV1052" s="68">
        <f t="shared" si="553"/>
        <v>1.05</v>
      </c>
      <c r="AW1052" s="68">
        <f t="shared" si="554"/>
        <v>1.05</v>
      </c>
      <c r="AX1052" s="68">
        <f t="shared" ca="1" si="555"/>
        <v>0</v>
      </c>
      <c r="AY1052" s="68">
        <v>2018</v>
      </c>
      <c r="AZ1052" s="68" t="s">
        <v>2371</v>
      </c>
      <c r="BA1052" s="106" t="str">
        <f t="shared" si="556"/>
        <v>MICRO</v>
      </c>
      <c r="BB1052" s="178"/>
      <c r="BC1052" s="178"/>
      <c r="BD1052" s="178"/>
      <c r="BE1052" s="178"/>
      <c r="BF1052" s="178"/>
      <c r="BG1052" s="178"/>
      <c r="BH1052" s="178"/>
      <c r="BI1052" s="33"/>
      <c r="BJ1052" s="2"/>
      <c r="BK1052" s="48">
        <f>$G1052/5280*VLOOKUP($AC1052,'Cost and Score'!$B$27:$O$40,6,0)</f>
        <v>7.9924242424242436E-3</v>
      </c>
      <c r="BL1052" s="48">
        <f>$G1052/5280*VLOOKUP($AC1052,'Cost and Score'!$B$27:$O$40,7,0)</f>
        <v>1.5984848484848487E-2</v>
      </c>
      <c r="BM1052" s="48">
        <f>$G1052/5280*VLOOKUP($AC1052,'Cost and Score'!$B$27:$O$40,8,0)</f>
        <v>0</v>
      </c>
      <c r="BN1052" s="48">
        <f>$G1052/5280*VLOOKUP($AC1052,'Cost and Score'!$B$27:$O$40,9,0)</f>
        <v>0</v>
      </c>
      <c r="BO1052" s="48">
        <f>$G1052/5280*VLOOKUP($AC1052,'Cost and Score'!$B$27:$O$40,10,0)</f>
        <v>79.924242424242422</v>
      </c>
      <c r="BP1052" s="48">
        <f>$G1052/5280*VLOOKUP($AC1052,'Cost and Score'!$B$27:$O$40,11,0)</f>
        <v>0</v>
      </c>
      <c r="BQ1052" s="48">
        <f>$G1052/5280*VLOOKUP($AC1052,'Cost and Score'!$B$27:$O$40,12,0)</f>
        <v>0</v>
      </c>
      <c r="BR1052" s="48">
        <f>$G1052/5280*VLOOKUP($AC1052,'Cost and Score'!$B$27:$O$40,13,0)</f>
        <v>0</v>
      </c>
      <c r="BS1052" s="48">
        <f>$G1052/5280*VLOOKUP($AC1052,'Cost and Score'!$B$27:$O$40,14,0)</f>
        <v>0</v>
      </c>
      <c r="BT1052" s="220">
        <f t="shared" si="543"/>
        <v>7.9924242424242425E-2</v>
      </c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S1052" s="2"/>
      <c r="CT1052" s="2"/>
      <c r="CU1052" s="2"/>
      <c r="CW1052" s="2"/>
      <c r="CX1052" s="2"/>
      <c r="CY1052" s="2"/>
    </row>
    <row r="1053" spans="1:103" s="2" customFormat="1" ht="14.45" hidden="1" customHeight="1" x14ac:dyDescent="0.25">
      <c r="A1053" s="31" t="s">
        <v>2102</v>
      </c>
      <c r="B1053" s="45" t="s">
        <v>1910</v>
      </c>
      <c r="C1053" s="26" t="s">
        <v>1910</v>
      </c>
      <c r="D1053" s="36" t="s">
        <v>2310</v>
      </c>
      <c r="E1053" s="26" t="s">
        <v>1456</v>
      </c>
      <c r="F1053" s="26" t="s">
        <v>1908</v>
      </c>
      <c r="G1053" s="29">
        <v>1267</v>
      </c>
      <c r="H1053" s="29">
        <v>20</v>
      </c>
      <c r="I1053" s="26" t="s">
        <v>2098</v>
      </c>
      <c r="J1053" s="26" t="s">
        <v>11</v>
      </c>
      <c r="K1053" s="26">
        <f t="shared" si="558"/>
        <v>0</v>
      </c>
      <c r="L1053" s="42">
        <v>7</v>
      </c>
      <c r="M1053" s="42">
        <v>7</v>
      </c>
      <c r="N1053" s="42">
        <v>7</v>
      </c>
      <c r="O1053" s="42">
        <v>7</v>
      </c>
      <c r="P1053" s="42">
        <v>7</v>
      </c>
      <c r="Q1053" s="42">
        <v>8</v>
      </c>
      <c r="R1053" s="42">
        <v>8</v>
      </c>
      <c r="S1053" s="42">
        <v>7</v>
      </c>
      <c r="T1053" s="42">
        <v>7</v>
      </c>
      <c r="U1053" s="42">
        <v>7</v>
      </c>
      <c r="V1053" s="42"/>
      <c r="W1053" s="42"/>
      <c r="X1053" s="42"/>
      <c r="Y1053" s="26">
        <v>50</v>
      </c>
      <c r="Z1053" s="26">
        <f t="shared" si="546"/>
        <v>0</v>
      </c>
      <c r="AA1053" s="26" t="s">
        <v>1910</v>
      </c>
      <c r="AB1053" s="111">
        <f t="shared" si="540"/>
        <v>3</v>
      </c>
      <c r="AC1053" s="26" t="s">
        <v>2086</v>
      </c>
      <c r="AD1053" s="47">
        <v>10981</v>
      </c>
      <c r="AE1053" s="140"/>
      <c r="AF1053" s="113">
        <f t="shared" si="547"/>
        <v>0</v>
      </c>
      <c r="AG1053" s="26">
        <v>2024</v>
      </c>
      <c r="AH1053" s="26" t="str">
        <f t="shared" si="557"/>
        <v/>
      </c>
      <c r="AI1053" s="26" t="str">
        <f t="shared" si="526"/>
        <v/>
      </c>
      <c r="AJ1053" s="26" t="str">
        <f t="shared" si="529"/>
        <v>Fog Seal</v>
      </c>
      <c r="AK1053" s="26" t="str">
        <f t="shared" si="561"/>
        <v/>
      </c>
      <c r="AL1053" s="26" t="str">
        <f t="shared" si="561"/>
        <v/>
      </c>
      <c r="AM1053" s="26" t="str">
        <f t="shared" si="561"/>
        <v/>
      </c>
      <c r="AN1053" s="26" t="str">
        <f t="shared" si="560"/>
        <v>Fog Seal</v>
      </c>
      <c r="AO1053" s="26" t="str">
        <f t="shared" si="530"/>
        <v/>
      </c>
      <c r="AP1053" s="26" t="str">
        <f t="shared" si="527"/>
        <v/>
      </c>
      <c r="AQ1053" s="68">
        <f t="shared" si="548"/>
        <v>10</v>
      </c>
      <c r="AR1053" s="68">
        <f t="shared" si="549"/>
        <v>2</v>
      </c>
      <c r="AS1053" s="68">
        <f t="shared" si="550"/>
        <v>1.05</v>
      </c>
      <c r="AT1053" s="68">
        <f t="shared" si="551"/>
        <v>1.05</v>
      </c>
      <c r="AU1053" s="68">
        <f t="shared" si="552"/>
        <v>1.05</v>
      </c>
      <c r="AV1053" s="68">
        <f t="shared" si="553"/>
        <v>1.05</v>
      </c>
      <c r="AW1053" s="68">
        <f t="shared" si="554"/>
        <v>1.05</v>
      </c>
      <c r="AX1053" s="68">
        <f t="shared" ca="1" si="555"/>
        <v>0</v>
      </c>
      <c r="AY1053" s="68">
        <v>2018</v>
      </c>
      <c r="AZ1053" s="68" t="s">
        <v>2371</v>
      </c>
      <c r="BA1053" s="106" t="str">
        <f t="shared" si="556"/>
        <v>MICRO</v>
      </c>
      <c r="BB1053" s="178"/>
      <c r="BC1053" s="178"/>
      <c r="BD1053" s="178"/>
      <c r="BE1053" s="178"/>
      <c r="BF1053" s="178"/>
      <c r="BG1053" s="178"/>
      <c r="BH1053" s="178"/>
      <c r="BI1053" s="33"/>
      <c r="BK1053" s="48">
        <f>$G1053/5280*VLOOKUP($AC1053,'Cost and Score'!$B$27:$O$40,6,0)</f>
        <v>2.3996212121212123E-2</v>
      </c>
      <c r="BL1053" s="48">
        <f>$G1053/5280*VLOOKUP($AC1053,'Cost and Score'!$B$27:$O$40,7,0)</f>
        <v>4.7992424242424246E-2</v>
      </c>
      <c r="BM1053" s="48">
        <f>$G1053/5280*VLOOKUP($AC1053,'Cost and Score'!$B$27:$O$40,8,0)</f>
        <v>0</v>
      </c>
      <c r="BN1053" s="48">
        <f>$G1053/5280*VLOOKUP($AC1053,'Cost and Score'!$B$27:$O$40,9,0)</f>
        <v>0</v>
      </c>
      <c r="BO1053" s="48">
        <f>$G1053/5280*VLOOKUP($AC1053,'Cost and Score'!$B$27:$O$40,10,0)</f>
        <v>239.96212121212122</v>
      </c>
      <c r="BP1053" s="48">
        <f>$G1053/5280*VLOOKUP($AC1053,'Cost and Score'!$B$27:$O$40,11,0)</f>
        <v>0</v>
      </c>
      <c r="BQ1053" s="48">
        <f>$G1053/5280*VLOOKUP($AC1053,'Cost and Score'!$B$27:$O$40,12,0)</f>
        <v>0</v>
      </c>
      <c r="BR1053" s="48">
        <f>$G1053/5280*VLOOKUP($AC1053,'Cost and Score'!$B$27:$O$40,13,0)</f>
        <v>0</v>
      </c>
      <c r="BS1053" s="48">
        <f>$G1053/5280*VLOOKUP($AC1053,'Cost and Score'!$B$27:$O$40,14,0)</f>
        <v>0</v>
      </c>
      <c r="BT1053" s="220">
        <f t="shared" si="543"/>
        <v>0.23996212121212121</v>
      </c>
      <c r="CN1053" s="112"/>
      <c r="CO1053" s="112"/>
      <c r="CP1053" s="112"/>
      <c r="CQ1053" s="112"/>
      <c r="CV1053" s="112"/>
    </row>
    <row r="1054" spans="1:103" s="2" customFormat="1" ht="14.45" hidden="1" customHeight="1" x14ac:dyDescent="0.25">
      <c r="A1054" s="31" t="s">
        <v>2102</v>
      </c>
      <c r="B1054" s="224" t="s">
        <v>1911</v>
      </c>
      <c r="C1054" s="26" t="s">
        <v>1911</v>
      </c>
      <c r="D1054" s="119" t="s">
        <v>2304</v>
      </c>
      <c r="E1054" s="82" t="s">
        <v>1707</v>
      </c>
      <c r="F1054" s="82" t="s">
        <v>1912</v>
      </c>
      <c r="G1054" s="29">
        <v>1320</v>
      </c>
      <c r="H1054" s="29">
        <f>IF(I1054="NC",26,20)</f>
        <v>26</v>
      </c>
      <c r="I1054" s="26" t="s">
        <v>2098</v>
      </c>
      <c r="J1054" s="26" t="s">
        <v>101</v>
      </c>
      <c r="K1054" s="26">
        <v>0</v>
      </c>
      <c r="L1054" s="42">
        <v>7</v>
      </c>
      <c r="M1054" s="42">
        <v>8</v>
      </c>
      <c r="N1054" s="42">
        <v>8</v>
      </c>
      <c r="O1054" s="83">
        <v>8</v>
      </c>
      <c r="P1054" s="83">
        <v>8</v>
      </c>
      <c r="Q1054" s="83">
        <v>8</v>
      </c>
      <c r="R1054" s="83">
        <v>7</v>
      </c>
      <c r="S1054" s="83">
        <v>7</v>
      </c>
      <c r="T1054" s="83">
        <v>7</v>
      </c>
      <c r="U1054" s="83">
        <v>7</v>
      </c>
      <c r="V1054" s="42"/>
      <c r="W1054" s="42"/>
      <c r="X1054" s="42"/>
      <c r="Y1054" s="26">
        <v>50</v>
      </c>
      <c r="Z1054" s="26">
        <f t="shared" si="546"/>
        <v>0</v>
      </c>
      <c r="AA1054" s="82" t="s">
        <v>1911</v>
      </c>
      <c r="AB1054" s="111">
        <f t="shared" si="540"/>
        <v>2</v>
      </c>
      <c r="AC1054" s="85" t="s">
        <v>2425</v>
      </c>
      <c r="AD1054" s="84">
        <f t="shared" ref="AD1054:AD1096" si="562">VLOOKUP(AC1054,Cost,2,FALSE)*G1054/5280</f>
        <v>6250</v>
      </c>
      <c r="AE1054" s="140"/>
      <c r="AF1054" s="113">
        <f t="shared" si="547"/>
        <v>0</v>
      </c>
      <c r="AG1054" s="85">
        <v>2026</v>
      </c>
      <c r="AH1054" s="26" t="str">
        <f t="shared" si="557"/>
        <v/>
      </c>
      <c r="AI1054" s="26" t="str">
        <f t="shared" ref="AI1054:AI1117" si="563">IF($AG1054=AI$1,VLOOKUP($AC1054,RSL,3,FALSE),"")</f>
        <v/>
      </c>
      <c r="AJ1054" s="26" t="str">
        <f t="shared" si="529"/>
        <v/>
      </c>
      <c r="AK1054" s="26" t="str">
        <f t="shared" si="561"/>
        <v/>
      </c>
      <c r="AL1054" s="26" t="str">
        <f t="shared" si="561"/>
        <v>Liquid Road</v>
      </c>
      <c r="AM1054" s="26" t="str">
        <f t="shared" si="561"/>
        <v/>
      </c>
      <c r="AN1054" s="26" t="str">
        <f t="shared" si="560"/>
        <v>Liquid Road</v>
      </c>
      <c r="AO1054" s="26" t="str">
        <f t="shared" si="530"/>
        <v/>
      </c>
      <c r="AP1054" s="26" t="str">
        <f t="shared" si="527"/>
        <v/>
      </c>
      <c r="AQ1054" s="68">
        <f t="shared" si="548"/>
        <v>12</v>
      </c>
      <c r="AR1054" s="68">
        <f t="shared" si="549"/>
        <v>10</v>
      </c>
      <c r="AS1054" s="68">
        <f t="shared" si="550"/>
        <v>1.05</v>
      </c>
      <c r="AT1054" s="68">
        <f t="shared" si="551"/>
        <v>1</v>
      </c>
      <c r="AU1054" s="68">
        <f t="shared" si="552"/>
        <v>1</v>
      </c>
      <c r="AV1054" s="68">
        <f t="shared" si="553"/>
        <v>1</v>
      </c>
      <c r="AW1054" s="68">
        <f t="shared" si="554"/>
        <v>1</v>
      </c>
      <c r="AX1054" s="68">
        <f t="shared" ca="1" si="555"/>
        <v>2</v>
      </c>
      <c r="AY1054" s="68">
        <v>2014</v>
      </c>
      <c r="AZ1054" s="68" t="s">
        <v>2075</v>
      </c>
      <c r="BA1054" s="106" t="str">
        <f t="shared" si="556"/>
        <v/>
      </c>
      <c r="BB1054" s="178"/>
      <c r="BC1054" s="178"/>
      <c r="BD1054" s="178"/>
      <c r="BE1054" s="178"/>
      <c r="BF1054" s="178"/>
      <c r="BG1054" s="178"/>
      <c r="BH1054" s="178">
        <v>5</v>
      </c>
      <c r="BI1054" s="33"/>
      <c r="BK1054" s="48">
        <f>$G1054/5280*VLOOKUP($AC1054,'Cost and Score'!$B$27:$O$40,6,0)</f>
        <v>0.25</v>
      </c>
      <c r="BL1054" s="48">
        <f>$G1054/5280*VLOOKUP($AC1054,'Cost and Score'!$B$27:$O$40,7,0)</f>
        <v>4</v>
      </c>
      <c r="BM1054" s="48">
        <f>$G1054/5280*VLOOKUP($AC1054,'Cost and Score'!$B$27:$O$40,8,0)</f>
        <v>0</v>
      </c>
      <c r="BN1054" s="48">
        <f>$G1054/5280*VLOOKUP($AC1054,'Cost and Score'!$B$27:$O$40,9,0)</f>
        <v>0</v>
      </c>
      <c r="BO1054" s="48">
        <f>$G1054/5280*VLOOKUP($AC1054,'Cost and Score'!$B$27:$O$40,10,0)</f>
        <v>0</v>
      </c>
      <c r="BP1054" s="48">
        <f>$G1054/5280*VLOOKUP($AC1054,'Cost and Score'!$B$27:$O$40,11,0)</f>
        <v>0</v>
      </c>
      <c r="BQ1054" s="48">
        <f>$G1054/5280*VLOOKUP($AC1054,'Cost and Score'!$B$27:$O$40,12,0)</f>
        <v>0</v>
      </c>
      <c r="BR1054" s="48">
        <f>$G1054/5280*VLOOKUP($AC1054,'Cost and Score'!$B$27:$O$40,13,0)</f>
        <v>0</v>
      </c>
      <c r="BS1054" s="48">
        <f>$G1054/5280*VLOOKUP($AC1054,'Cost and Score'!$B$27:$O$40,14,0)</f>
        <v>0</v>
      </c>
      <c r="BT1054" s="220">
        <f t="shared" si="543"/>
        <v>0.25</v>
      </c>
      <c r="CW1054" s="112"/>
      <c r="CX1054" s="112"/>
      <c r="CY1054" s="112"/>
    </row>
    <row r="1055" spans="1:103" s="2" customFormat="1" ht="14.45" hidden="1" customHeight="1" x14ac:dyDescent="0.25">
      <c r="A1055" s="31" t="s">
        <v>2102</v>
      </c>
      <c r="B1055" s="224" t="s">
        <v>7</v>
      </c>
      <c r="C1055" s="26" t="s">
        <v>7</v>
      </c>
      <c r="D1055" s="36" t="s">
        <v>2246</v>
      </c>
      <c r="E1055" s="26" t="s">
        <v>4</v>
      </c>
      <c r="F1055" s="26" t="s">
        <v>5</v>
      </c>
      <c r="G1055" s="29">
        <v>1109</v>
      </c>
      <c r="H1055" s="29">
        <f>IF(I1055="NC",26,20)</f>
        <v>26</v>
      </c>
      <c r="I1055" s="26" t="s">
        <v>2098</v>
      </c>
      <c r="J1055" s="26" t="s">
        <v>6</v>
      </c>
      <c r="K1055" s="26">
        <f>VLOOKUP(J1055,TOWNSHIPS,2,FALSE)</f>
        <v>0</v>
      </c>
      <c r="L1055" s="42">
        <v>7</v>
      </c>
      <c r="M1055" s="42">
        <v>6</v>
      </c>
      <c r="N1055" s="42">
        <v>9</v>
      </c>
      <c r="O1055" s="42">
        <v>8</v>
      </c>
      <c r="P1055" s="42">
        <v>8</v>
      </c>
      <c r="Q1055" s="42">
        <v>8</v>
      </c>
      <c r="R1055" s="42">
        <v>7</v>
      </c>
      <c r="S1055" s="42">
        <v>7</v>
      </c>
      <c r="T1055" s="42">
        <v>7</v>
      </c>
      <c r="U1055" s="42">
        <v>7</v>
      </c>
      <c r="V1055" s="42"/>
      <c r="W1055" s="42"/>
      <c r="X1055" s="42"/>
      <c r="Y1055" s="26">
        <v>439</v>
      </c>
      <c r="Z1055" s="26">
        <f t="shared" si="546"/>
        <v>0</v>
      </c>
      <c r="AA1055" s="26" t="s">
        <v>7</v>
      </c>
      <c r="AB1055" s="111">
        <f t="shared" si="540"/>
        <v>2</v>
      </c>
      <c r="AC1055" s="85" t="s">
        <v>2371</v>
      </c>
      <c r="AD1055" s="47">
        <f t="shared" si="562"/>
        <v>16803.030303030304</v>
      </c>
      <c r="AE1055" s="140">
        <v>1</v>
      </c>
      <c r="AF1055" s="113">
        <f t="shared" si="547"/>
        <v>16803.030303030304</v>
      </c>
      <c r="AG1055" s="85">
        <v>2024</v>
      </c>
      <c r="AH1055" s="26" t="str">
        <f t="shared" si="557"/>
        <v/>
      </c>
      <c r="AI1055" s="26" t="str">
        <f t="shared" si="563"/>
        <v/>
      </c>
      <c r="AJ1055" s="26" t="str">
        <f t="shared" si="529"/>
        <v>Microsurface double</v>
      </c>
      <c r="AK1055" s="26" t="str">
        <f t="shared" si="561"/>
        <v/>
      </c>
      <c r="AL1055" s="26" t="str">
        <f t="shared" si="561"/>
        <v/>
      </c>
      <c r="AM1055" s="26" t="str">
        <f t="shared" si="561"/>
        <v/>
      </c>
      <c r="AN1055" s="26" t="str">
        <f t="shared" si="560"/>
        <v>Microsurface double</v>
      </c>
      <c r="AO1055" s="26" t="str">
        <f t="shared" si="530"/>
        <v/>
      </c>
      <c r="AP1055" s="26" t="str">
        <f t="shared" si="527"/>
        <v/>
      </c>
      <c r="AQ1055" s="68">
        <f t="shared" si="548"/>
        <v>12</v>
      </c>
      <c r="AR1055" s="68">
        <f t="shared" si="549"/>
        <v>10</v>
      </c>
      <c r="AS1055" s="68">
        <f t="shared" si="550"/>
        <v>1.05</v>
      </c>
      <c r="AT1055" s="68">
        <f t="shared" si="551"/>
        <v>1.1000000000000001</v>
      </c>
      <c r="AU1055" s="68">
        <f t="shared" si="552"/>
        <v>1</v>
      </c>
      <c r="AV1055" s="68">
        <f t="shared" si="553"/>
        <v>1</v>
      </c>
      <c r="AW1055" s="68">
        <f t="shared" si="554"/>
        <v>1</v>
      </c>
      <c r="AX1055" s="68">
        <f t="shared" ca="1" si="555"/>
        <v>0</v>
      </c>
      <c r="AY1055" s="68">
        <v>2016</v>
      </c>
      <c r="AZ1055" s="68" t="s">
        <v>2086</v>
      </c>
      <c r="BA1055" s="106" t="str">
        <f t="shared" si="556"/>
        <v/>
      </c>
      <c r="BB1055" s="178"/>
      <c r="BC1055" s="178"/>
      <c r="BD1055" s="178"/>
      <c r="BE1055" s="178">
        <v>2</v>
      </c>
      <c r="BF1055" s="178"/>
      <c r="BG1055" s="178"/>
      <c r="BH1055" s="178"/>
      <c r="BI1055" s="33" t="s">
        <v>2623</v>
      </c>
      <c r="BK1055" s="48">
        <f>$G1055/5280*VLOOKUP($AC1055,'Cost and Score'!$B$27:$O$40,6,0)</f>
        <v>0.1050189393939394</v>
      </c>
      <c r="BL1055" s="48">
        <f>$G1055/5280*VLOOKUP($AC1055,'Cost and Score'!$B$27:$O$40,7,0)</f>
        <v>0</v>
      </c>
      <c r="BM1055" s="48">
        <f>$G1055/5280*VLOOKUP($AC1055,'Cost and Score'!$B$27:$O$40,8,0)</f>
        <v>0</v>
      </c>
      <c r="BN1055" s="48">
        <f>$G1055/5280*VLOOKUP($AC1055,'Cost and Score'!$B$27:$O$40,9,0)</f>
        <v>0</v>
      </c>
      <c r="BO1055" s="48">
        <f>$G1055/5280*VLOOKUP($AC1055,'Cost and Score'!$B$27:$O$40,10,0)</f>
        <v>0</v>
      </c>
      <c r="BP1055" s="48">
        <f>$G1055/5280*VLOOKUP($AC1055,'Cost and Score'!$B$27:$O$40,11,0)</f>
        <v>0</v>
      </c>
      <c r="BQ1055" s="48">
        <f>$G1055/5280*VLOOKUP($AC1055,'Cost and Score'!$B$27:$O$40,12,0)</f>
        <v>0</v>
      </c>
      <c r="BR1055" s="48">
        <f>$G1055/5280*VLOOKUP($AC1055,'Cost and Score'!$B$27:$O$40,13,0)</f>
        <v>0</v>
      </c>
      <c r="BS1055" s="48">
        <f>$G1055/5280*VLOOKUP($AC1055,'Cost and Score'!$B$27:$O$40,14,0)</f>
        <v>0</v>
      </c>
      <c r="BT1055" s="220">
        <f t="shared" si="543"/>
        <v>0.2100378787878788</v>
      </c>
    </row>
    <row r="1056" spans="1:103" s="2" customFormat="1" ht="14.45" hidden="1" customHeight="1" x14ac:dyDescent="0.25">
      <c r="A1056" s="31"/>
      <c r="B1056" s="225" t="s">
        <v>2482</v>
      </c>
      <c r="C1056" s="26" t="s">
        <v>2482</v>
      </c>
      <c r="D1056" s="36" t="s">
        <v>2480</v>
      </c>
      <c r="E1056" s="26" t="s">
        <v>2481</v>
      </c>
      <c r="F1056" s="26" t="s">
        <v>1416</v>
      </c>
      <c r="G1056" s="29">
        <v>698</v>
      </c>
      <c r="H1056" s="29">
        <v>26</v>
      </c>
      <c r="I1056" s="26" t="s">
        <v>8</v>
      </c>
      <c r="J1056" s="26" t="s">
        <v>6</v>
      </c>
      <c r="K1056" s="26"/>
      <c r="L1056" s="42"/>
      <c r="M1056" s="42"/>
      <c r="N1056" s="42"/>
      <c r="O1056" s="42"/>
      <c r="P1056" s="42">
        <v>8</v>
      </c>
      <c r="Q1056" s="42">
        <v>8</v>
      </c>
      <c r="R1056" s="42">
        <v>8</v>
      </c>
      <c r="S1056" s="42">
        <v>8</v>
      </c>
      <c r="T1056" s="42">
        <v>8</v>
      </c>
      <c r="U1056" s="42">
        <v>8</v>
      </c>
      <c r="V1056" s="42"/>
      <c r="W1056" s="42"/>
      <c r="X1056" s="42"/>
      <c r="Y1056" s="26">
        <v>118</v>
      </c>
      <c r="Z1056" s="26">
        <f t="shared" si="546"/>
        <v>0</v>
      </c>
      <c r="AA1056" s="26" t="s">
        <v>2482</v>
      </c>
      <c r="AB1056" s="111">
        <f t="shared" si="540"/>
        <v>2</v>
      </c>
      <c r="AC1056" s="85" t="s">
        <v>2425</v>
      </c>
      <c r="AD1056" s="84">
        <f t="shared" si="562"/>
        <v>3304.9242424242425</v>
      </c>
      <c r="AE1056" s="140"/>
      <c r="AF1056" s="113">
        <f t="shared" si="547"/>
        <v>0</v>
      </c>
      <c r="AG1056" s="85">
        <v>2026</v>
      </c>
      <c r="AH1056" s="26" t="str">
        <f t="shared" si="557"/>
        <v/>
      </c>
      <c r="AI1056" s="26" t="str">
        <f t="shared" si="563"/>
        <v/>
      </c>
      <c r="AJ1056" s="26" t="str">
        <f t="shared" si="529"/>
        <v/>
      </c>
      <c r="AK1056" s="26" t="str">
        <f t="shared" si="561"/>
        <v/>
      </c>
      <c r="AL1056" s="26" t="str">
        <f t="shared" si="561"/>
        <v>Liquid Road</v>
      </c>
      <c r="AM1056" s="26" t="str">
        <f t="shared" si="561"/>
        <v/>
      </c>
      <c r="AN1056" s="26" t="str">
        <f t="shared" si="560"/>
        <v>Liquid Road</v>
      </c>
      <c r="AO1056" s="26" t="str">
        <f t="shared" si="530"/>
        <v/>
      </c>
      <c r="AP1056" s="26" t="str">
        <f t="shared" si="527"/>
        <v/>
      </c>
      <c r="AQ1056" s="68"/>
      <c r="AR1056" s="68"/>
      <c r="AS1056" s="68">
        <f t="shared" si="550"/>
        <v>0</v>
      </c>
      <c r="AT1056" s="68">
        <f t="shared" si="551"/>
        <v>0</v>
      </c>
      <c r="AU1056" s="68">
        <f t="shared" si="552"/>
        <v>0</v>
      </c>
      <c r="AV1056" s="68">
        <f t="shared" si="553"/>
        <v>0</v>
      </c>
      <c r="AW1056" s="68">
        <f t="shared" si="554"/>
        <v>1</v>
      </c>
      <c r="AX1056" s="68"/>
      <c r="AY1056" s="68"/>
      <c r="AZ1056" s="68"/>
      <c r="BA1056" s="106" t="str">
        <f t="shared" si="556"/>
        <v/>
      </c>
      <c r="BB1056" s="178"/>
      <c r="BC1056" s="178"/>
      <c r="BD1056" s="178"/>
      <c r="BE1056" s="178"/>
      <c r="BF1056" s="178">
        <v>3</v>
      </c>
      <c r="BG1056" s="178"/>
      <c r="BH1056" s="178"/>
      <c r="BI1056" s="33"/>
      <c r="BK1056" s="48"/>
      <c r="BL1056" s="48"/>
      <c r="BM1056" s="48"/>
      <c r="BN1056" s="48"/>
      <c r="BO1056" s="48"/>
      <c r="BP1056" s="48"/>
      <c r="BQ1056" s="48"/>
      <c r="BR1056" s="48"/>
      <c r="BS1056" s="48"/>
      <c r="BT1056" s="220">
        <f t="shared" si="543"/>
        <v>0.1321969696969697</v>
      </c>
      <c r="CS1056" s="112"/>
      <c r="CT1056" s="112"/>
      <c r="CU1056" s="112"/>
    </row>
    <row r="1057" spans="1:103" s="2" customFormat="1" ht="14.45" customHeight="1" x14ac:dyDescent="0.25">
      <c r="A1057" s="31" t="s">
        <v>2102</v>
      </c>
      <c r="B1057" s="45" t="s">
        <v>1510</v>
      </c>
      <c r="C1057" s="26" t="s">
        <v>1510</v>
      </c>
      <c r="D1057" s="119" t="s">
        <v>2220</v>
      </c>
      <c r="E1057" s="82" t="s">
        <v>4</v>
      </c>
      <c r="F1057" s="82" t="s">
        <v>1465</v>
      </c>
      <c r="G1057" s="29">
        <v>1584</v>
      </c>
      <c r="H1057" s="29">
        <f>IF(I1057="NC",26,20)</f>
        <v>26</v>
      </c>
      <c r="I1057" s="26" t="s">
        <v>2098</v>
      </c>
      <c r="J1057" s="26" t="s">
        <v>6</v>
      </c>
      <c r="K1057" s="26">
        <f t="shared" ref="K1057:K1064" si="564">VLOOKUP(J1057,TOWNSHIPS,2,FALSE)</f>
        <v>0</v>
      </c>
      <c r="L1057" s="42">
        <v>6</v>
      </c>
      <c r="M1057" s="42">
        <v>6</v>
      </c>
      <c r="N1057" s="42">
        <v>10</v>
      </c>
      <c r="O1057" s="83">
        <v>9</v>
      </c>
      <c r="P1057" s="83">
        <v>7</v>
      </c>
      <c r="Q1057" s="83">
        <v>7</v>
      </c>
      <c r="R1057" s="83">
        <v>7</v>
      </c>
      <c r="S1057" s="83">
        <v>7</v>
      </c>
      <c r="T1057" s="83">
        <v>7</v>
      </c>
      <c r="U1057" s="83">
        <v>6</v>
      </c>
      <c r="V1057" s="42"/>
      <c r="W1057" s="42"/>
      <c r="X1057" s="42"/>
      <c r="Y1057" s="26">
        <v>50</v>
      </c>
      <c r="Z1057" s="26">
        <f t="shared" si="546"/>
        <v>0</v>
      </c>
      <c r="AA1057" s="82" t="s">
        <v>1510</v>
      </c>
      <c r="AB1057" s="111">
        <f t="shared" si="540"/>
        <v>3</v>
      </c>
      <c r="AC1057" s="26" t="s">
        <v>751</v>
      </c>
      <c r="AD1057" s="84">
        <f t="shared" si="562"/>
        <v>33000</v>
      </c>
      <c r="AE1057" s="140"/>
      <c r="AF1057" s="113">
        <f t="shared" si="547"/>
        <v>0</v>
      </c>
      <c r="AG1057" s="26">
        <v>2025</v>
      </c>
      <c r="AH1057" s="26" t="str">
        <f t="shared" si="557"/>
        <v/>
      </c>
      <c r="AI1057" s="26" t="str">
        <f t="shared" si="563"/>
        <v/>
      </c>
      <c r="AJ1057" s="26" t="str">
        <f t="shared" si="529"/>
        <v/>
      </c>
      <c r="AK1057" s="26" t="str">
        <f t="shared" si="561"/>
        <v>Overlay - 2"</v>
      </c>
      <c r="AL1057" s="26" t="str">
        <f t="shared" si="561"/>
        <v/>
      </c>
      <c r="AM1057" s="26" t="str">
        <f t="shared" si="561"/>
        <v/>
      </c>
      <c r="AN1057" s="26" t="str">
        <f t="shared" si="560"/>
        <v>Overlay - 2"</v>
      </c>
      <c r="AO1057" s="26" t="str">
        <f t="shared" si="530"/>
        <v/>
      </c>
      <c r="AP1057" s="26" t="str">
        <f t="shared" si="527"/>
        <v/>
      </c>
      <c r="AQ1057" s="68">
        <f t="shared" ref="AQ1057:AQ1088" si="565">VLOOKUP(O1057,RSLrem,2,FALSE)</f>
        <v>14</v>
      </c>
      <c r="AR1057" s="68">
        <f t="shared" ref="AR1057:AR1088" si="566">VLOOKUP(AC1057,RSL,5,FALSE)</f>
        <v>12</v>
      </c>
      <c r="AS1057" s="68">
        <f t="shared" si="550"/>
        <v>1.1000000000000001</v>
      </c>
      <c r="AT1057" s="68">
        <f t="shared" si="551"/>
        <v>1.1000000000000001</v>
      </c>
      <c r="AU1057" s="68">
        <f t="shared" si="552"/>
        <v>1</v>
      </c>
      <c r="AV1057" s="68">
        <f t="shared" si="553"/>
        <v>1</v>
      </c>
      <c r="AW1057" s="68">
        <f t="shared" si="554"/>
        <v>1.05</v>
      </c>
      <c r="AX1057" s="68">
        <f t="shared" ref="AX1057:AX1088" ca="1" si="567">AU1057*(AG1057-YEAR(TODAY()))</f>
        <v>1</v>
      </c>
      <c r="AY1057" s="68">
        <v>2018</v>
      </c>
      <c r="AZ1057" s="85" t="s">
        <v>2425</v>
      </c>
      <c r="BA1057" s="106" t="str">
        <f t="shared" si="556"/>
        <v>MICROSEAL</v>
      </c>
      <c r="BB1057" s="203"/>
      <c r="BC1057" s="178"/>
      <c r="BD1057" s="178"/>
      <c r="BE1057" s="178"/>
      <c r="BF1057" s="178"/>
      <c r="BG1057" s="178"/>
      <c r="BH1057" s="178"/>
      <c r="BI1057" s="33"/>
      <c r="BK1057" s="48">
        <f>$G1057/5280*VLOOKUP($AC1057,'Cost and Score'!$B$27:$O$40,6,0)</f>
        <v>0.67499999999999993</v>
      </c>
      <c r="BL1057" s="48">
        <f>$G1057/5280*VLOOKUP($AC1057,'Cost and Score'!$B$27:$O$40,7,0)</f>
        <v>63</v>
      </c>
      <c r="BM1057" s="48">
        <f>$G1057/5280*VLOOKUP($AC1057,'Cost and Score'!$B$27:$O$40,8,0)</f>
        <v>105</v>
      </c>
      <c r="BN1057" s="48">
        <f>$G1057/5280*VLOOKUP($AC1057,'Cost and Score'!$B$27:$O$40,9,0)</f>
        <v>0</v>
      </c>
      <c r="BO1057" s="48">
        <f>$G1057/5280*VLOOKUP($AC1057,'Cost and Score'!$B$27:$O$40,10,0)</f>
        <v>0</v>
      </c>
      <c r="BP1057" s="48">
        <f>$G1057/5280*VLOOKUP($AC1057,'Cost and Score'!$B$27:$O$40,11,0)</f>
        <v>60</v>
      </c>
      <c r="BQ1057" s="48">
        <f>$G1057/5280*VLOOKUP($AC1057,'Cost and Score'!$B$27:$O$40,12,0)</f>
        <v>510</v>
      </c>
      <c r="BR1057" s="48">
        <f>$G1057/5280*VLOOKUP($AC1057,'Cost and Score'!$B$27:$O$40,13,0)</f>
        <v>0</v>
      </c>
      <c r="BS1057" s="48">
        <f>$G1057/5280*VLOOKUP($AC1057,'Cost and Score'!$B$27:$O$40,14,0)</f>
        <v>0</v>
      </c>
      <c r="BT1057" s="220">
        <f t="shared" si="543"/>
        <v>0.3</v>
      </c>
      <c r="CG1057" s="112"/>
      <c r="CH1057" s="112"/>
      <c r="CI1057" s="112"/>
      <c r="CJ1057" s="112"/>
      <c r="CK1057" s="112"/>
      <c r="CL1057" s="112"/>
      <c r="CM1057" s="112"/>
      <c r="CS1057" s="112"/>
      <c r="CT1057" s="112"/>
      <c r="CU1057" s="112"/>
    </row>
    <row r="1058" spans="1:103" s="2" customFormat="1" ht="14.45" hidden="1" customHeight="1" x14ac:dyDescent="0.25">
      <c r="A1058" s="31" t="s">
        <v>2102</v>
      </c>
      <c r="B1058" s="120" t="s">
        <v>1914</v>
      </c>
      <c r="C1058" s="106" t="s">
        <v>1914</v>
      </c>
      <c r="D1058" s="116" t="s">
        <v>2231</v>
      </c>
      <c r="E1058" s="106" t="s">
        <v>1458</v>
      </c>
      <c r="F1058" s="106" t="s">
        <v>1459</v>
      </c>
      <c r="G1058" s="109">
        <v>1320</v>
      </c>
      <c r="H1058" s="109">
        <f>IF(I1058="NC",26,20)</f>
        <v>26</v>
      </c>
      <c r="I1058" s="106" t="s">
        <v>2098</v>
      </c>
      <c r="J1058" s="106" t="s">
        <v>160</v>
      </c>
      <c r="K1058" s="106">
        <f t="shared" si="564"/>
        <v>0</v>
      </c>
      <c r="L1058" s="110">
        <v>7</v>
      </c>
      <c r="M1058" s="110">
        <v>8</v>
      </c>
      <c r="N1058" s="110">
        <v>8</v>
      </c>
      <c r="O1058" s="110">
        <v>7</v>
      </c>
      <c r="P1058" s="110">
        <v>7</v>
      </c>
      <c r="Q1058" s="110">
        <v>8</v>
      </c>
      <c r="R1058" s="110">
        <v>8</v>
      </c>
      <c r="S1058" s="110">
        <v>7</v>
      </c>
      <c r="T1058" s="110">
        <v>7</v>
      </c>
      <c r="U1058" s="110">
        <v>7</v>
      </c>
      <c r="V1058" s="110"/>
      <c r="W1058" s="110"/>
      <c r="X1058" s="110"/>
      <c r="Y1058" s="106">
        <v>889</v>
      </c>
      <c r="Z1058" s="106">
        <f t="shared" si="546"/>
        <v>0.5</v>
      </c>
      <c r="AA1058" s="106" t="s">
        <v>1914</v>
      </c>
      <c r="AB1058" s="111">
        <f t="shared" si="540"/>
        <v>3.5</v>
      </c>
      <c r="AC1058" s="26" t="s">
        <v>2086</v>
      </c>
      <c r="AD1058" s="107">
        <f t="shared" si="562"/>
        <v>625</v>
      </c>
      <c r="AE1058" s="198"/>
      <c r="AF1058" s="113">
        <f t="shared" si="547"/>
        <v>0</v>
      </c>
      <c r="AG1058" s="26">
        <v>2024</v>
      </c>
      <c r="AH1058" s="26" t="str">
        <f t="shared" si="557"/>
        <v/>
      </c>
      <c r="AI1058" s="26" t="str">
        <f t="shared" si="563"/>
        <v/>
      </c>
      <c r="AJ1058" s="26" t="str">
        <f t="shared" si="529"/>
        <v>Fog Seal</v>
      </c>
      <c r="AK1058" s="26" t="str">
        <f t="shared" si="561"/>
        <v/>
      </c>
      <c r="AL1058" s="26" t="str">
        <f t="shared" si="561"/>
        <v/>
      </c>
      <c r="AM1058" s="26" t="str">
        <f t="shared" si="561"/>
        <v/>
      </c>
      <c r="AN1058" s="26" t="str">
        <f t="shared" si="560"/>
        <v>Fog Seal</v>
      </c>
      <c r="AO1058" s="26" t="str">
        <f t="shared" si="530"/>
        <v/>
      </c>
      <c r="AP1058" s="26" t="str">
        <f t="shared" si="527"/>
        <v/>
      </c>
      <c r="AQ1058" s="68">
        <f t="shared" si="565"/>
        <v>10</v>
      </c>
      <c r="AR1058" s="68">
        <f t="shared" si="566"/>
        <v>2</v>
      </c>
      <c r="AS1058" s="68">
        <f t="shared" si="550"/>
        <v>1.05</v>
      </c>
      <c r="AT1058" s="68">
        <f t="shared" si="551"/>
        <v>1</v>
      </c>
      <c r="AU1058" s="68">
        <f t="shared" si="552"/>
        <v>1</v>
      </c>
      <c r="AV1058" s="68">
        <f t="shared" si="553"/>
        <v>1.05</v>
      </c>
      <c r="AW1058" s="68">
        <f t="shared" si="554"/>
        <v>1.05</v>
      </c>
      <c r="AX1058" s="68">
        <f t="shared" ca="1" si="567"/>
        <v>0</v>
      </c>
      <c r="AY1058" s="106">
        <v>2018</v>
      </c>
      <c r="AZ1058" s="106" t="s">
        <v>2425</v>
      </c>
      <c r="BA1058" s="106" t="str">
        <f t="shared" si="556"/>
        <v>MICROSEAL</v>
      </c>
      <c r="BB1058" s="177"/>
      <c r="BC1058" s="177"/>
      <c r="BD1058" s="177"/>
      <c r="BE1058" s="177"/>
      <c r="BF1058" s="177"/>
      <c r="BG1058" s="177"/>
      <c r="BH1058" s="177"/>
      <c r="BI1058" s="33"/>
      <c r="BK1058" s="48">
        <f>$G1058/5280*VLOOKUP($AC1058,'Cost and Score'!$B$27:$O$40,6,0)</f>
        <v>2.5000000000000001E-2</v>
      </c>
      <c r="BL1058" s="48">
        <f>$G1058/5280*VLOOKUP($AC1058,'Cost and Score'!$B$27:$O$40,7,0)</f>
        <v>0.05</v>
      </c>
      <c r="BM1058" s="48">
        <f>$G1058/5280*VLOOKUP($AC1058,'Cost and Score'!$B$27:$O$40,8,0)</f>
        <v>0</v>
      </c>
      <c r="BN1058" s="48">
        <f>$G1058/5280*VLOOKUP($AC1058,'Cost and Score'!$B$27:$O$40,9,0)</f>
        <v>0</v>
      </c>
      <c r="BO1058" s="48">
        <f>$G1058/5280*VLOOKUP($AC1058,'Cost and Score'!$B$27:$O$40,10,0)</f>
        <v>250</v>
      </c>
      <c r="BP1058" s="48">
        <f>$G1058/5280*VLOOKUP($AC1058,'Cost and Score'!$B$27:$O$40,11,0)</f>
        <v>0</v>
      </c>
      <c r="BQ1058" s="48">
        <f>$G1058/5280*VLOOKUP($AC1058,'Cost and Score'!$B$27:$O$40,12,0)</f>
        <v>0</v>
      </c>
      <c r="BR1058" s="48">
        <f>$G1058/5280*VLOOKUP($AC1058,'Cost and Score'!$B$27:$O$40,13,0)</f>
        <v>0</v>
      </c>
      <c r="BS1058" s="48">
        <f>$G1058/5280*VLOOKUP($AC1058,'Cost and Score'!$B$27:$O$40,14,0)</f>
        <v>0</v>
      </c>
      <c r="BT1058" s="220">
        <f t="shared" si="543"/>
        <v>0.25</v>
      </c>
      <c r="BV1058" s="26"/>
      <c r="BW1058" s="26"/>
      <c r="BX1058" s="26"/>
      <c r="BY1058" s="26"/>
      <c r="BZ1058" s="26"/>
      <c r="CA1058" s="26"/>
      <c r="CB1058" s="26"/>
      <c r="CR1058" s="112"/>
      <c r="CW1058" s="112"/>
      <c r="CX1058" s="112"/>
      <c r="CY1058" s="112"/>
    </row>
    <row r="1059" spans="1:103" s="112" customFormat="1" ht="14.45" customHeight="1" x14ac:dyDescent="0.25">
      <c r="A1059" s="31" t="s">
        <v>2102</v>
      </c>
      <c r="B1059" s="45" t="s">
        <v>1515</v>
      </c>
      <c r="C1059" s="26" t="s">
        <v>1515</v>
      </c>
      <c r="D1059" s="36" t="s">
        <v>2220</v>
      </c>
      <c r="E1059" s="26" t="s">
        <v>4</v>
      </c>
      <c r="F1059" s="26" t="s">
        <v>1465</v>
      </c>
      <c r="G1059" s="29">
        <v>1320</v>
      </c>
      <c r="H1059" s="29">
        <f>IF(I1059="NC",26,20)</f>
        <v>26</v>
      </c>
      <c r="I1059" s="26" t="s">
        <v>2098</v>
      </c>
      <c r="J1059" s="26" t="s">
        <v>6</v>
      </c>
      <c r="K1059" s="26">
        <f t="shared" si="564"/>
        <v>0</v>
      </c>
      <c r="L1059" s="42">
        <v>7</v>
      </c>
      <c r="M1059" s="42">
        <v>6</v>
      </c>
      <c r="N1059" s="42">
        <v>10</v>
      </c>
      <c r="O1059" s="42">
        <v>9</v>
      </c>
      <c r="P1059" s="42">
        <v>7</v>
      </c>
      <c r="Q1059" s="42">
        <v>7</v>
      </c>
      <c r="R1059" s="42">
        <v>6</v>
      </c>
      <c r="S1059" s="42">
        <v>5</v>
      </c>
      <c r="T1059" s="42">
        <v>5</v>
      </c>
      <c r="U1059" s="42">
        <v>5</v>
      </c>
      <c r="V1059" s="42"/>
      <c r="W1059" s="42"/>
      <c r="X1059" s="42"/>
      <c r="Y1059" s="26">
        <v>50</v>
      </c>
      <c r="Z1059" s="26">
        <f t="shared" si="546"/>
        <v>0</v>
      </c>
      <c r="AA1059" s="26" t="s">
        <v>1515</v>
      </c>
      <c r="AB1059" s="111">
        <f t="shared" si="540"/>
        <v>3</v>
      </c>
      <c r="AC1059" s="26" t="s">
        <v>751</v>
      </c>
      <c r="AD1059" s="47">
        <f t="shared" si="562"/>
        <v>27500</v>
      </c>
      <c r="AE1059" s="140"/>
      <c r="AF1059" s="113">
        <f t="shared" si="547"/>
        <v>0</v>
      </c>
      <c r="AG1059" s="26">
        <v>2025</v>
      </c>
      <c r="AH1059" s="26" t="str">
        <f t="shared" si="557"/>
        <v/>
      </c>
      <c r="AI1059" s="26" t="str">
        <f t="shared" si="563"/>
        <v/>
      </c>
      <c r="AJ1059" s="26" t="str">
        <f t="shared" si="529"/>
        <v/>
      </c>
      <c r="AK1059" s="26" t="str">
        <f t="shared" si="561"/>
        <v>Overlay - 2"</v>
      </c>
      <c r="AL1059" s="26" t="str">
        <f t="shared" si="561"/>
        <v/>
      </c>
      <c r="AM1059" s="26" t="str">
        <f t="shared" si="561"/>
        <v/>
      </c>
      <c r="AN1059" s="26" t="str">
        <f t="shared" si="560"/>
        <v>Overlay - 2"</v>
      </c>
      <c r="AO1059" s="26" t="str">
        <f t="shared" si="530"/>
        <v/>
      </c>
      <c r="AP1059" s="26" t="str">
        <f t="shared" si="527"/>
        <v/>
      </c>
      <c r="AQ1059" s="68">
        <f t="shared" si="565"/>
        <v>14</v>
      </c>
      <c r="AR1059" s="68">
        <f t="shared" si="566"/>
        <v>12</v>
      </c>
      <c r="AS1059" s="68">
        <f t="shared" si="550"/>
        <v>1.05</v>
      </c>
      <c r="AT1059" s="68">
        <f t="shared" si="551"/>
        <v>1.1000000000000001</v>
      </c>
      <c r="AU1059" s="68">
        <f t="shared" si="552"/>
        <v>1</v>
      </c>
      <c r="AV1059" s="68">
        <f t="shared" si="553"/>
        <v>1</v>
      </c>
      <c r="AW1059" s="68">
        <f t="shared" si="554"/>
        <v>1.05</v>
      </c>
      <c r="AX1059" s="68">
        <f t="shared" ca="1" si="567"/>
        <v>1</v>
      </c>
      <c r="AY1059" s="68">
        <v>2018</v>
      </c>
      <c r="AZ1059" s="68" t="s">
        <v>2086</v>
      </c>
      <c r="BA1059" s="106" t="str">
        <f t="shared" si="556"/>
        <v>F</v>
      </c>
      <c r="BB1059" s="178"/>
      <c r="BC1059" s="178"/>
      <c r="BD1059" s="178"/>
      <c r="BE1059" s="178"/>
      <c r="BF1059" s="178"/>
      <c r="BG1059" s="178"/>
      <c r="BH1059" s="178"/>
      <c r="BI1059" s="33"/>
      <c r="BJ1059" s="2"/>
      <c r="BK1059" s="48">
        <f>$G1059/5280*VLOOKUP($AC1059,'Cost and Score'!$B$27:$O$40,6,0)</f>
        <v>0.5625</v>
      </c>
      <c r="BL1059" s="48">
        <f>$G1059/5280*VLOOKUP($AC1059,'Cost and Score'!$B$27:$O$40,7,0)</f>
        <v>52.5</v>
      </c>
      <c r="BM1059" s="48">
        <f>$G1059/5280*VLOOKUP($AC1059,'Cost and Score'!$B$27:$O$40,8,0)</f>
        <v>87.5</v>
      </c>
      <c r="BN1059" s="48">
        <f>$G1059/5280*VLOOKUP($AC1059,'Cost and Score'!$B$27:$O$40,9,0)</f>
        <v>0</v>
      </c>
      <c r="BO1059" s="48">
        <f>$G1059/5280*VLOOKUP($AC1059,'Cost and Score'!$B$27:$O$40,10,0)</f>
        <v>0</v>
      </c>
      <c r="BP1059" s="48">
        <f>$G1059/5280*VLOOKUP($AC1059,'Cost and Score'!$B$27:$O$40,11,0)</f>
        <v>50</v>
      </c>
      <c r="BQ1059" s="48">
        <f>$G1059/5280*VLOOKUP($AC1059,'Cost and Score'!$B$27:$O$40,12,0)</f>
        <v>425</v>
      </c>
      <c r="BR1059" s="48">
        <f>$G1059/5280*VLOOKUP($AC1059,'Cost and Score'!$B$27:$O$40,13,0)</f>
        <v>0</v>
      </c>
      <c r="BS1059" s="48">
        <f>$G1059/5280*VLOOKUP($AC1059,'Cost and Score'!$B$27:$O$40,14,0)</f>
        <v>0</v>
      </c>
      <c r="BT1059" s="220">
        <f t="shared" si="543"/>
        <v>0.25</v>
      </c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R1059" s="2"/>
      <c r="CW1059" s="2"/>
      <c r="CX1059" s="2"/>
      <c r="CY1059" s="2"/>
    </row>
    <row r="1060" spans="1:103" s="2" customFormat="1" ht="14.45" hidden="1" customHeight="1" x14ac:dyDescent="0.25">
      <c r="A1060" s="31" t="s">
        <v>2102</v>
      </c>
      <c r="B1060" s="224" t="s">
        <v>1917</v>
      </c>
      <c r="C1060" s="85" t="s">
        <v>1917</v>
      </c>
      <c r="D1060" s="86" t="s">
        <v>2307</v>
      </c>
      <c r="E1060" s="85" t="s">
        <v>1451</v>
      </c>
      <c r="F1060" s="85" t="s">
        <v>1555</v>
      </c>
      <c r="G1060" s="29">
        <v>1320</v>
      </c>
      <c r="H1060" s="29">
        <f>IF(I1060="NC",26,20)</f>
        <v>26</v>
      </c>
      <c r="I1060" s="124" t="s">
        <v>2098</v>
      </c>
      <c r="J1060" s="85" t="s">
        <v>160</v>
      </c>
      <c r="K1060" s="85">
        <f t="shared" si="564"/>
        <v>0</v>
      </c>
      <c r="L1060" s="74">
        <v>7</v>
      </c>
      <c r="M1060" s="74">
        <v>7</v>
      </c>
      <c r="N1060" s="74">
        <v>7</v>
      </c>
      <c r="O1060" s="74">
        <v>7</v>
      </c>
      <c r="P1060" s="74">
        <v>7</v>
      </c>
      <c r="Q1060" s="74">
        <v>7</v>
      </c>
      <c r="R1060" s="74">
        <v>7</v>
      </c>
      <c r="S1060" s="74">
        <v>7</v>
      </c>
      <c r="T1060" s="74">
        <v>7</v>
      </c>
      <c r="U1060" s="74">
        <v>7</v>
      </c>
      <c r="V1060" s="74"/>
      <c r="W1060" s="74"/>
      <c r="X1060" s="74"/>
      <c r="Y1060" s="85">
        <v>888</v>
      </c>
      <c r="Z1060" s="85">
        <f t="shared" si="546"/>
        <v>0.5</v>
      </c>
      <c r="AA1060" s="85" t="s">
        <v>1917</v>
      </c>
      <c r="AB1060" s="111">
        <f t="shared" si="540"/>
        <v>3.5</v>
      </c>
      <c r="AC1060" s="85" t="s">
        <v>2425</v>
      </c>
      <c r="AD1060" s="47">
        <f t="shared" si="562"/>
        <v>6250</v>
      </c>
      <c r="AE1060" s="140"/>
      <c r="AF1060" s="113">
        <f t="shared" si="547"/>
        <v>0</v>
      </c>
      <c r="AG1060" s="85">
        <v>2026</v>
      </c>
      <c r="AH1060" s="26" t="str">
        <f t="shared" si="557"/>
        <v/>
      </c>
      <c r="AI1060" s="26" t="str">
        <f t="shared" si="563"/>
        <v/>
      </c>
      <c r="AJ1060" s="26" t="str">
        <f t="shared" si="529"/>
        <v/>
      </c>
      <c r="AK1060" s="26" t="str">
        <f t="shared" si="561"/>
        <v/>
      </c>
      <c r="AL1060" s="26" t="str">
        <f t="shared" si="561"/>
        <v>Liquid Road</v>
      </c>
      <c r="AM1060" s="26" t="str">
        <f t="shared" si="561"/>
        <v/>
      </c>
      <c r="AN1060" s="26" t="str">
        <f t="shared" si="560"/>
        <v>Liquid Road</v>
      </c>
      <c r="AO1060" s="26" t="str">
        <f t="shared" si="530"/>
        <v/>
      </c>
      <c r="AP1060" s="26" t="str">
        <f t="shared" si="527"/>
        <v/>
      </c>
      <c r="AQ1060" s="68">
        <f t="shared" si="565"/>
        <v>10</v>
      </c>
      <c r="AR1060" s="68">
        <f t="shared" si="566"/>
        <v>10</v>
      </c>
      <c r="AS1060" s="68">
        <f t="shared" si="550"/>
        <v>1.05</v>
      </c>
      <c r="AT1060" s="68">
        <f t="shared" si="551"/>
        <v>1.05</v>
      </c>
      <c r="AU1060" s="68">
        <f t="shared" si="552"/>
        <v>1.05</v>
      </c>
      <c r="AV1060" s="68">
        <f t="shared" si="553"/>
        <v>1.05</v>
      </c>
      <c r="AW1060" s="68">
        <f t="shared" si="554"/>
        <v>1.05</v>
      </c>
      <c r="AX1060" s="68">
        <f t="shared" ca="1" si="567"/>
        <v>2.1</v>
      </c>
      <c r="AY1060" s="68">
        <v>2014</v>
      </c>
      <c r="AZ1060" s="68" t="s">
        <v>2075</v>
      </c>
      <c r="BA1060" s="106" t="str">
        <f t="shared" si="556"/>
        <v/>
      </c>
      <c r="BB1060" s="178"/>
      <c r="BC1060" s="178"/>
      <c r="BD1060" s="178"/>
      <c r="BE1060" s="178"/>
      <c r="BF1060" s="178"/>
      <c r="BG1060" s="178"/>
      <c r="BH1060" s="178">
        <v>5</v>
      </c>
      <c r="BI1060" s="33"/>
      <c r="BK1060" s="48">
        <f>$G1060/5280*VLOOKUP($AC1060,'Cost and Score'!$B$27:$O$40,6,0)</f>
        <v>0.25</v>
      </c>
      <c r="BL1060" s="48">
        <f>$G1060/5280*VLOOKUP($AC1060,'Cost and Score'!$B$27:$O$40,7,0)</f>
        <v>4</v>
      </c>
      <c r="BM1060" s="48">
        <f>$G1060/5280*VLOOKUP($AC1060,'Cost and Score'!$B$27:$O$40,8,0)</f>
        <v>0</v>
      </c>
      <c r="BN1060" s="48">
        <f>$G1060/5280*VLOOKUP($AC1060,'Cost and Score'!$B$27:$O$40,9,0)</f>
        <v>0</v>
      </c>
      <c r="BO1060" s="48">
        <f>$G1060/5280*VLOOKUP($AC1060,'Cost and Score'!$B$27:$O$40,10,0)</f>
        <v>0</v>
      </c>
      <c r="BP1060" s="48">
        <f>$G1060/5280*VLOOKUP($AC1060,'Cost and Score'!$B$27:$O$40,11,0)</f>
        <v>0</v>
      </c>
      <c r="BQ1060" s="48">
        <f>$G1060/5280*VLOOKUP($AC1060,'Cost and Score'!$B$27:$O$40,12,0)</f>
        <v>0</v>
      </c>
      <c r="BR1060" s="48">
        <f>$G1060/5280*VLOOKUP($AC1060,'Cost and Score'!$B$27:$O$40,13,0)</f>
        <v>0</v>
      </c>
      <c r="BS1060" s="48">
        <f>$G1060/5280*VLOOKUP($AC1060,'Cost and Score'!$B$27:$O$40,14,0)</f>
        <v>0</v>
      </c>
      <c r="BT1060" s="220">
        <f t="shared" si="543"/>
        <v>0.25</v>
      </c>
      <c r="CN1060" s="112"/>
      <c r="CO1060" s="112"/>
      <c r="CP1060" s="112"/>
      <c r="CQ1060" s="112"/>
      <c r="CR1060" s="112"/>
      <c r="CV1060" s="112"/>
      <c r="CW1060" s="112"/>
      <c r="CX1060" s="112"/>
      <c r="CY1060" s="112"/>
    </row>
    <row r="1061" spans="1:103" s="2" customFormat="1" ht="14.45" hidden="1" customHeight="1" x14ac:dyDescent="0.25">
      <c r="A1061" s="36"/>
      <c r="B1061" s="224" t="s">
        <v>2445</v>
      </c>
      <c r="C1061" s="45" t="s">
        <v>2484</v>
      </c>
      <c r="D1061" s="36" t="s">
        <v>2431</v>
      </c>
      <c r="E1061" s="26" t="s">
        <v>168</v>
      </c>
      <c r="F1061" s="26" t="s">
        <v>99</v>
      </c>
      <c r="G1061" s="29">
        <v>570</v>
      </c>
      <c r="H1061" s="29">
        <v>26</v>
      </c>
      <c r="I1061" s="26"/>
      <c r="J1061" s="26" t="s">
        <v>160</v>
      </c>
      <c r="K1061" s="26">
        <f t="shared" si="564"/>
        <v>0</v>
      </c>
      <c r="L1061" s="72"/>
      <c r="M1061" s="72"/>
      <c r="N1061" s="72"/>
      <c r="O1061" s="72">
        <v>9</v>
      </c>
      <c r="P1061" s="72">
        <v>9</v>
      </c>
      <c r="Q1061" s="72">
        <v>8</v>
      </c>
      <c r="R1061" s="228">
        <v>8</v>
      </c>
      <c r="S1061" s="228">
        <v>8</v>
      </c>
      <c r="T1061" s="228">
        <v>8</v>
      </c>
      <c r="U1061" s="228">
        <v>8</v>
      </c>
      <c r="V1061" s="42"/>
      <c r="W1061" s="42"/>
      <c r="X1061" s="42"/>
      <c r="Y1061" s="26">
        <v>640</v>
      </c>
      <c r="Z1061" s="26"/>
      <c r="AA1061" s="45" t="s">
        <v>2445</v>
      </c>
      <c r="AB1061" s="111">
        <f t="shared" si="540"/>
        <v>1</v>
      </c>
      <c r="AC1061" s="85" t="s">
        <v>2425</v>
      </c>
      <c r="AD1061" s="84">
        <f t="shared" si="562"/>
        <v>2698.8636363636365</v>
      </c>
      <c r="AE1061" s="140"/>
      <c r="AF1061" s="113">
        <f t="shared" si="547"/>
        <v>0</v>
      </c>
      <c r="AG1061" s="85">
        <v>2026</v>
      </c>
      <c r="AH1061" s="26" t="str">
        <f t="shared" si="557"/>
        <v/>
      </c>
      <c r="AI1061" s="26" t="str">
        <f t="shared" si="563"/>
        <v/>
      </c>
      <c r="AJ1061" s="26" t="str">
        <f t="shared" si="529"/>
        <v/>
      </c>
      <c r="AK1061" s="26" t="str">
        <f t="shared" si="561"/>
        <v/>
      </c>
      <c r="AL1061" s="26" t="str">
        <f t="shared" si="561"/>
        <v>Liquid Road</v>
      </c>
      <c r="AM1061" s="26" t="str">
        <f t="shared" si="561"/>
        <v/>
      </c>
      <c r="AN1061" s="26" t="str">
        <f t="shared" si="560"/>
        <v>Liquid Road</v>
      </c>
      <c r="AO1061" s="26" t="str">
        <f t="shared" si="530"/>
        <v/>
      </c>
      <c r="AP1061" s="26" t="str">
        <f t="shared" ref="AP1061:AP1124" si="568">IF(AY1061=AP$1,VLOOKUP(AZ1061,RSL,3,FALSE),"")</f>
        <v/>
      </c>
      <c r="AQ1061" s="68">
        <f t="shared" si="565"/>
        <v>14</v>
      </c>
      <c r="AR1061" s="68">
        <f t="shared" si="566"/>
        <v>10</v>
      </c>
      <c r="AS1061" s="68">
        <f t="shared" si="550"/>
        <v>0</v>
      </c>
      <c r="AT1061" s="68">
        <f t="shared" si="551"/>
        <v>0</v>
      </c>
      <c r="AU1061" s="68">
        <f t="shared" si="552"/>
        <v>0</v>
      </c>
      <c r="AV1061" s="68">
        <f t="shared" si="553"/>
        <v>1</v>
      </c>
      <c r="AW1061" s="68">
        <f t="shared" si="554"/>
        <v>1</v>
      </c>
      <c r="AX1061" s="68">
        <f t="shared" ca="1" si="567"/>
        <v>0</v>
      </c>
      <c r="AY1061" s="68">
        <v>2017</v>
      </c>
      <c r="AZ1061" s="68" t="s">
        <v>2075</v>
      </c>
      <c r="BA1061" s="106" t="str">
        <f t="shared" si="556"/>
        <v/>
      </c>
      <c r="BB1061" s="178"/>
      <c r="BC1061" s="178"/>
      <c r="BD1061" s="178"/>
      <c r="BE1061" s="178">
        <v>2</v>
      </c>
      <c r="BF1061" s="178"/>
      <c r="BG1061" s="178"/>
      <c r="BH1061" s="178"/>
      <c r="BI1061" s="46"/>
      <c r="BJ1061" s="28"/>
      <c r="BK1061" s="48">
        <f>$G1061/5280*VLOOKUP($AC1061,'Cost and Score'!$B$27:$O$40,6,0)</f>
        <v>0.10795454545454546</v>
      </c>
      <c r="BL1061" s="48">
        <f>$G1061/5280*VLOOKUP($AC1061,'Cost and Score'!$B$27:$O$40,7,0)</f>
        <v>1.7272727272727273</v>
      </c>
      <c r="BM1061" s="48">
        <f>$G1061/5280*VLOOKUP($AC1061,'Cost and Score'!$B$27:$O$40,8,0)</f>
        <v>0</v>
      </c>
      <c r="BN1061" s="48">
        <f>$G1061/5280*VLOOKUP($AC1061,'Cost and Score'!$B$27:$O$40,9,0)</f>
        <v>0</v>
      </c>
      <c r="BO1061" s="48">
        <f>$G1061/5280*VLOOKUP($AC1061,'Cost and Score'!$B$27:$O$40,10,0)</f>
        <v>0</v>
      </c>
      <c r="BP1061" s="48">
        <f>$G1061/5280*VLOOKUP($AC1061,'Cost and Score'!$B$27:$O$40,11,0)</f>
        <v>0</v>
      </c>
      <c r="BQ1061" s="48">
        <f>$G1061/5280*VLOOKUP($AC1061,'Cost and Score'!$B$27:$O$40,12,0)</f>
        <v>0</v>
      </c>
      <c r="BR1061" s="48">
        <f>$G1061/5280*VLOOKUP($AC1061,'Cost and Score'!$B$27:$O$40,13,0)</f>
        <v>0</v>
      </c>
      <c r="BS1061" s="48">
        <f>$G1061/5280*VLOOKUP($AC1061,'Cost and Score'!$B$27:$O$40,14,0)</f>
        <v>0</v>
      </c>
      <c r="BT1061" s="220">
        <f t="shared" si="543"/>
        <v>0.10795454545454546</v>
      </c>
      <c r="BU1061" s="26"/>
      <c r="CF1061" s="112"/>
      <c r="CR1061" s="112"/>
    </row>
    <row r="1062" spans="1:103" s="2" customFormat="1" ht="14.45" hidden="1" customHeight="1" x14ac:dyDescent="0.25">
      <c r="A1062" s="36"/>
      <c r="B1062" s="224" t="s">
        <v>2446</v>
      </c>
      <c r="C1062" s="45" t="s">
        <v>2485</v>
      </c>
      <c r="D1062" s="36" t="s">
        <v>2431</v>
      </c>
      <c r="E1062" s="26" t="s">
        <v>168</v>
      </c>
      <c r="F1062" s="26" t="s">
        <v>99</v>
      </c>
      <c r="G1062" s="29">
        <v>316</v>
      </c>
      <c r="H1062" s="29">
        <v>26</v>
      </c>
      <c r="I1062" s="26"/>
      <c r="J1062" s="26" t="s">
        <v>160</v>
      </c>
      <c r="K1062" s="26">
        <f t="shared" si="564"/>
        <v>0</v>
      </c>
      <c r="L1062" s="42"/>
      <c r="M1062" s="42"/>
      <c r="N1062" s="42"/>
      <c r="O1062" s="42">
        <v>9</v>
      </c>
      <c r="P1062" s="42">
        <v>8</v>
      </c>
      <c r="Q1062" s="42">
        <v>8</v>
      </c>
      <c r="R1062" s="42">
        <v>7</v>
      </c>
      <c r="S1062" s="42">
        <v>8</v>
      </c>
      <c r="T1062" s="42">
        <v>8</v>
      </c>
      <c r="U1062" s="42">
        <v>8</v>
      </c>
      <c r="V1062" s="42"/>
      <c r="W1062" s="42"/>
      <c r="X1062" s="42"/>
      <c r="Y1062" s="26">
        <v>640</v>
      </c>
      <c r="Z1062" s="26"/>
      <c r="AA1062" s="45" t="s">
        <v>2446</v>
      </c>
      <c r="AB1062" s="111">
        <f t="shared" si="540"/>
        <v>2</v>
      </c>
      <c r="AC1062" s="85" t="s">
        <v>2425</v>
      </c>
      <c r="AD1062" s="84">
        <f t="shared" si="562"/>
        <v>1496.2121212121212</v>
      </c>
      <c r="AE1062" s="140"/>
      <c r="AF1062" s="113">
        <f t="shared" si="547"/>
        <v>0</v>
      </c>
      <c r="AG1062" s="85">
        <v>2026</v>
      </c>
      <c r="AH1062" s="26" t="str">
        <f t="shared" si="557"/>
        <v/>
      </c>
      <c r="AI1062" s="26" t="str">
        <f t="shared" si="563"/>
        <v/>
      </c>
      <c r="AJ1062" s="26" t="str">
        <f t="shared" si="529"/>
        <v/>
      </c>
      <c r="AK1062" s="26" t="str">
        <f t="shared" si="561"/>
        <v/>
      </c>
      <c r="AL1062" s="26" t="str">
        <f t="shared" si="561"/>
        <v>Liquid Road</v>
      </c>
      <c r="AM1062" s="26" t="str">
        <f t="shared" si="561"/>
        <v/>
      </c>
      <c r="AN1062" s="26" t="str">
        <f t="shared" si="560"/>
        <v>Liquid Road</v>
      </c>
      <c r="AO1062" s="26" t="str">
        <f t="shared" si="530"/>
        <v/>
      </c>
      <c r="AP1062" s="26" t="str">
        <f t="shared" si="568"/>
        <v/>
      </c>
      <c r="AQ1062" s="68">
        <f t="shared" si="565"/>
        <v>14</v>
      </c>
      <c r="AR1062" s="68">
        <f t="shared" si="566"/>
        <v>10</v>
      </c>
      <c r="AS1062" s="68">
        <f t="shared" si="550"/>
        <v>0</v>
      </c>
      <c r="AT1062" s="68">
        <f t="shared" si="551"/>
        <v>0</v>
      </c>
      <c r="AU1062" s="68">
        <f t="shared" si="552"/>
        <v>0</v>
      </c>
      <c r="AV1062" s="68">
        <f t="shared" si="553"/>
        <v>1</v>
      </c>
      <c r="AW1062" s="68">
        <f t="shared" si="554"/>
        <v>1</v>
      </c>
      <c r="AX1062" s="68">
        <f t="shared" ca="1" si="567"/>
        <v>0</v>
      </c>
      <c r="AY1062" s="68">
        <v>2018</v>
      </c>
      <c r="AZ1062" s="68" t="s">
        <v>2075</v>
      </c>
      <c r="BA1062" s="106"/>
      <c r="BB1062" s="178"/>
      <c r="BC1062" s="178"/>
      <c r="BD1062" s="178"/>
      <c r="BE1062" s="178">
        <v>2</v>
      </c>
      <c r="BF1062" s="178"/>
      <c r="BG1062" s="178"/>
      <c r="BH1062" s="178"/>
      <c r="BI1062" s="46"/>
      <c r="BJ1062" s="28"/>
      <c r="BK1062" s="48">
        <f>$G1062/5280*VLOOKUP($AC1062,'Cost and Score'!$B$27:$O$40,6,0)</f>
        <v>5.9848484848484845E-2</v>
      </c>
      <c r="BL1062" s="48">
        <f>$G1062/5280*VLOOKUP($AC1062,'Cost and Score'!$B$27:$O$40,7,0)</f>
        <v>0.95757575757575752</v>
      </c>
      <c r="BM1062" s="48">
        <f>$G1062/5280*VLOOKUP($AC1062,'Cost and Score'!$B$27:$O$40,8,0)</f>
        <v>0</v>
      </c>
      <c r="BN1062" s="48">
        <f>$G1062/5280*VLOOKUP($AC1062,'Cost and Score'!$B$27:$O$40,9,0)</f>
        <v>0</v>
      </c>
      <c r="BO1062" s="48">
        <f>$G1062/5280*VLOOKUP($AC1062,'Cost and Score'!$B$27:$O$40,10,0)</f>
        <v>0</v>
      </c>
      <c r="BP1062" s="48">
        <f>$G1062/5280*VLOOKUP($AC1062,'Cost and Score'!$B$27:$O$40,11,0)</f>
        <v>0</v>
      </c>
      <c r="BQ1062" s="48">
        <f>$G1062/5280*VLOOKUP($AC1062,'Cost and Score'!$B$27:$O$40,12,0)</f>
        <v>0</v>
      </c>
      <c r="BR1062" s="48">
        <f>$G1062/5280*VLOOKUP($AC1062,'Cost and Score'!$B$27:$O$40,13,0)</f>
        <v>0</v>
      </c>
      <c r="BS1062" s="48">
        <f>$G1062/5280*VLOOKUP($AC1062,'Cost and Score'!$B$27:$O$40,14,0)</f>
        <v>0</v>
      </c>
      <c r="BT1062" s="220">
        <f t="shared" si="543"/>
        <v>5.9848484848484845E-2</v>
      </c>
      <c r="BU1062" s="26"/>
      <c r="CS1062" s="112"/>
      <c r="CT1062" s="112"/>
      <c r="CU1062" s="112"/>
    </row>
    <row r="1063" spans="1:103" s="2" customFormat="1" ht="14.45" hidden="1" customHeight="1" x14ac:dyDescent="0.25">
      <c r="A1063" s="31" t="s">
        <v>2102</v>
      </c>
      <c r="B1063" s="224" t="s">
        <v>1918</v>
      </c>
      <c r="C1063" s="85" t="s">
        <v>1918</v>
      </c>
      <c r="D1063" s="86" t="s">
        <v>2254</v>
      </c>
      <c r="E1063" s="85" t="s">
        <v>1451</v>
      </c>
      <c r="F1063" s="85" t="s">
        <v>1505</v>
      </c>
      <c r="G1063" s="29">
        <v>2693</v>
      </c>
      <c r="H1063" s="29">
        <f t="shared" ref="H1063:H1094" si="569">IF(I1063="NC",26,20)</f>
        <v>26</v>
      </c>
      <c r="I1063" s="85" t="s">
        <v>2098</v>
      </c>
      <c r="J1063" s="85" t="s">
        <v>125</v>
      </c>
      <c r="K1063" s="85">
        <f t="shared" si="564"/>
        <v>0</v>
      </c>
      <c r="L1063" s="74">
        <v>7</v>
      </c>
      <c r="M1063" s="74">
        <v>7</v>
      </c>
      <c r="N1063" s="74">
        <v>7</v>
      </c>
      <c r="O1063" s="74">
        <v>7</v>
      </c>
      <c r="P1063" s="74">
        <v>7</v>
      </c>
      <c r="Q1063" s="74">
        <v>7</v>
      </c>
      <c r="R1063" s="74">
        <v>6</v>
      </c>
      <c r="S1063" s="74">
        <v>7</v>
      </c>
      <c r="T1063" s="74">
        <v>7</v>
      </c>
      <c r="U1063" s="74">
        <v>7</v>
      </c>
      <c r="V1063" s="74"/>
      <c r="W1063" s="74"/>
      <c r="X1063" s="74"/>
      <c r="Y1063" s="85">
        <v>207</v>
      </c>
      <c r="Z1063" s="85">
        <f t="shared" ref="Z1063:Z1094" si="570">VLOOKUP(Y1063,AADT,2)</f>
        <v>0</v>
      </c>
      <c r="AA1063" s="85" t="s">
        <v>1918</v>
      </c>
      <c r="AB1063" s="111">
        <f t="shared" si="540"/>
        <v>3</v>
      </c>
      <c r="AC1063" s="85" t="s">
        <v>2425</v>
      </c>
      <c r="AD1063" s="47">
        <f t="shared" si="562"/>
        <v>12750.94696969697</v>
      </c>
      <c r="AE1063" s="140"/>
      <c r="AF1063" s="113">
        <f t="shared" si="547"/>
        <v>0</v>
      </c>
      <c r="AG1063" s="85">
        <v>2026</v>
      </c>
      <c r="AH1063" s="26" t="str">
        <f t="shared" si="557"/>
        <v/>
      </c>
      <c r="AI1063" s="26" t="str">
        <f t="shared" si="563"/>
        <v/>
      </c>
      <c r="AJ1063" s="26" t="str">
        <f t="shared" ref="AJ1063:AJ1126" si="571">IF($AG1063=AJ$1,VLOOKUP($AC1063,RSL,3,FALSE),"")</f>
        <v/>
      </c>
      <c r="AK1063" s="26" t="str">
        <f t="shared" si="561"/>
        <v/>
      </c>
      <c r="AL1063" s="26" t="str">
        <f t="shared" si="561"/>
        <v>Liquid Road</v>
      </c>
      <c r="AM1063" s="26" t="str">
        <f t="shared" si="561"/>
        <v/>
      </c>
      <c r="AN1063" s="26" t="str">
        <f t="shared" si="560"/>
        <v>Liquid Road</v>
      </c>
      <c r="AO1063" s="26" t="str">
        <f t="shared" ref="AO1063:AO1126" si="572">IF(AY1063=AO$1,VLOOKUP(AZ1063,RSL,3,FALSE),"")</f>
        <v/>
      </c>
      <c r="AP1063" s="26" t="str">
        <f t="shared" si="568"/>
        <v/>
      </c>
      <c r="AQ1063" s="68">
        <f t="shared" si="565"/>
        <v>10</v>
      </c>
      <c r="AR1063" s="68">
        <f t="shared" si="566"/>
        <v>10</v>
      </c>
      <c r="AS1063" s="68">
        <f t="shared" si="550"/>
        <v>1.05</v>
      </c>
      <c r="AT1063" s="68">
        <f t="shared" si="551"/>
        <v>1.05</v>
      </c>
      <c r="AU1063" s="68">
        <f t="shared" si="552"/>
        <v>1.05</v>
      </c>
      <c r="AV1063" s="68">
        <f t="shared" si="553"/>
        <v>1.05</v>
      </c>
      <c r="AW1063" s="68">
        <f t="shared" si="554"/>
        <v>1.05</v>
      </c>
      <c r="AX1063" s="68">
        <f t="shared" ca="1" si="567"/>
        <v>2.1</v>
      </c>
      <c r="AY1063" s="68">
        <v>2018</v>
      </c>
      <c r="AZ1063" s="68" t="s">
        <v>2075</v>
      </c>
      <c r="BA1063" s="106" t="str">
        <f t="shared" ref="BA1063:BA1094" si="573">IF(AY1063=2018,AZ1063,"")</f>
        <v>CRACK</v>
      </c>
      <c r="BB1063" s="178"/>
      <c r="BC1063" s="178"/>
      <c r="BD1063" s="178"/>
      <c r="BE1063" s="178"/>
      <c r="BF1063" s="178">
        <v>3</v>
      </c>
      <c r="BG1063" s="178"/>
      <c r="BH1063" s="178"/>
      <c r="BI1063" s="33"/>
      <c r="BK1063" s="48">
        <f>$G1063/5280*VLOOKUP($AC1063,'Cost and Score'!$B$27:$O$40,6,0)</f>
        <v>0.51003787878787876</v>
      </c>
      <c r="BL1063" s="48">
        <f>$G1063/5280*VLOOKUP($AC1063,'Cost and Score'!$B$27:$O$40,7,0)</f>
        <v>8.1606060606060602</v>
      </c>
      <c r="BM1063" s="48">
        <f>$G1063/5280*VLOOKUP($AC1063,'Cost and Score'!$B$27:$O$40,8,0)</f>
        <v>0</v>
      </c>
      <c r="BN1063" s="48">
        <f>$G1063/5280*VLOOKUP($AC1063,'Cost and Score'!$B$27:$O$40,9,0)</f>
        <v>0</v>
      </c>
      <c r="BO1063" s="48">
        <f>$G1063/5280*VLOOKUP($AC1063,'Cost and Score'!$B$27:$O$40,10,0)</f>
        <v>0</v>
      </c>
      <c r="BP1063" s="48">
        <f>$G1063/5280*VLOOKUP($AC1063,'Cost and Score'!$B$27:$O$40,11,0)</f>
        <v>0</v>
      </c>
      <c r="BQ1063" s="48">
        <f>$G1063/5280*VLOOKUP($AC1063,'Cost and Score'!$B$27:$O$40,12,0)</f>
        <v>0</v>
      </c>
      <c r="BR1063" s="48">
        <f>$G1063/5280*VLOOKUP($AC1063,'Cost and Score'!$B$27:$O$40,13,0)</f>
        <v>0</v>
      </c>
      <c r="BS1063" s="48">
        <f>$G1063/5280*VLOOKUP($AC1063,'Cost and Score'!$B$27:$O$40,14,0)</f>
        <v>0</v>
      </c>
      <c r="BT1063" s="220">
        <f t="shared" si="543"/>
        <v>0.51003787878787876</v>
      </c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W1063" s="112"/>
      <c r="CX1063" s="112"/>
      <c r="CY1063" s="112"/>
    </row>
    <row r="1064" spans="1:103" s="2" customFormat="1" ht="14.45" hidden="1" customHeight="1" x14ac:dyDescent="0.25">
      <c r="A1064" s="31" t="s">
        <v>2102</v>
      </c>
      <c r="B1064" s="226" t="s">
        <v>1919</v>
      </c>
      <c r="C1064" s="106" t="s">
        <v>1919</v>
      </c>
      <c r="D1064" s="116" t="s">
        <v>2229</v>
      </c>
      <c r="E1064" s="106" t="s">
        <v>1456</v>
      </c>
      <c r="F1064" s="106" t="s">
        <v>1452</v>
      </c>
      <c r="G1064" s="109">
        <v>290</v>
      </c>
      <c r="H1064" s="109">
        <f t="shared" si="569"/>
        <v>26</v>
      </c>
      <c r="I1064" s="106" t="s">
        <v>2098</v>
      </c>
      <c r="J1064" s="106" t="s">
        <v>160</v>
      </c>
      <c r="K1064" s="106">
        <f t="shared" si="564"/>
        <v>0</v>
      </c>
      <c r="L1064" s="110">
        <v>7</v>
      </c>
      <c r="M1064" s="110">
        <v>8</v>
      </c>
      <c r="N1064" s="110">
        <v>8</v>
      </c>
      <c r="O1064" s="110">
        <v>8</v>
      </c>
      <c r="P1064" s="110">
        <v>8</v>
      </c>
      <c r="Q1064" s="110">
        <v>7</v>
      </c>
      <c r="R1064" s="110">
        <v>7</v>
      </c>
      <c r="S1064" s="110">
        <v>7</v>
      </c>
      <c r="T1064" s="110">
        <v>7</v>
      </c>
      <c r="U1064" s="110">
        <v>7</v>
      </c>
      <c r="V1064" s="110"/>
      <c r="W1064" s="110"/>
      <c r="X1064" s="110"/>
      <c r="Y1064" s="106">
        <v>50</v>
      </c>
      <c r="Z1064" s="106">
        <f t="shared" si="570"/>
        <v>0</v>
      </c>
      <c r="AA1064" s="106" t="s">
        <v>1919</v>
      </c>
      <c r="AB1064" s="111">
        <f t="shared" si="540"/>
        <v>2</v>
      </c>
      <c r="AC1064" s="85" t="s">
        <v>2425</v>
      </c>
      <c r="AD1064" s="107">
        <f t="shared" si="562"/>
        <v>1373.1060606060605</v>
      </c>
      <c r="AE1064" s="198"/>
      <c r="AF1064" s="113">
        <f t="shared" si="547"/>
        <v>0</v>
      </c>
      <c r="AG1064" s="85">
        <v>2026</v>
      </c>
      <c r="AH1064" s="26" t="str">
        <f t="shared" si="557"/>
        <v/>
      </c>
      <c r="AI1064" s="26" t="str">
        <f t="shared" si="563"/>
        <v/>
      </c>
      <c r="AJ1064" s="26" t="str">
        <f t="shared" si="571"/>
        <v/>
      </c>
      <c r="AK1064" s="26" t="str">
        <f t="shared" si="561"/>
        <v/>
      </c>
      <c r="AL1064" s="26" t="str">
        <f t="shared" si="561"/>
        <v>Liquid Road</v>
      </c>
      <c r="AM1064" s="26" t="str">
        <f t="shared" si="561"/>
        <v/>
      </c>
      <c r="AN1064" s="26" t="str">
        <f t="shared" si="560"/>
        <v>Liquid Road</v>
      </c>
      <c r="AO1064" s="26" t="str">
        <f t="shared" si="572"/>
        <v/>
      </c>
      <c r="AP1064" s="26" t="str">
        <f t="shared" si="568"/>
        <v/>
      </c>
      <c r="AQ1064" s="68">
        <f t="shared" si="565"/>
        <v>12</v>
      </c>
      <c r="AR1064" s="68">
        <f t="shared" si="566"/>
        <v>10</v>
      </c>
      <c r="AS1064" s="68">
        <f t="shared" si="550"/>
        <v>1.05</v>
      </c>
      <c r="AT1064" s="68">
        <f t="shared" si="551"/>
        <v>1</v>
      </c>
      <c r="AU1064" s="68">
        <f t="shared" si="552"/>
        <v>1</v>
      </c>
      <c r="AV1064" s="68">
        <f t="shared" si="553"/>
        <v>1</v>
      </c>
      <c r="AW1064" s="68">
        <f t="shared" si="554"/>
        <v>1</v>
      </c>
      <c r="AX1064" s="68">
        <f t="shared" ca="1" si="567"/>
        <v>2</v>
      </c>
      <c r="AY1064" s="106">
        <v>2017</v>
      </c>
      <c r="AZ1064" s="106" t="s">
        <v>2075</v>
      </c>
      <c r="BA1064" s="106" t="str">
        <f t="shared" si="573"/>
        <v/>
      </c>
      <c r="BB1064" s="177"/>
      <c r="BC1064" s="177"/>
      <c r="BD1064" s="177">
        <v>1</v>
      </c>
      <c r="BE1064" s="177"/>
      <c r="BF1064" s="177"/>
      <c r="BG1064" s="177"/>
      <c r="BH1064" s="177"/>
      <c r="BI1064" s="33"/>
      <c r="BK1064" s="48">
        <f>$G1064/5280*VLOOKUP($AC1064,'Cost and Score'!$B$27:$O$40,6,0)</f>
        <v>5.4924242424242424E-2</v>
      </c>
      <c r="BL1064" s="48">
        <f>$G1064/5280*VLOOKUP($AC1064,'Cost and Score'!$B$27:$O$40,7,0)</f>
        <v>0.87878787878787878</v>
      </c>
      <c r="BM1064" s="48">
        <f>$G1064/5280*VLOOKUP($AC1064,'Cost and Score'!$B$27:$O$40,8,0)</f>
        <v>0</v>
      </c>
      <c r="BN1064" s="48">
        <f>$G1064/5280*VLOOKUP($AC1064,'Cost and Score'!$B$27:$O$40,9,0)</f>
        <v>0</v>
      </c>
      <c r="BO1064" s="48">
        <f>$G1064/5280*VLOOKUP($AC1064,'Cost and Score'!$B$27:$O$40,10,0)</f>
        <v>0</v>
      </c>
      <c r="BP1064" s="48">
        <f>$G1064/5280*VLOOKUP($AC1064,'Cost and Score'!$B$27:$O$40,11,0)</f>
        <v>0</v>
      </c>
      <c r="BQ1064" s="48">
        <f>$G1064/5280*VLOOKUP($AC1064,'Cost and Score'!$B$27:$O$40,12,0)</f>
        <v>0</v>
      </c>
      <c r="BR1064" s="48">
        <f>$G1064/5280*VLOOKUP($AC1064,'Cost and Score'!$B$27:$O$40,13,0)</f>
        <v>0</v>
      </c>
      <c r="BS1064" s="48">
        <f>$G1064/5280*VLOOKUP($AC1064,'Cost and Score'!$B$27:$O$40,14,0)</f>
        <v>0</v>
      </c>
      <c r="BT1064" s="220">
        <f t="shared" si="543"/>
        <v>5.4924242424242424E-2</v>
      </c>
      <c r="CS1064" s="112"/>
      <c r="CT1064" s="112"/>
      <c r="CU1064" s="112"/>
    </row>
    <row r="1065" spans="1:103" s="112" customFormat="1" ht="14.45" hidden="1" customHeight="1" x14ac:dyDescent="0.25">
      <c r="A1065" s="38" t="s">
        <v>2102</v>
      </c>
      <c r="B1065" s="34" t="s">
        <v>1920</v>
      </c>
      <c r="C1065" s="26" t="s">
        <v>1920</v>
      </c>
      <c r="D1065" s="26"/>
      <c r="E1065" s="26" t="s">
        <v>86</v>
      </c>
      <c r="F1065" s="26" t="s">
        <v>10</v>
      </c>
      <c r="G1065" s="29">
        <v>337</v>
      </c>
      <c r="H1065" s="29">
        <f t="shared" si="569"/>
        <v>20</v>
      </c>
      <c r="I1065" s="26" t="s">
        <v>13</v>
      </c>
      <c r="J1065" s="26" t="s">
        <v>101</v>
      </c>
      <c r="K1065" s="26">
        <v>0</v>
      </c>
      <c r="L1065" s="42">
        <v>7</v>
      </c>
      <c r="M1065" s="42">
        <v>5</v>
      </c>
      <c r="N1065" s="42">
        <v>5</v>
      </c>
      <c r="O1065" s="42">
        <v>5</v>
      </c>
      <c r="P1065" s="42">
        <v>5</v>
      </c>
      <c r="Q1065" s="42">
        <v>7</v>
      </c>
      <c r="R1065" s="42">
        <v>7</v>
      </c>
      <c r="S1065" s="42">
        <v>7</v>
      </c>
      <c r="T1065" s="42">
        <v>7</v>
      </c>
      <c r="U1065" s="42">
        <v>7</v>
      </c>
      <c r="V1065" s="42"/>
      <c r="W1065" s="42"/>
      <c r="X1065" s="42"/>
      <c r="Y1065" s="26">
        <v>50</v>
      </c>
      <c r="Z1065" s="26">
        <f t="shared" si="570"/>
        <v>0</v>
      </c>
      <c r="AA1065" s="26" t="s">
        <v>1920</v>
      </c>
      <c r="AB1065" s="111">
        <f t="shared" si="540"/>
        <v>5</v>
      </c>
      <c r="AC1065" s="26" t="s">
        <v>2073</v>
      </c>
      <c r="AD1065" s="47">
        <f t="shared" si="562"/>
        <v>2042.4242424242425</v>
      </c>
      <c r="AE1065" s="140"/>
      <c r="AF1065" s="113">
        <f t="shared" si="547"/>
        <v>0</v>
      </c>
      <c r="AG1065" s="26">
        <v>2023</v>
      </c>
      <c r="AH1065" s="26" t="str">
        <f t="shared" si="557"/>
        <v/>
      </c>
      <c r="AI1065" s="26" t="str">
        <f t="shared" si="563"/>
        <v>Chip Seal - Double and Fog</v>
      </c>
      <c r="AJ1065" s="26" t="str">
        <f t="shared" si="571"/>
        <v/>
      </c>
      <c r="AK1065" s="26" t="str">
        <f t="shared" si="561"/>
        <v/>
      </c>
      <c r="AL1065" s="26" t="str">
        <f t="shared" si="561"/>
        <v/>
      </c>
      <c r="AM1065" s="26" t="str">
        <f t="shared" si="561"/>
        <v/>
      </c>
      <c r="AN1065" s="26" t="str">
        <f t="shared" si="560"/>
        <v>Chip Seal - Double and Fog</v>
      </c>
      <c r="AO1065" s="26" t="str">
        <f t="shared" si="572"/>
        <v/>
      </c>
      <c r="AP1065" s="26" t="str">
        <f t="shared" si="568"/>
        <v/>
      </c>
      <c r="AQ1065" s="68">
        <f t="shared" si="565"/>
        <v>6</v>
      </c>
      <c r="AR1065" s="68">
        <f t="shared" si="566"/>
        <v>6</v>
      </c>
      <c r="AS1065" s="68">
        <f t="shared" si="550"/>
        <v>1.05</v>
      </c>
      <c r="AT1065" s="68">
        <f t="shared" si="551"/>
        <v>1.25</v>
      </c>
      <c r="AU1065" s="68">
        <f t="shared" si="552"/>
        <v>1.25</v>
      </c>
      <c r="AV1065" s="68">
        <f t="shared" si="553"/>
        <v>1.25</v>
      </c>
      <c r="AW1065" s="68">
        <f t="shared" si="554"/>
        <v>1.25</v>
      </c>
      <c r="AX1065" s="68">
        <f t="shared" ca="1" si="567"/>
        <v>-1.25</v>
      </c>
      <c r="AY1065" s="68"/>
      <c r="AZ1065" s="68"/>
      <c r="BA1065" s="106" t="str">
        <f t="shared" si="573"/>
        <v/>
      </c>
      <c r="BB1065" s="178"/>
      <c r="BC1065" s="178"/>
      <c r="BD1065" s="178"/>
      <c r="BE1065" s="178"/>
      <c r="BF1065" s="178"/>
      <c r="BG1065" s="178"/>
      <c r="BH1065" s="178"/>
      <c r="BI1065" s="33"/>
      <c r="BJ1065" s="2"/>
      <c r="BK1065" s="48">
        <f>$G1065/5280*VLOOKUP($AC1065,'Cost and Score'!$B$27:$O$40,6,0)</f>
        <v>3.1912878787878789E-2</v>
      </c>
      <c r="BL1065" s="48">
        <f>$G1065/5280*VLOOKUP($AC1065,'Cost and Score'!$B$27:$O$40,7,0)</f>
        <v>3.1912878787878789</v>
      </c>
      <c r="BM1065" s="48">
        <f>$G1065/5280*VLOOKUP($AC1065,'Cost and Score'!$B$27:$O$40,8,0)</f>
        <v>0</v>
      </c>
      <c r="BN1065" s="48">
        <f>$G1065/5280*VLOOKUP($AC1065,'Cost and Score'!$B$27:$O$40,9,0)</f>
        <v>606.344696969697</v>
      </c>
      <c r="BO1065" s="48">
        <f>$G1065/5280*VLOOKUP($AC1065,'Cost and Score'!$B$27:$O$40,10,0)</f>
        <v>63.825757575757578</v>
      </c>
      <c r="BP1065" s="48">
        <f>$G1065/5280*VLOOKUP($AC1065,'Cost and Score'!$B$27:$O$40,11,0)</f>
        <v>0</v>
      </c>
      <c r="BQ1065" s="48">
        <f>$G1065/5280*VLOOKUP($AC1065,'Cost and Score'!$B$27:$O$40,12,0)</f>
        <v>12.765151515151516</v>
      </c>
      <c r="BR1065" s="48">
        <f>$G1065/5280*VLOOKUP($AC1065,'Cost and Score'!$B$27:$O$40,13,0)</f>
        <v>11.488636363636363</v>
      </c>
      <c r="BS1065" s="48">
        <f>$G1065/5280*VLOOKUP($AC1065,'Cost and Score'!$B$27:$O$40,14,0)</f>
        <v>15.318181818181818</v>
      </c>
      <c r="BT1065" s="220">
        <f t="shared" si="543"/>
        <v>6.3825757575757577E-2</v>
      </c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N1065" s="2"/>
      <c r="CO1065" s="2"/>
      <c r="CP1065" s="2"/>
      <c r="CQ1065" s="2"/>
      <c r="CR1065" s="2"/>
      <c r="CS1065" s="2"/>
      <c r="CT1065" s="2"/>
      <c r="CU1065" s="2"/>
      <c r="CV1065" s="2"/>
    </row>
    <row r="1066" spans="1:103" s="2" customFormat="1" ht="14.45" hidden="1" customHeight="1" x14ac:dyDescent="0.25">
      <c r="A1066" s="38" t="s">
        <v>2102</v>
      </c>
      <c r="B1066" s="34" t="s">
        <v>1921</v>
      </c>
      <c r="C1066" s="26" t="s">
        <v>1921</v>
      </c>
      <c r="D1066" s="82"/>
      <c r="E1066" s="82" t="s">
        <v>1421</v>
      </c>
      <c r="F1066" s="82" t="s">
        <v>1421</v>
      </c>
      <c r="G1066" s="29">
        <v>759</v>
      </c>
      <c r="H1066" s="29">
        <f t="shared" si="569"/>
        <v>20</v>
      </c>
      <c r="I1066" s="26" t="s">
        <v>13</v>
      </c>
      <c r="J1066" s="26" t="s">
        <v>26</v>
      </c>
      <c r="K1066" s="26">
        <f>VLOOKUP(J1066,TOWNSHIPS,2,FALSE)</f>
        <v>0</v>
      </c>
      <c r="L1066" s="42">
        <v>6</v>
      </c>
      <c r="M1066" s="42">
        <v>5</v>
      </c>
      <c r="N1066" s="42">
        <v>5</v>
      </c>
      <c r="O1066" s="83">
        <v>9</v>
      </c>
      <c r="P1066" s="83">
        <v>9</v>
      </c>
      <c r="Q1066" s="83">
        <v>8</v>
      </c>
      <c r="R1066" s="83">
        <v>7</v>
      </c>
      <c r="S1066" s="83">
        <v>7</v>
      </c>
      <c r="T1066" s="83">
        <v>7</v>
      </c>
      <c r="U1066" s="83">
        <v>7</v>
      </c>
      <c r="V1066" s="42"/>
      <c r="W1066" s="42"/>
      <c r="X1066" s="42"/>
      <c r="Y1066" s="26">
        <v>50</v>
      </c>
      <c r="Z1066" s="26">
        <f t="shared" si="570"/>
        <v>0</v>
      </c>
      <c r="AA1066" s="82" t="s">
        <v>1922</v>
      </c>
      <c r="AB1066" s="111">
        <f t="shared" si="540"/>
        <v>1</v>
      </c>
      <c r="AC1066" s="82" t="s">
        <v>13</v>
      </c>
      <c r="AD1066" s="84">
        <f t="shared" si="562"/>
        <v>3018.75</v>
      </c>
      <c r="AE1066" s="140"/>
      <c r="AF1066" s="113">
        <f t="shared" si="547"/>
        <v>0</v>
      </c>
      <c r="AG1066" s="26">
        <v>2027</v>
      </c>
      <c r="AH1066" s="26" t="str">
        <f t="shared" si="557"/>
        <v/>
      </c>
      <c r="AI1066" s="26" t="str">
        <f t="shared" si="563"/>
        <v/>
      </c>
      <c r="AJ1066" s="26" t="str">
        <f t="shared" si="571"/>
        <v/>
      </c>
      <c r="AK1066" s="26" t="str">
        <f t="shared" si="561"/>
        <v/>
      </c>
      <c r="AL1066" s="26" t="str">
        <f t="shared" si="561"/>
        <v/>
      </c>
      <c r="AM1066" s="26" t="str">
        <f t="shared" si="561"/>
        <v>Chip Seal and Fog</v>
      </c>
      <c r="AN1066" s="26" t="str">
        <f t="shared" si="560"/>
        <v>Chip Seal and Fog</v>
      </c>
      <c r="AO1066" s="26" t="str">
        <f t="shared" si="572"/>
        <v>Chip Seal - Double and Fog</v>
      </c>
      <c r="AP1066" s="26" t="str">
        <f t="shared" si="568"/>
        <v/>
      </c>
      <c r="AQ1066" s="68">
        <f t="shared" si="565"/>
        <v>14</v>
      </c>
      <c r="AR1066" s="68">
        <f t="shared" si="566"/>
        <v>6</v>
      </c>
      <c r="AS1066" s="68">
        <f t="shared" si="550"/>
        <v>1.1000000000000001</v>
      </c>
      <c r="AT1066" s="68">
        <f t="shared" si="551"/>
        <v>1.25</v>
      </c>
      <c r="AU1066" s="68">
        <f t="shared" si="552"/>
        <v>1.25</v>
      </c>
      <c r="AV1066" s="68">
        <f t="shared" si="553"/>
        <v>1</v>
      </c>
      <c r="AW1066" s="68">
        <f t="shared" si="554"/>
        <v>1</v>
      </c>
      <c r="AX1066" s="68">
        <f t="shared" ca="1" si="567"/>
        <v>3.75</v>
      </c>
      <c r="AY1066" s="68">
        <v>2021</v>
      </c>
      <c r="AZ1066" s="68" t="s">
        <v>2073</v>
      </c>
      <c r="BA1066" s="106" t="str">
        <f t="shared" si="573"/>
        <v/>
      </c>
      <c r="BB1066" s="178"/>
      <c r="BC1066" s="178"/>
      <c r="BD1066" s="178"/>
      <c r="BE1066" s="178"/>
      <c r="BF1066" s="178"/>
      <c r="BG1066" s="178"/>
      <c r="BH1066" s="178"/>
      <c r="BI1066" s="33"/>
      <c r="BK1066" s="48">
        <f>$G1066/5280*VLOOKUP($AC1066,'Cost and Score'!$B$27:$O$40,6,0)</f>
        <v>2.8749999999999998E-2</v>
      </c>
      <c r="BL1066" s="48">
        <f>$G1066/5280*VLOOKUP($AC1066,'Cost and Score'!$B$27:$O$40,7,0)</f>
        <v>3.1624999999999996</v>
      </c>
      <c r="BM1066" s="48">
        <f>$G1066/5280*VLOOKUP($AC1066,'Cost and Score'!$B$27:$O$40,8,0)</f>
        <v>0</v>
      </c>
      <c r="BN1066" s="48">
        <f>$G1066/5280*VLOOKUP($AC1066,'Cost and Score'!$B$27:$O$40,9,0)</f>
        <v>646.875</v>
      </c>
      <c r="BO1066" s="48">
        <f>$G1066/5280*VLOOKUP($AC1066,'Cost and Score'!$B$27:$O$40,10,0)</f>
        <v>143.75</v>
      </c>
      <c r="BP1066" s="48">
        <f>$G1066/5280*VLOOKUP($AC1066,'Cost and Score'!$B$27:$O$40,11,0)</f>
        <v>0</v>
      </c>
      <c r="BQ1066" s="48">
        <f>$G1066/5280*VLOOKUP($AC1066,'Cost and Score'!$B$27:$O$40,12,0)</f>
        <v>14.374999999999998</v>
      </c>
      <c r="BR1066" s="48">
        <f>$G1066/5280*VLOOKUP($AC1066,'Cost and Score'!$B$27:$O$40,13,0)</f>
        <v>17.25</v>
      </c>
      <c r="BS1066" s="48">
        <f>$G1066/5280*VLOOKUP($AC1066,'Cost and Score'!$B$27:$O$40,14,0)</f>
        <v>0</v>
      </c>
      <c r="BT1066" s="220">
        <f t="shared" si="543"/>
        <v>0.14374999999999999</v>
      </c>
      <c r="BY1066" s="2" t="s">
        <v>2073</v>
      </c>
      <c r="BZ1066" s="27">
        <v>30000</v>
      </c>
      <c r="CA1066" s="2" t="s">
        <v>2083</v>
      </c>
      <c r="CN1066" s="112"/>
      <c r="CO1066" s="112"/>
      <c r="CP1066" s="112"/>
      <c r="CQ1066" s="112"/>
      <c r="CV1066" s="112"/>
    </row>
    <row r="1067" spans="1:103" s="2" customFormat="1" ht="14.45" customHeight="1" x14ac:dyDescent="0.25">
      <c r="A1067" s="31" t="s">
        <v>2102</v>
      </c>
      <c r="B1067" s="45" t="s">
        <v>1516</v>
      </c>
      <c r="C1067" s="26" t="s">
        <v>1516</v>
      </c>
      <c r="D1067" s="119" t="s">
        <v>2220</v>
      </c>
      <c r="E1067" s="82" t="s">
        <v>4</v>
      </c>
      <c r="F1067" s="82" t="s">
        <v>1465</v>
      </c>
      <c r="G1067" s="29">
        <v>2376</v>
      </c>
      <c r="H1067" s="29">
        <f t="shared" si="569"/>
        <v>26</v>
      </c>
      <c r="I1067" s="26" t="s">
        <v>2098</v>
      </c>
      <c r="J1067" s="26" t="s">
        <v>6</v>
      </c>
      <c r="K1067" s="26">
        <f>VLOOKUP(J1067,TOWNSHIPS,2,FALSE)</f>
        <v>0</v>
      </c>
      <c r="L1067" s="42">
        <v>7</v>
      </c>
      <c r="M1067" s="42">
        <v>6</v>
      </c>
      <c r="N1067" s="42">
        <v>10</v>
      </c>
      <c r="O1067" s="83">
        <v>9</v>
      </c>
      <c r="P1067" s="83">
        <v>7</v>
      </c>
      <c r="Q1067" s="83">
        <v>7</v>
      </c>
      <c r="R1067" s="83">
        <v>7</v>
      </c>
      <c r="S1067" s="83">
        <v>7</v>
      </c>
      <c r="T1067" s="83">
        <v>7</v>
      </c>
      <c r="U1067" s="83">
        <v>6</v>
      </c>
      <c r="V1067" s="42"/>
      <c r="W1067" s="42"/>
      <c r="X1067" s="42"/>
      <c r="Y1067" s="26">
        <v>50</v>
      </c>
      <c r="Z1067" s="26">
        <f t="shared" si="570"/>
        <v>0</v>
      </c>
      <c r="AA1067" s="82" t="s">
        <v>1517</v>
      </c>
      <c r="AB1067" s="111">
        <f t="shared" si="540"/>
        <v>3</v>
      </c>
      <c r="AC1067" s="26" t="s">
        <v>751</v>
      </c>
      <c r="AD1067" s="84">
        <f t="shared" si="562"/>
        <v>49500</v>
      </c>
      <c r="AE1067" s="140"/>
      <c r="AF1067" s="113">
        <f t="shared" si="547"/>
        <v>0</v>
      </c>
      <c r="AG1067" s="26">
        <v>2025</v>
      </c>
      <c r="AH1067" s="26" t="str">
        <f t="shared" si="557"/>
        <v/>
      </c>
      <c r="AI1067" s="26" t="str">
        <f t="shared" si="563"/>
        <v/>
      </c>
      <c r="AJ1067" s="26" t="str">
        <f t="shared" si="571"/>
        <v/>
      </c>
      <c r="AK1067" s="26" t="str">
        <f t="shared" si="561"/>
        <v>Overlay - 2"</v>
      </c>
      <c r="AL1067" s="26" t="str">
        <f t="shared" si="561"/>
        <v/>
      </c>
      <c r="AM1067" s="26" t="str">
        <f t="shared" si="561"/>
        <v/>
      </c>
      <c r="AN1067" s="26" t="str">
        <f t="shared" si="560"/>
        <v>Overlay - 2"</v>
      </c>
      <c r="AO1067" s="26" t="str">
        <f t="shared" si="572"/>
        <v/>
      </c>
      <c r="AP1067" s="26" t="str">
        <f t="shared" si="568"/>
        <v/>
      </c>
      <c r="AQ1067" s="68">
        <f t="shared" si="565"/>
        <v>14</v>
      </c>
      <c r="AR1067" s="68">
        <f t="shared" si="566"/>
        <v>12</v>
      </c>
      <c r="AS1067" s="68">
        <f t="shared" si="550"/>
        <v>1.05</v>
      </c>
      <c r="AT1067" s="68">
        <f t="shared" si="551"/>
        <v>1.1000000000000001</v>
      </c>
      <c r="AU1067" s="68">
        <f t="shared" si="552"/>
        <v>1</v>
      </c>
      <c r="AV1067" s="68">
        <f t="shared" si="553"/>
        <v>1</v>
      </c>
      <c r="AW1067" s="68">
        <f t="shared" si="554"/>
        <v>1.05</v>
      </c>
      <c r="AX1067" s="68">
        <f t="shared" ca="1" si="567"/>
        <v>1</v>
      </c>
      <c r="AY1067" s="68">
        <v>2018</v>
      </c>
      <c r="AZ1067" s="68" t="s">
        <v>2086</v>
      </c>
      <c r="BA1067" s="106" t="str">
        <f t="shared" si="573"/>
        <v>F</v>
      </c>
      <c r="BB1067" s="178"/>
      <c r="BC1067" s="178"/>
      <c r="BD1067" s="178"/>
      <c r="BE1067" s="178"/>
      <c r="BF1067" s="178"/>
      <c r="BG1067" s="178"/>
      <c r="BH1067" s="178"/>
      <c r="BI1067" s="33"/>
      <c r="BK1067" s="48">
        <f>$G1067/5280*VLOOKUP($AC1067,'Cost and Score'!$B$27:$O$40,6,0)</f>
        <v>1.0125</v>
      </c>
      <c r="BL1067" s="48">
        <f>$G1067/5280*VLOOKUP($AC1067,'Cost and Score'!$B$27:$O$40,7,0)</f>
        <v>94.5</v>
      </c>
      <c r="BM1067" s="48">
        <f>$G1067/5280*VLOOKUP($AC1067,'Cost and Score'!$B$27:$O$40,8,0)</f>
        <v>157.5</v>
      </c>
      <c r="BN1067" s="48">
        <f>$G1067/5280*VLOOKUP($AC1067,'Cost and Score'!$B$27:$O$40,9,0)</f>
        <v>0</v>
      </c>
      <c r="BO1067" s="48">
        <f>$G1067/5280*VLOOKUP($AC1067,'Cost and Score'!$B$27:$O$40,10,0)</f>
        <v>0</v>
      </c>
      <c r="BP1067" s="48">
        <f>$G1067/5280*VLOOKUP($AC1067,'Cost and Score'!$B$27:$O$40,11,0)</f>
        <v>90</v>
      </c>
      <c r="BQ1067" s="48">
        <f>$G1067/5280*VLOOKUP($AC1067,'Cost and Score'!$B$27:$O$40,12,0)</f>
        <v>765</v>
      </c>
      <c r="BR1067" s="48">
        <f>$G1067/5280*VLOOKUP($AC1067,'Cost and Score'!$B$27:$O$40,13,0)</f>
        <v>0</v>
      </c>
      <c r="BS1067" s="48">
        <f>$G1067/5280*VLOOKUP($AC1067,'Cost and Score'!$B$27:$O$40,14,0)</f>
        <v>0</v>
      </c>
      <c r="BT1067" s="220">
        <f t="shared" si="543"/>
        <v>0.45</v>
      </c>
      <c r="CN1067" s="112"/>
      <c r="CO1067" s="112"/>
      <c r="CP1067" s="112"/>
      <c r="CQ1067" s="112"/>
      <c r="CV1067" s="112"/>
    </row>
    <row r="1068" spans="1:103" s="2" customFormat="1" ht="14.45" hidden="1" customHeight="1" x14ac:dyDescent="0.25">
      <c r="A1068" s="38" t="s">
        <v>2102</v>
      </c>
      <c r="B1068" s="45" t="s">
        <v>1924</v>
      </c>
      <c r="C1068" s="26" t="s">
        <v>1924</v>
      </c>
      <c r="D1068" s="119" t="s">
        <v>2430</v>
      </c>
      <c r="E1068" s="82" t="s">
        <v>1427</v>
      </c>
      <c r="F1068" s="82" t="s">
        <v>1925</v>
      </c>
      <c r="G1068" s="29">
        <v>280</v>
      </c>
      <c r="H1068" s="29">
        <f t="shared" si="569"/>
        <v>20</v>
      </c>
      <c r="I1068" s="26" t="s">
        <v>8</v>
      </c>
      <c r="J1068" s="26" t="s">
        <v>17</v>
      </c>
      <c r="K1068" s="26">
        <v>0</v>
      </c>
      <c r="L1068" s="42">
        <v>6</v>
      </c>
      <c r="M1068" s="42">
        <v>6</v>
      </c>
      <c r="N1068" s="42">
        <v>6</v>
      </c>
      <c r="O1068" s="83">
        <v>5</v>
      </c>
      <c r="P1068" s="83">
        <v>5</v>
      </c>
      <c r="Q1068" s="83">
        <v>9</v>
      </c>
      <c r="R1068" s="83">
        <v>8</v>
      </c>
      <c r="S1068" s="83">
        <v>8</v>
      </c>
      <c r="T1068" s="83">
        <v>7</v>
      </c>
      <c r="U1068" s="83">
        <v>7</v>
      </c>
      <c r="V1068" s="42"/>
      <c r="W1068" s="42"/>
      <c r="X1068" s="42"/>
      <c r="Y1068" s="26">
        <v>50</v>
      </c>
      <c r="Z1068" s="26">
        <f t="shared" si="570"/>
        <v>0</v>
      </c>
      <c r="AA1068" s="82" t="s">
        <v>1922</v>
      </c>
      <c r="AB1068" s="111">
        <f t="shared" si="540"/>
        <v>5</v>
      </c>
      <c r="AC1068" s="85" t="s">
        <v>13</v>
      </c>
      <c r="AD1068" s="84">
        <f t="shared" si="562"/>
        <v>1113.6363636363637</v>
      </c>
      <c r="AE1068" s="140"/>
      <c r="AF1068" s="113">
        <f t="shared" si="547"/>
        <v>0</v>
      </c>
      <c r="AG1068" s="26">
        <v>2024</v>
      </c>
      <c r="AH1068" s="26" t="str">
        <f t="shared" si="557"/>
        <v/>
      </c>
      <c r="AI1068" s="26" t="str">
        <f t="shared" si="563"/>
        <v/>
      </c>
      <c r="AJ1068" s="26" t="str">
        <f t="shared" si="571"/>
        <v>Chip Seal and Fog</v>
      </c>
      <c r="AK1068" s="26" t="str">
        <f t="shared" ref="AK1068:AM1087" si="574">IF($AG1068=AK$1,VLOOKUP($AC1068,RSL,3,FALSE),"")</f>
        <v/>
      </c>
      <c r="AL1068" s="26" t="str">
        <f t="shared" si="574"/>
        <v/>
      </c>
      <c r="AM1068" s="26" t="str">
        <f t="shared" si="574"/>
        <v/>
      </c>
      <c r="AN1068" s="26" t="str">
        <f t="shared" si="560"/>
        <v>Chip Seal and Fog</v>
      </c>
      <c r="AO1068" s="26" t="str">
        <f t="shared" si="572"/>
        <v/>
      </c>
      <c r="AP1068" s="26" t="str">
        <f t="shared" si="568"/>
        <v/>
      </c>
      <c r="AQ1068" s="68">
        <f t="shared" si="565"/>
        <v>6</v>
      </c>
      <c r="AR1068" s="68">
        <f t="shared" si="566"/>
        <v>6</v>
      </c>
      <c r="AS1068" s="68">
        <f t="shared" si="550"/>
        <v>1.1000000000000001</v>
      </c>
      <c r="AT1068" s="68">
        <f t="shared" si="551"/>
        <v>1.1000000000000001</v>
      </c>
      <c r="AU1068" s="68">
        <f t="shared" si="552"/>
        <v>1.1000000000000001</v>
      </c>
      <c r="AV1068" s="68">
        <f t="shared" si="553"/>
        <v>1.25</v>
      </c>
      <c r="AW1068" s="68">
        <f t="shared" si="554"/>
        <v>1.25</v>
      </c>
      <c r="AX1068" s="68">
        <f t="shared" ca="1" si="567"/>
        <v>0</v>
      </c>
      <c r="AY1068" s="68">
        <v>2018</v>
      </c>
      <c r="AZ1068" s="68" t="s">
        <v>751</v>
      </c>
      <c r="BA1068" s="106" t="str">
        <f t="shared" si="573"/>
        <v>P</v>
      </c>
      <c r="BB1068" s="178"/>
      <c r="BC1068" s="178"/>
      <c r="BD1068" s="178"/>
      <c r="BE1068" s="178"/>
      <c r="BF1068" s="178"/>
      <c r="BG1068" s="178"/>
      <c r="BH1068" s="178"/>
      <c r="BI1068" s="33"/>
      <c r="BK1068" s="48">
        <f>$G1068/5280*VLOOKUP($AC1068,'Cost and Score'!$B$27:$O$40,6,0)</f>
        <v>1.0606060606060607E-2</v>
      </c>
      <c r="BL1068" s="48">
        <f>$G1068/5280*VLOOKUP($AC1068,'Cost and Score'!$B$27:$O$40,7,0)</f>
        <v>1.1666666666666667</v>
      </c>
      <c r="BM1068" s="48">
        <f>$G1068/5280*VLOOKUP($AC1068,'Cost and Score'!$B$27:$O$40,8,0)</f>
        <v>0</v>
      </c>
      <c r="BN1068" s="48">
        <f>$G1068/5280*VLOOKUP($AC1068,'Cost and Score'!$B$27:$O$40,9,0)</f>
        <v>238.63636363636365</v>
      </c>
      <c r="BO1068" s="48">
        <f>$G1068/5280*VLOOKUP($AC1068,'Cost and Score'!$B$27:$O$40,10,0)</f>
        <v>53.030303030303031</v>
      </c>
      <c r="BP1068" s="48">
        <f>$G1068/5280*VLOOKUP($AC1068,'Cost and Score'!$B$27:$O$40,11,0)</f>
        <v>0</v>
      </c>
      <c r="BQ1068" s="48">
        <f>$G1068/5280*VLOOKUP($AC1068,'Cost and Score'!$B$27:$O$40,12,0)</f>
        <v>5.3030303030303028</v>
      </c>
      <c r="BR1068" s="48">
        <f>$G1068/5280*VLOOKUP($AC1068,'Cost and Score'!$B$27:$O$40,13,0)</f>
        <v>6.3636363636363642</v>
      </c>
      <c r="BS1068" s="48">
        <f>$G1068/5280*VLOOKUP($AC1068,'Cost and Score'!$B$27:$O$40,14,0)</f>
        <v>0</v>
      </c>
      <c r="BT1068" s="220">
        <f t="shared" si="543"/>
        <v>5.3030303030303032E-2</v>
      </c>
      <c r="CF1068" s="112"/>
    </row>
    <row r="1069" spans="1:103" s="2" customFormat="1" ht="14.45" hidden="1" customHeight="1" x14ac:dyDescent="0.25">
      <c r="A1069" s="31" t="s">
        <v>2102</v>
      </c>
      <c r="B1069" s="226" t="s">
        <v>1926</v>
      </c>
      <c r="C1069" s="106" t="s">
        <v>1926</v>
      </c>
      <c r="D1069" s="116" t="s">
        <v>2258</v>
      </c>
      <c r="E1069" s="106" t="s">
        <v>1927</v>
      </c>
      <c r="F1069" s="106" t="s">
        <v>1473</v>
      </c>
      <c r="G1069" s="109">
        <v>528</v>
      </c>
      <c r="H1069" s="109">
        <f t="shared" si="569"/>
        <v>26</v>
      </c>
      <c r="I1069" s="106" t="s">
        <v>2098</v>
      </c>
      <c r="J1069" s="106" t="s">
        <v>6</v>
      </c>
      <c r="K1069" s="106">
        <v>0</v>
      </c>
      <c r="L1069" s="110">
        <v>6</v>
      </c>
      <c r="M1069" s="110">
        <v>6</v>
      </c>
      <c r="N1069" s="110">
        <v>6</v>
      </c>
      <c r="O1069" s="110">
        <v>6</v>
      </c>
      <c r="P1069" s="110">
        <v>8</v>
      </c>
      <c r="Q1069" s="110">
        <v>7</v>
      </c>
      <c r="R1069" s="110">
        <v>6</v>
      </c>
      <c r="S1069" s="110">
        <v>6</v>
      </c>
      <c r="T1069" s="110">
        <v>6</v>
      </c>
      <c r="U1069" s="110">
        <v>6</v>
      </c>
      <c r="V1069" s="110"/>
      <c r="W1069" s="110"/>
      <c r="X1069" s="110"/>
      <c r="Y1069" s="106">
        <v>77</v>
      </c>
      <c r="Z1069" s="106">
        <f t="shared" si="570"/>
        <v>0</v>
      </c>
      <c r="AA1069" s="106" t="s">
        <v>1926</v>
      </c>
      <c r="AB1069" s="111">
        <f t="shared" si="540"/>
        <v>2</v>
      </c>
      <c r="AC1069" s="85" t="s">
        <v>2425</v>
      </c>
      <c r="AD1069" s="107">
        <f t="shared" si="562"/>
        <v>2500</v>
      </c>
      <c r="AE1069" s="198"/>
      <c r="AF1069" s="113">
        <f t="shared" si="547"/>
        <v>0</v>
      </c>
      <c r="AG1069" s="85">
        <v>2026</v>
      </c>
      <c r="AH1069" s="26" t="str">
        <f t="shared" si="557"/>
        <v/>
      </c>
      <c r="AI1069" s="26" t="str">
        <f t="shared" si="563"/>
        <v/>
      </c>
      <c r="AJ1069" s="26" t="str">
        <f t="shared" si="571"/>
        <v/>
      </c>
      <c r="AK1069" s="26" t="str">
        <f t="shared" si="574"/>
        <v/>
      </c>
      <c r="AL1069" s="26" t="str">
        <f t="shared" si="574"/>
        <v>Liquid Road</v>
      </c>
      <c r="AM1069" s="26" t="str">
        <f t="shared" si="574"/>
        <v/>
      </c>
      <c r="AN1069" s="26" t="str">
        <f t="shared" si="560"/>
        <v>Liquid Road</v>
      </c>
      <c r="AO1069" s="26" t="str">
        <f t="shared" si="572"/>
        <v/>
      </c>
      <c r="AP1069" s="26" t="str">
        <f t="shared" si="568"/>
        <v/>
      </c>
      <c r="AQ1069" s="68">
        <f t="shared" si="565"/>
        <v>8</v>
      </c>
      <c r="AR1069" s="68">
        <f t="shared" si="566"/>
        <v>10</v>
      </c>
      <c r="AS1069" s="68">
        <f t="shared" si="550"/>
        <v>1.1000000000000001</v>
      </c>
      <c r="AT1069" s="68">
        <f t="shared" si="551"/>
        <v>1.1000000000000001</v>
      </c>
      <c r="AU1069" s="68">
        <f t="shared" si="552"/>
        <v>1.1000000000000001</v>
      </c>
      <c r="AV1069" s="68">
        <f t="shared" si="553"/>
        <v>1.1000000000000001</v>
      </c>
      <c r="AW1069" s="68">
        <f t="shared" si="554"/>
        <v>1</v>
      </c>
      <c r="AX1069" s="68">
        <f t="shared" ca="1" si="567"/>
        <v>2.2000000000000002</v>
      </c>
      <c r="AY1069" s="106">
        <v>2017</v>
      </c>
      <c r="AZ1069" s="68" t="s">
        <v>2371</v>
      </c>
      <c r="BA1069" s="106" t="str">
        <f t="shared" si="573"/>
        <v/>
      </c>
      <c r="BB1069" s="178"/>
      <c r="BC1069" s="178"/>
      <c r="BD1069" s="178"/>
      <c r="BE1069" s="178"/>
      <c r="BF1069" s="178">
        <v>3</v>
      </c>
      <c r="BG1069" s="178"/>
      <c r="BH1069" s="178"/>
      <c r="BI1069" s="33"/>
      <c r="BK1069" s="48">
        <f>$G1069/5280*VLOOKUP($AC1069,'Cost and Score'!$B$27:$O$40,6,0)</f>
        <v>0.1</v>
      </c>
      <c r="BL1069" s="48">
        <f>$G1069/5280*VLOOKUP($AC1069,'Cost and Score'!$B$27:$O$40,7,0)</f>
        <v>1.6</v>
      </c>
      <c r="BM1069" s="48">
        <f>$G1069/5280*VLOOKUP($AC1069,'Cost and Score'!$B$27:$O$40,8,0)</f>
        <v>0</v>
      </c>
      <c r="BN1069" s="48">
        <f>$G1069/5280*VLOOKUP($AC1069,'Cost and Score'!$B$27:$O$40,9,0)</f>
        <v>0</v>
      </c>
      <c r="BO1069" s="48">
        <f>$G1069/5280*VLOOKUP($AC1069,'Cost and Score'!$B$27:$O$40,10,0)</f>
        <v>0</v>
      </c>
      <c r="BP1069" s="48">
        <f>$G1069/5280*VLOOKUP($AC1069,'Cost and Score'!$B$27:$O$40,11,0)</f>
        <v>0</v>
      </c>
      <c r="BQ1069" s="48">
        <f>$G1069/5280*VLOOKUP($AC1069,'Cost and Score'!$B$27:$O$40,12,0)</f>
        <v>0</v>
      </c>
      <c r="BR1069" s="48">
        <f>$G1069/5280*VLOOKUP($AC1069,'Cost and Score'!$B$27:$O$40,13,0)</f>
        <v>0</v>
      </c>
      <c r="BS1069" s="48">
        <f>$G1069/5280*VLOOKUP($AC1069,'Cost and Score'!$B$27:$O$40,14,0)</f>
        <v>0</v>
      </c>
      <c r="BT1069" s="220">
        <f t="shared" si="543"/>
        <v>0.1</v>
      </c>
      <c r="CS1069" s="112"/>
      <c r="CT1069" s="112"/>
      <c r="CU1069" s="112"/>
    </row>
    <row r="1070" spans="1:103" s="112" customFormat="1" ht="14.45" hidden="1" customHeight="1" x14ac:dyDescent="0.25">
      <c r="A1070" s="31" t="s">
        <v>2102</v>
      </c>
      <c r="B1070" s="224" t="s">
        <v>1928</v>
      </c>
      <c r="C1070" s="26" t="s">
        <v>1928</v>
      </c>
      <c r="D1070" s="119" t="s">
        <v>2280</v>
      </c>
      <c r="E1070" s="82" t="s">
        <v>1929</v>
      </c>
      <c r="F1070" s="82" t="s">
        <v>1930</v>
      </c>
      <c r="G1070" s="29">
        <v>898</v>
      </c>
      <c r="H1070" s="29">
        <f t="shared" si="569"/>
        <v>26</v>
      </c>
      <c r="I1070" s="26" t="s">
        <v>2098</v>
      </c>
      <c r="J1070" s="26" t="s">
        <v>125</v>
      </c>
      <c r="K1070" s="26">
        <f t="shared" ref="K1070:K1075" si="575">VLOOKUP(J1070,TOWNSHIPS,2,FALSE)</f>
        <v>0</v>
      </c>
      <c r="L1070" s="42">
        <v>7</v>
      </c>
      <c r="M1070" s="42">
        <v>8</v>
      </c>
      <c r="N1070" s="42">
        <v>8</v>
      </c>
      <c r="O1070" s="83">
        <v>8</v>
      </c>
      <c r="P1070" s="83">
        <v>8</v>
      </c>
      <c r="Q1070" s="83">
        <v>7</v>
      </c>
      <c r="R1070" s="83">
        <v>6</v>
      </c>
      <c r="S1070" s="83">
        <v>6</v>
      </c>
      <c r="T1070" s="83">
        <v>7</v>
      </c>
      <c r="U1070" s="83">
        <v>7</v>
      </c>
      <c r="V1070" s="42"/>
      <c r="W1070" s="42"/>
      <c r="X1070" s="42"/>
      <c r="Y1070" s="26">
        <v>50</v>
      </c>
      <c r="Z1070" s="26">
        <f t="shared" si="570"/>
        <v>0</v>
      </c>
      <c r="AA1070" s="82" t="s">
        <v>1928</v>
      </c>
      <c r="AB1070" s="111">
        <f t="shared" si="540"/>
        <v>2</v>
      </c>
      <c r="AC1070" s="85" t="s">
        <v>2072</v>
      </c>
      <c r="AD1070" s="84">
        <f t="shared" si="562"/>
        <v>7823.484848484848</v>
      </c>
      <c r="AE1070" s="140"/>
      <c r="AF1070" s="113">
        <f t="shared" si="547"/>
        <v>0</v>
      </c>
      <c r="AG1070" s="85">
        <v>2026</v>
      </c>
      <c r="AH1070" s="26" t="str">
        <f t="shared" si="557"/>
        <v/>
      </c>
      <c r="AI1070" s="26" t="str">
        <f t="shared" si="563"/>
        <v/>
      </c>
      <c r="AJ1070" s="26" t="str">
        <f t="shared" si="571"/>
        <v/>
      </c>
      <c r="AK1070" s="26" t="str">
        <f t="shared" si="574"/>
        <v/>
      </c>
      <c r="AL1070" s="26" t="str">
        <f t="shared" si="574"/>
        <v>Chip Seal - Triple</v>
      </c>
      <c r="AM1070" s="26" t="str">
        <f t="shared" si="574"/>
        <v/>
      </c>
      <c r="AN1070" s="26" t="str">
        <f t="shared" si="560"/>
        <v>Chip Seal - Triple</v>
      </c>
      <c r="AO1070" s="26" t="str">
        <f t="shared" si="572"/>
        <v/>
      </c>
      <c r="AP1070" s="26" t="str">
        <f t="shared" si="568"/>
        <v/>
      </c>
      <c r="AQ1070" s="68">
        <f t="shared" si="565"/>
        <v>12</v>
      </c>
      <c r="AR1070" s="68">
        <f t="shared" si="566"/>
        <v>8</v>
      </c>
      <c r="AS1070" s="68">
        <f t="shared" si="550"/>
        <v>1.05</v>
      </c>
      <c r="AT1070" s="68">
        <f t="shared" si="551"/>
        <v>1</v>
      </c>
      <c r="AU1070" s="68">
        <f t="shared" si="552"/>
        <v>1</v>
      </c>
      <c r="AV1070" s="68">
        <f t="shared" si="553"/>
        <v>1</v>
      </c>
      <c r="AW1070" s="68">
        <f t="shared" si="554"/>
        <v>1</v>
      </c>
      <c r="AX1070" s="68">
        <f t="shared" ca="1" si="567"/>
        <v>2</v>
      </c>
      <c r="AY1070" s="68">
        <v>2020</v>
      </c>
      <c r="AZ1070" s="68" t="s">
        <v>2075</v>
      </c>
      <c r="BA1070" s="106" t="str">
        <f t="shared" si="573"/>
        <v/>
      </c>
      <c r="BB1070" s="178"/>
      <c r="BC1070" s="178"/>
      <c r="BD1070" s="178"/>
      <c r="BE1070" s="178"/>
      <c r="BF1070" s="178"/>
      <c r="BG1070" s="178"/>
      <c r="BH1070" s="178"/>
      <c r="BI1070" s="33"/>
      <c r="BJ1070" s="2"/>
      <c r="BK1070" s="48">
        <f>$G1070/5280*VLOOKUP($AC1070,'Cost and Score'!$B$27:$O$40,6,0)</f>
        <v>0.10204545454545454</v>
      </c>
      <c r="BL1070" s="48">
        <f>$G1070/5280*VLOOKUP($AC1070,'Cost and Score'!$B$27:$O$40,7,0)</f>
        <v>21.259469696969695</v>
      </c>
      <c r="BM1070" s="48">
        <f>$G1070/5280*VLOOKUP($AC1070,'Cost and Score'!$B$27:$O$40,8,0)</f>
        <v>34.015151515151516</v>
      </c>
      <c r="BN1070" s="48">
        <f>$G1070/5280*VLOOKUP($AC1070,'Cost and Score'!$B$27:$O$40,9,0)</f>
        <v>340.15151515151513</v>
      </c>
      <c r="BO1070" s="48">
        <f>$G1070/5280*VLOOKUP($AC1070,'Cost and Score'!$B$27:$O$40,10,0)</f>
        <v>85.037878787878782</v>
      </c>
      <c r="BP1070" s="48">
        <f>$G1070/5280*VLOOKUP($AC1070,'Cost and Score'!$B$27:$O$40,11,0)</f>
        <v>17.007575757575758</v>
      </c>
      <c r="BQ1070" s="48">
        <f>$G1070/5280*VLOOKUP($AC1070,'Cost and Score'!$B$27:$O$40,12,0)</f>
        <v>136.06060606060606</v>
      </c>
      <c r="BR1070" s="48">
        <f>$G1070/5280*VLOOKUP($AC1070,'Cost and Score'!$B$27:$O$40,13,0)</f>
        <v>13.606060606060606</v>
      </c>
      <c r="BS1070" s="48">
        <f>$G1070/5280*VLOOKUP($AC1070,'Cost and Score'!$B$27:$O$40,14,0)</f>
        <v>0</v>
      </c>
      <c r="BT1070" s="220">
        <f t="shared" si="543"/>
        <v>0.17007575757575757</v>
      </c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N1070" s="2"/>
      <c r="CO1070" s="2"/>
      <c r="CP1070" s="2"/>
      <c r="CQ1070" s="2"/>
      <c r="CS1070" s="2"/>
      <c r="CT1070" s="2"/>
      <c r="CU1070" s="2"/>
      <c r="CV1070" s="2"/>
      <c r="CW1070" s="2"/>
      <c r="CX1070" s="2"/>
      <c r="CY1070" s="2"/>
    </row>
    <row r="1071" spans="1:103" s="2" customFormat="1" ht="14.45" hidden="1" customHeight="1" x14ac:dyDescent="0.25">
      <c r="A1071" s="31" t="s">
        <v>2102</v>
      </c>
      <c r="B1071" s="45" t="s">
        <v>1931</v>
      </c>
      <c r="C1071" s="26" t="s">
        <v>1931</v>
      </c>
      <c r="D1071" s="119" t="s">
        <v>2281</v>
      </c>
      <c r="E1071" s="82" t="s">
        <v>1502</v>
      </c>
      <c r="F1071" s="82" t="s">
        <v>1583</v>
      </c>
      <c r="G1071" s="29">
        <v>950</v>
      </c>
      <c r="H1071" s="29">
        <f t="shared" si="569"/>
        <v>26</v>
      </c>
      <c r="I1071" s="26" t="s">
        <v>2098</v>
      </c>
      <c r="J1071" s="26" t="s">
        <v>160</v>
      </c>
      <c r="K1071" s="26">
        <f t="shared" si="575"/>
        <v>0</v>
      </c>
      <c r="L1071" s="42">
        <v>6</v>
      </c>
      <c r="M1071" s="42">
        <v>6</v>
      </c>
      <c r="N1071" s="42">
        <v>5</v>
      </c>
      <c r="O1071" s="83">
        <v>5</v>
      </c>
      <c r="P1071" s="83">
        <v>5</v>
      </c>
      <c r="Q1071" s="83">
        <v>9</v>
      </c>
      <c r="R1071" s="83">
        <v>8</v>
      </c>
      <c r="S1071" s="83">
        <v>8</v>
      </c>
      <c r="T1071" s="83">
        <v>8</v>
      </c>
      <c r="U1071" s="83">
        <v>7</v>
      </c>
      <c r="V1071" s="42"/>
      <c r="W1071" s="42"/>
      <c r="X1071" s="42"/>
      <c r="Y1071" s="26">
        <v>112</v>
      </c>
      <c r="Z1071" s="26">
        <f t="shared" si="570"/>
        <v>0</v>
      </c>
      <c r="AA1071" s="82" t="s">
        <v>1931</v>
      </c>
      <c r="AB1071" s="111">
        <f t="shared" si="540"/>
        <v>5</v>
      </c>
      <c r="AC1071" s="85" t="s">
        <v>13</v>
      </c>
      <c r="AD1071" s="84">
        <f t="shared" si="562"/>
        <v>3778.409090909091</v>
      </c>
      <c r="AE1071" s="140"/>
      <c r="AF1071" s="113">
        <f t="shared" si="547"/>
        <v>0</v>
      </c>
      <c r="AG1071" s="26">
        <v>2024</v>
      </c>
      <c r="AH1071" s="26" t="str">
        <f t="shared" si="557"/>
        <v/>
      </c>
      <c r="AI1071" s="26" t="str">
        <f t="shared" si="563"/>
        <v/>
      </c>
      <c r="AJ1071" s="26" t="str">
        <f t="shared" si="571"/>
        <v>Chip Seal and Fog</v>
      </c>
      <c r="AK1071" s="26" t="str">
        <f t="shared" si="574"/>
        <v/>
      </c>
      <c r="AL1071" s="26" t="str">
        <f t="shared" si="574"/>
        <v/>
      </c>
      <c r="AM1071" s="26" t="str">
        <f t="shared" si="574"/>
        <v/>
      </c>
      <c r="AN1071" s="26" t="str">
        <f t="shared" si="560"/>
        <v>Chip Seal and Fog</v>
      </c>
      <c r="AO1071" s="26" t="str">
        <f t="shared" si="572"/>
        <v/>
      </c>
      <c r="AP1071" s="26" t="str">
        <f t="shared" si="568"/>
        <v/>
      </c>
      <c r="AQ1071" s="68">
        <f t="shared" si="565"/>
        <v>6</v>
      </c>
      <c r="AR1071" s="68">
        <f t="shared" si="566"/>
        <v>6</v>
      </c>
      <c r="AS1071" s="68">
        <f t="shared" si="550"/>
        <v>1.1000000000000001</v>
      </c>
      <c r="AT1071" s="68">
        <f t="shared" si="551"/>
        <v>1.1000000000000001</v>
      </c>
      <c r="AU1071" s="68">
        <f t="shared" si="552"/>
        <v>1.25</v>
      </c>
      <c r="AV1071" s="68">
        <f t="shared" si="553"/>
        <v>1.25</v>
      </c>
      <c r="AW1071" s="68">
        <f t="shared" si="554"/>
        <v>1.25</v>
      </c>
      <c r="AX1071" s="68">
        <f t="shared" ca="1" si="567"/>
        <v>0</v>
      </c>
      <c r="AY1071" s="68">
        <v>2018</v>
      </c>
      <c r="AZ1071" s="68" t="s">
        <v>751</v>
      </c>
      <c r="BA1071" s="106" t="str">
        <f t="shared" si="573"/>
        <v>P</v>
      </c>
      <c r="BB1071" s="178"/>
      <c r="BC1071" s="178"/>
      <c r="BD1071" s="178"/>
      <c r="BE1071" s="178"/>
      <c r="BF1071" s="178"/>
      <c r="BG1071" s="178"/>
      <c r="BH1071" s="178"/>
      <c r="BI1071" s="33" t="s">
        <v>2475</v>
      </c>
      <c r="BK1071" s="48">
        <f>$G1071/5280*VLOOKUP($AC1071,'Cost and Score'!$B$27:$O$40,6,0)</f>
        <v>3.5984848484848488E-2</v>
      </c>
      <c r="BL1071" s="48">
        <f>$G1071/5280*VLOOKUP($AC1071,'Cost and Score'!$B$27:$O$40,7,0)</f>
        <v>3.9583333333333335</v>
      </c>
      <c r="BM1071" s="48">
        <f>$G1071/5280*VLOOKUP($AC1071,'Cost and Score'!$B$27:$O$40,8,0)</f>
        <v>0</v>
      </c>
      <c r="BN1071" s="48">
        <f>$G1071/5280*VLOOKUP($AC1071,'Cost and Score'!$B$27:$O$40,9,0)</f>
        <v>809.65909090909099</v>
      </c>
      <c r="BO1071" s="48">
        <f>$G1071/5280*VLOOKUP($AC1071,'Cost and Score'!$B$27:$O$40,10,0)</f>
        <v>179.92424242424244</v>
      </c>
      <c r="BP1071" s="48">
        <f>$G1071/5280*VLOOKUP($AC1071,'Cost and Score'!$B$27:$O$40,11,0)</f>
        <v>0</v>
      </c>
      <c r="BQ1071" s="48">
        <f>$G1071/5280*VLOOKUP($AC1071,'Cost and Score'!$B$27:$O$40,12,0)</f>
        <v>17.992424242424242</v>
      </c>
      <c r="BR1071" s="48">
        <f>$G1071/5280*VLOOKUP($AC1071,'Cost and Score'!$B$27:$O$40,13,0)</f>
        <v>21.590909090909093</v>
      </c>
      <c r="BS1071" s="48">
        <f>$G1071/5280*VLOOKUP($AC1071,'Cost and Score'!$B$27:$O$40,14,0)</f>
        <v>0</v>
      </c>
      <c r="BT1071" s="220">
        <f t="shared" si="543"/>
        <v>0.17992424242424243</v>
      </c>
      <c r="CF1071" s="112"/>
      <c r="CN1071" s="112"/>
      <c r="CO1071" s="112"/>
      <c r="CP1071" s="112"/>
      <c r="CQ1071" s="112"/>
      <c r="CV1071" s="112"/>
    </row>
    <row r="1072" spans="1:103" s="2" customFormat="1" ht="14.45" hidden="1" customHeight="1" x14ac:dyDescent="0.25">
      <c r="A1072" s="31" t="s">
        <v>2102</v>
      </c>
      <c r="B1072" s="226" t="s">
        <v>1932</v>
      </c>
      <c r="C1072" s="106" t="s">
        <v>1932</v>
      </c>
      <c r="D1072" s="116" t="s">
        <v>2286</v>
      </c>
      <c r="E1072" s="106" t="s">
        <v>1933</v>
      </c>
      <c r="F1072" s="106" t="s">
        <v>1934</v>
      </c>
      <c r="G1072" s="109">
        <v>1320</v>
      </c>
      <c r="H1072" s="109">
        <f t="shared" si="569"/>
        <v>26</v>
      </c>
      <c r="I1072" s="106" t="s">
        <v>2098</v>
      </c>
      <c r="J1072" s="106" t="s">
        <v>125</v>
      </c>
      <c r="K1072" s="106">
        <f t="shared" si="575"/>
        <v>0</v>
      </c>
      <c r="L1072" s="110">
        <v>7</v>
      </c>
      <c r="M1072" s="110">
        <v>7</v>
      </c>
      <c r="N1072" s="110">
        <v>7</v>
      </c>
      <c r="O1072" s="110">
        <v>6</v>
      </c>
      <c r="P1072" s="110">
        <v>6</v>
      </c>
      <c r="Q1072" s="110">
        <v>6</v>
      </c>
      <c r="R1072" s="110">
        <v>6</v>
      </c>
      <c r="S1072" s="110">
        <v>7</v>
      </c>
      <c r="T1072" s="110">
        <v>6</v>
      </c>
      <c r="U1072" s="110">
        <v>6</v>
      </c>
      <c r="V1072" s="110"/>
      <c r="W1072" s="110"/>
      <c r="X1072" s="110"/>
      <c r="Y1072" s="106">
        <v>50</v>
      </c>
      <c r="Z1072" s="106">
        <f t="shared" si="570"/>
        <v>0</v>
      </c>
      <c r="AA1072" s="106" t="s">
        <v>1932</v>
      </c>
      <c r="AB1072" s="111">
        <f t="shared" si="540"/>
        <v>4</v>
      </c>
      <c r="AC1072" s="85" t="s">
        <v>2425</v>
      </c>
      <c r="AD1072" s="107">
        <f t="shared" si="562"/>
        <v>6250</v>
      </c>
      <c r="AE1072" s="140"/>
      <c r="AF1072" s="113">
        <f t="shared" si="547"/>
        <v>0</v>
      </c>
      <c r="AG1072" s="85">
        <v>2026</v>
      </c>
      <c r="AH1072" s="26" t="str">
        <f t="shared" si="557"/>
        <v/>
      </c>
      <c r="AI1072" s="26" t="str">
        <f t="shared" si="563"/>
        <v/>
      </c>
      <c r="AJ1072" s="26" t="str">
        <f t="shared" si="571"/>
        <v/>
      </c>
      <c r="AK1072" s="26" t="str">
        <f t="shared" si="574"/>
        <v/>
      </c>
      <c r="AL1072" s="26" t="str">
        <f t="shared" si="574"/>
        <v>Liquid Road</v>
      </c>
      <c r="AM1072" s="26" t="str">
        <f t="shared" si="574"/>
        <v/>
      </c>
      <c r="AN1072" s="26" t="str">
        <f t="shared" si="560"/>
        <v>Liquid Road</v>
      </c>
      <c r="AO1072" s="26" t="str">
        <f t="shared" si="572"/>
        <v/>
      </c>
      <c r="AP1072" s="26" t="str">
        <f t="shared" si="568"/>
        <v/>
      </c>
      <c r="AQ1072" s="68">
        <f t="shared" si="565"/>
        <v>8</v>
      </c>
      <c r="AR1072" s="68">
        <f t="shared" si="566"/>
        <v>10</v>
      </c>
      <c r="AS1072" s="68">
        <f t="shared" si="550"/>
        <v>1.05</v>
      </c>
      <c r="AT1072" s="68">
        <f t="shared" si="551"/>
        <v>1.05</v>
      </c>
      <c r="AU1072" s="68">
        <f t="shared" si="552"/>
        <v>1.05</v>
      </c>
      <c r="AV1072" s="68">
        <f t="shared" si="553"/>
        <v>1.1000000000000001</v>
      </c>
      <c r="AW1072" s="68">
        <f t="shared" si="554"/>
        <v>1.1000000000000001</v>
      </c>
      <c r="AX1072" s="68">
        <f t="shared" ca="1" si="567"/>
        <v>2.1</v>
      </c>
      <c r="AY1072" s="106">
        <v>2018</v>
      </c>
      <c r="AZ1072" s="106" t="s">
        <v>2075</v>
      </c>
      <c r="BA1072" s="106" t="str">
        <f t="shared" si="573"/>
        <v>CRACK</v>
      </c>
      <c r="BB1072" s="177"/>
      <c r="BC1072" s="177"/>
      <c r="BD1072" s="177"/>
      <c r="BE1072" s="177"/>
      <c r="BF1072" s="177"/>
      <c r="BG1072" s="177">
        <v>4</v>
      </c>
      <c r="BH1072" s="177"/>
      <c r="BI1072" s="33"/>
      <c r="BK1072" s="48">
        <f>$G1072/5280*VLOOKUP($AC1072,'Cost and Score'!$B$27:$O$40,6,0)</f>
        <v>0.25</v>
      </c>
      <c r="BL1072" s="48">
        <f>$G1072/5280*VLOOKUP($AC1072,'Cost and Score'!$B$27:$O$40,7,0)</f>
        <v>4</v>
      </c>
      <c r="BM1072" s="48">
        <f>$G1072/5280*VLOOKUP($AC1072,'Cost and Score'!$B$27:$O$40,8,0)</f>
        <v>0</v>
      </c>
      <c r="BN1072" s="48">
        <f>$G1072/5280*VLOOKUP($AC1072,'Cost and Score'!$B$27:$O$40,9,0)</f>
        <v>0</v>
      </c>
      <c r="BO1072" s="48">
        <f>$G1072/5280*VLOOKUP($AC1072,'Cost and Score'!$B$27:$O$40,10,0)</f>
        <v>0</v>
      </c>
      <c r="BP1072" s="48">
        <f>$G1072/5280*VLOOKUP($AC1072,'Cost and Score'!$B$27:$O$40,11,0)</f>
        <v>0</v>
      </c>
      <c r="BQ1072" s="48">
        <f>$G1072/5280*VLOOKUP($AC1072,'Cost and Score'!$B$27:$O$40,12,0)</f>
        <v>0</v>
      </c>
      <c r="BR1072" s="48">
        <f>$G1072/5280*VLOOKUP($AC1072,'Cost and Score'!$B$27:$O$40,13,0)</f>
        <v>0</v>
      </c>
      <c r="BS1072" s="48">
        <f>$G1072/5280*VLOOKUP($AC1072,'Cost and Score'!$B$27:$O$40,14,0)</f>
        <v>0</v>
      </c>
      <c r="BT1072" s="220">
        <f t="shared" si="543"/>
        <v>0.25</v>
      </c>
      <c r="CS1072" s="112"/>
      <c r="CT1072" s="112"/>
      <c r="CU1072" s="112"/>
      <c r="CW1072" s="112"/>
      <c r="CX1072" s="112"/>
      <c r="CY1072" s="112"/>
    </row>
    <row r="1073" spans="1:103" s="112" customFormat="1" ht="14.45" hidden="1" customHeight="1" x14ac:dyDescent="0.25">
      <c r="A1073" s="31" t="s">
        <v>2102</v>
      </c>
      <c r="B1073" s="224" t="s">
        <v>1935</v>
      </c>
      <c r="C1073" s="85" t="s">
        <v>1935</v>
      </c>
      <c r="D1073" s="86" t="s">
        <v>2282</v>
      </c>
      <c r="E1073" s="85" t="s">
        <v>1936</v>
      </c>
      <c r="F1073" s="85" t="s">
        <v>1592</v>
      </c>
      <c r="G1073" s="29">
        <v>1162</v>
      </c>
      <c r="H1073" s="29">
        <f t="shared" si="569"/>
        <v>26</v>
      </c>
      <c r="I1073" s="124" t="s">
        <v>2098</v>
      </c>
      <c r="J1073" s="85" t="s">
        <v>6</v>
      </c>
      <c r="K1073" s="85">
        <f t="shared" si="575"/>
        <v>0</v>
      </c>
      <c r="L1073" s="74">
        <v>7</v>
      </c>
      <c r="M1073" s="74">
        <v>7</v>
      </c>
      <c r="N1073" s="74">
        <v>7</v>
      </c>
      <c r="O1073" s="74">
        <v>7</v>
      </c>
      <c r="P1073" s="74">
        <v>6</v>
      </c>
      <c r="Q1073" s="74">
        <v>6</v>
      </c>
      <c r="R1073" s="74">
        <v>5</v>
      </c>
      <c r="S1073" s="74">
        <v>5</v>
      </c>
      <c r="T1073" s="74">
        <v>7</v>
      </c>
      <c r="U1073" s="74">
        <v>7</v>
      </c>
      <c r="V1073" s="74"/>
      <c r="W1073" s="74"/>
      <c r="X1073" s="74"/>
      <c r="Y1073" s="85">
        <v>162</v>
      </c>
      <c r="Z1073" s="85">
        <f t="shared" si="570"/>
        <v>0</v>
      </c>
      <c r="AA1073" s="85" t="s">
        <v>1935</v>
      </c>
      <c r="AB1073" s="111">
        <f t="shared" si="540"/>
        <v>4</v>
      </c>
      <c r="AC1073" s="85" t="s">
        <v>2425</v>
      </c>
      <c r="AD1073" s="47">
        <f t="shared" si="562"/>
        <v>5501.893939393939</v>
      </c>
      <c r="AE1073" s="140"/>
      <c r="AF1073" s="113">
        <f t="shared" si="547"/>
        <v>0</v>
      </c>
      <c r="AG1073" s="26">
        <v>2027</v>
      </c>
      <c r="AH1073" s="26" t="str">
        <f t="shared" si="557"/>
        <v/>
      </c>
      <c r="AI1073" s="26" t="str">
        <f t="shared" si="563"/>
        <v/>
      </c>
      <c r="AJ1073" s="26" t="str">
        <f t="shared" si="571"/>
        <v/>
      </c>
      <c r="AK1073" s="26" t="str">
        <f t="shared" si="574"/>
        <v/>
      </c>
      <c r="AL1073" s="26" t="str">
        <f t="shared" si="574"/>
        <v/>
      </c>
      <c r="AM1073" s="26" t="str">
        <f t="shared" si="574"/>
        <v>Liquid Road</v>
      </c>
      <c r="AN1073" s="26" t="str">
        <f t="shared" si="560"/>
        <v>Liquid Road</v>
      </c>
      <c r="AO1073" s="26" t="str">
        <f t="shared" si="572"/>
        <v>Microsurface double</v>
      </c>
      <c r="AP1073" s="26" t="str">
        <f t="shared" si="568"/>
        <v/>
      </c>
      <c r="AQ1073" s="68">
        <f t="shared" si="565"/>
        <v>10</v>
      </c>
      <c r="AR1073" s="68">
        <f t="shared" si="566"/>
        <v>10</v>
      </c>
      <c r="AS1073" s="68">
        <f t="shared" si="550"/>
        <v>1.05</v>
      </c>
      <c r="AT1073" s="68">
        <f t="shared" si="551"/>
        <v>1.05</v>
      </c>
      <c r="AU1073" s="68">
        <f t="shared" si="552"/>
        <v>1.05</v>
      </c>
      <c r="AV1073" s="68">
        <f t="shared" si="553"/>
        <v>1.05</v>
      </c>
      <c r="AW1073" s="68">
        <f t="shared" si="554"/>
        <v>1.1000000000000001</v>
      </c>
      <c r="AX1073" s="68">
        <f t="shared" ca="1" si="567"/>
        <v>3.1500000000000004</v>
      </c>
      <c r="AY1073" s="68">
        <v>2021</v>
      </c>
      <c r="AZ1073" s="106" t="s">
        <v>2371</v>
      </c>
      <c r="BA1073" s="106" t="str">
        <f t="shared" si="573"/>
        <v/>
      </c>
      <c r="BB1073" s="178"/>
      <c r="BC1073" s="178"/>
      <c r="BD1073" s="178"/>
      <c r="BE1073" s="178"/>
      <c r="BF1073" s="178"/>
      <c r="BG1073" s="178"/>
      <c r="BH1073" s="178"/>
      <c r="BI1073" s="33"/>
      <c r="BJ1073" s="2"/>
      <c r="BK1073" s="48">
        <f>$G1073/5280*VLOOKUP($AC1073,'Cost and Score'!$B$27:$O$40,6,0)</f>
        <v>0.22007575757575756</v>
      </c>
      <c r="BL1073" s="48">
        <f>$G1073/5280*VLOOKUP($AC1073,'Cost and Score'!$B$27:$O$40,7,0)</f>
        <v>3.521212121212121</v>
      </c>
      <c r="BM1073" s="48">
        <f>$G1073/5280*VLOOKUP($AC1073,'Cost and Score'!$B$27:$O$40,8,0)</f>
        <v>0</v>
      </c>
      <c r="BN1073" s="48">
        <f>$G1073/5280*VLOOKUP($AC1073,'Cost and Score'!$B$27:$O$40,9,0)</f>
        <v>0</v>
      </c>
      <c r="BO1073" s="48">
        <f>$G1073/5280*VLOOKUP($AC1073,'Cost and Score'!$B$27:$O$40,10,0)</f>
        <v>0</v>
      </c>
      <c r="BP1073" s="48">
        <f>$G1073/5280*VLOOKUP($AC1073,'Cost and Score'!$B$27:$O$40,11,0)</f>
        <v>0</v>
      </c>
      <c r="BQ1073" s="48">
        <f>$G1073/5280*VLOOKUP($AC1073,'Cost and Score'!$B$27:$O$40,12,0)</f>
        <v>0</v>
      </c>
      <c r="BR1073" s="48">
        <f>$G1073/5280*VLOOKUP($AC1073,'Cost and Score'!$B$27:$O$40,13,0)</f>
        <v>0</v>
      </c>
      <c r="BS1073" s="48">
        <f>$G1073/5280*VLOOKUP($AC1073,'Cost and Score'!$B$27:$O$40,14,0)</f>
        <v>0</v>
      </c>
      <c r="BT1073" s="220">
        <f t="shared" si="543"/>
        <v>0.22007575757575756</v>
      </c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</row>
    <row r="1074" spans="1:103" s="2" customFormat="1" ht="14.45" hidden="1" customHeight="1" x14ac:dyDescent="0.25">
      <c r="A1074" s="31" t="s">
        <v>2102</v>
      </c>
      <c r="B1074" s="224" t="s">
        <v>1937</v>
      </c>
      <c r="C1074" s="85" t="s">
        <v>1937</v>
      </c>
      <c r="D1074" s="86" t="s">
        <v>2282</v>
      </c>
      <c r="E1074" s="85" t="s">
        <v>1936</v>
      </c>
      <c r="F1074" s="85" t="s">
        <v>1592</v>
      </c>
      <c r="G1074" s="29">
        <v>422</v>
      </c>
      <c r="H1074" s="29">
        <f t="shared" si="569"/>
        <v>26</v>
      </c>
      <c r="I1074" s="124" t="s">
        <v>2098</v>
      </c>
      <c r="J1074" s="85" t="s">
        <v>6</v>
      </c>
      <c r="K1074" s="85">
        <f t="shared" si="575"/>
        <v>0</v>
      </c>
      <c r="L1074" s="74">
        <v>7</v>
      </c>
      <c r="M1074" s="74">
        <v>7</v>
      </c>
      <c r="N1074" s="74">
        <v>7</v>
      </c>
      <c r="O1074" s="74">
        <v>7</v>
      </c>
      <c r="P1074" s="74">
        <v>6</v>
      </c>
      <c r="Q1074" s="74">
        <v>6</v>
      </c>
      <c r="R1074" s="74">
        <v>5</v>
      </c>
      <c r="S1074" s="74">
        <v>5</v>
      </c>
      <c r="T1074" s="74">
        <v>7</v>
      </c>
      <c r="U1074" s="74">
        <v>7</v>
      </c>
      <c r="V1074" s="74"/>
      <c r="W1074" s="74"/>
      <c r="X1074" s="74"/>
      <c r="Y1074" s="85">
        <v>162</v>
      </c>
      <c r="Z1074" s="85">
        <f t="shared" si="570"/>
        <v>0</v>
      </c>
      <c r="AA1074" s="85" t="s">
        <v>1937</v>
      </c>
      <c r="AB1074" s="111">
        <f t="shared" si="540"/>
        <v>4</v>
      </c>
      <c r="AC1074" s="85" t="s">
        <v>2425</v>
      </c>
      <c r="AD1074" s="47">
        <f t="shared" si="562"/>
        <v>1998.1060606060605</v>
      </c>
      <c r="AE1074" s="140"/>
      <c r="AF1074" s="113">
        <f t="shared" si="547"/>
        <v>0</v>
      </c>
      <c r="AG1074" s="26">
        <v>2027</v>
      </c>
      <c r="AH1074" s="26" t="str">
        <f t="shared" si="557"/>
        <v/>
      </c>
      <c r="AI1074" s="26" t="str">
        <f t="shared" si="563"/>
        <v/>
      </c>
      <c r="AJ1074" s="26" t="str">
        <f t="shared" si="571"/>
        <v/>
      </c>
      <c r="AK1074" s="26" t="str">
        <f t="shared" si="574"/>
        <v/>
      </c>
      <c r="AL1074" s="26" t="str">
        <f t="shared" si="574"/>
        <v/>
      </c>
      <c r="AM1074" s="26" t="str">
        <f t="shared" si="574"/>
        <v>Liquid Road</v>
      </c>
      <c r="AN1074" s="26" t="str">
        <f t="shared" si="560"/>
        <v>Liquid Road</v>
      </c>
      <c r="AO1074" s="26" t="str">
        <f t="shared" si="572"/>
        <v>Microsurface double</v>
      </c>
      <c r="AP1074" s="26" t="str">
        <f t="shared" si="568"/>
        <v/>
      </c>
      <c r="AQ1074" s="68">
        <f t="shared" si="565"/>
        <v>10</v>
      </c>
      <c r="AR1074" s="68">
        <f t="shared" si="566"/>
        <v>10</v>
      </c>
      <c r="AS1074" s="68">
        <f t="shared" si="550"/>
        <v>1.05</v>
      </c>
      <c r="AT1074" s="68">
        <f t="shared" si="551"/>
        <v>1.05</v>
      </c>
      <c r="AU1074" s="68">
        <f t="shared" si="552"/>
        <v>1.05</v>
      </c>
      <c r="AV1074" s="68">
        <f t="shared" si="553"/>
        <v>1.05</v>
      </c>
      <c r="AW1074" s="68">
        <f t="shared" si="554"/>
        <v>1.1000000000000001</v>
      </c>
      <c r="AX1074" s="68">
        <f t="shared" ca="1" si="567"/>
        <v>3.1500000000000004</v>
      </c>
      <c r="AY1074" s="68">
        <v>2021</v>
      </c>
      <c r="AZ1074" s="106" t="s">
        <v>2371</v>
      </c>
      <c r="BA1074" s="106" t="str">
        <f t="shared" si="573"/>
        <v/>
      </c>
      <c r="BB1074" s="178"/>
      <c r="BC1074" s="178"/>
      <c r="BD1074" s="178"/>
      <c r="BE1074" s="178"/>
      <c r="BF1074" s="178"/>
      <c r="BG1074" s="178"/>
      <c r="BH1074" s="178"/>
      <c r="BI1074" s="33"/>
      <c r="BK1074" s="48">
        <f>$G1074/5280*VLOOKUP($AC1074,'Cost and Score'!$B$27:$O$40,6,0)</f>
        <v>7.9924242424242425E-2</v>
      </c>
      <c r="BL1074" s="48">
        <f>$G1074/5280*VLOOKUP($AC1074,'Cost and Score'!$B$27:$O$40,7,0)</f>
        <v>1.2787878787878788</v>
      </c>
      <c r="BM1074" s="48">
        <f>$G1074/5280*VLOOKUP($AC1074,'Cost and Score'!$B$27:$O$40,8,0)</f>
        <v>0</v>
      </c>
      <c r="BN1074" s="48">
        <f>$G1074/5280*VLOOKUP($AC1074,'Cost and Score'!$B$27:$O$40,9,0)</f>
        <v>0</v>
      </c>
      <c r="BO1074" s="48">
        <f>$G1074/5280*VLOOKUP($AC1074,'Cost and Score'!$B$27:$O$40,10,0)</f>
        <v>0</v>
      </c>
      <c r="BP1074" s="48">
        <f>$G1074/5280*VLOOKUP($AC1074,'Cost and Score'!$B$27:$O$40,11,0)</f>
        <v>0</v>
      </c>
      <c r="BQ1074" s="48">
        <f>$G1074/5280*VLOOKUP($AC1074,'Cost and Score'!$B$27:$O$40,12,0)</f>
        <v>0</v>
      </c>
      <c r="BR1074" s="48">
        <f>$G1074/5280*VLOOKUP($AC1074,'Cost and Score'!$B$27:$O$40,13,0)</f>
        <v>0</v>
      </c>
      <c r="BS1074" s="48">
        <f>$G1074/5280*VLOOKUP($AC1074,'Cost and Score'!$B$27:$O$40,14,0)</f>
        <v>0</v>
      </c>
      <c r="BT1074" s="220">
        <f t="shared" si="543"/>
        <v>7.9924242424242425E-2</v>
      </c>
      <c r="BY1074" s="2" t="s">
        <v>2086</v>
      </c>
      <c r="BZ1074" s="27">
        <v>2000</v>
      </c>
      <c r="CA1074" s="2" t="s">
        <v>2087</v>
      </c>
      <c r="CN1074" s="112"/>
      <c r="CO1074" s="112"/>
      <c r="CP1074" s="112"/>
      <c r="CQ1074" s="112"/>
      <c r="CR1074" s="112"/>
      <c r="CV1074" s="112"/>
    </row>
    <row r="1075" spans="1:103" s="2" customFormat="1" ht="14.45" hidden="1" customHeight="1" x14ac:dyDescent="0.25">
      <c r="A1075" s="38" t="s">
        <v>2102</v>
      </c>
      <c r="B1075" s="34" t="s">
        <v>1940</v>
      </c>
      <c r="C1075" s="26" t="s">
        <v>1940</v>
      </c>
      <c r="D1075" s="26"/>
      <c r="E1075" s="26" t="s">
        <v>1421</v>
      </c>
      <c r="F1075" s="26" t="s">
        <v>1418</v>
      </c>
      <c r="G1075" s="29">
        <v>382</v>
      </c>
      <c r="H1075" s="29">
        <f t="shared" si="569"/>
        <v>20</v>
      </c>
      <c r="I1075" s="106" t="s">
        <v>751</v>
      </c>
      <c r="J1075" s="26" t="s">
        <v>26</v>
      </c>
      <c r="K1075" s="26">
        <f t="shared" si="575"/>
        <v>0</v>
      </c>
      <c r="L1075" s="42">
        <v>6</v>
      </c>
      <c r="M1075" s="42">
        <v>3</v>
      </c>
      <c r="N1075" s="42">
        <v>8</v>
      </c>
      <c r="O1075" s="42">
        <v>8</v>
      </c>
      <c r="P1075" s="42">
        <v>8</v>
      </c>
      <c r="Q1075" s="42">
        <v>8</v>
      </c>
      <c r="R1075" s="42">
        <v>7</v>
      </c>
      <c r="S1075" s="42">
        <v>7</v>
      </c>
      <c r="T1075" s="42">
        <v>7</v>
      </c>
      <c r="U1075" s="42">
        <v>7</v>
      </c>
      <c r="V1075" s="42"/>
      <c r="W1075" s="42"/>
      <c r="X1075" s="42"/>
      <c r="Y1075" s="26">
        <v>50</v>
      </c>
      <c r="Z1075" s="26">
        <f t="shared" si="570"/>
        <v>0</v>
      </c>
      <c r="AA1075" s="26" t="s">
        <v>1941</v>
      </c>
      <c r="AB1075" s="111">
        <f t="shared" si="540"/>
        <v>2</v>
      </c>
      <c r="AC1075" s="85" t="s">
        <v>2073</v>
      </c>
      <c r="AD1075" s="47">
        <f t="shared" si="562"/>
        <v>2315.151515151515</v>
      </c>
      <c r="AE1075" s="140"/>
      <c r="AF1075" s="113">
        <f t="shared" si="547"/>
        <v>0</v>
      </c>
      <c r="AG1075" s="26">
        <v>2027</v>
      </c>
      <c r="AH1075" s="26" t="str">
        <f t="shared" si="557"/>
        <v/>
      </c>
      <c r="AI1075" s="26" t="str">
        <f t="shared" si="563"/>
        <v/>
      </c>
      <c r="AJ1075" s="26" t="str">
        <f t="shared" si="571"/>
        <v/>
      </c>
      <c r="AK1075" s="26" t="str">
        <f t="shared" si="574"/>
        <v/>
      </c>
      <c r="AL1075" s="26" t="str">
        <f t="shared" si="574"/>
        <v/>
      </c>
      <c r="AM1075" s="26" t="str">
        <f t="shared" si="574"/>
        <v>Chip Seal - Double and Fog</v>
      </c>
      <c r="AN1075" s="26" t="str">
        <f t="shared" si="560"/>
        <v>Chip Seal - Double and Fog</v>
      </c>
      <c r="AO1075" s="26" t="str">
        <f t="shared" si="572"/>
        <v>Crack Seal</v>
      </c>
      <c r="AP1075" s="26" t="str">
        <f t="shared" si="568"/>
        <v/>
      </c>
      <c r="AQ1075" s="68">
        <f t="shared" si="565"/>
        <v>12</v>
      </c>
      <c r="AR1075" s="68">
        <f t="shared" si="566"/>
        <v>6</v>
      </c>
      <c r="AS1075" s="68">
        <f t="shared" si="550"/>
        <v>1.1000000000000001</v>
      </c>
      <c r="AT1075" s="68">
        <f t="shared" si="551"/>
        <v>1.75</v>
      </c>
      <c r="AU1075" s="68">
        <f t="shared" si="552"/>
        <v>1</v>
      </c>
      <c r="AV1075" s="68">
        <f t="shared" si="553"/>
        <v>1</v>
      </c>
      <c r="AW1075" s="68">
        <f t="shared" si="554"/>
        <v>1</v>
      </c>
      <c r="AX1075" s="68">
        <f t="shared" ca="1" si="567"/>
        <v>3</v>
      </c>
      <c r="AY1075" s="68">
        <v>2021</v>
      </c>
      <c r="AZ1075" s="68" t="s">
        <v>2075</v>
      </c>
      <c r="BA1075" s="106" t="str">
        <f t="shared" si="573"/>
        <v/>
      </c>
      <c r="BB1075" s="178"/>
      <c r="BC1075" s="178"/>
      <c r="BD1075" s="178"/>
      <c r="BE1075" s="178"/>
      <c r="BF1075" s="178"/>
      <c r="BG1075" s="178"/>
      <c r="BH1075" s="178"/>
      <c r="BI1075" s="33" t="s">
        <v>2192</v>
      </c>
      <c r="BK1075" s="48">
        <f>$G1075/5280*VLOOKUP($AC1075,'Cost and Score'!$B$27:$O$40,6,0)</f>
        <v>3.6174242424242421E-2</v>
      </c>
      <c r="BL1075" s="48">
        <f>$G1075/5280*VLOOKUP($AC1075,'Cost and Score'!$B$27:$O$40,7,0)</f>
        <v>3.6174242424242422</v>
      </c>
      <c r="BM1075" s="48">
        <f>$G1075/5280*VLOOKUP($AC1075,'Cost and Score'!$B$27:$O$40,8,0)</f>
        <v>0</v>
      </c>
      <c r="BN1075" s="48">
        <f>$G1075/5280*VLOOKUP($AC1075,'Cost and Score'!$B$27:$O$40,9,0)</f>
        <v>687.31060606060601</v>
      </c>
      <c r="BO1075" s="48">
        <f>$G1075/5280*VLOOKUP($AC1075,'Cost and Score'!$B$27:$O$40,10,0)</f>
        <v>72.348484848484844</v>
      </c>
      <c r="BP1075" s="48">
        <f>$G1075/5280*VLOOKUP($AC1075,'Cost and Score'!$B$27:$O$40,11,0)</f>
        <v>0</v>
      </c>
      <c r="BQ1075" s="48">
        <f>$G1075/5280*VLOOKUP($AC1075,'Cost and Score'!$B$27:$O$40,12,0)</f>
        <v>14.469696969696969</v>
      </c>
      <c r="BR1075" s="48">
        <f>$G1075/5280*VLOOKUP($AC1075,'Cost and Score'!$B$27:$O$40,13,0)</f>
        <v>13.022727272727272</v>
      </c>
      <c r="BS1075" s="48">
        <f>$G1075/5280*VLOOKUP($AC1075,'Cost and Score'!$B$27:$O$40,14,0)</f>
        <v>17.363636363636363</v>
      </c>
      <c r="BT1075" s="220">
        <f t="shared" si="543"/>
        <v>7.2348484848484843E-2</v>
      </c>
    </row>
    <row r="1076" spans="1:103" s="2" customFormat="1" ht="14.45" hidden="1" customHeight="1" x14ac:dyDescent="0.25">
      <c r="A1076" s="38" t="s">
        <v>2102</v>
      </c>
      <c r="B1076" s="108" t="s">
        <v>1942</v>
      </c>
      <c r="C1076" s="106" t="s">
        <v>1942</v>
      </c>
      <c r="D1076" s="106"/>
      <c r="E1076" s="106" t="s">
        <v>86</v>
      </c>
      <c r="F1076" s="106" t="s">
        <v>1943</v>
      </c>
      <c r="G1076" s="109">
        <v>283</v>
      </c>
      <c r="H1076" s="109">
        <f t="shared" si="569"/>
        <v>20</v>
      </c>
      <c r="I1076" s="106" t="s">
        <v>62</v>
      </c>
      <c r="J1076" s="106" t="s">
        <v>101</v>
      </c>
      <c r="K1076" s="106">
        <v>0</v>
      </c>
      <c r="L1076" s="110">
        <v>6</v>
      </c>
      <c r="M1076" s="110">
        <v>6</v>
      </c>
      <c r="N1076" s="110">
        <v>6</v>
      </c>
      <c r="O1076" s="110">
        <v>5</v>
      </c>
      <c r="P1076" s="110">
        <v>5</v>
      </c>
      <c r="Q1076" s="110">
        <v>5</v>
      </c>
      <c r="R1076" s="110">
        <v>5</v>
      </c>
      <c r="S1076" s="110">
        <v>5</v>
      </c>
      <c r="T1076" s="110">
        <v>5</v>
      </c>
      <c r="U1076" s="110">
        <v>5</v>
      </c>
      <c r="V1076" s="110"/>
      <c r="W1076" s="110"/>
      <c r="X1076" s="110"/>
      <c r="Y1076" s="106">
        <v>50</v>
      </c>
      <c r="Z1076" s="106">
        <f t="shared" si="570"/>
        <v>0</v>
      </c>
      <c r="AA1076" s="106" t="s">
        <v>1941</v>
      </c>
      <c r="AB1076" s="111">
        <f t="shared" si="540"/>
        <v>5</v>
      </c>
      <c r="AC1076" s="106" t="s">
        <v>751</v>
      </c>
      <c r="AD1076" s="107">
        <f t="shared" si="562"/>
        <v>5895.833333333333</v>
      </c>
      <c r="AE1076" s="198"/>
      <c r="AF1076" s="113">
        <f t="shared" si="547"/>
        <v>0</v>
      </c>
      <c r="AG1076" s="26">
        <v>2023</v>
      </c>
      <c r="AH1076" s="26" t="str">
        <f t="shared" si="557"/>
        <v/>
      </c>
      <c r="AI1076" s="26" t="str">
        <f t="shared" si="563"/>
        <v>Overlay - 2"</v>
      </c>
      <c r="AJ1076" s="26" t="str">
        <f t="shared" si="571"/>
        <v/>
      </c>
      <c r="AK1076" s="26" t="str">
        <f t="shared" si="574"/>
        <v/>
      </c>
      <c r="AL1076" s="26" t="str">
        <f t="shared" si="574"/>
        <v/>
      </c>
      <c r="AM1076" s="26" t="str">
        <f t="shared" si="574"/>
        <v/>
      </c>
      <c r="AN1076" s="26" t="str">
        <f t="shared" si="560"/>
        <v>Overlay - 2"</v>
      </c>
      <c r="AO1076" s="26" t="str">
        <f t="shared" si="572"/>
        <v/>
      </c>
      <c r="AP1076" s="26" t="str">
        <f t="shared" si="568"/>
        <v/>
      </c>
      <c r="AQ1076" s="68">
        <f t="shared" si="565"/>
        <v>6</v>
      </c>
      <c r="AR1076" s="68">
        <f t="shared" si="566"/>
        <v>12</v>
      </c>
      <c r="AS1076" s="68">
        <f t="shared" si="550"/>
        <v>1.1000000000000001</v>
      </c>
      <c r="AT1076" s="68">
        <f t="shared" si="551"/>
        <v>1.1000000000000001</v>
      </c>
      <c r="AU1076" s="68">
        <f t="shared" si="552"/>
        <v>1.1000000000000001</v>
      </c>
      <c r="AV1076" s="68">
        <f t="shared" si="553"/>
        <v>1.25</v>
      </c>
      <c r="AW1076" s="68">
        <f t="shared" si="554"/>
        <v>1.25</v>
      </c>
      <c r="AX1076" s="68">
        <f t="shared" ca="1" si="567"/>
        <v>-1.1000000000000001</v>
      </c>
      <c r="AY1076" s="106">
        <v>2017</v>
      </c>
      <c r="AZ1076" s="68" t="s">
        <v>13</v>
      </c>
      <c r="BA1076" s="106" t="str">
        <f t="shared" si="573"/>
        <v/>
      </c>
      <c r="BB1076" s="178"/>
      <c r="BC1076" s="178"/>
      <c r="BD1076" s="178"/>
      <c r="BE1076" s="178"/>
      <c r="BF1076" s="178"/>
      <c r="BG1076" s="178"/>
      <c r="BH1076" s="178"/>
      <c r="BI1076" s="33"/>
      <c r="BK1076" s="48">
        <f>$G1076/5280*VLOOKUP($AC1076,'Cost and Score'!$B$27:$O$40,6,0)</f>
        <v>0.1205965909090909</v>
      </c>
      <c r="BL1076" s="48">
        <f>$G1076/5280*VLOOKUP($AC1076,'Cost and Score'!$B$27:$O$40,7,0)</f>
        <v>11.255681818181818</v>
      </c>
      <c r="BM1076" s="48">
        <f>$G1076/5280*VLOOKUP($AC1076,'Cost and Score'!$B$27:$O$40,8,0)</f>
        <v>18.759469696969695</v>
      </c>
      <c r="BN1076" s="48">
        <f>$G1076/5280*VLOOKUP($AC1076,'Cost and Score'!$B$27:$O$40,9,0)</f>
        <v>0</v>
      </c>
      <c r="BO1076" s="48">
        <f>$G1076/5280*VLOOKUP($AC1076,'Cost and Score'!$B$27:$O$40,10,0)</f>
        <v>0</v>
      </c>
      <c r="BP1076" s="48">
        <f>$G1076/5280*VLOOKUP($AC1076,'Cost and Score'!$B$27:$O$40,11,0)</f>
        <v>10.719696969696969</v>
      </c>
      <c r="BQ1076" s="48">
        <f>$G1076/5280*VLOOKUP($AC1076,'Cost and Score'!$B$27:$O$40,12,0)</f>
        <v>91.117424242424235</v>
      </c>
      <c r="BR1076" s="48">
        <f>$G1076/5280*VLOOKUP($AC1076,'Cost and Score'!$B$27:$O$40,13,0)</f>
        <v>0</v>
      </c>
      <c r="BS1076" s="48">
        <f>$G1076/5280*VLOOKUP($AC1076,'Cost and Score'!$B$27:$O$40,14,0)</f>
        <v>0</v>
      </c>
      <c r="BT1076" s="220">
        <f t="shared" si="543"/>
        <v>5.3598484848484847E-2</v>
      </c>
      <c r="CS1076" s="112"/>
      <c r="CT1076" s="112"/>
      <c r="CU1076" s="112"/>
    </row>
    <row r="1077" spans="1:103" s="112" customFormat="1" ht="14.45" hidden="1" customHeight="1" x14ac:dyDescent="0.25">
      <c r="A1077" s="38" t="s">
        <v>2102</v>
      </c>
      <c r="B1077" s="34" t="s">
        <v>1944</v>
      </c>
      <c r="C1077" s="26" t="s">
        <v>1944</v>
      </c>
      <c r="D1077" s="82"/>
      <c r="E1077" s="82" t="s">
        <v>1945</v>
      </c>
      <c r="F1077" s="82" t="s">
        <v>10</v>
      </c>
      <c r="G1077" s="29">
        <v>451</v>
      </c>
      <c r="H1077" s="29">
        <f t="shared" si="569"/>
        <v>20</v>
      </c>
      <c r="I1077" s="26" t="s">
        <v>8</v>
      </c>
      <c r="J1077" s="26" t="s">
        <v>101</v>
      </c>
      <c r="K1077" s="26">
        <v>0</v>
      </c>
      <c r="L1077" s="42">
        <v>7</v>
      </c>
      <c r="M1077" s="42">
        <v>6</v>
      </c>
      <c r="N1077" s="42"/>
      <c r="O1077" s="83"/>
      <c r="P1077" s="83">
        <v>9</v>
      </c>
      <c r="Q1077" s="83">
        <v>8</v>
      </c>
      <c r="R1077" s="83">
        <v>7</v>
      </c>
      <c r="S1077" s="83">
        <v>7</v>
      </c>
      <c r="T1077" s="83">
        <v>7</v>
      </c>
      <c r="U1077" s="83">
        <v>7</v>
      </c>
      <c r="V1077" s="42"/>
      <c r="W1077" s="42"/>
      <c r="X1077" s="42"/>
      <c r="Y1077" s="26">
        <v>50</v>
      </c>
      <c r="Z1077" s="26">
        <f t="shared" si="570"/>
        <v>0</v>
      </c>
      <c r="AA1077" s="82" t="s">
        <v>1941</v>
      </c>
      <c r="AB1077" s="111">
        <f t="shared" ref="AB1077:AB1140" si="576">(10-P1077)+Z1077+K1077</f>
        <v>1</v>
      </c>
      <c r="AC1077" s="82" t="s">
        <v>13</v>
      </c>
      <c r="AD1077" s="84">
        <f t="shared" si="562"/>
        <v>1793.75</v>
      </c>
      <c r="AE1077" s="140"/>
      <c r="AF1077" s="113">
        <f t="shared" si="547"/>
        <v>0</v>
      </c>
      <c r="AG1077" s="26">
        <v>2022</v>
      </c>
      <c r="AH1077" s="26" t="str">
        <f t="shared" si="557"/>
        <v>Chip Seal and Fog</v>
      </c>
      <c r="AI1077" s="26" t="str">
        <f t="shared" si="563"/>
        <v/>
      </c>
      <c r="AJ1077" s="26" t="str">
        <f t="shared" si="571"/>
        <v/>
      </c>
      <c r="AK1077" s="26" t="str">
        <f t="shared" si="574"/>
        <v/>
      </c>
      <c r="AL1077" s="26" t="str">
        <f t="shared" si="574"/>
        <v/>
      </c>
      <c r="AM1077" s="26" t="str">
        <f t="shared" si="574"/>
        <v/>
      </c>
      <c r="AN1077" s="26" t="str">
        <f t="shared" si="560"/>
        <v>Chip Seal and Fog</v>
      </c>
      <c r="AO1077" s="26" t="str">
        <f t="shared" si="572"/>
        <v/>
      </c>
      <c r="AP1077" s="26" t="str">
        <f t="shared" si="568"/>
        <v/>
      </c>
      <c r="AQ1077" s="68" t="e">
        <f t="shared" si="565"/>
        <v>#N/A</v>
      </c>
      <c r="AR1077" s="68">
        <f t="shared" si="566"/>
        <v>6</v>
      </c>
      <c r="AS1077" s="68">
        <f t="shared" si="550"/>
        <v>1.05</v>
      </c>
      <c r="AT1077" s="68">
        <f t="shared" si="551"/>
        <v>1.1000000000000001</v>
      </c>
      <c r="AU1077" s="68">
        <f t="shared" si="552"/>
        <v>0</v>
      </c>
      <c r="AV1077" s="68">
        <f t="shared" si="553"/>
        <v>0</v>
      </c>
      <c r="AW1077" s="68">
        <f t="shared" si="554"/>
        <v>1</v>
      </c>
      <c r="AX1077" s="68">
        <f t="shared" ca="1" si="567"/>
        <v>0</v>
      </c>
      <c r="AY1077" s="68"/>
      <c r="AZ1077" s="68"/>
      <c r="BA1077" s="106" t="str">
        <f t="shared" si="573"/>
        <v/>
      </c>
      <c r="BB1077" s="178"/>
      <c r="BC1077" s="177"/>
      <c r="BD1077" s="177"/>
      <c r="BE1077" s="177"/>
      <c r="BF1077" s="177"/>
      <c r="BG1077" s="177"/>
      <c r="BH1077" s="177"/>
      <c r="BI1077" s="33"/>
      <c r="BJ1077" s="2"/>
      <c r="BK1077" s="48">
        <f>$G1077/5280*VLOOKUP($AC1077,'Cost and Score'!$B$27:$O$40,6,0)</f>
        <v>1.7083333333333336E-2</v>
      </c>
      <c r="BL1077" s="48">
        <f>$G1077/5280*VLOOKUP($AC1077,'Cost and Score'!$B$27:$O$40,7,0)</f>
        <v>1.8791666666666667</v>
      </c>
      <c r="BM1077" s="48">
        <f>$G1077/5280*VLOOKUP($AC1077,'Cost and Score'!$B$27:$O$40,8,0)</f>
        <v>0</v>
      </c>
      <c r="BN1077" s="48">
        <f>$G1077/5280*VLOOKUP($AC1077,'Cost and Score'!$B$27:$O$40,9,0)</f>
        <v>384.375</v>
      </c>
      <c r="BO1077" s="48">
        <f>$G1077/5280*VLOOKUP($AC1077,'Cost and Score'!$B$27:$O$40,10,0)</f>
        <v>85.416666666666671</v>
      </c>
      <c r="BP1077" s="48">
        <f>$G1077/5280*VLOOKUP($AC1077,'Cost and Score'!$B$27:$O$40,11,0)</f>
        <v>0</v>
      </c>
      <c r="BQ1077" s="48">
        <f>$G1077/5280*VLOOKUP($AC1077,'Cost and Score'!$B$27:$O$40,12,0)</f>
        <v>8.5416666666666661</v>
      </c>
      <c r="BR1077" s="48">
        <f>$G1077/5280*VLOOKUP($AC1077,'Cost and Score'!$B$27:$O$40,13,0)</f>
        <v>10.25</v>
      </c>
      <c r="BS1077" s="48">
        <f>$G1077/5280*VLOOKUP($AC1077,'Cost and Score'!$B$27:$O$40,14,0)</f>
        <v>0</v>
      </c>
      <c r="BT1077" s="220">
        <f t="shared" si="543"/>
        <v>8.5416666666666669E-2</v>
      </c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S1077" s="2"/>
      <c r="CT1077" s="2"/>
      <c r="CU1077" s="2"/>
      <c r="CV1077" s="2"/>
      <c r="CW1077" s="2"/>
      <c r="CX1077" s="2"/>
      <c r="CY1077" s="2"/>
    </row>
    <row r="1078" spans="1:103" s="2" customFormat="1" ht="14.45" hidden="1" customHeight="1" x14ac:dyDescent="0.25">
      <c r="A1078" s="31" t="s">
        <v>2102</v>
      </c>
      <c r="B1078" s="224" t="s">
        <v>1946</v>
      </c>
      <c r="C1078" s="85" t="s">
        <v>1946</v>
      </c>
      <c r="D1078" s="86" t="s">
        <v>2307</v>
      </c>
      <c r="E1078" s="85" t="s">
        <v>1451</v>
      </c>
      <c r="F1078" s="85" t="s">
        <v>1555</v>
      </c>
      <c r="G1078" s="29">
        <v>1954</v>
      </c>
      <c r="H1078" s="29">
        <f t="shared" si="569"/>
        <v>26</v>
      </c>
      <c r="I1078" s="124" t="s">
        <v>2098</v>
      </c>
      <c r="J1078" s="85" t="s">
        <v>160</v>
      </c>
      <c r="K1078" s="85">
        <f>VLOOKUP(J1078,TOWNSHIPS,2,FALSE)</f>
        <v>0</v>
      </c>
      <c r="L1078" s="74">
        <v>8</v>
      </c>
      <c r="M1078" s="74">
        <v>7</v>
      </c>
      <c r="N1078" s="74">
        <v>7</v>
      </c>
      <c r="O1078" s="74">
        <v>7</v>
      </c>
      <c r="P1078" s="74">
        <v>7</v>
      </c>
      <c r="Q1078" s="74">
        <v>7</v>
      </c>
      <c r="R1078" s="74">
        <v>7</v>
      </c>
      <c r="S1078" s="74">
        <v>7</v>
      </c>
      <c r="T1078" s="74">
        <v>7</v>
      </c>
      <c r="U1078" s="74">
        <v>7</v>
      </c>
      <c r="V1078" s="74"/>
      <c r="W1078" s="74"/>
      <c r="X1078" s="74"/>
      <c r="Y1078" s="85">
        <v>888</v>
      </c>
      <c r="Z1078" s="85">
        <f t="shared" si="570"/>
        <v>0.5</v>
      </c>
      <c r="AA1078" s="85" t="s">
        <v>1946</v>
      </c>
      <c r="AB1078" s="111">
        <f t="shared" si="576"/>
        <v>3.5</v>
      </c>
      <c r="AC1078" s="85" t="s">
        <v>2425</v>
      </c>
      <c r="AD1078" s="47">
        <f t="shared" si="562"/>
        <v>9251.8939393939399</v>
      </c>
      <c r="AE1078" s="140"/>
      <c r="AF1078" s="113">
        <f t="shared" si="547"/>
        <v>0</v>
      </c>
      <c r="AG1078" s="85">
        <v>2026</v>
      </c>
      <c r="AH1078" s="26" t="str">
        <f t="shared" si="557"/>
        <v/>
      </c>
      <c r="AI1078" s="26" t="str">
        <f t="shared" si="563"/>
        <v/>
      </c>
      <c r="AJ1078" s="26" t="str">
        <f t="shared" si="571"/>
        <v/>
      </c>
      <c r="AK1078" s="26" t="str">
        <f t="shared" si="574"/>
        <v/>
      </c>
      <c r="AL1078" s="26" t="str">
        <f t="shared" si="574"/>
        <v>Liquid Road</v>
      </c>
      <c r="AM1078" s="26" t="str">
        <f t="shared" si="574"/>
        <v/>
      </c>
      <c r="AN1078" s="26" t="str">
        <f t="shared" si="560"/>
        <v>Liquid Road</v>
      </c>
      <c r="AO1078" s="26" t="str">
        <f t="shared" si="572"/>
        <v/>
      </c>
      <c r="AP1078" s="26" t="str">
        <f t="shared" si="568"/>
        <v/>
      </c>
      <c r="AQ1078" s="68">
        <f t="shared" si="565"/>
        <v>10</v>
      </c>
      <c r="AR1078" s="68">
        <f t="shared" si="566"/>
        <v>10</v>
      </c>
      <c r="AS1078" s="68">
        <f t="shared" si="550"/>
        <v>1</v>
      </c>
      <c r="AT1078" s="68">
        <f t="shared" si="551"/>
        <v>1.05</v>
      </c>
      <c r="AU1078" s="68">
        <f t="shared" si="552"/>
        <v>1.05</v>
      </c>
      <c r="AV1078" s="68">
        <f t="shared" si="553"/>
        <v>1.05</v>
      </c>
      <c r="AW1078" s="68">
        <f t="shared" si="554"/>
        <v>1.05</v>
      </c>
      <c r="AX1078" s="68">
        <f t="shared" ca="1" si="567"/>
        <v>2.1</v>
      </c>
      <c r="AY1078" s="68"/>
      <c r="AZ1078" s="68"/>
      <c r="BA1078" s="106" t="str">
        <f t="shared" si="573"/>
        <v/>
      </c>
      <c r="BB1078" s="178"/>
      <c r="BC1078" s="177"/>
      <c r="BD1078" s="177"/>
      <c r="BE1078" s="177"/>
      <c r="BF1078" s="177"/>
      <c r="BG1078" s="177"/>
      <c r="BH1078" s="177">
        <v>5</v>
      </c>
      <c r="BI1078" s="33"/>
      <c r="BK1078" s="48">
        <f>$G1078/5280*VLOOKUP($AC1078,'Cost and Score'!$B$27:$O$40,6,0)</f>
        <v>0.37007575757575756</v>
      </c>
      <c r="BL1078" s="48">
        <f>$G1078/5280*VLOOKUP($AC1078,'Cost and Score'!$B$27:$O$40,7,0)</f>
        <v>5.9212121212121209</v>
      </c>
      <c r="BM1078" s="48">
        <f>$G1078/5280*VLOOKUP($AC1078,'Cost and Score'!$B$27:$O$40,8,0)</f>
        <v>0</v>
      </c>
      <c r="BN1078" s="48">
        <f>$G1078/5280*VLOOKUP($AC1078,'Cost and Score'!$B$27:$O$40,9,0)</f>
        <v>0</v>
      </c>
      <c r="BO1078" s="48">
        <f>$G1078/5280*VLOOKUP($AC1078,'Cost and Score'!$B$27:$O$40,10,0)</f>
        <v>0</v>
      </c>
      <c r="BP1078" s="48">
        <f>$G1078/5280*VLOOKUP($AC1078,'Cost and Score'!$B$27:$O$40,11,0)</f>
        <v>0</v>
      </c>
      <c r="BQ1078" s="48">
        <f>$G1078/5280*VLOOKUP($AC1078,'Cost and Score'!$B$27:$O$40,12,0)</f>
        <v>0</v>
      </c>
      <c r="BR1078" s="48">
        <f>$G1078/5280*VLOOKUP($AC1078,'Cost and Score'!$B$27:$O$40,13,0)</f>
        <v>0</v>
      </c>
      <c r="BS1078" s="48">
        <f>$G1078/5280*VLOOKUP($AC1078,'Cost and Score'!$B$27:$O$40,14,0)</f>
        <v>0</v>
      </c>
      <c r="BT1078" s="220">
        <f t="shared" si="543"/>
        <v>0.37007575757575756</v>
      </c>
      <c r="CN1078" s="112"/>
      <c r="CO1078" s="112"/>
      <c r="CP1078" s="112"/>
      <c r="CQ1078" s="112"/>
      <c r="CV1078" s="112"/>
      <c r="CW1078" s="112"/>
      <c r="CX1078" s="112"/>
      <c r="CY1078" s="112"/>
    </row>
    <row r="1079" spans="1:103" s="2" customFormat="1" ht="14.45" hidden="1" customHeight="1" x14ac:dyDescent="0.25">
      <c r="A1079" s="38" t="s">
        <v>2102</v>
      </c>
      <c r="B1079" s="34" t="s">
        <v>1947</v>
      </c>
      <c r="C1079" s="26" t="s">
        <v>1947</v>
      </c>
      <c r="D1079" s="26"/>
      <c r="E1079" s="26" t="s">
        <v>197</v>
      </c>
      <c r="F1079" s="26" t="s">
        <v>10</v>
      </c>
      <c r="G1079" s="29">
        <v>2160</v>
      </c>
      <c r="H1079" s="29">
        <f t="shared" si="569"/>
        <v>20</v>
      </c>
      <c r="I1079" s="26" t="s">
        <v>13</v>
      </c>
      <c r="J1079" s="26" t="s">
        <v>125</v>
      </c>
      <c r="K1079" s="26">
        <f>VLOOKUP(J1079,TOWNSHIPS,2,FALSE)</f>
        <v>0</v>
      </c>
      <c r="L1079" s="42">
        <v>7</v>
      </c>
      <c r="M1079" s="42">
        <v>7</v>
      </c>
      <c r="N1079" s="42">
        <v>7</v>
      </c>
      <c r="O1079" s="42">
        <v>6</v>
      </c>
      <c r="P1079" s="42">
        <v>6</v>
      </c>
      <c r="Q1079" s="42">
        <v>5</v>
      </c>
      <c r="R1079" s="42">
        <v>5</v>
      </c>
      <c r="S1079" s="42">
        <v>5</v>
      </c>
      <c r="T1079" s="42">
        <v>5</v>
      </c>
      <c r="U1079" s="42">
        <v>7</v>
      </c>
      <c r="V1079" s="42"/>
      <c r="W1079" s="42"/>
      <c r="X1079" s="42"/>
      <c r="Y1079" s="26">
        <v>50</v>
      </c>
      <c r="Z1079" s="26">
        <f t="shared" si="570"/>
        <v>0</v>
      </c>
      <c r="AA1079" s="26" t="s">
        <v>1948</v>
      </c>
      <c r="AB1079" s="111">
        <f t="shared" si="576"/>
        <v>4</v>
      </c>
      <c r="AC1079" s="26" t="s">
        <v>2073</v>
      </c>
      <c r="AD1079" s="47">
        <f t="shared" si="562"/>
        <v>13090.90909090909</v>
      </c>
      <c r="AE1079" s="140"/>
      <c r="AF1079" s="113">
        <f t="shared" si="547"/>
        <v>0</v>
      </c>
      <c r="AG1079" s="26">
        <v>2022</v>
      </c>
      <c r="AH1079" s="26" t="str">
        <f t="shared" si="557"/>
        <v>Chip Seal - Double and Fog</v>
      </c>
      <c r="AI1079" s="26" t="str">
        <f t="shared" si="563"/>
        <v/>
      </c>
      <c r="AJ1079" s="26" t="str">
        <f t="shared" si="571"/>
        <v/>
      </c>
      <c r="AK1079" s="26" t="str">
        <f t="shared" si="574"/>
        <v/>
      </c>
      <c r="AL1079" s="26" t="str">
        <f t="shared" si="574"/>
        <v/>
      </c>
      <c r="AM1079" s="26" t="str">
        <f t="shared" si="574"/>
        <v/>
      </c>
      <c r="AN1079" s="26" t="str">
        <f t="shared" si="560"/>
        <v>Chip Seal - Double and Fog</v>
      </c>
      <c r="AO1079" s="26" t="str">
        <f t="shared" si="572"/>
        <v/>
      </c>
      <c r="AP1079" s="26" t="str">
        <f t="shared" si="568"/>
        <v/>
      </c>
      <c r="AQ1079" s="68">
        <f t="shared" si="565"/>
        <v>8</v>
      </c>
      <c r="AR1079" s="68">
        <f t="shared" si="566"/>
        <v>6</v>
      </c>
      <c r="AS1079" s="68">
        <f t="shared" si="550"/>
        <v>1.05</v>
      </c>
      <c r="AT1079" s="68">
        <f t="shared" si="551"/>
        <v>1.05</v>
      </c>
      <c r="AU1079" s="68">
        <f t="shared" si="552"/>
        <v>1.05</v>
      </c>
      <c r="AV1079" s="68">
        <f t="shared" si="553"/>
        <v>1.1000000000000001</v>
      </c>
      <c r="AW1079" s="68">
        <f t="shared" si="554"/>
        <v>1.1000000000000001</v>
      </c>
      <c r="AX1079" s="68">
        <f t="shared" ca="1" si="567"/>
        <v>-2.1</v>
      </c>
      <c r="AY1079" s="68"/>
      <c r="AZ1079" s="68"/>
      <c r="BA1079" s="106" t="str">
        <f t="shared" si="573"/>
        <v/>
      </c>
      <c r="BB1079" s="178"/>
      <c r="BC1079" s="177">
        <v>2</v>
      </c>
      <c r="BD1079" s="177"/>
      <c r="BE1079" s="177"/>
      <c r="BF1079" s="177"/>
      <c r="BG1079" s="177"/>
      <c r="BH1079" s="177"/>
      <c r="BI1079" s="33"/>
      <c r="BK1079" s="48">
        <f>$G1079/5280*VLOOKUP($AC1079,'Cost and Score'!$B$27:$O$40,6,0)</f>
        <v>0.20454545454545456</v>
      </c>
      <c r="BL1079" s="48">
        <f>$G1079/5280*VLOOKUP($AC1079,'Cost and Score'!$B$27:$O$40,7,0)</f>
        <v>20.454545454545457</v>
      </c>
      <c r="BM1079" s="48">
        <f>$G1079/5280*VLOOKUP($AC1079,'Cost and Score'!$B$27:$O$40,8,0)</f>
        <v>0</v>
      </c>
      <c r="BN1079" s="48">
        <f>$G1079/5280*VLOOKUP($AC1079,'Cost and Score'!$B$27:$O$40,9,0)</f>
        <v>3886.3636363636365</v>
      </c>
      <c r="BO1079" s="48">
        <f>$G1079/5280*VLOOKUP($AC1079,'Cost and Score'!$B$27:$O$40,10,0)</f>
        <v>409.09090909090912</v>
      </c>
      <c r="BP1079" s="48">
        <f>$G1079/5280*VLOOKUP($AC1079,'Cost and Score'!$B$27:$O$40,11,0)</f>
        <v>0</v>
      </c>
      <c r="BQ1079" s="48">
        <f>$G1079/5280*VLOOKUP($AC1079,'Cost and Score'!$B$27:$O$40,12,0)</f>
        <v>81.818181818181827</v>
      </c>
      <c r="BR1079" s="48">
        <f>$G1079/5280*VLOOKUP($AC1079,'Cost and Score'!$B$27:$O$40,13,0)</f>
        <v>73.63636363636364</v>
      </c>
      <c r="BS1079" s="48">
        <f>$G1079/5280*VLOOKUP($AC1079,'Cost and Score'!$B$27:$O$40,14,0)</f>
        <v>98.181818181818187</v>
      </c>
      <c r="BT1079" s="220">
        <f t="shared" si="543"/>
        <v>0.40909090909090912</v>
      </c>
    </row>
    <row r="1080" spans="1:103" s="2" customFormat="1" ht="14.45" customHeight="1" x14ac:dyDescent="0.25">
      <c r="A1080" s="31" t="s">
        <v>2102</v>
      </c>
      <c r="B1080" s="45" t="s">
        <v>1518</v>
      </c>
      <c r="C1080" s="26" t="s">
        <v>1518</v>
      </c>
      <c r="D1080" s="119" t="s">
        <v>2220</v>
      </c>
      <c r="E1080" s="82" t="s">
        <v>4</v>
      </c>
      <c r="F1080" s="82" t="s">
        <v>1465</v>
      </c>
      <c r="G1080" s="29">
        <v>2059</v>
      </c>
      <c r="H1080" s="29">
        <f t="shared" si="569"/>
        <v>26</v>
      </c>
      <c r="I1080" s="26" t="s">
        <v>2098</v>
      </c>
      <c r="J1080" s="26" t="s">
        <v>6</v>
      </c>
      <c r="K1080" s="26">
        <f>VLOOKUP(J1080,TOWNSHIPS,2,FALSE)</f>
        <v>0</v>
      </c>
      <c r="L1080" s="42">
        <v>6</v>
      </c>
      <c r="M1080" s="42">
        <v>6</v>
      </c>
      <c r="N1080" s="42">
        <v>10</v>
      </c>
      <c r="O1080" s="83">
        <v>9</v>
      </c>
      <c r="P1080" s="83">
        <v>7</v>
      </c>
      <c r="Q1080" s="83">
        <v>7</v>
      </c>
      <c r="R1080" s="83">
        <v>7</v>
      </c>
      <c r="S1080" s="83">
        <v>7</v>
      </c>
      <c r="T1080" s="83">
        <v>7</v>
      </c>
      <c r="U1080" s="83">
        <v>7</v>
      </c>
      <c r="V1080" s="42"/>
      <c r="W1080" s="42"/>
      <c r="X1080" s="42"/>
      <c r="Y1080" s="26">
        <v>50</v>
      </c>
      <c r="Z1080" s="26">
        <f t="shared" si="570"/>
        <v>0</v>
      </c>
      <c r="AA1080" s="82" t="s">
        <v>1519</v>
      </c>
      <c r="AB1080" s="111">
        <f t="shared" si="576"/>
        <v>3</v>
      </c>
      <c r="AC1080" s="26" t="s">
        <v>751</v>
      </c>
      <c r="AD1080" s="84">
        <f t="shared" si="562"/>
        <v>42895.833333333336</v>
      </c>
      <c r="AE1080" s="140"/>
      <c r="AF1080" s="113">
        <f t="shared" si="547"/>
        <v>0</v>
      </c>
      <c r="AG1080" s="26">
        <v>2025</v>
      </c>
      <c r="AH1080" s="26" t="str">
        <f t="shared" si="557"/>
        <v/>
      </c>
      <c r="AI1080" s="26" t="str">
        <f t="shared" si="563"/>
        <v/>
      </c>
      <c r="AJ1080" s="26" t="str">
        <f t="shared" si="571"/>
        <v/>
      </c>
      <c r="AK1080" s="26" t="str">
        <f t="shared" si="574"/>
        <v>Overlay - 2"</v>
      </c>
      <c r="AL1080" s="26" t="str">
        <f t="shared" si="574"/>
        <v/>
      </c>
      <c r="AM1080" s="26" t="str">
        <f t="shared" si="574"/>
        <v/>
      </c>
      <c r="AN1080" s="26" t="str">
        <f t="shared" si="560"/>
        <v>Overlay - 2"</v>
      </c>
      <c r="AO1080" s="26" t="str">
        <f t="shared" si="572"/>
        <v/>
      </c>
      <c r="AP1080" s="26" t="str">
        <f t="shared" si="568"/>
        <v/>
      </c>
      <c r="AQ1080" s="68">
        <f t="shared" si="565"/>
        <v>14</v>
      </c>
      <c r="AR1080" s="68">
        <f t="shared" si="566"/>
        <v>12</v>
      </c>
      <c r="AS1080" s="68">
        <f t="shared" si="550"/>
        <v>1.1000000000000001</v>
      </c>
      <c r="AT1080" s="68">
        <f t="shared" si="551"/>
        <v>1.1000000000000001</v>
      </c>
      <c r="AU1080" s="68">
        <f t="shared" si="552"/>
        <v>1</v>
      </c>
      <c r="AV1080" s="68">
        <f t="shared" si="553"/>
        <v>1</v>
      </c>
      <c r="AW1080" s="68">
        <f t="shared" si="554"/>
        <v>1.05</v>
      </c>
      <c r="AX1080" s="68">
        <f t="shared" ca="1" si="567"/>
        <v>1</v>
      </c>
      <c r="AY1080" s="68">
        <v>2018</v>
      </c>
      <c r="AZ1080" s="68" t="s">
        <v>2086</v>
      </c>
      <c r="BA1080" s="106" t="str">
        <f t="shared" si="573"/>
        <v>F</v>
      </c>
      <c r="BB1080" s="178"/>
      <c r="BC1080" s="178"/>
      <c r="BD1080" s="178"/>
      <c r="BE1080" s="178"/>
      <c r="BF1080" s="178"/>
      <c r="BG1080" s="178"/>
      <c r="BH1080" s="178"/>
      <c r="BI1080" s="33"/>
      <c r="BK1080" s="48">
        <f>$G1080/5280*VLOOKUP($AC1080,'Cost and Score'!$B$27:$O$40,6,0)</f>
        <v>0.87741477272727275</v>
      </c>
      <c r="BL1080" s="48">
        <f>$G1080/5280*VLOOKUP($AC1080,'Cost and Score'!$B$27:$O$40,7,0)</f>
        <v>81.892045454545453</v>
      </c>
      <c r="BM1080" s="48">
        <f>$G1080/5280*VLOOKUP($AC1080,'Cost and Score'!$B$27:$O$40,8,0)</f>
        <v>136.48674242424241</v>
      </c>
      <c r="BN1080" s="48">
        <f>$G1080/5280*VLOOKUP($AC1080,'Cost and Score'!$B$27:$O$40,9,0)</f>
        <v>0</v>
      </c>
      <c r="BO1080" s="48">
        <f>$G1080/5280*VLOOKUP($AC1080,'Cost and Score'!$B$27:$O$40,10,0)</f>
        <v>0</v>
      </c>
      <c r="BP1080" s="48">
        <f>$G1080/5280*VLOOKUP($AC1080,'Cost and Score'!$B$27:$O$40,11,0)</f>
        <v>77.992424242424235</v>
      </c>
      <c r="BQ1080" s="48">
        <f>$G1080/5280*VLOOKUP($AC1080,'Cost and Score'!$B$27:$O$40,12,0)</f>
        <v>662.93560606060601</v>
      </c>
      <c r="BR1080" s="48">
        <f>$G1080/5280*VLOOKUP($AC1080,'Cost and Score'!$B$27:$O$40,13,0)</f>
        <v>0</v>
      </c>
      <c r="BS1080" s="48">
        <f>$G1080/5280*VLOOKUP($AC1080,'Cost and Score'!$B$27:$O$40,14,0)</f>
        <v>0</v>
      </c>
      <c r="BT1080" s="220">
        <f t="shared" si="543"/>
        <v>0.3899621212121212</v>
      </c>
    </row>
    <row r="1081" spans="1:103" s="2" customFormat="1" ht="14.45" hidden="1" customHeight="1" x14ac:dyDescent="0.25">
      <c r="A1081" s="38" t="s">
        <v>1951</v>
      </c>
      <c r="B1081" s="34" t="s">
        <v>1950</v>
      </c>
      <c r="C1081" s="26" t="s">
        <v>1950</v>
      </c>
      <c r="D1081" s="82"/>
      <c r="E1081" s="82" t="s">
        <v>135</v>
      </c>
      <c r="F1081" s="82" t="s">
        <v>24</v>
      </c>
      <c r="G1081" s="29">
        <v>3308</v>
      </c>
      <c r="H1081" s="29">
        <f t="shared" si="569"/>
        <v>20</v>
      </c>
      <c r="I1081" s="26" t="s">
        <v>8</v>
      </c>
      <c r="J1081" s="26" t="s">
        <v>125</v>
      </c>
      <c r="K1081" s="26">
        <f>VLOOKUP(J1081,TOWNSHIPS,2,FALSE)</f>
        <v>0</v>
      </c>
      <c r="L1081" s="42">
        <v>7</v>
      </c>
      <c r="M1081" s="42">
        <v>7</v>
      </c>
      <c r="N1081" s="42">
        <v>7</v>
      </c>
      <c r="O1081" s="83">
        <v>7</v>
      </c>
      <c r="P1081" s="83">
        <v>6</v>
      </c>
      <c r="Q1081" s="83">
        <v>5</v>
      </c>
      <c r="R1081" s="83">
        <v>5</v>
      </c>
      <c r="S1081" s="83">
        <v>5</v>
      </c>
      <c r="T1081" s="83">
        <v>5</v>
      </c>
      <c r="U1081" s="83">
        <v>5</v>
      </c>
      <c r="V1081" s="42">
        <v>2024</v>
      </c>
      <c r="W1081" s="42"/>
      <c r="X1081" s="42" t="s">
        <v>2612</v>
      </c>
      <c r="Y1081" s="26">
        <v>66</v>
      </c>
      <c r="Z1081" s="26">
        <f t="shared" si="570"/>
        <v>0</v>
      </c>
      <c r="AA1081" s="82" t="s">
        <v>1950</v>
      </c>
      <c r="AB1081" s="111">
        <f t="shared" si="576"/>
        <v>4</v>
      </c>
      <c r="AC1081" s="85" t="s">
        <v>751</v>
      </c>
      <c r="AD1081" s="84">
        <f t="shared" si="562"/>
        <v>68916.666666666672</v>
      </c>
      <c r="AE1081" s="140">
        <v>1</v>
      </c>
      <c r="AF1081" s="113">
        <f t="shared" si="547"/>
        <v>68916.666666666672</v>
      </c>
      <c r="AG1081" s="82">
        <v>2023</v>
      </c>
      <c r="AH1081" s="26" t="str">
        <f t="shared" si="557"/>
        <v/>
      </c>
      <c r="AI1081" s="26" t="str">
        <f t="shared" si="563"/>
        <v>Overlay - 2"</v>
      </c>
      <c r="AJ1081" s="26" t="str">
        <f t="shared" si="571"/>
        <v/>
      </c>
      <c r="AK1081" s="26" t="str">
        <f t="shared" si="574"/>
        <v/>
      </c>
      <c r="AL1081" s="26" t="str">
        <f t="shared" si="574"/>
        <v/>
      </c>
      <c r="AM1081" s="26" t="str">
        <f t="shared" si="574"/>
        <v/>
      </c>
      <c r="AN1081" s="26" t="str">
        <f t="shared" si="560"/>
        <v>Overlay - 2"</v>
      </c>
      <c r="AO1081" s="26" t="str">
        <f t="shared" si="572"/>
        <v/>
      </c>
      <c r="AP1081" s="26" t="str">
        <f t="shared" si="568"/>
        <v/>
      </c>
      <c r="AQ1081" s="68">
        <f t="shared" si="565"/>
        <v>10</v>
      </c>
      <c r="AR1081" s="68">
        <f t="shared" si="566"/>
        <v>12</v>
      </c>
      <c r="AS1081" s="68">
        <f t="shared" si="550"/>
        <v>1.05</v>
      </c>
      <c r="AT1081" s="68">
        <f t="shared" si="551"/>
        <v>1.05</v>
      </c>
      <c r="AU1081" s="68">
        <f t="shared" si="552"/>
        <v>1.05</v>
      </c>
      <c r="AV1081" s="68">
        <f t="shared" si="553"/>
        <v>1.05</v>
      </c>
      <c r="AW1081" s="68">
        <f t="shared" si="554"/>
        <v>1.1000000000000001</v>
      </c>
      <c r="AX1081" s="68">
        <f t="shared" ca="1" si="567"/>
        <v>-1.05</v>
      </c>
      <c r="AY1081" s="68">
        <v>2023</v>
      </c>
      <c r="AZ1081" s="68" t="s">
        <v>751</v>
      </c>
      <c r="BA1081" s="106" t="str">
        <f t="shared" si="573"/>
        <v/>
      </c>
      <c r="BB1081" s="178"/>
      <c r="BC1081" s="177">
        <v>2</v>
      </c>
      <c r="BD1081" s="177"/>
      <c r="BE1081" s="177"/>
      <c r="BF1081" s="177"/>
      <c r="BG1081" s="177"/>
      <c r="BH1081" s="177"/>
      <c r="BI1081" s="33" t="s">
        <v>2473</v>
      </c>
      <c r="BK1081" s="48">
        <f>$G1081/5280*VLOOKUP($AC1081,'Cost and Score'!$B$27:$O$40,6,0)</f>
        <v>1.4096590909090909</v>
      </c>
      <c r="BL1081" s="48">
        <f>$G1081/5280*VLOOKUP($AC1081,'Cost and Score'!$B$27:$O$40,7,0)</f>
        <v>131.56818181818181</v>
      </c>
      <c r="BM1081" s="48">
        <f>$G1081/5280*VLOOKUP($AC1081,'Cost and Score'!$B$27:$O$40,8,0)</f>
        <v>219.280303030303</v>
      </c>
      <c r="BN1081" s="48">
        <f>$G1081/5280*VLOOKUP($AC1081,'Cost and Score'!$B$27:$O$40,9,0)</f>
        <v>0</v>
      </c>
      <c r="BO1081" s="48">
        <f>$G1081/5280*VLOOKUP($AC1081,'Cost and Score'!$B$27:$O$40,10,0)</f>
        <v>0</v>
      </c>
      <c r="BP1081" s="48">
        <f>$G1081/5280*VLOOKUP($AC1081,'Cost and Score'!$B$27:$O$40,11,0)</f>
        <v>125.3030303030303</v>
      </c>
      <c r="BQ1081" s="48">
        <f>$G1081/5280*VLOOKUP($AC1081,'Cost and Score'!$B$27:$O$40,12,0)</f>
        <v>1065.0757575757575</v>
      </c>
      <c r="BR1081" s="48">
        <f>$G1081/5280*VLOOKUP($AC1081,'Cost and Score'!$B$27:$O$40,13,0)</f>
        <v>0</v>
      </c>
      <c r="BS1081" s="48">
        <f>$G1081/5280*VLOOKUP($AC1081,'Cost and Score'!$B$27:$O$40,14,0)</f>
        <v>0</v>
      </c>
      <c r="BT1081" s="220">
        <f t="shared" si="543"/>
        <v>0.62651515151515147</v>
      </c>
      <c r="CR1081" s="112"/>
    </row>
    <row r="1082" spans="1:103" s="2" customFormat="1" ht="14.45" customHeight="1" x14ac:dyDescent="0.25">
      <c r="A1082" s="31" t="s">
        <v>2102</v>
      </c>
      <c r="B1082" s="45" t="s">
        <v>1520</v>
      </c>
      <c r="C1082" s="26" t="s">
        <v>1520</v>
      </c>
      <c r="D1082" s="119" t="s">
        <v>2220</v>
      </c>
      <c r="E1082" s="82" t="s">
        <v>4</v>
      </c>
      <c r="F1082" s="82" t="s">
        <v>1465</v>
      </c>
      <c r="G1082" s="29">
        <v>2059</v>
      </c>
      <c r="H1082" s="29">
        <f t="shared" si="569"/>
        <v>26</v>
      </c>
      <c r="I1082" s="26" t="s">
        <v>2098</v>
      </c>
      <c r="J1082" s="26" t="s">
        <v>6</v>
      </c>
      <c r="K1082" s="26">
        <f>VLOOKUP(J1082,TOWNSHIPS,2,FALSE)</f>
        <v>0</v>
      </c>
      <c r="L1082" s="42">
        <v>6</v>
      </c>
      <c r="M1082" s="42">
        <v>6</v>
      </c>
      <c r="N1082" s="42">
        <v>10</v>
      </c>
      <c r="O1082" s="83">
        <v>9</v>
      </c>
      <c r="P1082" s="83">
        <v>7</v>
      </c>
      <c r="Q1082" s="83">
        <v>7</v>
      </c>
      <c r="R1082" s="83">
        <v>7</v>
      </c>
      <c r="S1082" s="83">
        <v>7</v>
      </c>
      <c r="T1082" s="83">
        <v>7</v>
      </c>
      <c r="U1082" s="83">
        <v>7</v>
      </c>
      <c r="V1082" s="42"/>
      <c r="W1082" s="42"/>
      <c r="X1082" s="42"/>
      <c r="Y1082" s="26">
        <v>50</v>
      </c>
      <c r="Z1082" s="26">
        <f t="shared" si="570"/>
        <v>0</v>
      </c>
      <c r="AA1082" s="82" t="s">
        <v>1520</v>
      </c>
      <c r="AB1082" s="111">
        <f t="shared" si="576"/>
        <v>3</v>
      </c>
      <c r="AC1082" s="26" t="s">
        <v>751</v>
      </c>
      <c r="AD1082" s="84">
        <f t="shared" si="562"/>
        <v>42895.833333333336</v>
      </c>
      <c r="AE1082" s="140"/>
      <c r="AF1082" s="113">
        <f t="shared" si="547"/>
        <v>0</v>
      </c>
      <c r="AG1082" s="26">
        <v>2025</v>
      </c>
      <c r="AH1082" s="26" t="str">
        <f t="shared" si="557"/>
        <v/>
      </c>
      <c r="AI1082" s="26" t="str">
        <f t="shared" si="563"/>
        <v/>
      </c>
      <c r="AJ1082" s="26" t="str">
        <f t="shared" si="571"/>
        <v/>
      </c>
      <c r="AK1082" s="26" t="str">
        <f t="shared" si="574"/>
        <v>Overlay - 2"</v>
      </c>
      <c r="AL1082" s="26" t="str">
        <f t="shared" si="574"/>
        <v/>
      </c>
      <c r="AM1082" s="26" t="str">
        <f t="shared" si="574"/>
        <v/>
      </c>
      <c r="AN1082" s="26" t="str">
        <f t="shared" si="560"/>
        <v>Overlay - 2"</v>
      </c>
      <c r="AO1082" s="26" t="str">
        <f t="shared" si="572"/>
        <v/>
      </c>
      <c r="AP1082" s="26" t="str">
        <f t="shared" si="568"/>
        <v/>
      </c>
      <c r="AQ1082" s="68">
        <f t="shared" si="565"/>
        <v>14</v>
      </c>
      <c r="AR1082" s="68">
        <f t="shared" si="566"/>
        <v>12</v>
      </c>
      <c r="AS1082" s="68">
        <f t="shared" si="550"/>
        <v>1.1000000000000001</v>
      </c>
      <c r="AT1082" s="68">
        <f t="shared" si="551"/>
        <v>1.1000000000000001</v>
      </c>
      <c r="AU1082" s="68">
        <f t="shared" si="552"/>
        <v>1</v>
      </c>
      <c r="AV1082" s="68">
        <f t="shared" si="553"/>
        <v>1</v>
      </c>
      <c r="AW1082" s="68">
        <f t="shared" si="554"/>
        <v>1.05</v>
      </c>
      <c r="AX1082" s="68">
        <f t="shared" ca="1" si="567"/>
        <v>1</v>
      </c>
      <c r="AY1082" s="68">
        <v>2018</v>
      </c>
      <c r="AZ1082" s="68" t="s">
        <v>2086</v>
      </c>
      <c r="BA1082" s="106" t="str">
        <f t="shared" si="573"/>
        <v>F</v>
      </c>
      <c r="BB1082" s="178"/>
      <c r="BC1082" s="178"/>
      <c r="BD1082" s="178"/>
      <c r="BE1082" s="178"/>
      <c r="BF1082" s="178"/>
      <c r="BG1082" s="178"/>
      <c r="BH1082" s="178"/>
      <c r="BI1082" s="33"/>
      <c r="BK1082" s="48">
        <f>$G1082/5280*VLOOKUP($AC1082,'Cost and Score'!$B$27:$O$40,6,0)</f>
        <v>0.87741477272727275</v>
      </c>
      <c r="BL1082" s="48">
        <f>$G1082/5280*VLOOKUP($AC1082,'Cost and Score'!$B$27:$O$40,7,0)</f>
        <v>81.892045454545453</v>
      </c>
      <c r="BM1082" s="48">
        <f>$G1082/5280*VLOOKUP($AC1082,'Cost and Score'!$B$27:$O$40,8,0)</f>
        <v>136.48674242424241</v>
      </c>
      <c r="BN1082" s="48">
        <f>$G1082/5280*VLOOKUP($AC1082,'Cost and Score'!$B$27:$O$40,9,0)</f>
        <v>0</v>
      </c>
      <c r="BO1082" s="48">
        <f>$G1082/5280*VLOOKUP($AC1082,'Cost and Score'!$B$27:$O$40,10,0)</f>
        <v>0</v>
      </c>
      <c r="BP1082" s="48">
        <f>$G1082/5280*VLOOKUP($AC1082,'Cost and Score'!$B$27:$O$40,11,0)</f>
        <v>77.992424242424235</v>
      </c>
      <c r="BQ1082" s="48">
        <f>$G1082/5280*VLOOKUP($AC1082,'Cost and Score'!$B$27:$O$40,12,0)</f>
        <v>662.93560606060601</v>
      </c>
      <c r="BR1082" s="48">
        <f>$G1082/5280*VLOOKUP($AC1082,'Cost and Score'!$B$27:$O$40,13,0)</f>
        <v>0</v>
      </c>
      <c r="BS1082" s="48">
        <f>$G1082/5280*VLOOKUP($AC1082,'Cost and Score'!$B$27:$O$40,14,0)</f>
        <v>0</v>
      </c>
      <c r="BT1082" s="220">
        <f t="shared" si="543"/>
        <v>0.3899621212121212</v>
      </c>
    </row>
    <row r="1083" spans="1:103" s="2" customFormat="1" ht="14.45" hidden="1" customHeight="1" x14ac:dyDescent="0.25">
      <c r="A1083" s="31" t="s">
        <v>2102</v>
      </c>
      <c r="B1083" s="108" t="s">
        <v>1954</v>
      </c>
      <c r="C1083" s="106" t="s">
        <v>1954</v>
      </c>
      <c r="D1083" s="106"/>
      <c r="E1083" s="106" t="s">
        <v>2414</v>
      </c>
      <c r="F1083" s="106" t="s">
        <v>1955</v>
      </c>
      <c r="G1083" s="109">
        <v>2116</v>
      </c>
      <c r="H1083" s="109">
        <f t="shared" si="569"/>
        <v>20</v>
      </c>
      <c r="I1083" s="106" t="s">
        <v>13</v>
      </c>
      <c r="J1083" s="106" t="s">
        <v>101</v>
      </c>
      <c r="K1083" s="106">
        <v>0</v>
      </c>
      <c r="L1083" s="110">
        <v>5</v>
      </c>
      <c r="M1083" s="110">
        <v>6</v>
      </c>
      <c r="N1083" s="110">
        <v>7</v>
      </c>
      <c r="O1083" s="110">
        <v>6</v>
      </c>
      <c r="P1083" s="110">
        <v>7</v>
      </c>
      <c r="Q1083" s="110">
        <v>7</v>
      </c>
      <c r="R1083" s="110">
        <v>7</v>
      </c>
      <c r="S1083" s="110">
        <v>7</v>
      </c>
      <c r="T1083" s="110">
        <v>7</v>
      </c>
      <c r="U1083" s="110">
        <v>7</v>
      </c>
      <c r="V1083" s="110"/>
      <c r="W1083" s="110"/>
      <c r="X1083" s="110"/>
      <c r="Y1083" s="106">
        <v>50</v>
      </c>
      <c r="Z1083" s="106">
        <f t="shared" si="570"/>
        <v>0</v>
      </c>
      <c r="AA1083" s="106" t="s">
        <v>1955</v>
      </c>
      <c r="AB1083" s="111">
        <f t="shared" si="576"/>
        <v>3</v>
      </c>
      <c r="AC1083" s="26" t="s">
        <v>13</v>
      </c>
      <c r="AD1083" s="107">
        <f t="shared" si="562"/>
        <v>8415.9090909090901</v>
      </c>
      <c r="AE1083" s="198"/>
      <c r="AF1083" s="113">
        <f t="shared" si="547"/>
        <v>0</v>
      </c>
      <c r="AG1083" s="106">
        <v>2023</v>
      </c>
      <c r="AH1083" s="26" t="str">
        <f t="shared" si="557"/>
        <v/>
      </c>
      <c r="AI1083" s="26" t="str">
        <f t="shared" si="563"/>
        <v>Chip Seal and Fog</v>
      </c>
      <c r="AJ1083" s="26" t="str">
        <f t="shared" si="571"/>
        <v/>
      </c>
      <c r="AK1083" s="26" t="str">
        <f t="shared" si="574"/>
        <v/>
      </c>
      <c r="AL1083" s="26" t="str">
        <f t="shared" si="574"/>
        <v/>
      </c>
      <c r="AM1083" s="26" t="str">
        <f t="shared" si="574"/>
        <v/>
      </c>
      <c r="AN1083" s="26" t="str">
        <f t="shared" si="560"/>
        <v>Chip Seal and Fog</v>
      </c>
      <c r="AO1083" s="26" t="str">
        <f t="shared" si="572"/>
        <v/>
      </c>
      <c r="AP1083" s="26" t="str">
        <f t="shared" si="568"/>
        <v/>
      </c>
      <c r="AQ1083" s="68">
        <f t="shared" si="565"/>
        <v>8</v>
      </c>
      <c r="AR1083" s="68">
        <f t="shared" si="566"/>
        <v>6</v>
      </c>
      <c r="AS1083" s="68">
        <f t="shared" si="550"/>
        <v>1.25</v>
      </c>
      <c r="AT1083" s="68">
        <f t="shared" si="551"/>
        <v>1.1000000000000001</v>
      </c>
      <c r="AU1083" s="68">
        <f t="shared" si="552"/>
        <v>1.05</v>
      </c>
      <c r="AV1083" s="68">
        <f t="shared" si="553"/>
        <v>1.1000000000000001</v>
      </c>
      <c r="AW1083" s="68">
        <f t="shared" si="554"/>
        <v>1.05</v>
      </c>
      <c r="AX1083" s="68">
        <f t="shared" ca="1" si="567"/>
        <v>-1.05</v>
      </c>
      <c r="AY1083" s="106">
        <v>2017</v>
      </c>
      <c r="AZ1083" s="106" t="s">
        <v>2072</v>
      </c>
      <c r="BA1083" s="106" t="str">
        <f t="shared" si="573"/>
        <v/>
      </c>
      <c r="BB1083" s="177"/>
      <c r="BC1083" s="177">
        <v>9</v>
      </c>
      <c r="BD1083" s="177"/>
      <c r="BE1083" s="177"/>
      <c r="BF1083" s="177"/>
      <c r="BG1083" s="177"/>
      <c r="BH1083" s="177"/>
      <c r="BI1083" s="33"/>
      <c r="BK1083" s="48">
        <f>$G1083/5280*VLOOKUP($AC1083,'Cost and Score'!$B$27:$O$40,6,0)</f>
        <v>8.0151515151515154E-2</v>
      </c>
      <c r="BL1083" s="48">
        <f>$G1083/5280*VLOOKUP($AC1083,'Cost and Score'!$B$27:$O$40,7,0)</f>
        <v>8.8166666666666664</v>
      </c>
      <c r="BM1083" s="48">
        <f>$G1083/5280*VLOOKUP($AC1083,'Cost and Score'!$B$27:$O$40,8,0)</f>
        <v>0</v>
      </c>
      <c r="BN1083" s="48">
        <f>$G1083/5280*VLOOKUP($AC1083,'Cost and Score'!$B$27:$O$40,9,0)</f>
        <v>1803.409090909091</v>
      </c>
      <c r="BO1083" s="48">
        <f>$G1083/5280*VLOOKUP($AC1083,'Cost and Score'!$B$27:$O$40,10,0)</f>
        <v>400.75757575757575</v>
      </c>
      <c r="BP1083" s="48">
        <f>$G1083/5280*VLOOKUP($AC1083,'Cost and Score'!$B$27:$O$40,11,0)</f>
        <v>0</v>
      </c>
      <c r="BQ1083" s="48">
        <f>$G1083/5280*VLOOKUP($AC1083,'Cost and Score'!$B$27:$O$40,12,0)</f>
        <v>40.075757575757578</v>
      </c>
      <c r="BR1083" s="48">
        <f>$G1083/5280*VLOOKUP($AC1083,'Cost and Score'!$B$27:$O$40,13,0)</f>
        <v>48.090909090909093</v>
      </c>
      <c r="BS1083" s="48">
        <f>$G1083/5280*VLOOKUP($AC1083,'Cost and Score'!$B$27:$O$40,14,0)</f>
        <v>0</v>
      </c>
      <c r="BT1083" s="220">
        <f t="shared" si="543"/>
        <v>0.40075757575757576</v>
      </c>
      <c r="CS1083" s="112"/>
      <c r="CT1083" s="112"/>
      <c r="CU1083" s="112"/>
    </row>
    <row r="1084" spans="1:103" s="112" customFormat="1" ht="14.45" customHeight="1" x14ac:dyDescent="0.25">
      <c r="A1084" s="38" t="s">
        <v>2102</v>
      </c>
      <c r="B1084" s="34" t="s">
        <v>1567</v>
      </c>
      <c r="C1084" s="26" t="s">
        <v>1567</v>
      </c>
      <c r="D1084" s="26"/>
      <c r="E1084" s="26" t="s">
        <v>1568</v>
      </c>
      <c r="F1084" s="26" t="s">
        <v>1446</v>
      </c>
      <c r="G1084" s="29">
        <v>264</v>
      </c>
      <c r="H1084" s="29">
        <f t="shared" si="569"/>
        <v>20</v>
      </c>
      <c r="I1084" s="26" t="s">
        <v>8</v>
      </c>
      <c r="J1084" s="26" t="s">
        <v>160</v>
      </c>
      <c r="K1084" s="26">
        <f t="shared" ref="K1084:K1089" si="577">VLOOKUP(J1084,TOWNSHIPS,2,FALSE)</f>
        <v>0</v>
      </c>
      <c r="L1084" s="42">
        <v>7</v>
      </c>
      <c r="M1084" s="42">
        <v>6</v>
      </c>
      <c r="N1084" s="42">
        <v>6</v>
      </c>
      <c r="O1084" s="42">
        <v>6</v>
      </c>
      <c r="P1084" s="42">
        <v>6</v>
      </c>
      <c r="Q1084" s="42">
        <v>6</v>
      </c>
      <c r="R1084" s="42">
        <v>8</v>
      </c>
      <c r="S1084" s="42">
        <v>8</v>
      </c>
      <c r="T1084" s="42">
        <v>8</v>
      </c>
      <c r="U1084" s="42">
        <v>8</v>
      </c>
      <c r="V1084" s="42"/>
      <c r="W1084" s="42"/>
      <c r="X1084" s="42"/>
      <c r="Y1084" s="26">
        <v>50</v>
      </c>
      <c r="Z1084" s="26">
        <f t="shared" si="570"/>
        <v>0</v>
      </c>
      <c r="AA1084" s="26" t="s">
        <v>1567</v>
      </c>
      <c r="AB1084" s="111">
        <f t="shared" si="576"/>
        <v>4</v>
      </c>
      <c r="AC1084" s="26" t="s">
        <v>751</v>
      </c>
      <c r="AD1084" s="47">
        <f t="shared" si="562"/>
        <v>5500</v>
      </c>
      <c r="AE1084" s="140"/>
      <c r="AF1084" s="113">
        <f t="shared" si="547"/>
        <v>0</v>
      </c>
      <c r="AG1084" s="26">
        <v>2025</v>
      </c>
      <c r="AH1084" s="26" t="str">
        <f t="shared" si="557"/>
        <v/>
      </c>
      <c r="AI1084" s="26" t="str">
        <f t="shared" si="563"/>
        <v/>
      </c>
      <c r="AJ1084" s="26" t="str">
        <f t="shared" si="571"/>
        <v/>
      </c>
      <c r="AK1084" s="26" t="str">
        <f t="shared" si="574"/>
        <v>Overlay - 2"</v>
      </c>
      <c r="AL1084" s="26" t="str">
        <f t="shared" si="574"/>
        <v/>
      </c>
      <c r="AM1084" s="26" t="str">
        <f t="shared" si="574"/>
        <v/>
      </c>
      <c r="AN1084" s="26" t="str">
        <f t="shared" si="560"/>
        <v>Overlay - 2"</v>
      </c>
      <c r="AO1084" s="26" t="str">
        <f t="shared" si="572"/>
        <v/>
      </c>
      <c r="AP1084" s="26" t="str">
        <f t="shared" si="568"/>
        <v/>
      </c>
      <c r="AQ1084" s="68">
        <f t="shared" si="565"/>
        <v>8</v>
      </c>
      <c r="AR1084" s="68">
        <f t="shared" si="566"/>
        <v>12</v>
      </c>
      <c r="AS1084" s="68">
        <f t="shared" si="550"/>
        <v>1.05</v>
      </c>
      <c r="AT1084" s="68">
        <f t="shared" si="551"/>
        <v>1.1000000000000001</v>
      </c>
      <c r="AU1084" s="68">
        <f t="shared" si="552"/>
        <v>1.1000000000000001</v>
      </c>
      <c r="AV1084" s="68">
        <f t="shared" si="553"/>
        <v>1.1000000000000001</v>
      </c>
      <c r="AW1084" s="68">
        <f t="shared" si="554"/>
        <v>1.1000000000000001</v>
      </c>
      <c r="AX1084" s="68">
        <f t="shared" ca="1" si="567"/>
        <v>1.1000000000000001</v>
      </c>
      <c r="AY1084" s="68"/>
      <c r="AZ1084" s="68"/>
      <c r="BA1084" s="106" t="str">
        <f t="shared" si="573"/>
        <v/>
      </c>
      <c r="BB1084" s="178"/>
      <c r="BC1084" s="178"/>
      <c r="BD1084" s="178"/>
      <c r="BE1084" s="178"/>
      <c r="BF1084" s="178"/>
      <c r="BG1084" s="178"/>
      <c r="BH1084" s="178"/>
      <c r="BI1084" s="33"/>
      <c r="BJ1084" s="2"/>
      <c r="BK1084" s="48">
        <f>$G1084/5280*VLOOKUP($AC1084,'Cost and Score'!$B$27:$O$40,6,0)</f>
        <v>0.1125</v>
      </c>
      <c r="BL1084" s="48">
        <f>$G1084/5280*VLOOKUP($AC1084,'Cost and Score'!$B$27:$O$40,7,0)</f>
        <v>10.5</v>
      </c>
      <c r="BM1084" s="48">
        <f>$G1084/5280*VLOOKUP($AC1084,'Cost and Score'!$B$27:$O$40,8,0)</f>
        <v>17.5</v>
      </c>
      <c r="BN1084" s="48">
        <f>$G1084/5280*VLOOKUP($AC1084,'Cost and Score'!$B$27:$O$40,9,0)</f>
        <v>0</v>
      </c>
      <c r="BO1084" s="48">
        <f>$G1084/5280*VLOOKUP($AC1084,'Cost and Score'!$B$27:$O$40,10,0)</f>
        <v>0</v>
      </c>
      <c r="BP1084" s="48">
        <f>$G1084/5280*VLOOKUP($AC1084,'Cost and Score'!$B$27:$O$40,11,0)</f>
        <v>10</v>
      </c>
      <c r="BQ1084" s="48">
        <f>$G1084/5280*VLOOKUP($AC1084,'Cost and Score'!$B$27:$O$40,12,0)</f>
        <v>85</v>
      </c>
      <c r="BR1084" s="48">
        <f>$G1084/5280*VLOOKUP($AC1084,'Cost and Score'!$B$27:$O$40,13,0)</f>
        <v>0</v>
      </c>
      <c r="BS1084" s="48">
        <f>$G1084/5280*VLOOKUP($AC1084,'Cost and Score'!$B$27:$O$40,14,0)</f>
        <v>0</v>
      </c>
      <c r="BT1084" s="220">
        <f t="shared" si="543"/>
        <v>0.05</v>
      </c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</row>
    <row r="1085" spans="1:103" s="2" customFormat="1" ht="14.45" customHeight="1" x14ac:dyDescent="0.25">
      <c r="A1085" s="31" t="s">
        <v>2102</v>
      </c>
      <c r="B1085" s="120" t="s">
        <v>1586</v>
      </c>
      <c r="C1085" s="106" t="s">
        <v>1586</v>
      </c>
      <c r="D1085" s="116" t="s">
        <v>2220</v>
      </c>
      <c r="E1085" s="106" t="s">
        <v>4</v>
      </c>
      <c r="F1085" s="106" t="s">
        <v>1465</v>
      </c>
      <c r="G1085" s="109">
        <v>369</v>
      </c>
      <c r="H1085" s="109">
        <f t="shared" si="569"/>
        <v>26</v>
      </c>
      <c r="I1085" s="106" t="s">
        <v>2098</v>
      </c>
      <c r="J1085" s="106" t="s">
        <v>6</v>
      </c>
      <c r="K1085" s="106">
        <f t="shared" si="577"/>
        <v>0</v>
      </c>
      <c r="L1085" s="110">
        <v>7</v>
      </c>
      <c r="M1085" s="110">
        <v>7</v>
      </c>
      <c r="N1085" s="110">
        <v>7</v>
      </c>
      <c r="O1085" s="110">
        <v>7</v>
      </c>
      <c r="P1085" s="110">
        <v>7</v>
      </c>
      <c r="Q1085" s="110">
        <v>7</v>
      </c>
      <c r="R1085" s="110">
        <v>6</v>
      </c>
      <c r="S1085" s="110">
        <v>6</v>
      </c>
      <c r="T1085" s="110">
        <v>7</v>
      </c>
      <c r="U1085" s="110">
        <v>7</v>
      </c>
      <c r="V1085" s="110"/>
      <c r="W1085" s="110"/>
      <c r="X1085" s="110"/>
      <c r="Y1085" s="106">
        <v>50</v>
      </c>
      <c r="Z1085" s="106">
        <f t="shared" si="570"/>
        <v>0</v>
      </c>
      <c r="AA1085" s="106" t="s">
        <v>1586</v>
      </c>
      <c r="AB1085" s="111">
        <f t="shared" si="576"/>
        <v>3</v>
      </c>
      <c r="AC1085" s="26" t="s">
        <v>751</v>
      </c>
      <c r="AD1085" s="107">
        <f t="shared" si="562"/>
        <v>7687.5</v>
      </c>
      <c r="AE1085" s="198"/>
      <c r="AF1085" s="113">
        <f t="shared" si="547"/>
        <v>0</v>
      </c>
      <c r="AG1085" s="26">
        <v>2025</v>
      </c>
      <c r="AH1085" s="26" t="str">
        <f t="shared" si="557"/>
        <v/>
      </c>
      <c r="AI1085" s="26" t="str">
        <f t="shared" si="563"/>
        <v/>
      </c>
      <c r="AJ1085" s="26" t="str">
        <f t="shared" si="571"/>
        <v/>
      </c>
      <c r="AK1085" s="26" t="str">
        <f t="shared" si="574"/>
        <v>Overlay - 2"</v>
      </c>
      <c r="AL1085" s="26" t="str">
        <f t="shared" si="574"/>
        <v/>
      </c>
      <c r="AM1085" s="26" t="str">
        <f t="shared" si="574"/>
        <v/>
      </c>
      <c r="AN1085" s="26" t="str">
        <f t="shared" si="560"/>
        <v>Overlay - 2"</v>
      </c>
      <c r="AO1085" s="26" t="str">
        <f t="shared" si="572"/>
        <v/>
      </c>
      <c r="AP1085" s="26" t="str">
        <f t="shared" si="568"/>
        <v/>
      </c>
      <c r="AQ1085" s="68">
        <f t="shared" si="565"/>
        <v>10</v>
      </c>
      <c r="AR1085" s="68">
        <f t="shared" si="566"/>
        <v>12</v>
      </c>
      <c r="AS1085" s="68">
        <f t="shared" si="550"/>
        <v>1.05</v>
      </c>
      <c r="AT1085" s="68">
        <f t="shared" si="551"/>
        <v>1.05</v>
      </c>
      <c r="AU1085" s="68">
        <f t="shared" si="552"/>
        <v>1.05</v>
      </c>
      <c r="AV1085" s="68">
        <f t="shared" si="553"/>
        <v>1.05</v>
      </c>
      <c r="AW1085" s="68">
        <f t="shared" si="554"/>
        <v>1.05</v>
      </c>
      <c r="AX1085" s="68">
        <f t="shared" ca="1" si="567"/>
        <v>1.05</v>
      </c>
      <c r="AY1085" s="106">
        <v>2018</v>
      </c>
      <c r="AZ1085" s="68" t="s">
        <v>2086</v>
      </c>
      <c r="BA1085" s="106" t="str">
        <f t="shared" si="573"/>
        <v>F</v>
      </c>
      <c r="BB1085" s="178"/>
      <c r="BC1085" s="178"/>
      <c r="BD1085" s="178"/>
      <c r="BE1085" s="178"/>
      <c r="BF1085" s="178"/>
      <c r="BG1085" s="178"/>
      <c r="BH1085" s="178"/>
      <c r="BI1085" s="33" t="s">
        <v>2425</v>
      </c>
      <c r="BK1085" s="48">
        <f>$G1085/5280*VLOOKUP($AC1085,'Cost and Score'!$B$27:$O$40,6,0)</f>
        <v>0.15724431818181817</v>
      </c>
      <c r="BL1085" s="48">
        <f>$G1085/5280*VLOOKUP($AC1085,'Cost and Score'!$B$27:$O$40,7,0)</f>
        <v>14.676136363636363</v>
      </c>
      <c r="BM1085" s="48">
        <f>$G1085/5280*VLOOKUP($AC1085,'Cost and Score'!$B$27:$O$40,8,0)</f>
        <v>24.460227272727273</v>
      </c>
      <c r="BN1085" s="48">
        <f>$G1085/5280*VLOOKUP($AC1085,'Cost and Score'!$B$27:$O$40,9,0)</f>
        <v>0</v>
      </c>
      <c r="BO1085" s="48">
        <f>$G1085/5280*VLOOKUP($AC1085,'Cost and Score'!$B$27:$O$40,10,0)</f>
        <v>0</v>
      </c>
      <c r="BP1085" s="48">
        <f>$G1085/5280*VLOOKUP($AC1085,'Cost and Score'!$B$27:$O$40,11,0)</f>
        <v>13.977272727272727</v>
      </c>
      <c r="BQ1085" s="48">
        <f>$G1085/5280*VLOOKUP($AC1085,'Cost and Score'!$B$27:$O$40,12,0)</f>
        <v>118.80681818181819</v>
      </c>
      <c r="BR1085" s="48">
        <f>$G1085/5280*VLOOKUP($AC1085,'Cost and Score'!$B$27:$O$40,13,0)</f>
        <v>0</v>
      </c>
      <c r="BS1085" s="48">
        <f>$G1085/5280*VLOOKUP($AC1085,'Cost and Score'!$B$27:$O$40,14,0)</f>
        <v>0</v>
      </c>
      <c r="BT1085" s="220">
        <f t="shared" si="543"/>
        <v>6.9886363636363635E-2</v>
      </c>
      <c r="CG1085" s="112"/>
      <c r="CH1085" s="112"/>
      <c r="CI1085" s="112"/>
      <c r="CJ1085" s="112"/>
      <c r="CK1085" s="112"/>
      <c r="CL1085" s="112"/>
      <c r="CM1085" s="112"/>
      <c r="CR1085" s="112"/>
    </row>
    <row r="1086" spans="1:103" s="2" customFormat="1" ht="14.45" hidden="1" customHeight="1" x14ac:dyDescent="0.25">
      <c r="A1086" s="38" t="s">
        <v>1961</v>
      </c>
      <c r="B1086" s="34" t="s">
        <v>1960</v>
      </c>
      <c r="C1086" s="26" t="s">
        <v>1960</v>
      </c>
      <c r="D1086" s="26"/>
      <c r="E1086" s="26" t="s">
        <v>986</v>
      </c>
      <c r="F1086" s="26" t="s">
        <v>135</v>
      </c>
      <c r="G1086" s="29">
        <v>2520</v>
      </c>
      <c r="H1086" s="29">
        <f t="shared" si="569"/>
        <v>20</v>
      </c>
      <c r="I1086" s="26" t="s">
        <v>8</v>
      </c>
      <c r="J1086" s="26" t="s">
        <v>160</v>
      </c>
      <c r="K1086" s="26">
        <f t="shared" si="577"/>
        <v>0</v>
      </c>
      <c r="L1086" s="42">
        <v>8</v>
      </c>
      <c r="M1086" s="42">
        <v>8</v>
      </c>
      <c r="N1086" s="42">
        <v>7</v>
      </c>
      <c r="O1086" s="42">
        <v>7</v>
      </c>
      <c r="P1086" s="42">
        <v>7</v>
      </c>
      <c r="Q1086" s="42">
        <v>7</v>
      </c>
      <c r="R1086" s="42">
        <v>7</v>
      </c>
      <c r="S1086" s="42">
        <v>7</v>
      </c>
      <c r="T1086" s="42">
        <v>7</v>
      </c>
      <c r="U1086" s="42">
        <v>7</v>
      </c>
      <c r="V1086" s="42">
        <v>2024</v>
      </c>
      <c r="W1086" s="42">
        <v>2021</v>
      </c>
      <c r="X1086" s="42" t="s">
        <v>2612</v>
      </c>
      <c r="Y1086" s="26">
        <v>521</v>
      </c>
      <c r="Z1086" s="26">
        <f t="shared" si="570"/>
        <v>0.5</v>
      </c>
      <c r="AA1086" s="26" t="s">
        <v>1962</v>
      </c>
      <c r="AB1086" s="111">
        <f t="shared" si="576"/>
        <v>3.5</v>
      </c>
      <c r="AC1086" s="106" t="s">
        <v>13</v>
      </c>
      <c r="AD1086" s="47">
        <f t="shared" si="562"/>
        <v>10022.727272727272</v>
      </c>
      <c r="AE1086" s="140"/>
      <c r="AF1086" s="113">
        <f t="shared" si="547"/>
        <v>0</v>
      </c>
      <c r="AG1086" s="85">
        <v>2026</v>
      </c>
      <c r="AH1086" s="26" t="str">
        <f t="shared" si="557"/>
        <v/>
      </c>
      <c r="AI1086" s="26" t="str">
        <f t="shared" si="563"/>
        <v/>
      </c>
      <c r="AJ1086" s="26" t="str">
        <f t="shared" si="571"/>
        <v/>
      </c>
      <c r="AK1086" s="26" t="str">
        <f t="shared" si="574"/>
        <v/>
      </c>
      <c r="AL1086" s="26" t="str">
        <f t="shared" si="574"/>
        <v>Chip Seal and Fog</v>
      </c>
      <c r="AM1086" s="26" t="str">
        <f t="shared" si="574"/>
        <v/>
      </c>
      <c r="AN1086" s="26" t="str">
        <f t="shared" si="560"/>
        <v>Chip Seal and Fog</v>
      </c>
      <c r="AO1086" s="26" t="str">
        <f t="shared" si="572"/>
        <v/>
      </c>
      <c r="AP1086" s="26" t="str">
        <f t="shared" si="568"/>
        <v/>
      </c>
      <c r="AQ1086" s="68">
        <f t="shared" si="565"/>
        <v>10</v>
      </c>
      <c r="AR1086" s="68">
        <f t="shared" si="566"/>
        <v>6</v>
      </c>
      <c r="AS1086" s="68">
        <f t="shared" si="550"/>
        <v>1</v>
      </c>
      <c r="AT1086" s="68">
        <f t="shared" si="551"/>
        <v>1</v>
      </c>
      <c r="AU1086" s="68">
        <f t="shared" si="552"/>
        <v>1.05</v>
      </c>
      <c r="AV1086" s="68">
        <f t="shared" si="553"/>
        <v>1.05</v>
      </c>
      <c r="AW1086" s="68">
        <f t="shared" si="554"/>
        <v>1.05</v>
      </c>
      <c r="AX1086" s="68">
        <f t="shared" ca="1" si="567"/>
        <v>2.1</v>
      </c>
      <c r="AY1086" s="68">
        <v>2020</v>
      </c>
      <c r="AZ1086" s="68" t="s">
        <v>13</v>
      </c>
      <c r="BA1086" s="106" t="str">
        <f t="shared" si="573"/>
        <v/>
      </c>
      <c r="BB1086" s="178"/>
      <c r="BC1086" s="177">
        <v>8</v>
      </c>
      <c r="BD1086" s="177"/>
      <c r="BE1086" s="177"/>
      <c r="BF1086" s="177"/>
      <c r="BG1086" s="177"/>
      <c r="BH1086" s="177"/>
      <c r="BI1086" s="33"/>
      <c r="BK1086" s="48">
        <f>$G1086/5280*VLOOKUP($AC1086,'Cost and Score'!$B$27:$O$40,6,0)</f>
        <v>9.5454545454545459E-2</v>
      </c>
      <c r="BL1086" s="48">
        <f>$G1086/5280*VLOOKUP($AC1086,'Cost and Score'!$B$27:$O$40,7,0)</f>
        <v>10.5</v>
      </c>
      <c r="BM1086" s="48">
        <f>$G1086/5280*VLOOKUP($AC1086,'Cost and Score'!$B$27:$O$40,8,0)</f>
        <v>0</v>
      </c>
      <c r="BN1086" s="48">
        <f>$G1086/5280*VLOOKUP($AC1086,'Cost and Score'!$B$27:$O$40,9,0)</f>
        <v>2147.727272727273</v>
      </c>
      <c r="BO1086" s="48">
        <f>$G1086/5280*VLOOKUP($AC1086,'Cost and Score'!$B$27:$O$40,10,0)</f>
        <v>477.27272727272731</v>
      </c>
      <c r="BP1086" s="48">
        <f>$G1086/5280*VLOOKUP($AC1086,'Cost and Score'!$B$27:$O$40,11,0)</f>
        <v>0</v>
      </c>
      <c r="BQ1086" s="48">
        <f>$G1086/5280*VLOOKUP($AC1086,'Cost and Score'!$B$27:$O$40,12,0)</f>
        <v>47.727272727272727</v>
      </c>
      <c r="BR1086" s="48">
        <f>$G1086/5280*VLOOKUP($AC1086,'Cost and Score'!$B$27:$O$40,13,0)</f>
        <v>57.272727272727273</v>
      </c>
      <c r="BS1086" s="48">
        <f>$G1086/5280*VLOOKUP($AC1086,'Cost and Score'!$B$27:$O$40,14,0)</f>
        <v>0</v>
      </c>
      <c r="BT1086" s="220">
        <f t="shared" si="543"/>
        <v>0.47727272727272729</v>
      </c>
    </row>
    <row r="1087" spans="1:103" s="2" customFormat="1" ht="14.45" hidden="1" customHeight="1" x14ac:dyDescent="0.25">
      <c r="A1087" s="36" t="s">
        <v>1964</v>
      </c>
      <c r="B1087" s="34" t="s">
        <v>1963</v>
      </c>
      <c r="C1087" s="85" t="s">
        <v>1963</v>
      </c>
      <c r="D1087" s="85"/>
      <c r="E1087" s="85" t="s">
        <v>135</v>
      </c>
      <c r="F1087" s="85" t="s">
        <v>1132</v>
      </c>
      <c r="G1087" s="29">
        <v>2720</v>
      </c>
      <c r="H1087" s="29">
        <f t="shared" si="569"/>
        <v>20</v>
      </c>
      <c r="I1087" s="85" t="s">
        <v>8</v>
      </c>
      <c r="J1087" s="85" t="s">
        <v>160</v>
      </c>
      <c r="K1087" s="85">
        <f t="shared" si="577"/>
        <v>0</v>
      </c>
      <c r="L1087" s="74">
        <v>8</v>
      </c>
      <c r="M1087" s="74">
        <v>7</v>
      </c>
      <c r="N1087" s="74">
        <v>7</v>
      </c>
      <c r="O1087" s="74">
        <v>7</v>
      </c>
      <c r="P1087" s="74">
        <v>7</v>
      </c>
      <c r="Q1087" s="74">
        <v>7</v>
      </c>
      <c r="R1087" s="74">
        <v>8</v>
      </c>
      <c r="S1087" s="74">
        <v>7</v>
      </c>
      <c r="T1087" s="74">
        <v>6</v>
      </c>
      <c r="U1087" s="74">
        <v>7</v>
      </c>
      <c r="V1087" s="74">
        <v>2024</v>
      </c>
      <c r="W1087" s="74">
        <v>2021</v>
      </c>
      <c r="X1087" s="74" t="s">
        <v>2612</v>
      </c>
      <c r="Y1087" s="85">
        <v>587</v>
      </c>
      <c r="Z1087" s="85">
        <f t="shared" si="570"/>
        <v>0.5</v>
      </c>
      <c r="AA1087" s="85" t="s">
        <v>1962</v>
      </c>
      <c r="AB1087" s="111">
        <f t="shared" si="576"/>
        <v>3.5</v>
      </c>
      <c r="AC1087" s="85" t="s">
        <v>751</v>
      </c>
      <c r="AD1087" s="47">
        <f t="shared" si="562"/>
        <v>56666.666666666664</v>
      </c>
      <c r="AE1087" s="140">
        <v>1</v>
      </c>
      <c r="AF1087" s="113">
        <f t="shared" si="547"/>
        <v>56666.666666666664</v>
      </c>
      <c r="AG1087" s="106">
        <v>2024</v>
      </c>
      <c r="AH1087" s="26" t="str">
        <f t="shared" si="557"/>
        <v/>
      </c>
      <c r="AI1087" s="26" t="str">
        <f t="shared" si="563"/>
        <v/>
      </c>
      <c r="AJ1087" s="26" t="str">
        <f t="shared" si="571"/>
        <v>Overlay - 2"</v>
      </c>
      <c r="AK1087" s="26" t="str">
        <f t="shared" si="574"/>
        <v/>
      </c>
      <c r="AL1087" s="26" t="str">
        <f t="shared" si="574"/>
        <v/>
      </c>
      <c r="AM1087" s="26" t="str">
        <f t="shared" si="574"/>
        <v/>
      </c>
      <c r="AN1087" s="26" t="str">
        <f t="shared" si="560"/>
        <v>Overlay - 2"</v>
      </c>
      <c r="AO1087" s="26" t="str">
        <f t="shared" si="572"/>
        <v/>
      </c>
      <c r="AP1087" s="26" t="str">
        <f t="shared" si="568"/>
        <v/>
      </c>
      <c r="AQ1087" s="68">
        <f t="shared" si="565"/>
        <v>10</v>
      </c>
      <c r="AR1087" s="68">
        <f t="shared" si="566"/>
        <v>12</v>
      </c>
      <c r="AS1087" s="68">
        <f t="shared" si="550"/>
        <v>1</v>
      </c>
      <c r="AT1087" s="68">
        <f t="shared" si="551"/>
        <v>1.05</v>
      </c>
      <c r="AU1087" s="68">
        <f t="shared" si="552"/>
        <v>1.05</v>
      </c>
      <c r="AV1087" s="68">
        <f t="shared" si="553"/>
        <v>1.05</v>
      </c>
      <c r="AW1087" s="68">
        <f t="shared" si="554"/>
        <v>1.05</v>
      </c>
      <c r="AX1087" s="68">
        <f t="shared" ca="1" si="567"/>
        <v>0</v>
      </c>
      <c r="AY1087" s="68">
        <v>2015</v>
      </c>
      <c r="AZ1087" s="68" t="s">
        <v>2075</v>
      </c>
      <c r="BA1087" s="106" t="str">
        <f t="shared" si="573"/>
        <v/>
      </c>
      <c r="BB1087" s="178"/>
      <c r="BC1087" s="177">
        <v>8</v>
      </c>
      <c r="BD1087" s="177"/>
      <c r="BE1087" s="177"/>
      <c r="BF1087" s="177"/>
      <c r="BG1087" s="177"/>
      <c r="BH1087" s="177"/>
      <c r="BI1087" s="33"/>
      <c r="BK1087" s="48">
        <f>$G1087/5280*VLOOKUP($AC1087,'Cost and Score'!$B$27:$O$40,6,0)</f>
        <v>1.1590909090909092</v>
      </c>
      <c r="BL1087" s="48">
        <f>$G1087/5280*VLOOKUP($AC1087,'Cost and Score'!$B$27:$O$40,7,0)</f>
        <v>108.18181818181817</v>
      </c>
      <c r="BM1087" s="48">
        <f>$G1087/5280*VLOOKUP($AC1087,'Cost and Score'!$B$27:$O$40,8,0)</f>
        <v>180.30303030303031</v>
      </c>
      <c r="BN1087" s="48">
        <f>$G1087/5280*VLOOKUP($AC1087,'Cost and Score'!$B$27:$O$40,9,0)</f>
        <v>0</v>
      </c>
      <c r="BO1087" s="48">
        <f>$G1087/5280*VLOOKUP($AC1087,'Cost and Score'!$B$27:$O$40,10,0)</f>
        <v>0</v>
      </c>
      <c r="BP1087" s="48">
        <f>$G1087/5280*VLOOKUP($AC1087,'Cost and Score'!$B$27:$O$40,11,0)</f>
        <v>103.03030303030303</v>
      </c>
      <c r="BQ1087" s="48">
        <f>$G1087/5280*VLOOKUP($AC1087,'Cost and Score'!$B$27:$O$40,12,0)</f>
        <v>875.75757575757575</v>
      </c>
      <c r="BR1087" s="48">
        <f>$G1087/5280*VLOOKUP($AC1087,'Cost and Score'!$B$27:$O$40,13,0)</f>
        <v>0</v>
      </c>
      <c r="BS1087" s="48">
        <f>$G1087/5280*VLOOKUP($AC1087,'Cost and Score'!$B$27:$O$40,14,0)</f>
        <v>0</v>
      </c>
      <c r="BT1087" s="220">
        <f t="shared" si="543"/>
        <v>0.51515151515151514</v>
      </c>
    </row>
    <row r="1088" spans="1:103" s="2" customFormat="1" ht="14.45" customHeight="1" x14ac:dyDescent="0.25">
      <c r="A1088" s="15" t="s">
        <v>578</v>
      </c>
      <c r="B1088" s="108" t="s">
        <v>577</v>
      </c>
      <c r="C1088" s="106" t="s">
        <v>577</v>
      </c>
      <c r="D1088" s="106"/>
      <c r="E1088" s="106" t="s">
        <v>102</v>
      </c>
      <c r="F1088" s="106" t="s">
        <v>4</v>
      </c>
      <c r="G1088" s="109">
        <v>5350</v>
      </c>
      <c r="H1088" s="109">
        <f t="shared" si="569"/>
        <v>20</v>
      </c>
      <c r="I1088" s="106" t="s">
        <v>8</v>
      </c>
      <c r="J1088" s="106" t="s">
        <v>6</v>
      </c>
      <c r="K1088" s="106">
        <f t="shared" si="577"/>
        <v>0</v>
      </c>
      <c r="L1088" s="110">
        <v>7</v>
      </c>
      <c r="M1088" s="110">
        <v>7</v>
      </c>
      <c r="N1088" s="110">
        <v>7</v>
      </c>
      <c r="O1088" s="110">
        <v>7</v>
      </c>
      <c r="P1088" s="110">
        <v>7</v>
      </c>
      <c r="Q1088" s="110">
        <v>7</v>
      </c>
      <c r="R1088" s="110">
        <v>6</v>
      </c>
      <c r="S1088" s="110">
        <v>6</v>
      </c>
      <c r="T1088" s="110">
        <v>6</v>
      </c>
      <c r="U1088" s="110">
        <v>7</v>
      </c>
      <c r="V1088" s="110">
        <v>2024</v>
      </c>
      <c r="W1088" s="110"/>
      <c r="X1088" s="110" t="s">
        <v>2619</v>
      </c>
      <c r="Y1088" s="106">
        <v>975</v>
      </c>
      <c r="Z1088" s="106">
        <f t="shared" si="570"/>
        <v>0.5</v>
      </c>
      <c r="AA1088" s="106" t="s">
        <v>104</v>
      </c>
      <c r="AB1088" s="111">
        <f t="shared" si="576"/>
        <v>3.5</v>
      </c>
      <c r="AC1088" s="106" t="s">
        <v>2072</v>
      </c>
      <c r="AD1088" s="107">
        <f t="shared" si="562"/>
        <v>46609.848484848488</v>
      </c>
      <c r="AE1088" s="140"/>
      <c r="AF1088" s="113">
        <f t="shared" si="547"/>
        <v>0</v>
      </c>
      <c r="AG1088" s="106">
        <v>2025</v>
      </c>
      <c r="AH1088" s="26" t="str">
        <f t="shared" si="557"/>
        <v/>
      </c>
      <c r="AI1088" s="26" t="str">
        <f t="shared" si="563"/>
        <v/>
      </c>
      <c r="AJ1088" s="26" t="str">
        <f t="shared" si="571"/>
        <v/>
      </c>
      <c r="AK1088" s="26" t="str">
        <f t="shared" ref="AK1088:AM1107" si="578">IF($AG1088=AK$1,VLOOKUP($AC1088,RSL,3,FALSE),"")</f>
        <v>Chip Seal - Triple</v>
      </c>
      <c r="AL1088" s="26" t="str">
        <f t="shared" si="578"/>
        <v/>
      </c>
      <c r="AM1088" s="26" t="str">
        <f t="shared" si="578"/>
        <v/>
      </c>
      <c r="AN1088" s="26" t="str">
        <f t="shared" si="560"/>
        <v>Chip Seal - Triple</v>
      </c>
      <c r="AO1088" s="26" t="str">
        <f t="shared" si="572"/>
        <v/>
      </c>
      <c r="AP1088" s="26" t="str">
        <f t="shared" si="568"/>
        <v/>
      </c>
      <c r="AQ1088" s="68">
        <f t="shared" si="565"/>
        <v>10</v>
      </c>
      <c r="AR1088" s="68">
        <f t="shared" si="566"/>
        <v>8</v>
      </c>
      <c r="AS1088" s="68">
        <f t="shared" si="550"/>
        <v>1.05</v>
      </c>
      <c r="AT1088" s="68">
        <f t="shared" si="551"/>
        <v>1.05</v>
      </c>
      <c r="AU1088" s="68">
        <f t="shared" si="552"/>
        <v>1.05</v>
      </c>
      <c r="AV1088" s="68">
        <f t="shared" si="553"/>
        <v>1.05</v>
      </c>
      <c r="AW1088" s="68">
        <f t="shared" si="554"/>
        <v>1.05</v>
      </c>
      <c r="AX1088" s="68">
        <f t="shared" ca="1" si="567"/>
        <v>1.05</v>
      </c>
      <c r="AY1088" s="106">
        <v>2017</v>
      </c>
      <c r="AZ1088" s="106" t="s">
        <v>2075</v>
      </c>
      <c r="BA1088" s="106" t="str">
        <f t="shared" si="573"/>
        <v/>
      </c>
      <c r="BB1088" s="177"/>
      <c r="BC1088" s="177">
        <v>8</v>
      </c>
      <c r="BD1088" s="177"/>
      <c r="BE1088" s="177"/>
      <c r="BF1088" s="177"/>
      <c r="BG1088" s="177"/>
      <c r="BH1088" s="177"/>
      <c r="BI1088" s="33"/>
      <c r="BK1088" s="48">
        <f>$G1088/5280*VLOOKUP($AC1088,'Cost and Score'!$B$27:$O$40,6,0)</f>
        <v>0.60795454545454541</v>
      </c>
      <c r="BL1088" s="48">
        <f>$G1088/5280*VLOOKUP($AC1088,'Cost and Score'!$B$27:$O$40,7,0)</f>
        <v>126.65719696969695</v>
      </c>
      <c r="BM1088" s="48">
        <f>$G1088/5280*VLOOKUP($AC1088,'Cost and Score'!$B$27:$O$40,8,0)</f>
        <v>202.65151515151513</v>
      </c>
      <c r="BN1088" s="48">
        <f>$G1088/5280*VLOOKUP($AC1088,'Cost and Score'!$B$27:$O$40,9,0)</f>
        <v>2026.5151515151513</v>
      </c>
      <c r="BO1088" s="48">
        <f>$G1088/5280*VLOOKUP($AC1088,'Cost and Score'!$B$27:$O$40,10,0)</f>
        <v>506.62878787878782</v>
      </c>
      <c r="BP1088" s="48">
        <f>$G1088/5280*VLOOKUP($AC1088,'Cost and Score'!$B$27:$O$40,11,0)</f>
        <v>101.32575757575756</v>
      </c>
      <c r="BQ1088" s="48">
        <f>$G1088/5280*VLOOKUP($AC1088,'Cost and Score'!$B$27:$O$40,12,0)</f>
        <v>810.60606060606051</v>
      </c>
      <c r="BR1088" s="48">
        <f>$G1088/5280*VLOOKUP($AC1088,'Cost and Score'!$B$27:$O$40,13,0)</f>
        <v>81.060606060606062</v>
      </c>
      <c r="BS1088" s="48">
        <f>$G1088/5280*VLOOKUP($AC1088,'Cost and Score'!$B$27:$O$40,14,0)</f>
        <v>0</v>
      </c>
      <c r="BT1088" s="220">
        <f t="shared" si="543"/>
        <v>1.0132575757575757</v>
      </c>
      <c r="BY1088" s="2" t="s">
        <v>2086</v>
      </c>
      <c r="BZ1088" s="27">
        <v>2000</v>
      </c>
      <c r="CA1088" s="2" t="s">
        <v>2087</v>
      </c>
      <c r="CS1088" s="112"/>
      <c r="CT1088" s="112"/>
      <c r="CU1088" s="112"/>
      <c r="CW1088" s="112"/>
      <c r="CX1088" s="112"/>
      <c r="CY1088" s="112"/>
    </row>
    <row r="1089" spans="1:103" s="2" customFormat="1" ht="14.45" customHeight="1" x14ac:dyDescent="0.25">
      <c r="A1089" s="36" t="s">
        <v>693</v>
      </c>
      <c r="B1089" s="34" t="s">
        <v>692</v>
      </c>
      <c r="C1089" s="26" t="s">
        <v>692</v>
      </c>
      <c r="D1089" s="26"/>
      <c r="E1089" s="26" t="s">
        <v>138</v>
      </c>
      <c r="F1089" s="26" t="s">
        <v>135</v>
      </c>
      <c r="G1089" s="29">
        <v>5390</v>
      </c>
      <c r="H1089" s="29">
        <f t="shared" si="569"/>
        <v>20</v>
      </c>
      <c r="I1089" s="26" t="s">
        <v>8</v>
      </c>
      <c r="J1089" s="26" t="s">
        <v>125</v>
      </c>
      <c r="K1089" s="26">
        <f t="shared" si="577"/>
        <v>0</v>
      </c>
      <c r="L1089" s="42">
        <v>4</v>
      </c>
      <c r="M1089" s="42">
        <v>8</v>
      </c>
      <c r="N1089" s="42">
        <v>8</v>
      </c>
      <c r="O1089" s="42">
        <v>8</v>
      </c>
      <c r="P1089" s="42">
        <v>7</v>
      </c>
      <c r="Q1089" s="42">
        <v>7</v>
      </c>
      <c r="R1089" s="42">
        <v>7</v>
      </c>
      <c r="S1089" s="42">
        <v>6</v>
      </c>
      <c r="T1089" s="42">
        <v>6</v>
      </c>
      <c r="U1089" s="42">
        <v>6</v>
      </c>
      <c r="V1089" s="42"/>
      <c r="W1089" s="42"/>
      <c r="X1089" s="42"/>
      <c r="Y1089" s="26">
        <v>785</v>
      </c>
      <c r="Z1089" s="26">
        <f t="shared" si="570"/>
        <v>0.5</v>
      </c>
      <c r="AA1089" s="26" t="s">
        <v>25</v>
      </c>
      <c r="AB1089" s="111">
        <f t="shared" si="576"/>
        <v>3.5</v>
      </c>
      <c r="AC1089" s="85" t="s">
        <v>2072</v>
      </c>
      <c r="AD1089" s="47">
        <f t="shared" si="562"/>
        <v>46958.333333333336</v>
      </c>
      <c r="AE1089" s="140"/>
      <c r="AF1089" s="113">
        <f t="shared" si="547"/>
        <v>0</v>
      </c>
      <c r="AG1089" s="106">
        <v>2025</v>
      </c>
      <c r="AH1089" s="26" t="str">
        <f t="shared" si="557"/>
        <v/>
      </c>
      <c r="AI1089" s="26" t="str">
        <f t="shared" si="563"/>
        <v/>
      </c>
      <c r="AJ1089" s="26" t="str">
        <f t="shared" si="571"/>
        <v/>
      </c>
      <c r="AK1089" s="26" t="str">
        <f t="shared" si="578"/>
        <v>Chip Seal - Triple</v>
      </c>
      <c r="AL1089" s="26" t="str">
        <f t="shared" si="578"/>
        <v/>
      </c>
      <c r="AM1089" s="26" t="str">
        <f t="shared" si="578"/>
        <v/>
      </c>
      <c r="AN1089" s="26" t="str">
        <f t="shared" si="560"/>
        <v>Chip Seal - Triple</v>
      </c>
      <c r="AO1089" s="26" t="str">
        <f t="shared" si="572"/>
        <v/>
      </c>
      <c r="AP1089" s="26" t="str">
        <f t="shared" si="568"/>
        <v/>
      </c>
      <c r="AQ1089" s="68">
        <f t="shared" ref="AQ1089:AQ1120" si="579">VLOOKUP(O1089,RSLrem,2,FALSE)</f>
        <v>12</v>
      </c>
      <c r="AR1089" s="68">
        <f t="shared" ref="AR1089:AR1120" si="580">VLOOKUP(AC1089,RSL,5,FALSE)</f>
        <v>8</v>
      </c>
      <c r="AS1089" s="68">
        <f t="shared" si="550"/>
        <v>1.5</v>
      </c>
      <c r="AT1089" s="68">
        <f t="shared" si="551"/>
        <v>1</v>
      </c>
      <c r="AU1089" s="68">
        <f t="shared" si="552"/>
        <v>1</v>
      </c>
      <c r="AV1089" s="68">
        <f t="shared" si="553"/>
        <v>1</v>
      </c>
      <c r="AW1089" s="68">
        <f t="shared" si="554"/>
        <v>1.05</v>
      </c>
      <c r="AX1089" s="68">
        <f t="shared" ref="AX1089:AX1120" ca="1" si="581">AU1089*(AG1089-YEAR(TODAY()))</f>
        <v>1</v>
      </c>
      <c r="AY1089" s="68">
        <v>2019</v>
      </c>
      <c r="AZ1089" s="68" t="s">
        <v>13</v>
      </c>
      <c r="BA1089" s="106" t="str">
        <f t="shared" si="573"/>
        <v/>
      </c>
      <c r="BB1089" s="178"/>
      <c r="BC1089" s="178">
        <v>2</v>
      </c>
      <c r="BD1089" s="178"/>
      <c r="BE1089" s="178"/>
      <c r="BF1089" s="178"/>
      <c r="BG1089" s="178"/>
      <c r="BH1089" s="178"/>
      <c r="BI1089" s="33"/>
      <c r="BK1089" s="48">
        <f>$G1089/5280*VLOOKUP($AC1089,'Cost and Score'!$B$27:$O$40,6,0)</f>
        <v>0.61249999999999993</v>
      </c>
      <c r="BL1089" s="48">
        <f>$G1089/5280*VLOOKUP($AC1089,'Cost and Score'!$B$27:$O$40,7,0)</f>
        <v>127.60416666666666</v>
      </c>
      <c r="BM1089" s="48">
        <f>$G1089/5280*VLOOKUP($AC1089,'Cost and Score'!$B$27:$O$40,8,0)</f>
        <v>204.16666666666666</v>
      </c>
      <c r="BN1089" s="48">
        <f>$G1089/5280*VLOOKUP($AC1089,'Cost and Score'!$B$27:$O$40,9,0)</f>
        <v>2041.6666666666665</v>
      </c>
      <c r="BO1089" s="48">
        <f>$G1089/5280*VLOOKUP($AC1089,'Cost and Score'!$B$27:$O$40,10,0)</f>
        <v>510.41666666666663</v>
      </c>
      <c r="BP1089" s="48">
        <f>$G1089/5280*VLOOKUP($AC1089,'Cost and Score'!$B$27:$O$40,11,0)</f>
        <v>102.08333333333333</v>
      </c>
      <c r="BQ1089" s="48">
        <f>$G1089/5280*VLOOKUP($AC1089,'Cost and Score'!$B$27:$O$40,12,0)</f>
        <v>816.66666666666663</v>
      </c>
      <c r="BR1089" s="48">
        <f>$G1089/5280*VLOOKUP($AC1089,'Cost and Score'!$B$27:$O$40,13,0)</f>
        <v>81.666666666666657</v>
      </c>
      <c r="BS1089" s="48">
        <f>$G1089/5280*VLOOKUP($AC1089,'Cost and Score'!$B$27:$O$40,14,0)</f>
        <v>0</v>
      </c>
      <c r="BT1089" s="220">
        <f t="shared" si="543"/>
        <v>1.0208333333333333</v>
      </c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</row>
    <row r="1090" spans="1:103" s="2" customFormat="1" ht="14.45" customHeight="1" x14ac:dyDescent="0.25">
      <c r="A1090" s="36" t="s">
        <v>706</v>
      </c>
      <c r="B1090" s="34" t="s">
        <v>705</v>
      </c>
      <c r="C1090" s="85" t="s">
        <v>705</v>
      </c>
      <c r="D1090" s="85"/>
      <c r="E1090" s="85" t="s">
        <v>86</v>
      </c>
      <c r="F1090" s="85" t="s">
        <v>504</v>
      </c>
      <c r="G1090" s="29">
        <v>5790</v>
      </c>
      <c r="H1090" s="29">
        <f t="shared" si="569"/>
        <v>20</v>
      </c>
      <c r="I1090" s="85" t="s">
        <v>8</v>
      </c>
      <c r="J1090" s="85" t="s">
        <v>101</v>
      </c>
      <c r="K1090" s="85">
        <v>0</v>
      </c>
      <c r="L1090" s="74">
        <v>8</v>
      </c>
      <c r="M1090" s="74">
        <v>7</v>
      </c>
      <c r="N1090" s="74">
        <v>7</v>
      </c>
      <c r="O1090" s="74">
        <v>7</v>
      </c>
      <c r="P1090" s="74">
        <v>7</v>
      </c>
      <c r="Q1090" s="74">
        <v>7</v>
      </c>
      <c r="R1090" s="74">
        <v>6</v>
      </c>
      <c r="S1090" s="74">
        <v>6</v>
      </c>
      <c r="T1090" s="74">
        <v>6</v>
      </c>
      <c r="U1090" s="74">
        <v>6</v>
      </c>
      <c r="V1090" s="74">
        <v>2024</v>
      </c>
      <c r="W1090" s="74">
        <v>2021</v>
      </c>
      <c r="X1090" s="74" t="s">
        <v>2612</v>
      </c>
      <c r="Y1090" s="85">
        <v>677</v>
      </c>
      <c r="Z1090" s="85">
        <f t="shared" si="570"/>
        <v>0.5</v>
      </c>
      <c r="AA1090" s="85" t="s">
        <v>25</v>
      </c>
      <c r="AB1090" s="111">
        <f t="shared" si="576"/>
        <v>3.5</v>
      </c>
      <c r="AC1090" s="85" t="s">
        <v>2072</v>
      </c>
      <c r="AD1090" s="47">
        <f t="shared" si="562"/>
        <v>50443.181818181816</v>
      </c>
      <c r="AE1090" s="140"/>
      <c r="AF1090" s="113">
        <f t="shared" si="547"/>
        <v>0</v>
      </c>
      <c r="AG1090" s="106">
        <v>2025</v>
      </c>
      <c r="AH1090" s="26" t="str">
        <f t="shared" si="557"/>
        <v/>
      </c>
      <c r="AI1090" s="26" t="str">
        <f t="shared" si="563"/>
        <v/>
      </c>
      <c r="AJ1090" s="26" t="str">
        <f t="shared" si="571"/>
        <v/>
      </c>
      <c r="AK1090" s="26" t="str">
        <f t="shared" si="578"/>
        <v>Chip Seal - Triple</v>
      </c>
      <c r="AL1090" s="26" t="str">
        <f t="shared" si="578"/>
        <v/>
      </c>
      <c r="AM1090" s="26" t="str">
        <f t="shared" si="578"/>
        <v/>
      </c>
      <c r="AN1090" s="26" t="str">
        <f t="shared" si="560"/>
        <v>Chip Seal - Triple</v>
      </c>
      <c r="AO1090" s="26" t="str">
        <f t="shared" si="572"/>
        <v/>
      </c>
      <c r="AP1090" s="26" t="str">
        <f t="shared" si="568"/>
        <v/>
      </c>
      <c r="AQ1090" s="68">
        <f t="shared" si="579"/>
        <v>10</v>
      </c>
      <c r="AR1090" s="68">
        <f t="shared" si="580"/>
        <v>8</v>
      </c>
      <c r="AS1090" s="68">
        <f t="shared" si="550"/>
        <v>1</v>
      </c>
      <c r="AT1090" s="68">
        <f t="shared" si="551"/>
        <v>1.05</v>
      </c>
      <c r="AU1090" s="68">
        <f t="shared" si="552"/>
        <v>1.05</v>
      </c>
      <c r="AV1090" s="68">
        <f t="shared" si="553"/>
        <v>1.05</v>
      </c>
      <c r="AW1090" s="68">
        <f t="shared" si="554"/>
        <v>1.05</v>
      </c>
      <c r="AX1090" s="68">
        <f t="shared" ca="1" si="581"/>
        <v>1.05</v>
      </c>
      <c r="AY1090" s="68">
        <v>2015</v>
      </c>
      <c r="AZ1090" s="68" t="s">
        <v>2075</v>
      </c>
      <c r="BA1090" s="106" t="str">
        <f t="shared" si="573"/>
        <v/>
      </c>
      <c r="BB1090" s="178"/>
      <c r="BC1090" s="178">
        <v>4</v>
      </c>
      <c r="BD1090" s="178"/>
      <c r="BE1090" s="178"/>
      <c r="BF1090" s="178"/>
      <c r="BG1090" s="178"/>
      <c r="BH1090" s="178"/>
      <c r="BI1090" s="33"/>
      <c r="BK1090" s="48">
        <f>$G1090/5280*VLOOKUP($AC1090,'Cost and Score'!$B$27:$O$40,6,0)</f>
        <v>0.65795454545454546</v>
      </c>
      <c r="BL1090" s="48">
        <f>$G1090/5280*VLOOKUP($AC1090,'Cost and Score'!$B$27:$O$40,7,0)</f>
        <v>137.07386363636365</v>
      </c>
      <c r="BM1090" s="48">
        <f>$G1090/5280*VLOOKUP($AC1090,'Cost and Score'!$B$27:$O$40,8,0)</f>
        <v>219.31818181818184</v>
      </c>
      <c r="BN1090" s="48">
        <f>$G1090/5280*VLOOKUP($AC1090,'Cost and Score'!$B$27:$O$40,9,0)</f>
        <v>2193.1818181818185</v>
      </c>
      <c r="BO1090" s="48">
        <f>$G1090/5280*VLOOKUP($AC1090,'Cost and Score'!$B$27:$O$40,10,0)</f>
        <v>548.29545454545462</v>
      </c>
      <c r="BP1090" s="48">
        <f>$G1090/5280*VLOOKUP($AC1090,'Cost and Score'!$B$27:$O$40,11,0)</f>
        <v>109.65909090909092</v>
      </c>
      <c r="BQ1090" s="48">
        <f>$G1090/5280*VLOOKUP($AC1090,'Cost and Score'!$B$27:$O$40,12,0)</f>
        <v>877.27272727272737</v>
      </c>
      <c r="BR1090" s="48">
        <f>$G1090/5280*VLOOKUP($AC1090,'Cost and Score'!$B$27:$O$40,13,0)</f>
        <v>87.727272727272734</v>
      </c>
      <c r="BS1090" s="48">
        <f>$G1090/5280*VLOOKUP($AC1090,'Cost and Score'!$B$27:$O$40,14,0)</f>
        <v>0</v>
      </c>
      <c r="BT1090" s="220">
        <f t="shared" ref="BT1090:BT1153" si="582">G1090/5280</f>
        <v>1.0965909090909092</v>
      </c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</row>
    <row r="1091" spans="1:103" s="2" customFormat="1" ht="14.45" hidden="1" customHeight="1" x14ac:dyDescent="0.25">
      <c r="A1091" s="31" t="s">
        <v>2102</v>
      </c>
      <c r="B1091" s="120" t="s">
        <v>1969</v>
      </c>
      <c r="C1091" s="106" t="s">
        <v>1969</v>
      </c>
      <c r="D1091" s="116" t="s">
        <v>2231</v>
      </c>
      <c r="E1091" s="106" t="s">
        <v>1458</v>
      </c>
      <c r="F1091" s="106" t="s">
        <v>1459</v>
      </c>
      <c r="G1091" s="109">
        <v>441</v>
      </c>
      <c r="H1091" s="109">
        <f t="shared" si="569"/>
        <v>26</v>
      </c>
      <c r="I1091" s="106" t="s">
        <v>2098</v>
      </c>
      <c r="J1091" s="106" t="s">
        <v>160</v>
      </c>
      <c r="K1091" s="106">
        <f>VLOOKUP(J1091,TOWNSHIPS,2,FALSE)</f>
        <v>0</v>
      </c>
      <c r="L1091" s="110">
        <v>7</v>
      </c>
      <c r="M1091" s="110">
        <v>8</v>
      </c>
      <c r="N1091" s="110">
        <v>8</v>
      </c>
      <c r="O1091" s="110">
        <v>8</v>
      </c>
      <c r="P1091" s="110">
        <v>8</v>
      </c>
      <c r="Q1091" s="110">
        <v>8</v>
      </c>
      <c r="R1091" s="110">
        <v>8</v>
      </c>
      <c r="S1091" s="110">
        <v>7</v>
      </c>
      <c r="T1091" s="110">
        <v>7</v>
      </c>
      <c r="U1091" s="110">
        <v>7</v>
      </c>
      <c r="V1091" s="110"/>
      <c r="W1091" s="110"/>
      <c r="X1091" s="110"/>
      <c r="Y1091" s="106">
        <v>515</v>
      </c>
      <c r="Z1091" s="106">
        <f t="shared" si="570"/>
        <v>0.5</v>
      </c>
      <c r="AA1091" s="106" t="s">
        <v>1969</v>
      </c>
      <c r="AB1091" s="111">
        <f t="shared" si="576"/>
        <v>2.5</v>
      </c>
      <c r="AC1091" s="26" t="s">
        <v>2086</v>
      </c>
      <c r="AD1091" s="107">
        <f t="shared" si="562"/>
        <v>208.80681818181819</v>
      </c>
      <c r="AE1091" s="198"/>
      <c r="AF1091" s="113">
        <f t="shared" si="547"/>
        <v>0</v>
      </c>
      <c r="AG1091" s="26">
        <v>2024</v>
      </c>
      <c r="AH1091" s="26" t="str">
        <f t="shared" si="557"/>
        <v/>
      </c>
      <c r="AI1091" s="26" t="str">
        <f t="shared" si="563"/>
        <v/>
      </c>
      <c r="AJ1091" s="26" t="str">
        <f t="shared" si="571"/>
        <v>Fog Seal</v>
      </c>
      <c r="AK1091" s="26" t="str">
        <f t="shared" si="578"/>
        <v/>
      </c>
      <c r="AL1091" s="26" t="str">
        <f t="shared" si="578"/>
        <v/>
      </c>
      <c r="AM1091" s="26" t="str">
        <f t="shared" si="578"/>
        <v/>
      </c>
      <c r="AN1091" s="26" t="str">
        <f t="shared" si="560"/>
        <v>Fog Seal</v>
      </c>
      <c r="AO1091" s="26" t="str">
        <f t="shared" si="572"/>
        <v/>
      </c>
      <c r="AP1091" s="26" t="str">
        <f t="shared" si="568"/>
        <v/>
      </c>
      <c r="AQ1091" s="68">
        <f t="shared" si="579"/>
        <v>12</v>
      </c>
      <c r="AR1091" s="68">
        <f t="shared" si="580"/>
        <v>2</v>
      </c>
      <c r="AS1091" s="68">
        <f t="shared" si="550"/>
        <v>1.05</v>
      </c>
      <c r="AT1091" s="68">
        <f t="shared" si="551"/>
        <v>1</v>
      </c>
      <c r="AU1091" s="68">
        <f t="shared" si="552"/>
        <v>1</v>
      </c>
      <c r="AV1091" s="68">
        <f t="shared" si="553"/>
        <v>1</v>
      </c>
      <c r="AW1091" s="68">
        <f t="shared" si="554"/>
        <v>1</v>
      </c>
      <c r="AX1091" s="68">
        <f t="shared" ca="1" si="581"/>
        <v>0</v>
      </c>
      <c r="AY1091" s="106">
        <v>2018</v>
      </c>
      <c r="AZ1091" s="106" t="s">
        <v>2425</v>
      </c>
      <c r="BA1091" s="106" t="str">
        <f t="shared" si="573"/>
        <v>MICROSEAL</v>
      </c>
      <c r="BB1091" s="177"/>
      <c r="BC1091" s="177"/>
      <c r="BD1091" s="177"/>
      <c r="BE1091" s="177"/>
      <c r="BF1091" s="177"/>
      <c r="BG1091" s="177"/>
      <c r="BH1091" s="177"/>
      <c r="BI1091" s="33"/>
      <c r="BK1091" s="48">
        <f>$G1091/5280*VLOOKUP($AC1091,'Cost and Score'!$B$27:$O$40,6,0)</f>
        <v>8.3522727272727273E-3</v>
      </c>
      <c r="BL1091" s="48">
        <f>$G1091/5280*VLOOKUP($AC1091,'Cost and Score'!$B$27:$O$40,7,0)</f>
        <v>1.6704545454545455E-2</v>
      </c>
      <c r="BM1091" s="48">
        <f>$G1091/5280*VLOOKUP($AC1091,'Cost and Score'!$B$27:$O$40,8,0)</f>
        <v>0</v>
      </c>
      <c r="BN1091" s="48">
        <f>$G1091/5280*VLOOKUP($AC1091,'Cost and Score'!$B$27:$O$40,9,0)</f>
        <v>0</v>
      </c>
      <c r="BO1091" s="48">
        <f>$G1091/5280*VLOOKUP($AC1091,'Cost and Score'!$B$27:$O$40,10,0)</f>
        <v>83.52272727272728</v>
      </c>
      <c r="BP1091" s="48">
        <f>$G1091/5280*VLOOKUP($AC1091,'Cost and Score'!$B$27:$O$40,11,0)</f>
        <v>0</v>
      </c>
      <c r="BQ1091" s="48">
        <f>$G1091/5280*VLOOKUP($AC1091,'Cost and Score'!$B$27:$O$40,12,0)</f>
        <v>0</v>
      </c>
      <c r="BR1091" s="48">
        <f>$G1091/5280*VLOOKUP($AC1091,'Cost and Score'!$B$27:$O$40,13,0)</f>
        <v>0</v>
      </c>
      <c r="BS1091" s="48">
        <f>$G1091/5280*VLOOKUP($AC1091,'Cost and Score'!$B$27:$O$40,14,0)</f>
        <v>0</v>
      </c>
      <c r="BT1091" s="220">
        <f t="shared" si="582"/>
        <v>8.3522727272727276E-2</v>
      </c>
      <c r="CF1091" s="112"/>
      <c r="CR1091" s="112"/>
      <c r="CS1091" s="112"/>
      <c r="CT1091" s="112"/>
      <c r="CU1091" s="112"/>
      <c r="CW1091" s="112"/>
      <c r="CX1091" s="112"/>
      <c r="CY1091" s="112"/>
    </row>
    <row r="1092" spans="1:103" s="112" customFormat="1" ht="14.45" hidden="1" customHeight="1" x14ac:dyDescent="0.25">
      <c r="A1092" s="31" t="s">
        <v>2102</v>
      </c>
      <c r="B1092" s="120" t="s">
        <v>1970</v>
      </c>
      <c r="C1092" s="106" t="s">
        <v>1970</v>
      </c>
      <c r="D1092" s="116" t="s">
        <v>2231</v>
      </c>
      <c r="E1092" s="106" t="s">
        <v>1458</v>
      </c>
      <c r="F1092" s="106" t="s">
        <v>1459</v>
      </c>
      <c r="G1092" s="109">
        <v>932</v>
      </c>
      <c r="H1092" s="109">
        <f t="shared" si="569"/>
        <v>26</v>
      </c>
      <c r="I1092" s="106" t="s">
        <v>2098</v>
      </c>
      <c r="J1092" s="106" t="s">
        <v>160</v>
      </c>
      <c r="K1092" s="106">
        <f>VLOOKUP(J1092,TOWNSHIPS,2,FALSE)</f>
        <v>0</v>
      </c>
      <c r="L1092" s="110">
        <v>7</v>
      </c>
      <c r="M1092" s="110">
        <v>8</v>
      </c>
      <c r="N1092" s="110">
        <v>8</v>
      </c>
      <c r="O1092" s="110">
        <v>8</v>
      </c>
      <c r="P1092" s="110">
        <v>8</v>
      </c>
      <c r="Q1092" s="110">
        <v>8</v>
      </c>
      <c r="R1092" s="110">
        <v>8</v>
      </c>
      <c r="S1092" s="110">
        <v>7</v>
      </c>
      <c r="T1092" s="110">
        <v>7</v>
      </c>
      <c r="U1092" s="110">
        <v>7</v>
      </c>
      <c r="V1092" s="110"/>
      <c r="W1092" s="110"/>
      <c r="X1092" s="110"/>
      <c r="Y1092" s="106">
        <v>515</v>
      </c>
      <c r="Z1092" s="106">
        <f t="shared" si="570"/>
        <v>0.5</v>
      </c>
      <c r="AA1092" s="106" t="s">
        <v>1970</v>
      </c>
      <c r="AB1092" s="111">
        <f t="shared" si="576"/>
        <v>2.5</v>
      </c>
      <c r="AC1092" s="26" t="s">
        <v>2086</v>
      </c>
      <c r="AD1092" s="107">
        <f t="shared" si="562"/>
        <v>441.28787878787881</v>
      </c>
      <c r="AE1092" s="198"/>
      <c r="AF1092" s="113">
        <f t="shared" si="547"/>
        <v>0</v>
      </c>
      <c r="AG1092" s="26">
        <v>2024</v>
      </c>
      <c r="AH1092" s="26" t="str">
        <f t="shared" si="557"/>
        <v/>
      </c>
      <c r="AI1092" s="26" t="str">
        <f t="shared" si="563"/>
        <v/>
      </c>
      <c r="AJ1092" s="26" t="str">
        <f t="shared" si="571"/>
        <v>Fog Seal</v>
      </c>
      <c r="AK1092" s="26" t="str">
        <f t="shared" si="578"/>
        <v/>
      </c>
      <c r="AL1092" s="26" t="str">
        <f t="shared" si="578"/>
        <v/>
      </c>
      <c r="AM1092" s="26" t="str">
        <f t="shared" si="578"/>
        <v/>
      </c>
      <c r="AN1092" s="26" t="str">
        <f t="shared" si="560"/>
        <v>Fog Seal</v>
      </c>
      <c r="AO1092" s="26" t="str">
        <f t="shared" si="572"/>
        <v/>
      </c>
      <c r="AP1092" s="26" t="str">
        <f t="shared" si="568"/>
        <v/>
      </c>
      <c r="AQ1092" s="68">
        <f t="shared" si="579"/>
        <v>12</v>
      </c>
      <c r="AR1092" s="68">
        <f t="shared" si="580"/>
        <v>2</v>
      </c>
      <c r="AS1092" s="68">
        <f t="shared" si="550"/>
        <v>1.05</v>
      </c>
      <c r="AT1092" s="68">
        <f t="shared" si="551"/>
        <v>1</v>
      </c>
      <c r="AU1092" s="68">
        <f t="shared" si="552"/>
        <v>1</v>
      </c>
      <c r="AV1092" s="68">
        <f t="shared" si="553"/>
        <v>1</v>
      </c>
      <c r="AW1092" s="68">
        <f t="shared" si="554"/>
        <v>1</v>
      </c>
      <c r="AX1092" s="68">
        <f t="shared" ca="1" si="581"/>
        <v>0</v>
      </c>
      <c r="AY1092" s="106">
        <v>2018</v>
      </c>
      <c r="AZ1092" s="106" t="s">
        <v>2425</v>
      </c>
      <c r="BA1092" s="106" t="str">
        <f t="shared" si="573"/>
        <v>MICROSEAL</v>
      </c>
      <c r="BB1092" s="177"/>
      <c r="BC1092" s="177"/>
      <c r="BD1092" s="177"/>
      <c r="BE1092" s="177"/>
      <c r="BF1092" s="177"/>
      <c r="BG1092" s="177"/>
      <c r="BH1092" s="177"/>
      <c r="BI1092" s="33"/>
      <c r="BJ1092" s="2"/>
      <c r="BK1092" s="48">
        <f>$G1092/5280*VLOOKUP($AC1092,'Cost and Score'!$B$27:$O$40,6,0)</f>
        <v>1.7651515151515151E-2</v>
      </c>
      <c r="BL1092" s="48">
        <f>$G1092/5280*VLOOKUP($AC1092,'Cost and Score'!$B$27:$O$40,7,0)</f>
        <v>3.5303030303030301E-2</v>
      </c>
      <c r="BM1092" s="48">
        <f>$G1092/5280*VLOOKUP($AC1092,'Cost and Score'!$B$27:$O$40,8,0)</f>
        <v>0</v>
      </c>
      <c r="BN1092" s="48">
        <f>$G1092/5280*VLOOKUP($AC1092,'Cost and Score'!$B$27:$O$40,9,0)</f>
        <v>0</v>
      </c>
      <c r="BO1092" s="48">
        <f>$G1092/5280*VLOOKUP($AC1092,'Cost and Score'!$B$27:$O$40,10,0)</f>
        <v>176.5151515151515</v>
      </c>
      <c r="BP1092" s="48">
        <f>$G1092/5280*VLOOKUP($AC1092,'Cost and Score'!$B$27:$O$40,11,0)</f>
        <v>0</v>
      </c>
      <c r="BQ1092" s="48">
        <f>$G1092/5280*VLOOKUP($AC1092,'Cost and Score'!$B$27:$O$40,12,0)</f>
        <v>0</v>
      </c>
      <c r="BR1092" s="48">
        <f>$G1092/5280*VLOOKUP($AC1092,'Cost and Score'!$B$27:$O$40,13,0)</f>
        <v>0</v>
      </c>
      <c r="BS1092" s="48">
        <f>$G1092/5280*VLOOKUP($AC1092,'Cost and Score'!$B$27:$O$40,14,0)</f>
        <v>0</v>
      </c>
      <c r="BT1092" s="220">
        <f t="shared" si="582"/>
        <v>0.17651515151515151</v>
      </c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N1092" s="2"/>
      <c r="CO1092" s="2"/>
      <c r="CP1092" s="2"/>
      <c r="CQ1092" s="2"/>
      <c r="CR1092" s="2"/>
      <c r="CV1092" s="2"/>
      <c r="CW1092" s="2"/>
      <c r="CX1092" s="2"/>
      <c r="CY1092" s="2"/>
    </row>
    <row r="1093" spans="1:103" s="112" customFormat="1" ht="14.45" hidden="1" customHeight="1" x14ac:dyDescent="0.25">
      <c r="A1093" s="31" t="s">
        <v>2102</v>
      </c>
      <c r="B1093" s="120" t="s">
        <v>1971</v>
      </c>
      <c r="C1093" s="106" t="s">
        <v>1971</v>
      </c>
      <c r="D1093" s="116" t="s">
        <v>2231</v>
      </c>
      <c r="E1093" s="106" t="s">
        <v>1458</v>
      </c>
      <c r="F1093" s="106" t="s">
        <v>1459</v>
      </c>
      <c r="G1093" s="109">
        <v>3775</v>
      </c>
      <c r="H1093" s="109">
        <f t="shared" si="569"/>
        <v>26</v>
      </c>
      <c r="I1093" s="106" t="s">
        <v>2098</v>
      </c>
      <c r="J1093" s="106" t="s">
        <v>160</v>
      </c>
      <c r="K1093" s="106">
        <f>VLOOKUP(J1093,TOWNSHIPS,2,FALSE)</f>
        <v>0</v>
      </c>
      <c r="L1093" s="110">
        <v>7</v>
      </c>
      <c r="M1093" s="110">
        <v>8</v>
      </c>
      <c r="N1093" s="110">
        <v>7</v>
      </c>
      <c r="O1093" s="110">
        <v>6</v>
      </c>
      <c r="P1093" s="110">
        <v>7</v>
      </c>
      <c r="Q1093" s="110">
        <v>8</v>
      </c>
      <c r="R1093" s="110">
        <v>8</v>
      </c>
      <c r="S1093" s="110">
        <v>7</v>
      </c>
      <c r="T1093" s="110">
        <v>7</v>
      </c>
      <c r="U1093" s="110">
        <v>7</v>
      </c>
      <c r="V1093" s="110"/>
      <c r="W1093" s="110"/>
      <c r="X1093" s="110"/>
      <c r="Y1093" s="106">
        <v>515</v>
      </c>
      <c r="Z1093" s="106">
        <f t="shared" si="570"/>
        <v>0.5</v>
      </c>
      <c r="AA1093" s="106" t="s">
        <v>1972</v>
      </c>
      <c r="AB1093" s="111">
        <f t="shared" si="576"/>
        <v>3.5</v>
      </c>
      <c r="AC1093" s="26" t="s">
        <v>2086</v>
      </c>
      <c r="AD1093" s="107">
        <f t="shared" si="562"/>
        <v>1787.405303030303</v>
      </c>
      <c r="AE1093" s="198"/>
      <c r="AF1093" s="113">
        <f t="shared" si="547"/>
        <v>0</v>
      </c>
      <c r="AG1093" s="26">
        <v>2024</v>
      </c>
      <c r="AH1093" s="26" t="str">
        <f t="shared" si="557"/>
        <v/>
      </c>
      <c r="AI1093" s="26" t="str">
        <f t="shared" si="563"/>
        <v/>
      </c>
      <c r="AJ1093" s="26" t="str">
        <f t="shared" si="571"/>
        <v>Fog Seal</v>
      </c>
      <c r="AK1093" s="26" t="str">
        <f t="shared" si="578"/>
        <v/>
      </c>
      <c r="AL1093" s="26" t="str">
        <f t="shared" si="578"/>
        <v/>
      </c>
      <c r="AM1093" s="26" t="str">
        <f t="shared" si="578"/>
        <v/>
      </c>
      <c r="AN1093" s="26" t="str">
        <f t="shared" si="560"/>
        <v>Fog Seal</v>
      </c>
      <c r="AO1093" s="26" t="str">
        <f t="shared" si="572"/>
        <v/>
      </c>
      <c r="AP1093" s="26" t="str">
        <f t="shared" si="568"/>
        <v/>
      </c>
      <c r="AQ1093" s="68">
        <f t="shared" si="579"/>
        <v>8</v>
      </c>
      <c r="AR1093" s="68">
        <f t="shared" si="580"/>
        <v>2</v>
      </c>
      <c r="AS1093" s="68">
        <f t="shared" si="550"/>
        <v>1.05</v>
      </c>
      <c r="AT1093" s="68">
        <f t="shared" si="551"/>
        <v>1</v>
      </c>
      <c r="AU1093" s="68">
        <f t="shared" si="552"/>
        <v>1.05</v>
      </c>
      <c r="AV1093" s="68">
        <f t="shared" si="553"/>
        <v>1.1000000000000001</v>
      </c>
      <c r="AW1093" s="68">
        <f t="shared" si="554"/>
        <v>1.05</v>
      </c>
      <c r="AX1093" s="68">
        <f t="shared" ca="1" si="581"/>
        <v>0</v>
      </c>
      <c r="AY1093" s="106">
        <v>2018</v>
      </c>
      <c r="AZ1093" s="106" t="s">
        <v>2425</v>
      </c>
      <c r="BA1093" s="106" t="str">
        <f t="shared" si="573"/>
        <v>MICROSEAL</v>
      </c>
      <c r="BB1093" s="177"/>
      <c r="BC1093" s="177"/>
      <c r="BD1093" s="177"/>
      <c r="BE1093" s="177"/>
      <c r="BF1093" s="177"/>
      <c r="BG1093" s="177"/>
      <c r="BH1093" s="177"/>
      <c r="BI1093" s="33"/>
      <c r="BJ1093" s="2"/>
      <c r="BK1093" s="48">
        <f>$G1093/5280*VLOOKUP($AC1093,'Cost and Score'!$B$27:$O$40,6,0)</f>
        <v>7.1496212121212127E-2</v>
      </c>
      <c r="BL1093" s="48">
        <f>$G1093/5280*VLOOKUP($AC1093,'Cost and Score'!$B$27:$O$40,7,0)</f>
        <v>0.14299242424242425</v>
      </c>
      <c r="BM1093" s="48">
        <f>$G1093/5280*VLOOKUP($AC1093,'Cost and Score'!$B$27:$O$40,8,0)</f>
        <v>0</v>
      </c>
      <c r="BN1093" s="48">
        <f>$G1093/5280*VLOOKUP($AC1093,'Cost and Score'!$B$27:$O$40,9,0)</f>
        <v>0</v>
      </c>
      <c r="BO1093" s="48">
        <f>$G1093/5280*VLOOKUP($AC1093,'Cost and Score'!$B$27:$O$40,10,0)</f>
        <v>714.96212121212125</v>
      </c>
      <c r="BP1093" s="48">
        <f>$G1093/5280*VLOOKUP($AC1093,'Cost and Score'!$B$27:$O$40,11,0)</f>
        <v>0</v>
      </c>
      <c r="BQ1093" s="48">
        <f>$G1093/5280*VLOOKUP($AC1093,'Cost and Score'!$B$27:$O$40,12,0)</f>
        <v>0</v>
      </c>
      <c r="BR1093" s="48">
        <f>$G1093/5280*VLOOKUP($AC1093,'Cost and Score'!$B$27:$O$40,13,0)</f>
        <v>0</v>
      </c>
      <c r="BS1093" s="48">
        <f>$G1093/5280*VLOOKUP($AC1093,'Cost and Score'!$B$27:$O$40,14,0)</f>
        <v>0</v>
      </c>
      <c r="BT1093" s="220">
        <f t="shared" si="582"/>
        <v>0.71496212121212122</v>
      </c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</row>
    <row r="1094" spans="1:103" s="112" customFormat="1" ht="14.45" hidden="1" customHeight="1" x14ac:dyDescent="0.25">
      <c r="A1094" s="31" t="s">
        <v>2102</v>
      </c>
      <c r="B1094" s="224" t="s">
        <v>2454</v>
      </c>
      <c r="C1094" s="85" t="s">
        <v>2454</v>
      </c>
      <c r="D1094" s="86" t="s">
        <v>2264</v>
      </c>
      <c r="E1094" s="85" t="s">
        <v>1512</v>
      </c>
      <c r="F1094" s="85" t="s">
        <v>1973</v>
      </c>
      <c r="G1094" s="29">
        <v>1901</v>
      </c>
      <c r="H1094" s="29">
        <f t="shared" si="569"/>
        <v>26</v>
      </c>
      <c r="I1094" s="124" t="s">
        <v>2098</v>
      </c>
      <c r="J1094" s="85" t="s">
        <v>125</v>
      </c>
      <c r="K1094" s="85">
        <f>VLOOKUP(J1094,TOWNSHIPS,2,FALSE)</f>
        <v>0</v>
      </c>
      <c r="L1094" s="74">
        <v>7</v>
      </c>
      <c r="M1094" s="74">
        <v>7</v>
      </c>
      <c r="N1094" s="74">
        <v>7</v>
      </c>
      <c r="O1094" s="74">
        <v>7</v>
      </c>
      <c r="P1094" s="74">
        <v>6</v>
      </c>
      <c r="Q1094" s="74">
        <v>8</v>
      </c>
      <c r="R1094" s="74">
        <v>8</v>
      </c>
      <c r="S1094" s="74">
        <v>7</v>
      </c>
      <c r="T1094" s="74">
        <v>7</v>
      </c>
      <c r="U1094" s="74">
        <v>7</v>
      </c>
      <c r="V1094" s="74"/>
      <c r="W1094" s="74"/>
      <c r="X1094" s="74"/>
      <c r="Y1094" s="85">
        <v>50</v>
      </c>
      <c r="Z1094" s="85">
        <f t="shared" si="570"/>
        <v>0</v>
      </c>
      <c r="AA1094" s="34" t="s">
        <v>2454</v>
      </c>
      <c r="AB1094" s="111">
        <f t="shared" si="576"/>
        <v>4</v>
      </c>
      <c r="AC1094" s="85" t="s">
        <v>2425</v>
      </c>
      <c r="AD1094" s="47">
        <f t="shared" si="562"/>
        <v>9000.94696969697</v>
      </c>
      <c r="AE1094" s="140"/>
      <c r="AF1094" s="113">
        <f t="shared" si="547"/>
        <v>0</v>
      </c>
      <c r="AG1094" s="85">
        <v>2026</v>
      </c>
      <c r="AH1094" s="26" t="str">
        <f t="shared" si="557"/>
        <v/>
      </c>
      <c r="AI1094" s="26" t="str">
        <f t="shared" si="563"/>
        <v/>
      </c>
      <c r="AJ1094" s="26" t="str">
        <f t="shared" si="571"/>
        <v/>
      </c>
      <c r="AK1094" s="26" t="str">
        <f t="shared" si="578"/>
        <v/>
      </c>
      <c r="AL1094" s="26" t="str">
        <f t="shared" si="578"/>
        <v>Liquid Road</v>
      </c>
      <c r="AM1094" s="26" t="str">
        <f t="shared" si="578"/>
        <v/>
      </c>
      <c r="AN1094" s="26" t="str">
        <f t="shared" si="560"/>
        <v>Liquid Road</v>
      </c>
      <c r="AO1094" s="26" t="str">
        <f t="shared" si="572"/>
        <v/>
      </c>
      <c r="AP1094" s="26" t="str">
        <f t="shared" si="568"/>
        <v/>
      </c>
      <c r="AQ1094" s="68">
        <f t="shared" si="579"/>
        <v>10</v>
      </c>
      <c r="AR1094" s="68">
        <f t="shared" si="580"/>
        <v>10</v>
      </c>
      <c r="AS1094" s="68">
        <f t="shared" si="550"/>
        <v>1.05</v>
      </c>
      <c r="AT1094" s="68">
        <f t="shared" si="551"/>
        <v>1.05</v>
      </c>
      <c r="AU1094" s="68">
        <f t="shared" si="552"/>
        <v>1.05</v>
      </c>
      <c r="AV1094" s="68">
        <f t="shared" si="553"/>
        <v>1.05</v>
      </c>
      <c r="AW1094" s="68">
        <f t="shared" si="554"/>
        <v>1.1000000000000001</v>
      </c>
      <c r="AX1094" s="68">
        <f t="shared" ca="1" si="581"/>
        <v>2.1</v>
      </c>
      <c r="AY1094" s="68">
        <v>2018</v>
      </c>
      <c r="AZ1094" s="68" t="s">
        <v>2075</v>
      </c>
      <c r="BA1094" s="106" t="str">
        <f t="shared" si="573"/>
        <v>CRACK</v>
      </c>
      <c r="BB1094" s="178"/>
      <c r="BC1094" s="177"/>
      <c r="BD1094" s="177"/>
      <c r="BE1094" s="177"/>
      <c r="BF1094" s="177">
        <v>3</v>
      </c>
      <c r="BG1094" s="177"/>
      <c r="BH1094" s="177"/>
      <c r="BI1094" s="33"/>
      <c r="BJ1094" s="2"/>
      <c r="BK1094" s="48">
        <f>$G1094/5280*VLOOKUP($AC1094,'Cost and Score'!$B$27:$O$40,6,0)</f>
        <v>0.3600378787878788</v>
      </c>
      <c r="BL1094" s="48">
        <f>$G1094/5280*VLOOKUP($AC1094,'Cost and Score'!$B$27:$O$40,7,0)</f>
        <v>5.7606060606060607</v>
      </c>
      <c r="BM1094" s="48">
        <f>$G1094/5280*VLOOKUP($AC1094,'Cost and Score'!$B$27:$O$40,8,0)</f>
        <v>0</v>
      </c>
      <c r="BN1094" s="48">
        <f>$G1094/5280*VLOOKUP($AC1094,'Cost and Score'!$B$27:$O$40,9,0)</f>
        <v>0</v>
      </c>
      <c r="BO1094" s="48">
        <f>$G1094/5280*VLOOKUP($AC1094,'Cost and Score'!$B$27:$O$40,10,0)</f>
        <v>0</v>
      </c>
      <c r="BP1094" s="48">
        <f>$G1094/5280*VLOOKUP($AC1094,'Cost and Score'!$B$27:$O$40,11,0)</f>
        <v>0</v>
      </c>
      <c r="BQ1094" s="48">
        <f>$G1094/5280*VLOOKUP($AC1094,'Cost and Score'!$B$27:$O$40,12,0)</f>
        <v>0</v>
      </c>
      <c r="BR1094" s="48">
        <f>$G1094/5280*VLOOKUP($AC1094,'Cost and Score'!$B$27:$O$40,13,0)</f>
        <v>0</v>
      </c>
      <c r="BS1094" s="48">
        <f>$G1094/5280*VLOOKUP($AC1094,'Cost and Score'!$B$27:$O$40,14,0)</f>
        <v>0</v>
      </c>
      <c r="BT1094" s="220">
        <f t="shared" si="582"/>
        <v>0.3600378787878788</v>
      </c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S1094" s="2"/>
      <c r="CT1094" s="2"/>
      <c r="CU1094" s="2"/>
    </row>
    <row r="1095" spans="1:103" s="2" customFormat="1" ht="14.45" hidden="1" customHeight="1" x14ac:dyDescent="0.25">
      <c r="A1095" s="31" t="s">
        <v>2102</v>
      </c>
      <c r="B1095" s="120" t="s">
        <v>1974</v>
      </c>
      <c r="C1095" s="106" t="s">
        <v>1974</v>
      </c>
      <c r="D1095" s="116" t="s">
        <v>2231</v>
      </c>
      <c r="E1095" s="106" t="s">
        <v>1458</v>
      </c>
      <c r="F1095" s="106" t="s">
        <v>1459</v>
      </c>
      <c r="G1095" s="109">
        <v>264</v>
      </c>
      <c r="H1095" s="109">
        <f t="shared" ref="H1095:H1126" si="583">IF(I1095="NC",26,20)</f>
        <v>26</v>
      </c>
      <c r="I1095" s="106" t="s">
        <v>2098</v>
      </c>
      <c r="J1095" s="106" t="s">
        <v>160</v>
      </c>
      <c r="K1095" s="106">
        <f>VLOOKUP(J1095,TOWNSHIPS,2,FALSE)</f>
        <v>0</v>
      </c>
      <c r="L1095" s="110">
        <v>7</v>
      </c>
      <c r="M1095" s="110">
        <v>8</v>
      </c>
      <c r="N1095" s="110">
        <v>7</v>
      </c>
      <c r="O1095" s="110">
        <v>7</v>
      </c>
      <c r="P1095" s="110">
        <v>7</v>
      </c>
      <c r="Q1095" s="110">
        <v>7</v>
      </c>
      <c r="R1095" s="110">
        <v>7</v>
      </c>
      <c r="S1095" s="110">
        <v>7</v>
      </c>
      <c r="T1095" s="110">
        <v>7</v>
      </c>
      <c r="U1095" s="110">
        <v>7</v>
      </c>
      <c r="V1095" s="110"/>
      <c r="W1095" s="110"/>
      <c r="X1095" s="110"/>
      <c r="Y1095" s="106">
        <v>515</v>
      </c>
      <c r="Z1095" s="106">
        <f t="shared" ref="Z1095:Z1126" si="584">VLOOKUP(Y1095,AADT,2)</f>
        <v>0.5</v>
      </c>
      <c r="AA1095" s="106" t="s">
        <v>1974</v>
      </c>
      <c r="AB1095" s="111">
        <f t="shared" si="576"/>
        <v>3.5</v>
      </c>
      <c r="AC1095" s="26" t="s">
        <v>2086</v>
      </c>
      <c r="AD1095" s="107">
        <f t="shared" si="562"/>
        <v>125</v>
      </c>
      <c r="AE1095" s="198"/>
      <c r="AF1095" s="113">
        <f t="shared" si="547"/>
        <v>0</v>
      </c>
      <c r="AG1095" s="26">
        <v>2024</v>
      </c>
      <c r="AH1095" s="26" t="str">
        <f t="shared" si="557"/>
        <v/>
      </c>
      <c r="AI1095" s="26" t="str">
        <f t="shared" si="563"/>
        <v/>
      </c>
      <c r="AJ1095" s="26" t="str">
        <f t="shared" si="571"/>
        <v>Fog Seal</v>
      </c>
      <c r="AK1095" s="26" t="str">
        <f t="shared" si="578"/>
        <v/>
      </c>
      <c r="AL1095" s="26" t="str">
        <f t="shared" si="578"/>
        <v/>
      </c>
      <c r="AM1095" s="26" t="str">
        <f t="shared" si="578"/>
        <v/>
      </c>
      <c r="AN1095" s="26" t="str">
        <f t="shared" si="560"/>
        <v>Fog Seal</v>
      </c>
      <c r="AO1095" s="26" t="str">
        <f t="shared" si="572"/>
        <v/>
      </c>
      <c r="AP1095" s="26" t="str">
        <f t="shared" si="568"/>
        <v/>
      </c>
      <c r="AQ1095" s="68">
        <f t="shared" si="579"/>
        <v>10</v>
      </c>
      <c r="AR1095" s="68">
        <f t="shared" si="580"/>
        <v>2</v>
      </c>
      <c r="AS1095" s="68">
        <f t="shared" si="550"/>
        <v>1.05</v>
      </c>
      <c r="AT1095" s="68">
        <f t="shared" si="551"/>
        <v>1</v>
      </c>
      <c r="AU1095" s="68">
        <f t="shared" si="552"/>
        <v>1.05</v>
      </c>
      <c r="AV1095" s="68">
        <f t="shared" si="553"/>
        <v>1.05</v>
      </c>
      <c r="AW1095" s="68">
        <f t="shared" si="554"/>
        <v>1.05</v>
      </c>
      <c r="AX1095" s="68">
        <f t="shared" ca="1" si="581"/>
        <v>0</v>
      </c>
      <c r="AY1095" s="106">
        <v>2018</v>
      </c>
      <c r="AZ1095" s="106" t="s">
        <v>2425</v>
      </c>
      <c r="BA1095" s="106" t="str">
        <f t="shared" ref="BA1095:BA1126" si="585">IF(AY1095=2018,AZ1095,"")</f>
        <v>MICROSEAL</v>
      </c>
      <c r="BB1095" s="177"/>
      <c r="BC1095" s="177"/>
      <c r="BD1095" s="177"/>
      <c r="BE1095" s="177"/>
      <c r="BF1095" s="177"/>
      <c r="BG1095" s="177"/>
      <c r="BH1095" s="177"/>
      <c r="BI1095" s="33"/>
      <c r="BK1095" s="48">
        <f>$G1095/5280*VLOOKUP($AC1095,'Cost and Score'!$B$27:$O$40,6,0)</f>
        <v>5.000000000000001E-3</v>
      </c>
      <c r="BL1095" s="48">
        <f>$G1095/5280*VLOOKUP($AC1095,'Cost and Score'!$B$27:$O$40,7,0)</f>
        <v>1.0000000000000002E-2</v>
      </c>
      <c r="BM1095" s="48">
        <f>$G1095/5280*VLOOKUP($AC1095,'Cost and Score'!$B$27:$O$40,8,0)</f>
        <v>0</v>
      </c>
      <c r="BN1095" s="48">
        <f>$G1095/5280*VLOOKUP($AC1095,'Cost and Score'!$B$27:$O$40,9,0)</f>
        <v>0</v>
      </c>
      <c r="BO1095" s="48">
        <f>$G1095/5280*VLOOKUP($AC1095,'Cost and Score'!$B$27:$O$40,10,0)</f>
        <v>50</v>
      </c>
      <c r="BP1095" s="48">
        <f>$G1095/5280*VLOOKUP($AC1095,'Cost and Score'!$B$27:$O$40,11,0)</f>
        <v>0</v>
      </c>
      <c r="BQ1095" s="48">
        <f>$G1095/5280*VLOOKUP($AC1095,'Cost and Score'!$B$27:$O$40,12,0)</f>
        <v>0</v>
      </c>
      <c r="BR1095" s="48">
        <f>$G1095/5280*VLOOKUP($AC1095,'Cost and Score'!$B$27:$O$40,13,0)</f>
        <v>0</v>
      </c>
      <c r="BS1095" s="48">
        <f>$G1095/5280*VLOOKUP($AC1095,'Cost and Score'!$B$27:$O$40,14,0)</f>
        <v>0</v>
      </c>
      <c r="BT1095" s="220">
        <f t="shared" si="582"/>
        <v>0.05</v>
      </c>
      <c r="CF1095" s="112"/>
      <c r="CN1095" s="112"/>
      <c r="CO1095" s="112"/>
      <c r="CP1095" s="112"/>
      <c r="CQ1095" s="112"/>
      <c r="CS1095" s="112"/>
      <c r="CT1095" s="112"/>
      <c r="CU1095" s="112"/>
      <c r="CV1095" s="112"/>
    </row>
    <row r="1096" spans="1:103" s="112" customFormat="1" ht="14.45" hidden="1" customHeight="1" x14ac:dyDescent="0.25">
      <c r="A1096" s="31" t="s">
        <v>2102</v>
      </c>
      <c r="B1096" s="120" t="s">
        <v>1975</v>
      </c>
      <c r="C1096" s="106" t="s">
        <v>1975</v>
      </c>
      <c r="D1096" s="116" t="s">
        <v>2232</v>
      </c>
      <c r="E1096" s="106" t="s">
        <v>1580</v>
      </c>
      <c r="F1096" s="106" t="s">
        <v>1553</v>
      </c>
      <c r="G1096" s="109">
        <v>1478</v>
      </c>
      <c r="H1096" s="109">
        <f t="shared" si="583"/>
        <v>26</v>
      </c>
      <c r="I1096" s="106" t="s">
        <v>2098</v>
      </c>
      <c r="J1096" s="106" t="s">
        <v>101</v>
      </c>
      <c r="K1096" s="106">
        <v>0</v>
      </c>
      <c r="L1096" s="110">
        <v>7</v>
      </c>
      <c r="M1096" s="110">
        <v>7</v>
      </c>
      <c r="N1096" s="110">
        <v>7</v>
      </c>
      <c r="O1096" s="110">
        <v>6</v>
      </c>
      <c r="P1096" s="110">
        <v>7</v>
      </c>
      <c r="Q1096" s="110">
        <v>7</v>
      </c>
      <c r="R1096" s="110">
        <v>6</v>
      </c>
      <c r="S1096" s="110">
        <v>6</v>
      </c>
      <c r="T1096" s="110">
        <v>6</v>
      </c>
      <c r="U1096" s="110">
        <v>6</v>
      </c>
      <c r="V1096" s="110"/>
      <c r="W1096" s="110"/>
      <c r="X1096" s="110"/>
      <c r="Y1096" s="106">
        <v>50</v>
      </c>
      <c r="Z1096" s="106">
        <f t="shared" si="584"/>
        <v>0</v>
      </c>
      <c r="AA1096" s="106" t="s">
        <v>1975</v>
      </c>
      <c r="AB1096" s="111">
        <f t="shared" si="576"/>
        <v>3</v>
      </c>
      <c r="AC1096" s="82" t="s">
        <v>2072</v>
      </c>
      <c r="AD1096" s="107">
        <f t="shared" si="562"/>
        <v>12876.515151515152</v>
      </c>
      <c r="AE1096" s="140"/>
      <c r="AF1096" s="113">
        <f t="shared" si="547"/>
        <v>0</v>
      </c>
      <c r="AG1096" s="85">
        <v>2023</v>
      </c>
      <c r="AH1096" s="26" t="str">
        <f t="shared" si="557"/>
        <v/>
      </c>
      <c r="AI1096" s="26" t="str">
        <f t="shared" si="563"/>
        <v>Chip Seal - Triple</v>
      </c>
      <c r="AJ1096" s="26" t="str">
        <f t="shared" si="571"/>
        <v/>
      </c>
      <c r="AK1096" s="26" t="str">
        <f t="shared" si="578"/>
        <v/>
      </c>
      <c r="AL1096" s="26" t="str">
        <f t="shared" si="578"/>
        <v/>
      </c>
      <c r="AM1096" s="26" t="str">
        <f t="shared" si="578"/>
        <v/>
      </c>
      <c r="AN1096" s="26" t="str">
        <f t="shared" si="560"/>
        <v>Chip Seal - Triple</v>
      </c>
      <c r="AO1096" s="26" t="str">
        <f t="shared" si="572"/>
        <v/>
      </c>
      <c r="AP1096" s="26" t="str">
        <f t="shared" si="568"/>
        <v/>
      </c>
      <c r="AQ1096" s="68">
        <f t="shared" si="579"/>
        <v>8</v>
      </c>
      <c r="AR1096" s="68">
        <f t="shared" si="580"/>
        <v>8</v>
      </c>
      <c r="AS1096" s="68">
        <f t="shared" si="550"/>
        <v>1.05</v>
      </c>
      <c r="AT1096" s="68">
        <f t="shared" si="551"/>
        <v>1.05</v>
      </c>
      <c r="AU1096" s="68">
        <f t="shared" si="552"/>
        <v>1.05</v>
      </c>
      <c r="AV1096" s="68">
        <f t="shared" si="553"/>
        <v>1.1000000000000001</v>
      </c>
      <c r="AW1096" s="68">
        <f t="shared" si="554"/>
        <v>1.05</v>
      </c>
      <c r="AX1096" s="68">
        <f t="shared" ca="1" si="581"/>
        <v>-1.05</v>
      </c>
      <c r="AY1096" s="106">
        <v>2018</v>
      </c>
      <c r="AZ1096" s="106" t="s">
        <v>2075</v>
      </c>
      <c r="BA1096" s="106" t="str">
        <f t="shared" si="585"/>
        <v>CRACK</v>
      </c>
      <c r="BB1096" s="177"/>
      <c r="BC1096" s="177"/>
      <c r="BD1096" s="177"/>
      <c r="BE1096" s="177"/>
      <c r="BF1096" s="177"/>
      <c r="BG1096" s="177"/>
      <c r="BH1096" s="177"/>
      <c r="BI1096" s="33"/>
      <c r="BJ1096" s="2"/>
      <c r="BK1096" s="48">
        <f>$G1096/5280*VLOOKUP($AC1096,'Cost and Score'!$B$27:$O$40,6,0)</f>
        <v>0.16795454545454544</v>
      </c>
      <c r="BL1096" s="48">
        <f>$G1096/5280*VLOOKUP($AC1096,'Cost and Score'!$B$27:$O$40,7,0)</f>
        <v>34.990530303030305</v>
      </c>
      <c r="BM1096" s="48">
        <f>$G1096/5280*VLOOKUP($AC1096,'Cost and Score'!$B$27:$O$40,8,0)</f>
        <v>55.984848484848484</v>
      </c>
      <c r="BN1096" s="48">
        <f>$G1096/5280*VLOOKUP($AC1096,'Cost and Score'!$B$27:$O$40,9,0)</f>
        <v>559.84848484848487</v>
      </c>
      <c r="BO1096" s="48">
        <f>$G1096/5280*VLOOKUP($AC1096,'Cost and Score'!$B$27:$O$40,10,0)</f>
        <v>139.96212121212122</v>
      </c>
      <c r="BP1096" s="48">
        <f>$G1096/5280*VLOOKUP($AC1096,'Cost and Score'!$B$27:$O$40,11,0)</f>
        <v>27.992424242424242</v>
      </c>
      <c r="BQ1096" s="48">
        <f>$G1096/5280*VLOOKUP($AC1096,'Cost and Score'!$B$27:$O$40,12,0)</f>
        <v>223.93939393939394</v>
      </c>
      <c r="BR1096" s="48">
        <f>$G1096/5280*VLOOKUP($AC1096,'Cost and Score'!$B$27:$O$40,13,0)</f>
        <v>22.393939393939391</v>
      </c>
      <c r="BS1096" s="48">
        <f>$G1096/5280*VLOOKUP($AC1096,'Cost and Score'!$B$27:$O$40,14,0)</f>
        <v>0</v>
      </c>
      <c r="BT1096" s="220">
        <f t="shared" si="582"/>
        <v>0.27992424242424241</v>
      </c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N1096" s="2"/>
      <c r="CO1096" s="2"/>
      <c r="CP1096" s="2"/>
      <c r="CQ1096" s="2"/>
      <c r="CR1096" s="2"/>
      <c r="CV1096" s="2"/>
      <c r="CW1096" s="2"/>
      <c r="CX1096" s="2"/>
      <c r="CY1096" s="2"/>
    </row>
    <row r="1097" spans="1:103" s="112" customFormat="1" hidden="1" x14ac:dyDescent="0.25">
      <c r="A1097" s="31" t="s">
        <v>2102</v>
      </c>
      <c r="B1097" s="45" t="s">
        <v>1976</v>
      </c>
      <c r="C1097" s="26" t="s">
        <v>1976</v>
      </c>
      <c r="D1097" s="36" t="s">
        <v>2288</v>
      </c>
      <c r="E1097" s="26" t="s">
        <v>1504</v>
      </c>
      <c r="F1097" s="26" t="s">
        <v>1505</v>
      </c>
      <c r="G1097" s="29">
        <v>1056</v>
      </c>
      <c r="H1097" s="29">
        <f t="shared" si="583"/>
        <v>26</v>
      </c>
      <c r="I1097" s="26" t="s">
        <v>2098</v>
      </c>
      <c r="J1097" s="26" t="s">
        <v>125</v>
      </c>
      <c r="K1097" s="26">
        <f>VLOOKUP(J1097,TOWNSHIPS,2,FALSE)</f>
        <v>0</v>
      </c>
      <c r="L1097" s="42">
        <v>7</v>
      </c>
      <c r="M1097" s="42">
        <v>7</v>
      </c>
      <c r="N1097" s="42">
        <v>7</v>
      </c>
      <c r="O1097" s="42">
        <v>7</v>
      </c>
      <c r="P1097" s="42">
        <v>7</v>
      </c>
      <c r="Q1097" s="42">
        <v>8</v>
      </c>
      <c r="R1097" s="42">
        <v>8</v>
      </c>
      <c r="S1097" s="42">
        <v>7</v>
      </c>
      <c r="T1097" s="42">
        <v>7</v>
      </c>
      <c r="U1097" s="42">
        <v>7</v>
      </c>
      <c r="V1097" s="42"/>
      <c r="W1097" s="42"/>
      <c r="X1097" s="42"/>
      <c r="Y1097" s="26">
        <v>50</v>
      </c>
      <c r="Z1097" s="26">
        <f t="shared" si="584"/>
        <v>0</v>
      </c>
      <c r="AA1097" s="26" t="s">
        <v>1976</v>
      </c>
      <c r="AB1097" s="111">
        <f t="shared" si="576"/>
        <v>3</v>
      </c>
      <c r="AC1097" s="26" t="s">
        <v>2086</v>
      </c>
      <c r="AD1097" s="47">
        <v>8541.8700000000008</v>
      </c>
      <c r="AE1097" s="140"/>
      <c r="AF1097" s="113">
        <f t="shared" si="547"/>
        <v>0</v>
      </c>
      <c r="AG1097" s="26">
        <v>2024</v>
      </c>
      <c r="AH1097" s="26" t="str">
        <f t="shared" si="557"/>
        <v/>
      </c>
      <c r="AI1097" s="26" t="str">
        <f t="shared" si="563"/>
        <v/>
      </c>
      <c r="AJ1097" s="26" t="str">
        <f t="shared" si="571"/>
        <v>Fog Seal</v>
      </c>
      <c r="AK1097" s="26" t="str">
        <f t="shared" si="578"/>
        <v/>
      </c>
      <c r="AL1097" s="26" t="str">
        <f t="shared" si="578"/>
        <v/>
      </c>
      <c r="AM1097" s="26" t="str">
        <f t="shared" si="578"/>
        <v/>
      </c>
      <c r="AN1097" s="26" t="str">
        <f t="shared" si="560"/>
        <v>Fog Seal</v>
      </c>
      <c r="AO1097" s="26" t="str">
        <f t="shared" si="572"/>
        <v/>
      </c>
      <c r="AP1097" s="26" t="str">
        <f t="shared" si="568"/>
        <v/>
      </c>
      <c r="AQ1097" s="68">
        <f t="shared" si="579"/>
        <v>10</v>
      </c>
      <c r="AR1097" s="68">
        <f t="shared" si="580"/>
        <v>2</v>
      </c>
      <c r="AS1097" s="68">
        <f t="shared" si="550"/>
        <v>1.05</v>
      </c>
      <c r="AT1097" s="68">
        <f t="shared" si="551"/>
        <v>1.05</v>
      </c>
      <c r="AU1097" s="68">
        <f t="shared" si="552"/>
        <v>1.05</v>
      </c>
      <c r="AV1097" s="68">
        <f t="shared" si="553"/>
        <v>1.05</v>
      </c>
      <c r="AW1097" s="68">
        <f t="shared" si="554"/>
        <v>1.05</v>
      </c>
      <c r="AX1097" s="68">
        <f t="shared" ca="1" si="581"/>
        <v>0</v>
      </c>
      <c r="AY1097" s="68">
        <v>2018</v>
      </c>
      <c r="AZ1097" s="68" t="s">
        <v>2371</v>
      </c>
      <c r="BA1097" s="106" t="str">
        <f t="shared" si="585"/>
        <v>MICRO</v>
      </c>
      <c r="BB1097" s="178"/>
      <c r="BC1097" s="177"/>
      <c r="BD1097" s="177"/>
      <c r="BE1097" s="177"/>
      <c r="BF1097" s="177"/>
      <c r="BG1097" s="177"/>
      <c r="BH1097" s="177"/>
      <c r="BI1097" s="33"/>
      <c r="BJ1097" s="2"/>
      <c r="BK1097" s="48">
        <f>$G1097/5280*VLOOKUP($AC1097,'Cost and Score'!$B$27:$O$40,6,0)</f>
        <v>2.0000000000000004E-2</v>
      </c>
      <c r="BL1097" s="48">
        <f>$G1097/5280*VLOOKUP($AC1097,'Cost and Score'!$B$27:$O$40,7,0)</f>
        <v>4.0000000000000008E-2</v>
      </c>
      <c r="BM1097" s="48">
        <f>$G1097/5280*VLOOKUP($AC1097,'Cost and Score'!$B$27:$O$40,8,0)</f>
        <v>0</v>
      </c>
      <c r="BN1097" s="48">
        <f>$G1097/5280*VLOOKUP($AC1097,'Cost and Score'!$B$27:$O$40,9,0)</f>
        <v>0</v>
      </c>
      <c r="BO1097" s="48">
        <f>$G1097/5280*VLOOKUP($AC1097,'Cost and Score'!$B$27:$O$40,10,0)</f>
        <v>200</v>
      </c>
      <c r="BP1097" s="48">
        <f>$G1097/5280*VLOOKUP($AC1097,'Cost and Score'!$B$27:$O$40,11,0)</f>
        <v>0</v>
      </c>
      <c r="BQ1097" s="48">
        <f>$G1097/5280*VLOOKUP($AC1097,'Cost and Score'!$B$27:$O$40,12,0)</f>
        <v>0</v>
      </c>
      <c r="BR1097" s="48">
        <f>$G1097/5280*VLOOKUP($AC1097,'Cost and Score'!$B$27:$O$40,13,0)</f>
        <v>0</v>
      </c>
      <c r="BS1097" s="48">
        <f>$G1097/5280*VLOOKUP($AC1097,'Cost and Score'!$B$27:$O$40,14,0)</f>
        <v>0</v>
      </c>
      <c r="BT1097" s="220">
        <f t="shared" si="582"/>
        <v>0.2</v>
      </c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R1097" s="2"/>
      <c r="CS1097" s="2"/>
      <c r="CT1097" s="2"/>
      <c r="CU1097" s="2"/>
      <c r="CW1097" s="2"/>
      <c r="CX1097" s="2"/>
      <c r="CY1097" s="2"/>
    </row>
    <row r="1098" spans="1:103" s="2" customFormat="1" ht="14.45" customHeight="1" x14ac:dyDescent="0.25">
      <c r="A1098" s="15" t="s">
        <v>745</v>
      </c>
      <c r="B1098" s="34" t="s">
        <v>744</v>
      </c>
      <c r="C1098" s="26" t="s">
        <v>744</v>
      </c>
      <c r="D1098" s="82"/>
      <c r="E1098" s="82" t="s">
        <v>99</v>
      </c>
      <c r="F1098" s="82" t="s">
        <v>100</v>
      </c>
      <c r="G1098" s="29">
        <v>5340</v>
      </c>
      <c r="H1098" s="29">
        <f t="shared" si="583"/>
        <v>20</v>
      </c>
      <c r="I1098" s="26" t="s">
        <v>8</v>
      </c>
      <c r="J1098" s="26" t="s">
        <v>160</v>
      </c>
      <c r="K1098" s="26">
        <f>VLOOKUP(J1098,TOWNSHIPS,2,FALSE)</f>
        <v>0</v>
      </c>
      <c r="L1098" s="42">
        <v>7</v>
      </c>
      <c r="M1098" s="42">
        <v>10</v>
      </c>
      <c r="N1098" s="42">
        <v>9</v>
      </c>
      <c r="O1098" s="83">
        <v>9</v>
      </c>
      <c r="P1098" s="83">
        <v>9</v>
      </c>
      <c r="Q1098" s="83">
        <v>8</v>
      </c>
      <c r="R1098" s="83">
        <v>8</v>
      </c>
      <c r="S1098" s="83">
        <v>8</v>
      </c>
      <c r="T1098" s="83">
        <v>7</v>
      </c>
      <c r="U1098" s="83">
        <v>7</v>
      </c>
      <c r="V1098" s="42">
        <v>2023</v>
      </c>
      <c r="W1098" s="42">
        <v>2023</v>
      </c>
      <c r="X1098" s="42" t="s">
        <v>2612</v>
      </c>
      <c r="Y1098" s="26">
        <v>514</v>
      </c>
      <c r="Z1098" s="26">
        <f t="shared" si="584"/>
        <v>0.5</v>
      </c>
      <c r="AA1098" s="82" t="s">
        <v>129</v>
      </c>
      <c r="AB1098" s="111">
        <f t="shared" si="576"/>
        <v>1.5</v>
      </c>
      <c r="AC1098" s="82" t="s">
        <v>2072</v>
      </c>
      <c r="AD1098" s="84">
        <f>VLOOKUP(AC1098,Cost,2,FALSE)*G1098/5280</f>
        <v>46522.727272727272</v>
      </c>
      <c r="AE1098" s="140"/>
      <c r="AF1098" s="113">
        <f t="shared" ref="AF1098:AF1161" si="586">AD1098*AE1098</f>
        <v>0</v>
      </c>
      <c r="AG1098" s="26">
        <v>2025</v>
      </c>
      <c r="AH1098" s="26" t="str">
        <f t="shared" si="557"/>
        <v/>
      </c>
      <c r="AI1098" s="26" t="str">
        <f t="shared" si="563"/>
        <v/>
      </c>
      <c r="AJ1098" s="26" t="str">
        <f t="shared" si="571"/>
        <v/>
      </c>
      <c r="AK1098" s="26" t="str">
        <f t="shared" si="578"/>
        <v>Chip Seal - Triple</v>
      </c>
      <c r="AL1098" s="26" t="str">
        <f t="shared" si="578"/>
        <v/>
      </c>
      <c r="AM1098" s="26" t="str">
        <f t="shared" si="578"/>
        <v/>
      </c>
      <c r="AN1098" s="26" t="str">
        <f t="shared" si="560"/>
        <v>Chip Seal - Triple</v>
      </c>
      <c r="AO1098" s="26" t="str">
        <f t="shared" si="572"/>
        <v/>
      </c>
      <c r="AP1098" s="26" t="str">
        <f t="shared" si="568"/>
        <v/>
      </c>
      <c r="AQ1098" s="68">
        <f t="shared" si="579"/>
        <v>14</v>
      </c>
      <c r="AR1098" s="68">
        <f t="shared" si="580"/>
        <v>8</v>
      </c>
      <c r="AS1098" s="68">
        <f t="shared" ref="AS1098:AS1161" si="587">IF(L1098 &lt;&gt; "",VLOOKUP(L1098,RSLloss,3,FALSE),0)</f>
        <v>1.05</v>
      </c>
      <c r="AT1098" s="68">
        <f t="shared" ref="AT1098:AT1161" si="588">IF(M1098 &lt;&gt; "",VLOOKUP(M1098,RSLloss,3,FALSE),0)</f>
        <v>1</v>
      </c>
      <c r="AU1098" s="68">
        <f t="shared" ref="AU1098:AU1161" si="589">IF(N1098 &lt;&gt; "",VLOOKUP(N1098,RSLloss,3,FALSE),0)</f>
        <v>1</v>
      </c>
      <c r="AV1098" s="68">
        <f t="shared" ref="AV1098:AV1161" si="590">IF(O1098 &lt;&gt; "",VLOOKUP(O1098,RSLloss,3,FALSE),0)</f>
        <v>1</v>
      </c>
      <c r="AW1098" s="68">
        <f t="shared" ref="AW1098:AW1161" si="591">IF(P1098 &lt;&gt; "",VLOOKUP(P1098,RSLloss,3,FALSE),0)</f>
        <v>1</v>
      </c>
      <c r="AX1098" s="68">
        <f t="shared" ca="1" si="581"/>
        <v>1</v>
      </c>
      <c r="AY1098" s="68">
        <v>2014</v>
      </c>
      <c r="AZ1098" s="68" t="s">
        <v>751</v>
      </c>
      <c r="BA1098" s="106" t="str">
        <f t="shared" si="585"/>
        <v/>
      </c>
      <c r="BB1098" s="178"/>
      <c r="BC1098" s="178">
        <v>8</v>
      </c>
      <c r="BD1098" s="178"/>
      <c r="BE1098" s="178"/>
      <c r="BF1098" s="178"/>
      <c r="BG1098" s="178"/>
      <c r="BH1098" s="178"/>
      <c r="BI1098" s="33"/>
      <c r="BK1098" s="48">
        <f>$G1098/5280*VLOOKUP($AC1098,'Cost and Score'!$B$27:$O$40,6,0)</f>
        <v>0.60681818181818181</v>
      </c>
      <c r="BL1098" s="48">
        <f>$G1098/5280*VLOOKUP($AC1098,'Cost and Score'!$B$27:$O$40,7,0)</f>
        <v>126.42045454545456</v>
      </c>
      <c r="BM1098" s="48">
        <f>$G1098/5280*VLOOKUP($AC1098,'Cost and Score'!$B$27:$O$40,8,0)</f>
        <v>202.27272727272728</v>
      </c>
      <c r="BN1098" s="48">
        <f>$G1098/5280*VLOOKUP($AC1098,'Cost and Score'!$B$27:$O$40,9,0)</f>
        <v>2022.727272727273</v>
      </c>
      <c r="BO1098" s="48">
        <f>$G1098/5280*VLOOKUP($AC1098,'Cost and Score'!$B$27:$O$40,10,0)</f>
        <v>505.68181818181824</v>
      </c>
      <c r="BP1098" s="48">
        <f>$G1098/5280*VLOOKUP($AC1098,'Cost and Score'!$B$27:$O$40,11,0)</f>
        <v>101.13636363636364</v>
      </c>
      <c r="BQ1098" s="48">
        <f>$G1098/5280*VLOOKUP($AC1098,'Cost and Score'!$B$27:$O$40,12,0)</f>
        <v>809.09090909090912</v>
      </c>
      <c r="BR1098" s="48">
        <f>$G1098/5280*VLOOKUP($AC1098,'Cost and Score'!$B$27:$O$40,13,0)</f>
        <v>80.909090909090921</v>
      </c>
      <c r="BS1098" s="48">
        <f>$G1098/5280*VLOOKUP($AC1098,'Cost and Score'!$B$27:$O$40,14,0)</f>
        <v>0</v>
      </c>
      <c r="BT1098" s="220">
        <f t="shared" si="582"/>
        <v>1.0113636363636365</v>
      </c>
      <c r="CR1098" s="112"/>
      <c r="CS1098" s="112"/>
      <c r="CT1098" s="112"/>
      <c r="CU1098" s="112"/>
      <c r="CW1098" s="112"/>
      <c r="CX1098" s="112"/>
      <c r="CY1098" s="112"/>
    </row>
    <row r="1099" spans="1:103" s="2" customFormat="1" ht="14.45" hidden="1" customHeight="1" x14ac:dyDescent="0.25">
      <c r="A1099" s="31" t="s">
        <v>2102</v>
      </c>
      <c r="B1099" s="224" t="s">
        <v>1978</v>
      </c>
      <c r="C1099" s="85" t="s">
        <v>1978</v>
      </c>
      <c r="D1099" s="86" t="s">
        <v>2290</v>
      </c>
      <c r="E1099" s="85" t="s">
        <v>1469</v>
      </c>
      <c r="F1099" s="85" t="s">
        <v>1979</v>
      </c>
      <c r="G1099" s="29">
        <v>475</v>
      </c>
      <c r="H1099" s="29">
        <f t="shared" si="583"/>
        <v>26</v>
      </c>
      <c r="I1099" s="85" t="s">
        <v>2098</v>
      </c>
      <c r="J1099" s="85" t="s">
        <v>101</v>
      </c>
      <c r="K1099" s="85">
        <v>0</v>
      </c>
      <c r="L1099" s="74">
        <v>7</v>
      </c>
      <c r="M1099" s="74">
        <v>7</v>
      </c>
      <c r="N1099" s="74">
        <v>7</v>
      </c>
      <c r="O1099" s="74">
        <v>6</v>
      </c>
      <c r="P1099" s="74">
        <v>6</v>
      </c>
      <c r="Q1099" s="74">
        <v>6</v>
      </c>
      <c r="R1099" s="74">
        <v>6</v>
      </c>
      <c r="S1099" s="74">
        <v>6</v>
      </c>
      <c r="T1099" s="74">
        <v>6</v>
      </c>
      <c r="U1099" s="74">
        <v>6</v>
      </c>
      <c r="V1099" s="74"/>
      <c r="W1099" s="74"/>
      <c r="X1099" s="74"/>
      <c r="Y1099" s="85">
        <v>50</v>
      </c>
      <c r="Z1099" s="85">
        <f t="shared" si="584"/>
        <v>0</v>
      </c>
      <c r="AA1099" s="85" t="s">
        <v>1978</v>
      </c>
      <c r="AB1099" s="111">
        <f t="shared" si="576"/>
        <v>4</v>
      </c>
      <c r="AC1099" s="85" t="s">
        <v>2425</v>
      </c>
      <c r="AD1099" s="47">
        <f>VLOOKUP(AC1099,Cost,2,FALSE)*G1099/5280</f>
        <v>2249.0530303030305</v>
      </c>
      <c r="AE1099" s="140"/>
      <c r="AF1099" s="113">
        <f t="shared" si="586"/>
        <v>0</v>
      </c>
      <c r="AG1099" s="85">
        <v>2026</v>
      </c>
      <c r="AH1099" s="26" t="str">
        <f t="shared" si="557"/>
        <v/>
      </c>
      <c r="AI1099" s="26" t="str">
        <f t="shared" si="563"/>
        <v/>
      </c>
      <c r="AJ1099" s="26" t="str">
        <f t="shared" si="571"/>
        <v/>
      </c>
      <c r="AK1099" s="26" t="str">
        <f t="shared" si="578"/>
        <v/>
      </c>
      <c r="AL1099" s="26" t="str">
        <f t="shared" si="578"/>
        <v>Liquid Road</v>
      </c>
      <c r="AM1099" s="26" t="str">
        <f t="shared" si="578"/>
        <v/>
      </c>
      <c r="AN1099" s="26" t="str">
        <f t="shared" si="560"/>
        <v>Liquid Road</v>
      </c>
      <c r="AO1099" s="26" t="str">
        <f t="shared" si="572"/>
        <v/>
      </c>
      <c r="AP1099" s="26" t="str">
        <f t="shared" si="568"/>
        <v/>
      </c>
      <c r="AQ1099" s="68">
        <f t="shared" si="579"/>
        <v>8</v>
      </c>
      <c r="AR1099" s="68">
        <f t="shared" si="580"/>
        <v>10</v>
      </c>
      <c r="AS1099" s="68">
        <f t="shared" si="587"/>
        <v>1.05</v>
      </c>
      <c r="AT1099" s="68">
        <f t="shared" si="588"/>
        <v>1.05</v>
      </c>
      <c r="AU1099" s="68">
        <f t="shared" si="589"/>
        <v>1.05</v>
      </c>
      <c r="AV1099" s="68">
        <f t="shared" si="590"/>
        <v>1.1000000000000001</v>
      </c>
      <c r="AW1099" s="68">
        <f t="shared" si="591"/>
        <v>1.1000000000000001</v>
      </c>
      <c r="AX1099" s="68">
        <f t="shared" ca="1" si="581"/>
        <v>2.1</v>
      </c>
      <c r="AY1099" s="68">
        <v>2018</v>
      </c>
      <c r="AZ1099" s="68" t="s">
        <v>2075</v>
      </c>
      <c r="BA1099" s="106" t="str">
        <f t="shared" si="585"/>
        <v>CRACK</v>
      </c>
      <c r="BB1099" s="178"/>
      <c r="BC1099" s="177"/>
      <c r="BD1099" s="177"/>
      <c r="BE1099" s="177"/>
      <c r="BF1099" s="177"/>
      <c r="BG1099" s="177">
        <v>4</v>
      </c>
      <c r="BH1099" s="177"/>
      <c r="BI1099" s="33"/>
      <c r="BK1099" s="48">
        <f>$G1099/5280*VLOOKUP($AC1099,'Cost and Score'!$B$27:$O$40,6,0)</f>
        <v>8.9962121212121215E-2</v>
      </c>
      <c r="BL1099" s="48">
        <f>$G1099/5280*VLOOKUP($AC1099,'Cost and Score'!$B$27:$O$40,7,0)</f>
        <v>1.4393939393939394</v>
      </c>
      <c r="BM1099" s="48">
        <f>$G1099/5280*VLOOKUP($AC1099,'Cost and Score'!$B$27:$O$40,8,0)</f>
        <v>0</v>
      </c>
      <c r="BN1099" s="48">
        <f>$G1099/5280*VLOOKUP($AC1099,'Cost and Score'!$B$27:$O$40,9,0)</f>
        <v>0</v>
      </c>
      <c r="BO1099" s="48">
        <f>$G1099/5280*VLOOKUP($AC1099,'Cost and Score'!$B$27:$O$40,10,0)</f>
        <v>0</v>
      </c>
      <c r="BP1099" s="48">
        <f>$G1099/5280*VLOOKUP($AC1099,'Cost and Score'!$B$27:$O$40,11,0)</f>
        <v>0</v>
      </c>
      <c r="BQ1099" s="48">
        <f>$G1099/5280*VLOOKUP($AC1099,'Cost and Score'!$B$27:$O$40,12,0)</f>
        <v>0</v>
      </c>
      <c r="BR1099" s="48">
        <f>$G1099/5280*VLOOKUP($AC1099,'Cost and Score'!$B$27:$O$40,13,0)</f>
        <v>0</v>
      </c>
      <c r="BS1099" s="48">
        <f>$G1099/5280*VLOOKUP($AC1099,'Cost and Score'!$B$27:$O$40,14,0)</f>
        <v>0</v>
      </c>
      <c r="BT1099" s="220">
        <f t="shared" si="582"/>
        <v>8.9962121212121215E-2</v>
      </c>
      <c r="CG1099" s="112"/>
      <c r="CH1099" s="112"/>
      <c r="CI1099" s="112"/>
      <c r="CJ1099" s="112"/>
      <c r="CK1099" s="112"/>
      <c r="CL1099" s="112"/>
      <c r="CM1099" s="112"/>
      <c r="CW1099" s="112"/>
      <c r="CX1099" s="112"/>
      <c r="CY1099" s="112"/>
    </row>
    <row r="1100" spans="1:103" s="2" customFormat="1" ht="14.45" hidden="1" customHeight="1" x14ac:dyDescent="0.25">
      <c r="A1100" s="31" t="s">
        <v>2102</v>
      </c>
      <c r="B1100" s="224" t="s">
        <v>1980</v>
      </c>
      <c r="C1100" s="85" t="s">
        <v>1980</v>
      </c>
      <c r="D1100" s="86" t="s">
        <v>2290</v>
      </c>
      <c r="E1100" s="85" t="s">
        <v>1469</v>
      </c>
      <c r="F1100" s="85" t="s">
        <v>1979</v>
      </c>
      <c r="G1100" s="29">
        <v>4224</v>
      </c>
      <c r="H1100" s="29">
        <f t="shared" si="583"/>
        <v>26</v>
      </c>
      <c r="I1100" s="85" t="s">
        <v>2098</v>
      </c>
      <c r="J1100" s="85" t="s">
        <v>101</v>
      </c>
      <c r="K1100" s="85">
        <v>0</v>
      </c>
      <c r="L1100" s="74">
        <v>7</v>
      </c>
      <c r="M1100" s="74">
        <v>8</v>
      </c>
      <c r="N1100" s="74">
        <v>8</v>
      </c>
      <c r="O1100" s="74">
        <v>8</v>
      </c>
      <c r="P1100" s="74">
        <v>8</v>
      </c>
      <c r="Q1100" s="74">
        <v>7</v>
      </c>
      <c r="R1100" s="74">
        <v>7</v>
      </c>
      <c r="S1100" s="74">
        <v>7</v>
      </c>
      <c r="T1100" s="74">
        <v>7</v>
      </c>
      <c r="U1100" s="74">
        <v>7</v>
      </c>
      <c r="V1100" s="74"/>
      <c r="W1100" s="74"/>
      <c r="X1100" s="74"/>
      <c r="Y1100" s="85">
        <v>50</v>
      </c>
      <c r="Z1100" s="85">
        <f t="shared" si="584"/>
        <v>0</v>
      </c>
      <c r="AA1100" s="85" t="s">
        <v>1980</v>
      </c>
      <c r="AB1100" s="111">
        <f t="shared" si="576"/>
        <v>2</v>
      </c>
      <c r="AC1100" s="85" t="s">
        <v>2425</v>
      </c>
      <c r="AD1100" s="47">
        <f>VLOOKUP(AC1100,Cost,2,FALSE)*G1100/5280</f>
        <v>20000</v>
      </c>
      <c r="AE1100" s="140"/>
      <c r="AF1100" s="113">
        <f t="shared" si="586"/>
        <v>0</v>
      </c>
      <c r="AG1100" s="85">
        <v>2026</v>
      </c>
      <c r="AH1100" s="26" t="str">
        <f t="shared" si="557"/>
        <v/>
      </c>
      <c r="AI1100" s="26" t="str">
        <f t="shared" si="563"/>
        <v/>
      </c>
      <c r="AJ1100" s="26" t="str">
        <f t="shared" si="571"/>
        <v/>
      </c>
      <c r="AK1100" s="26" t="str">
        <f t="shared" si="578"/>
        <v/>
      </c>
      <c r="AL1100" s="26" t="str">
        <f t="shared" si="578"/>
        <v>Liquid Road</v>
      </c>
      <c r="AM1100" s="26" t="str">
        <f t="shared" si="578"/>
        <v/>
      </c>
      <c r="AN1100" s="26" t="str">
        <f t="shared" si="560"/>
        <v>Liquid Road</v>
      </c>
      <c r="AO1100" s="26" t="str">
        <f t="shared" si="572"/>
        <v/>
      </c>
      <c r="AP1100" s="26" t="str">
        <f t="shared" si="568"/>
        <v/>
      </c>
      <c r="AQ1100" s="68">
        <f t="shared" si="579"/>
        <v>12</v>
      </c>
      <c r="AR1100" s="68">
        <f t="shared" si="580"/>
        <v>10</v>
      </c>
      <c r="AS1100" s="68">
        <f t="shared" si="587"/>
        <v>1.05</v>
      </c>
      <c r="AT1100" s="68">
        <f t="shared" si="588"/>
        <v>1</v>
      </c>
      <c r="AU1100" s="68">
        <f t="shared" si="589"/>
        <v>1</v>
      </c>
      <c r="AV1100" s="68">
        <f t="shared" si="590"/>
        <v>1</v>
      </c>
      <c r="AW1100" s="68">
        <f t="shared" si="591"/>
        <v>1</v>
      </c>
      <c r="AX1100" s="68">
        <f t="shared" ca="1" si="581"/>
        <v>2</v>
      </c>
      <c r="AY1100" s="68">
        <v>2018</v>
      </c>
      <c r="AZ1100" s="68" t="s">
        <v>2075</v>
      </c>
      <c r="BA1100" s="106" t="str">
        <f t="shared" si="585"/>
        <v>CRACK</v>
      </c>
      <c r="BB1100" s="178"/>
      <c r="BC1100" s="177"/>
      <c r="BD1100" s="177"/>
      <c r="BE1100" s="177"/>
      <c r="BF1100" s="177"/>
      <c r="BG1100" s="177">
        <v>4</v>
      </c>
      <c r="BH1100" s="177"/>
      <c r="BI1100" s="33"/>
      <c r="BK1100" s="48">
        <f>$G1100/5280*VLOOKUP($AC1100,'Cost and Score'!$B$27:$O$40,6,0)</f>
        <v>0.8</v>
      </c>
      <c r="BL1100" s="48">
        <f>$G1100/5280*VLOOKUP($AC1100,'Cost and Score'!$B$27:$O$40,7,0)</f>
        <v>12.8</v>
      </c>
      <c r="BM1100" s="48">
        <f>$G1100/5280*VLOOKUP($AC1100,'Cost and Score'!$B$27:$O$40,8,0)</f>
        <v>0</v>
      </c>
      <c r="BN1100" s="48">
        <f>$G1100/5280*VLOOKUP($AC1100,'Cost and Score'!$B$27:$O$40,9,0)</f>
        <v>0</v>
      </c>
      <c r="BO1100" s="48">
        <f>$G1100/5280*VLOOKUP($AC1100,'Cost and Score'!$B$27:$O$40,10,0)</f>
        <v>0</v>
      </c>
      <c r="BP1100" s="48">
        <f>$G1100/5280*VLOOKUP($AC1100,'Cost and Score'!$B$27:$O$40,11,0)</f>
        <v>0</v>
      </c>
      <c r="BQ1100" s="48">
        <f>$G1100/5280*VLOOKUP($AC1100,'Cost and Score'!$B$27:$O$40,12,0)</f>
        <v>0</v>
      </c>
      <c r="BR1100" s="48">
        <f>$G1100/5280*VLOOKUP($AC1100,'Cost and Score'!$B$27:$O$40,13,0)</f>
        <v>0</v>
      </c>
      <c r="BS1100" s="48">
        <f>$G1100/5280*VLOOKUP($AC1100,'Cost and Score'!$B$27:$O$40,14,0)</f>
        <v>0</v>
      </c>
      <c r="BT1100" s="220">
        <f t="shared" si="582"/>
        <v>0.8</v>
      </c>
      <c r="CR1100" s="112"/>
      <c r="CW1100" s="112"/>
      <c r="CX1100" s="112"/>
      <c r="CY1100" s="112"/>
    </row>
    <row r="1101" spans="1:103" s="2" customFormat="1" ht="14.45" hidden="1" customHeight="1" x14ac:dyDescent="0.25">
      <c r="A1101" s="31" t="s">
        <v>2102</v>
      </c>
      <c r="B1101" s="45" t="s">
        <v>1981</v>
      </c>
      <c r="C1101" s="26" t="s">
        <v>1981</v>
      </c>
      <c r="D1101" s="36" t="s">
        <v>2291</v>
      </c>
      <c r="E1101" s="26" t="s">
        <v>1711</v>
      </c>
      <c r="F1101" s="26" t="s">
        <v>1712</v>
      </c>
      <c r="G1101" s="29">
        <v>1003</v>
      </c>
      <c r="H1101" s="29">
        <f t="shared" si="583"/>
        <v>26</v>
      </c>
      <c r="I1101" s="26" t="s">
        <v>2098</v>
      </c>
      <c r="J1101" s="26" t="s">
        <v>125</v>
      </c>
      <c r="K1101" s="26">
        <f t="shared" ref="K1101:K1119" si="592">VLOOKUP(J1101,TOWNSHIPS,2,FALSE)</f>
        <v>0</v>
      </c>
      <c r="L1101" s="42">
        <v>8</v>
      </c>
      <c r="M1101" s="42">
        <v>8</v>
      </c>
      <c r="N1101" s="42">
        <v>8</v>
      </c>
      <c r="O1101" s="42">
        <v>8</v>
      </c>
      <c r="P1101" s="42">
        <v>7</v>
      </c>
      <c r="Q1101" s="42">
        <v>8</v>
      </c>
      <c r="R1101" s="42">
        <v>7</v>
      </c>
      <c r="S1101" s="42">
        <v>7</v>
      </c>
      <c r="T1101" s="42">
        <v>7</v>
      </c>
      <c r="U1101" s="42">
        <v>7</v>
      </c>
      <c r="V1101" s="42"/>
      <c r="W1101" s="42"/>
      <c r="X1101" s="42"/>
      <c r="Y1101" s="26">
        <v>50</v>
      </c>
      <c r="Z1101" s="26">
        <f t="shared" si="584"/>
        <v>0</v>
      </c>
      <c r="AA1101" s="26" t="s">
        <v>1981</v>
      </c>
      <c r="AB1101" s="111">
        <f t="shared" si="576"/>
        <v>3</v>
      </c>
      <c r="AC1101" s="26" t="s">
        <v>2086</v>
      </c>
      <c r="AD1101" s="47">
        <v>8113</v>
      </c>
      <c r="AE1101" s="140"/>
      <c r="AF1101" s="113">
        <f t="shared" si="586"/>
        <v>0</v>
      </c>
      <c r="AG1101" s="26">
        <v>2024</v>
      </c>
      <c r="AH1101" s="26" t="str">
        <f t="shared" ref="AH1101:AH1164" si="593">IF($AG1101=AH$1,VLOOKUP($AC1101,RSL,3,FALSE),"")</f>
        <v/>
      </c>
      <c r="AI1101" s="26" t="str">
        <f t="shared" si="563"/>
        <v/>
      </c>
      <c r="AJ1101" s="26" t="str">
        <f t="shared" si="571"/>
        <v>Fog Seal</v>
      </c>
      <c r="AK1101" s="26" t="str">
        <f t="shared" si="578"/>
        <v/>
      </c>
      <c r="AL1101" s="26" t="str">
        <f t="shared" si="578"/>
        <v/>
      </c>
      <c r="AM1101" s="26" t="str">
        <f t="shared" si="578"/>
        <v/>
      </c>
      <c r="AN1101" s="26" t="str">
        <f t="shared" si="560"/>
        <v>Fog Seal</v>
      </c>
      <c r="AO1101" s="26" t="str">
        <f t="shared" si="572"/>
        <v/>
      </c>
      <c r="AP1101" s="26" t="str">
        <f t="shared" si="568"/>
        <v/>
      </c>
      <c r="AQ1101" s="68">
        <f t="shared" si="579"/>
        <v>12</v>
      </c>
      <c r="AR1101" s="68">
        <f t="shared" si="580"/>
        <v>2</v>
      </c>
      <c r="AS1101" s="68">
        <f t="shared" si="587"/>
        <v>1</v>
      </c>
      <c r="AT1101" s="68">
        <f t="shared" si="588"/>
        <v>1</v>
      </c>
      <c r="AU1101" s="68">
        <f t="shared" si="589"/>
        <v>1</v>
      </c>
      <c r="AV1101" s="68">
        <f t="shared" si="590"/>
        <v>1</v>
      </c>
      <c r="AW1101" s="68">
        <f t="shared" si="591"/>
        <v>1.05</v>
      </c>
      <c r="AX1101" s="68">
        <f t="shared" ca="1" si="581"/>
        <v>0</v>
      </c>
      <c r="AY1101" s="68">
        <v>2018</v>
      </c>
      <c r="AZ1101" s="68" t="s">
        <v>2371</v>
      </c>
      <c r="BA1101" s="106" t="str">
        <f t="shared" si="585"/>
        <v>MICRO</v>
      </c>
      <c r="BB1101" s="178"/>
      <c r="BC1101" s="177"/>
      <c r="BD1101" s="177"/>
      <c r="BE1101" s="177"/>
      <c r="BF1101" s="177"/>
      <c r="BG1101" s="177"/>
      <c r="BH1101" s="177"/>
      <c r="BI1101" s="33"/>
      <c r="BK1101" s="48">
        <f>$G1101/5280*VLOOKUP($AC1101,'Cost and Score'!$B$27:$O$40,6,0)</f>
        <v>1.8996212121212122E-2</v>
      </c>
      <c r="BL1101" s="48">
        <f>$G1101/5280*VLOOKUP($AC1101,'Cost and Score'!$B$27:$O$40,7,0)</f>
        <v>3.7992424242424244E-2</v>
      </c>
      <c r="BM1101" s="48">
        <f>$G1101/5280*VLOOKUP($AC1101,'Cost and Score'!$B$27:$O$40,8,0)</f>
        <v>0</v>
      </c>
      <c r="BN1101" s="48">
        <f>$G1101/5280*VLOOKUP($AC1101,'Cost and Score'!$B$27:$O$40,9,0)</f>
        <v>0</v>
      </c>
      <c r="BO1101" s="48">
        <f>$G1101/5280*VLOOKUP($AC1101,'Cost and Score'!$B$27:$O$40,10,0)</f>
        <v>189.96212121212122</v>
      </c>
      <c r="BP1101" s="48">
        <f>$G1101/5280*VLOOKUP($AC1101,'Cost and Score'!$B$27:$O$40,11,0)</f>
        <v>0</v>
      </c>
      <c r="BQ1101" s="48">
        <f>$G1101/5280*VLOOKUP($AC1101,'Cost and Score'!$B$27:$O$40,12,0)</f>
        <v>0</v>
      </c>
      <c r="BR1101" s="48">
        <f>$G1101/5280*VLOOKUP($AC1101,'Cost and Score'!$B$27:$O$40,13,0)</f>
        <v>0</v>
      </c>
      <c r="BS1101" s="48">
        <f>$G1101/5280*VLOOKUP($AC1101,'Cost and Score'!$B$27:$O$40,14,0)</f>
        <v>0</v>
      </c>
      <c r="BT1101" s="220">
        <f t="shared" si="582"/>
        <v>0.18996212121212122</v>
      </c>
      <c r="CF1101" s="112"/>
    </row>
    <row r="1102" spans="1:103" s="2" customFormat="1" ht="14.45" hidden="1" customHeight="1" x14ac:dyDescent="0.25">
      <c r="A1102" s="31" t="s">
        <v>2102</v>
      </c>
      <c r="B1102" s="226" t="s">
        <v>1982</v>
      </c>
      <c r="C1102" s="106" t="s">
        <v>1982</v>
      </c>
      <c r="D1102" s="116" t="s">
        <v>2292</v>
      </c>
      <c r="E1102" s="106" t="s">
        <v>1619</v>
      </c>
      <c r="F1102" s="106" t="s">
        <v>1502</v>
      </c>
      <c r="G1102" s="109">
        <v>528</v>
      </c>
      <c r="H1102" s="109">
        <f t="shared" si="583"/>
        <v>26</v>
      </c>
      <c r="I1102" s="106" t="s">
        <v>2098</v>
      </c>
      <c r="J1102" s="106" t="s">
        <v>160</v>
      </c>
      <c r="K1102" s="106">
        <f t="shared" si="592"/>
        <v>0</v>
      </c>
      <c r="L1102" s="110">
        <v>8</v>
      </c>
      <c r="M1102" s="110">
        <v>8</v>
      </c>
      <c r="N1102" s="110">
        <v>8</v>
      </c>
      <c r="O1102" s="110">
        <v>8</v>
      </c>
      <c r="P1102" s="110">
        <v>8</v>
      </c>
      <c r="Q1102" s="110">
        <v>8</v>
      </c>
      <c r="R1102" s="110">
        <v>8</v>
      </c>
      <c r="S1102" s="110">
        <v>8</v>
      </c>
      <c r="T1102" s="110">
        <v>8</v>
      </c>
      <c r="U1102" s="110">
        <v>7</v>
      </c>
      <c r="V1102" s="110"/>
      <c r="W1102" s="110"/>
      <c r="X1102" s="110"/>
      <c r="Y1102" s="106">
        <v>2144</v>
      </c>
      <c r="Z1102" s="106">
        <f t="shared" si="584"/>
        <v>1</v>
      </c>
      <c r="AA1102" s="106" t="s">
        <v>1982</v>
      </c>
      <c r="AB1102" s="111">
        <f t="shared" si="576"/>
        <v>3</v>
      </c>
      <c r="AC1102" s="106" t="s">
        <v>2425</v>
      </c>
      <c r="AD1102" s="107">
        <f t="shared" ref="AD1102:AD1133" si="594">VLOOKUP(AC1102,Cost,2,FALSE)*G1102/5280</f>
        <v>2500</v>
      </c>
      <c r="AE1102" s="198"/>
      <c r="AF1102" s="113">
        <f t="shared" si="586"/>
        <v>0</v>
      </c>
      <c r="AG1102" s="85">
        <v>2026</v>
      </c>
      <c r="AH1102" s="26" t="str">
        <f t="shared" si="593"/>
        <v/>
      </c>
      <c r="AI1102" s="26" t="str">
        <f t="shared" si="563"/>
        <v/>
      </c>
      <c r="AJ1102" s="26" t="str">
        <f t="shared" si="571"/>
        <v/>
      </c>
      <c r="AK1102" s="26" t="str">
        <f t="shared" si="578"/>
        <v/>
      </c>
      <c r="AL1102" s="26" t="str">
        <f t="shared" si="578"/>
        <v>Liquid Road</v>
      </c>
      <c r="AM1102" s="26" t="str">
        <f t="shared" si="578"/>
        <v/>
      </c>
      <c r="AN1102" s="26" t="str">
        <f t="shared" si="560"/>
        <v>Liquid Road</v>
      </c>
      <c r="AO1102" s="26" t="str">
        <f t="shared" si="572"/>
        <v/>
      </c>
      <c r="AP1102" s="26" t="str">
        <f t="shared" si="568"/>
        <v/>
      </c>
      <c r="AQ1102" s="68">
        <f t="shared" si="579"/>
        <v>12</v>
      </c>
      <c r="AR1102" s="68">
        <f t="shared" si="580"/>
        <v>10</v>
      </c>
      <c r="AS1102" s="68">
        <f t="shared" si="587"/>
        <v>1</v>
      </c>
      <c r="AT1102" s="68">
        <f t="shared" si="588"/>
        <v>1</v>
      </c>
      <c r="AU1102" s="68">
        <f t="shared" si="589"/>
        <v>1</v>
      </c>
      <c r="AV1102" s="68">
        <f t="shared" si="590"/>
        <v>1</v>
      </c>
      <c r="AW1102" s="68">
        <f t="shared" si="591"/>
        <v>1</v>
      </c>
      <c r="AX1102" s="68">
        <f t="shared" ca="1" si="581"/>
        <v>2</v>
      </c>
      <c r="AY1102" s="106">
        <v>2017</v>
      </c>
      <c r="AZ1102" s="106" t="s">
        <v>2075</v>
      </c>
      <c r="BA1102" s="106" t="str">
        <f t="shared" si="585"/>
        <v/>
      </c>
      <c r="BB1102" s="177"/>
      <c r="BC1102" s="177"/>
      <c r="BD1102" s="177"/>
      <c r="BE1102" s="177"/>
      <c r="BF1102" s="177"/>
      <c r="BG1102" s="177">
        <v>4</v>
      </c>
      <c r="BH1102" s="177"/>
      <c r="BI1102" s="33"/>
      <c r="BK1102" s="48">
        <f>$G1102/5280*VLOOKUP($AC1102,'Cost and Score'!$B$27:$O$40,6,0)</f>
        <v>0.1</v>
      </c>
      <c r="BL1102" s="48">
        <f>$G1102/5280*VLOOKUP($AC1102,'Cost and Score'!$B$27:$O$40,7,0)</f>
        <v>1.6</v>
      </c>
      <c r="BM1102" s="48">
        <f>$G1102/5280*VLOOKUP($AC1102,'Cost and Score'!$B$27:$O$40,8,0)</f>
        <v>0</v>
      </c>
      <c r="BN1102" s="48">
        <f>$G1102/5280*VLOOKUP($AC1102,'Cost and Score'!$B$27:$O$40,9,0)</f>
        <v>0</v>
      </c>
      <c r="BO1102" s="48">
        <f>$G1102/5280*VLOOKUP($AC1102,'Cost and Score'!$B$27:$O$40,10,0)</f>
        <v>0</v>
      </c>
      <c r="BP1102" s="48">
        <f>$G1102/5280*VLOOKUP($AC1102,'Cost and Score'!$B$27:$O$40,11,0)</f>
        <v>0</v>
      </c>
      <c r="BQ1102" s="48">
        <f>$G1102/5280*VLOOKUP($AC1102,'Cost and Score'!$B$27:$O$40,12,0)</f>
        <v>0</v>
      </c>
      <c r="BR1102" s="48">
        <f>$G1102/5280*VLOOKUP($AC1102,'Cost and Score'!$B$27:$O$40,13,0)</f>
        <v>0</v>
      </c>
      <c r="BS1102" s="48">
        <f>$G1102/5280*VLOOKUP($AC1102,'Cost and Score'!$B$27:$O$40,14,0)</f>
        <v>0</v>
      </c>
      <c r="BT1102" s="220">
        <f t="shared" si="582"/>
        <v>0.1</v>
      </c>
      <c r="CS1102" s="112"/>
      <c r="CT1102" s="112"/>
      <c r="CU1102" s="112"/>
      <c r="CW1102" s="112"/>
      <c r="CX1102" s="112"/>
      <c r="CY1102" s="112"/>
    </row>
    <row r="1103" spans="1:103" s="112" customFormat="1" ht="14.45" hidden="1" customHeight="1" x14ac:dyDescent="0.25">
      <c r="A1103" s="31"/>
      <c r="B1103" s="224" t="s">
        <v>2212</v>
      </c>
      <c r="C1103" s="26" t="s">
        <v>2212</v>
      </c>
      <c r="D1103" s="36" t="s">
        <v>2292</v>
      </c>
      <c r="E1103" s="26" t="s">
        <v>1619</v>
      </c>
      <c r="F1103" s="26" t="s">
        <v>1502</v>
      </c>
      <c r="G1103" s="29">
        <v>1003</v>
      </c>
      <c r="H1103" s="29">
        <f t="shared" si="583"/>
        <v>26</v>
      </c>
      <c r="I1103" s="26" t="s">
        <v>2098</v>
      </c>
      <c r="J1103" s="26" t="s">
        <v>160</v>
      </c>
      <c r="K1103" s="26">
        <f t="shared" si="592"/>
        <v>0</v>
      </c>
      <c r="L1103" s="42"/>
      <c r="M1103" s="42">
        <v>7</v>
      </c>
      <c r="N1103" s="42">
        <v>7</v>
      </c>
      <c r="O1103" s="42">
        <v>7</v>
      </c>
      <c r="P1103" s="42">
        <v>7</v>
      </c>
      <c r="Q1103" s="42">
        <v>7</v>
      </c>
      <c r="R1103" s="42">
        <v>7</v>
      </c>
      <c r="S1103" s="42">
        <v>7</v>
      </c>
      <c r="T1103" s="42">
        <v>7</v>
      </c>
      <c r="U1103" s="42">
        <v>7</v>
      </c>
      <c r="V1103" s="42"/>
      <c r="W1103" s="42"/>
      <c r="X1103" s="42"/>
      <c r="Y1103" s="26">
        <v>2144</v>
      </c>
      <c r="Z1103" s="26">
        <f t="shared" si="584"/>
        <v>1</v>
      </c>
      <c r="AA1103" s="26" t="s">
        <v>2212</v>
      </c>
      <c r="AB1103" s="111">
        <f t="shared" si="576"/>
        <v>4</v>
      </c>
      <c r="AC1103" s="85" t="s">
        <v>2425</v>
      </c>
      <c r="AD1103" s="47">
        <f t="shared" si="594"/>
        <v>4749.05303030303</v>
      </c>
      <c r="AE1103" s="140"/>
      <c r="AF1103" s="113">
        <f t="shared" si="586"/>
        <v>0</v>
      </c>
      <c r="AG1103" s="85">
        <v>2026</v>
      </c>
      <c r="AH1103" s="26" t="str">
        <f t="shared" si="593"/>
        <v/>
      </c>
      <c r="AI1103" s="26" t="str">
        <f t="shared" si="563"/>
        <v/>
      </c>
      <c r="AJ1103" s="26" t="str">
        <f t="shared" si="571"/>
        <v/>
      </c>
      <c r="AK1103" s="26" t="str">
        <f t="shared" si="578"/>
        <v/>
      </c>
      <c r="AL1103" s="26" t="str">
        <f t="shared" si="578"/>
        <v>Liquid Road</v>
      </c>
      <c r="AM1103" s="26" t="str">
        <f t="shared" si="578"/>
        <v/>
      </c>
      <c r="AN1103" s="26" t="str">
        <f t="shared" si="560"/>
        <v>Liquid Road</v>
      </c>
      <c r="AO1103" s="26" t="str">
        <f t="shared" si="572"/>
        <v/>
      </c>
      <c r="AP1103" s="26" t="str">
        <f t="shared" si="568"/>
        <v/>
      </c>
      <c r="AQ1103" s="68">
        <f t="shared" si="579"/>
        <v>10</v>
      </c>
      <c r="AR1103" s="68">
        <f t="shared" si="580"/>
        <v>10</v>
      </c>
      <c r="AS1103" s="68">
        <f t="shared" si="587"/>
        <v>0</v>
      </c>
      <c r="AT1103" s="68">
        <f t="shared" si="588"/>
        <v>1.05</v>
      </c>
      <c r="AU1103" s="68">
        <f t="shared" si="589"/>
        <v>1.05</v>
      </c>
      <c r="AV1103" s="68">
        <f t="shared" si="590"/>
        <v>1.05</v>
      </c>
      <c r="AW1103" s="68">
        <f t="shared" si="591"/>
        <v>1.05</v>
      </c>
      <c r="AX1103" s="68">
        <f t="shared" ca="1" si="581"/>
        <v>2.1</v>
      </c>
      <c r="AY1103" s="68">
        <v>2016</v>
      </c>
      <c r="AZ1103" s="68" t="s">
        <v>2075</v>
      </c>
      <c r="BA1103" s="106" t="str">
        <f t="shared" si="585"/>
        <v/>
      </c>
      <c r="BB1103" s="178"/>
      <c r="BC1103" s="177"/>
      <c r="BD1103" s="177"/>
      <c r="BE1103" s="177"/>
      <c r="BF1103" s="177"/>
      <c r="BG1103" s="177">
        <v>4</v>
      </c>
      <c r="BH1103" s="177"/>
      <c r="BI1103" s="33"/>
      <c r="BJ1103" s="2"/>
      <c r="BK1103" s="48">
        <f>$G1103/5280*VLOOKUP($AC1103,'Cost and Score'!$B$27:$O$40,6,0)</f>
        <v>0.18996212121212122</v>
      </c>
      <c r="BL1103" s="48">
        <f>$G1103/5280*VLOOKUP($AC1103,'Cost and Score'!$B$27:$O$40,7,0)</f>
        <v>3.0393939393939395</v>
      </c>
      <c r="BM1103" s="48">
        <f>$G1103/5280*VLOOKUP($AC1103,'Cost and Score'!$B$27:$O$40,8,0)</f>
        <v>0</v>
      </c>
      <c r="BN1103" s="48">
        <f>$G1103/5280*VLOOKUP($AC1103,'Cost and Score'!$B$27:$O$40,9,0)</f>
        <v>0</v>
      </c>
      <c r="BO1103" s="48">
        <f>$G1103/5280*VLOOKUP($AC1103,'Cost and Score'!$B$27:$O$40,10,0)</f>
        <v>0</v>
      </c>
      <c r="BP1103" s="48">
        <f>$G1103/5280*VLOOKUP($AC1103,'Cost and Score'!$B$27:$O$40,11,0)</f>
        <v>0</v>
      </c>
      <c r="BQ1103" s="48">
        <f>$G1103/5280*VLOOKUP($AC1103,'Cost and Score'!$B$27:$O$40,12,0)</f>
        <v>0</v>
      </c>
      <c r="BR1103" s="48">
        <f>$G1103/5280*VLOOKUP($AC1103,'Cost and Score'!$B$27:$O$40,13,0)</f>
        <v>0</v>
      </c>
      <c r="BS1103" s="48">
        <f>$G1103/5280*VLOOKUP($AC1103,'Cost and Score'!$B$27:$O$40,14,0)</f>
        <v>0</v>
      </c>
      <c r="BT1103" s="220">
        <f t="shared" si="582"/>
        <v>0.18996212121212122</v>
      </c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N1103" s="2"/>
      <c r="CO1103" s="2"/>
      <c r="CP1103" s="2"/>
      <c r="CQ1103" s="2"/>
      <c r="CS1103" s="2"/>
      <c r="CT1103" s="2"/>
      <c r="CU1103" s="2"/>
      <c r="CV1103" s="2"/>
      <c r="CW1103" s="2"/>
      <c r="CX1103" s="2"/>
      <c r="CY1103" s="2"/>
    </row>
    <row r="1104" spans="1:103" s="2" customFormat="1" ht="14.45" hidden="1" customHeight="1" x14ac:dyDescent="0.25">
      <c r="A1104" s="31" t="s">
        <v>2102</v>
      </c>
      <c r="B1104" s="224" t="s">
        <v>1983</v>
      </c>
      <c r="C1104" s="85" t="s">
        <v>1983</v>
      </c>
      <c r="D1104" s="86" t="s">
        <v>2307</v>
      </c>
      <c r="E1104" s="85" t="s">
        <v>1451</v>
      </c>
      <c r="F1104" s="85" t="s">
        <v>1555</v>
      </c>
      <c r="G1104" s="29">
        <v>845</v>
      </c>
      <c r="H1104" s="29">
        <f t="shared" si="583"/>
        <v>26</v>
      </c>
      <c r="I1104" s="124" t="s">
        <v>2098</v>
      </c>
      <c r="J1104" s="85" t="s">
        <v>160</v>
      </c>
      <c r="K1104" s="85">
        <f t="shared" si="592"/>
        <v>0</v>
      </c>
      <c r="L1104" s="74">
        <v>8</v>
      </c>
      <c r="M1104" s="74">
        <v>7</v>
      </c>
      <c r="N1104" s="74">
        <v>7</v>
      </c>
      <c r="O1104" s="74">
        <v>7</v>
      </c>
      <c r="P1104" s="74">
        <v>7</v>
      </c>
      <c r="Q1104" s="74">
        <v>7</v>
      </c>
      <c r="R1104" s="74">
        <v>7</v>
      </c>
      <c r="S1104" s="74">
        <v>7</v>
      </c>
      <c r="T1104" s="74">
        <v>7</v>
      </c>
      <c r="U1104" s="74">
        <v>7</v>
      </c>
      <c r="V1104" s="74"/>
      <c r="W1104" s="74"/>
      <c r="X1104" s="74"/>
      <c r="Y1104" s="85">
        <v>888</v>
      </c>
      <c r="Z1104" s="85">
        <f t="shared" si="584"/>
        <v>0.5</v>
      </c>
      <c r="AA1104" s="85" t="s">
        <v>1983</v>
      </c>
      <c r="AB1104" s="111">
        <f t="shared" si="576"/>
        <v>3.5</v>
      </c>
      <c r="AC1104" s="85" t="s">
        <v>2489</v>
      </c>
      <c r="AD1104" s="47">
        <f t="shared" si="594"/>
        <v>4000.9469696969695</v>
      </c>
      <c r="AE1104" s="140"/>
      <c r="AF1104" s="113">
        <f t="shared" si="586"/>
        <v>0</v>
      </c>
      <c r="AG1104" s="85">
        <v>2027</v>
      </c>
      <c r="AH1104" s="26" t="str">
        <f t="shared" si="593"/>
        <v/>
      </c>
      <c r="AI1104" s="26" t="str">
        <f t="shared" si="563"/>
        <v/>
      </c>
      <c r="AJ1104" s="26" t="str">
        <f t="shared" si="571"/>
        <v/>
      </c>
      <c r="AK1104" s="26" t="str">
        <f t="shared" si="578"/>
        <v/>
      </c>
      <c r="AL1104" s="26" t="str">
        <f t="shared" si="578"/>
        <v/>
      </c>
      <c r="AM1104" s="26" t="str">
        <f t="shared" si="578"/>
        <v>Liquid Road</v>
      </c>
      <c r="AN1104" s="26" t="str">
        <f t="shared" si="560"/>
        <v>Liquid Road</v>
      </c>
      <c r="AO1104" s="26" t="str">
        <f t="shared" si="572"/>
        <v/>
      </c>
      <c r="AP1104" s="26" t="str">
        <f t="shared" si="568"/>
        <v/>
      </c>
      <c r="AQ1104" s="68">
        <f t="shared" si="579"/>
        <v>10</v>
      </c>
      <c r="AR1104" s="68">
        <f t="shared" si="580"/>
        <v>10</v>
      </c>
      <c r="AS1104" s="68">
        <f t="shared" si="587"/>
        <v>1</v>
      </c>
      <c r="AT1104" s="68">
        <f t="shared" si="588"/>
        <v>1.05</v>
      </c>
      <c r="AU1104" s="68">
        <f t="shared" si="589"/>
        <v>1.05</v>
      </c>
      <c r="AV1104" s="68">
        <f t="shared" si="590"/>
        <v>1.05</v>
      </c>
      <c r="AW1104" s="68">
        <f t="shared" si="591"/>
        <v>1.05</v>
      </c>
      <c r="AX1104" s="68">
        <f t="shared" ca="1" si="581"/>
        <v>3.1500000000000004</v>
      </c>
      <c r="AY1104" s="68"/>
      <c r="AZ1104" s="68"/>
      <c r="BA1104" s="106" t="str">
        <f t="shared" si="585"/>
        <v/>
      </c>
      <c r="BB1104" s="178"/>
      <c r="BC1104" s="177"/>
      <c r="BD1104" s="177"/>
      <c r="BE1104" s="177"/>
      <c r="BF1104" s="177"/>
      <c r="BG1104" s="177"/>
      <c r="BH1104" s="177">
        <v>5</v>
      </c>
      <c r="BI1104" s="33"/>
      <c r="BK1104" s="48">
        <f>$G1104/5280*VLOOKUP($AC1104,'Cost and Score'!$B$27:$O$40,6,0)</f>
        <v>0.16003787878787878</v>
      </c>
      <c r="BL1104" s="48">
        <f>$G1104/5280*VLOOKUP($AC1104,'Cost and Score'!$B$27:$O$40,7,0)</f>
        <v>2.5606060606060606</v>
      </c>
      <c r="BM1104" s="48">
        <f>$G1104/5280*VLOOKUP($AC1104,'Cost and Score'!$B$27:$O$40,8,0)</f>
        <v>0</v>
      </c>
      <c r="BN1104" s="48">
        <f>$G1104/5280*VLOOKUP($AC1104,'Cost and Score'!$B$27:$O$40,9,0)</f>
        <v>0</v>
      </c>
      <c r="BO1104" s="48">
        <f>$G1104/5280*VLOOKUP($AC1104,'Cost and Score'!$B$27:$O$40,10,0)</f>
        <v>0</v>
      </c>
      <c r="BP1104" s="48">
        <f>$G1104/5280*VLOOKUP($AC1104,'Cost and Score'!$B$27:$O$40,11,0)</f>
        <v>0</v>
      </c>
      <c r="BQ1104" s="48">
        <f>$G1104/5280*VLOOKUP($AC1104,'Cost and Score'!$B$27:$O$40,12,0)</f>
        <v>0</v>
      </c>
      <c r="BR1104" s="48">
        <f>$G1104/5280*VLOOKUP($AC1104,'Cost and Score'!$B$27:$O$40,13,0)</f>
        <v>0</v>
      </c>
      <c r="BS1104" s="48">
        <f>$G1104/5280*VLOOKUP($AC1104,'Cost and Score'!$B$27:$O$40,14,0)</f>
        <v>0</v>
      </c>
      <c r="BT1104" s="220">
        <f t="shared" si="582"/>
        <v>0.16003787878787878</v>
      </c>
      <c r="CF1104" s="112"/>
      <c r="CN1104" s="112"/>
      <c r="CO1104" s="112"/>
      <c r="CP1104" s="112"/>
      <c r="CQ1104" s="112"/>
      <c r="CR1104" s="112"/>
      <c r="CV1104" s="112"/>
      <c r="CW1104" s="112"/>
      <c r="CX1104" s="112"/>
      <c r="CY1104" s="112"/>
    </row>
    <row r="1105" spans="1:103" s="2" customFormat="1" ht="14.45" hidden="1" customHeight="1" x14ac:dyDescent="0.25">
      <c r="A1105" s="31" t="s">
        <v>2102</v>
      </c>
      <c r="B1105" s="226" t="s">
        <v>1984</v>
      </c>
      <c r="C1105" s="106" t="s">
        <v>1984</v>
      </c>
      <c r="D1105" s="116" t="s">
        <v>2293</v>
      </c>
      <c r="E1105" s="106" t="s">
        <v>1416</v>
      </c>
      <c r="F1105" s="106" t="s">
        <v>1608</v>
      </c>
      <c r="G1105" s="109">
        <v>739</v>
      </c>
      <c r="H1105" s="109">
        <f t="shared" si="583"/>
        <v>26</v>
      </c>
      <c r="I1105" s="106" t="s">
        <v>2098</v>
      </c>
      <c r="J1105" s="106" t="s">
        <v>160</v>
      </c>
      <c r="K1105" s="106">
        <f t="shared" si="592"/>
        <v>0</v>
      </c>
      <c r="L1105" s="110">
        <v>7</v>
      </c>
      <c r="M1105" s="110">
        <v>7</v>
      </c>
      <c r="N1105" s="110">
        <v>7</v>
      </c>
      <c r="O1105" s="110">
        <v>7</v>
      </c>
      <c r="P1105" s="110">
        <v>7</v>
      </c>
      <c r="Q1105" s="110">
        <v>7</v>
      </c>
      <c r="R1105" s="110">
        <v>7</v>
      </c>
      <c r="S1105" s="110">
        <v>7</v>
      </c>
      <c r="T1105" s="110">
        <v>7</v>
      </c>
      <c r="U1105" s="110">
        <v>7</v>
      </c>
      <c r="V1105" s="110"/>
      <c r="W1105" s="110"/>
      <c r="X1105" s="110"/>
      <c r="Y1105" s="106">
        <v>50</v>
      </c>
      <c r="Z1105" s="106">
        <f t="shared" si="584"/>
        <v>0</v>
      </c>
      <c r="AA1105" s="106" t="s">
        <v>1984</v>
      </c>
      <c r="AB1105" s="111">
        <f t="shared" si="576"/>
        <v>3</v>
      </c>
      <c r="AC1105" s="85" t="s">
        <v>2425</v>
      </c>
      <c r="AD1105" s="107">
        <f t="shared" si="594"/>
        <v>3499.0530303030305</v>
      </c>
      <c r="AE1105" s="198"/>
      <c r="AF1105" s="113">
        <f t="shared" si="586"/>
        <v>0</v>
      </c>
      <c r="AG1105" s="85">
        <v>2026</v>
      </c>
      <c r="AH1105" s="26" t="str">
        <f t="shared" si="593"/>
        <v/>
      </c>
      <c r="AI1105" s="26" t="str">
        <f t="shared" si="563"/>
        <v/>
      </c>
      <c r="AJ1105" s="26" t="str">
        <f t="shared" si="571"/>
        <v/>
      </c>
      <c r="AK1105" s="26" t="str">
        <f t="shared" si="578"/>
        <v/>
      </c>
      <c r="AL1105" s="26" t="str">
        <f t="shared" si="578"/>
        <v>Liquid Road</v>
      </c>
      <c r="AM1105" s="26" t="str">
        <f t="shared" si="578"/>
        <v/>
      </c>
      <c r="AN1105" s="26" t="str">
        <f t="shared" si="560"/>
        <v>Liquid Road</v>
      </c>
      <c r="AO1105" s="26" t="str">
        <f t="shared" si="572"/>
        <v/>
      </c>
      <c r="AP1105" s="26" t="str">
        <f t="shared" si="568"/>
        <v/>
      </c>
      <c r="AQ1105" s="68">
        <f t="shared" si="579"/>
        <v>10</v>
      </c>
      <c r="AR1105" s="68">
        <f t="shared" si="580"/>
        <v>10</v>
      </c>
      <c r="AS1105" s="68">
        <f t="shared" si="587"/>
        <v>1.05</v>
      </c>
      <c r="AT1105" s="68">
        <f t="shared" si="588"/>
        <v>1.05</v>
      </c>
      <c r="AU1105" s="68">
        <f t="shared" si="589"/>
        <v>1.05</v>
      </c>
      <c r="AV1105" s="68">
        <f t="shared" si="590"/>
        <v>1.05</v>
      </c>
      <c r="AW1105" s="68">
        <f t="shared" si="591"/>
        <v>1.05</v>
      </c>
      <c r="AX1105" s="68">
        <f t="shared" ca="1" si="581"/>
        <v>2.1</v>
      </c>
      <c r="AY1105" s="106">
        <v>2017</v>
      </c>
      <c r="AZ1105" s="68" t="s">
        <v>2371</v>
      </c>
      <c r="BA1105" s="106" t="str">
        <f t="shared" si="585"/>
        <v/>
      </c>
      <c r="BB1105" s="178"/>
      <c r="BC1105" s="177"/>
      <c r="BD1105" s="177"/>
      <c r="BE1105" s="177"/>
      <c r="BF1105" s="177"/>
      <c r="BG1105" s="177">
        <v>4</v>
      </c>
      <c r="BH1105" s="177"/>
      <c r="BI1105" s="33"/>
      <c r="BK1105" s="48">
        <f>$G1105/5280*VLOOKUP($AC1105,'Cost and Score'!$B$27:$O$40,6,0)</f>
        <v>0.1399621212121212</v>
      </c>
      <c r="BL1105" s="48">
        <f>$G1105/5280*VLOOKUP($AC1105,'Cost and Score'!$B$27:$O$40,7,0)</f>
        <v>2.2393939393939393</v>
      </c>
      <c r="BM1105" s="48">
        <f>$G1105/5280*VLOOKUP($AC1105,'Cost and Score'!$B$27:$O$40,8,0)</f>
        <v>0</v>
      </c>
      <c r="BN1105" s="48">
        <f>$G1105/5280*VLOOKUP($AC1105,'Cost and Score'!$B$27:$O$40,9,0)</f>
        <v>0</v>
      </c>
      <c r="BO1105" s="48">
        <f>$G1105/5280*VLOOKUP($AC1105,'Cost and Score'!$B$27:$O$40,10,0)</f>
        <v>0</v>
      </c>
      <c r="BP1105" s="48">
        <f>$G1105/5280*VLOOKUP($AC1105,'Cost and Score'!$B$27:$O$40,11,0)</f>
        <v>0</v>
      </c>
      <c r="BQ1105" s="48">
        <f>$G1105/5280*VLOOKUP($AC1105,'Cost and Score'!$B$27:$O$40,12,0)</f>
        <v>0</v>
      </c>
      <c r="BR1105" s="48">
        <f>$G1105/5280*VLOOKUP($AC1105,'Cost and Score'!$B$27:$O$40,13,0)</f>
        <v>0</v>
      </c>
      <c r="BS1105" s="48">
        <f>$G1105/5280*VLOOKUP($AC1105,'Cost and Score'!$B$27:$O$40,14,0)</f>
        <v>0</v>
      </c>
      <c r="BT1105" s="220">
        <f t="shared" si="582"/>
        <v>0.1399621212121212</v>
      </c>
      <c r="CF1105" s="112"/>
      <c r="CR1105" s="112"/>
      <c r="CS1105" s="112"/>
      <c r="CT1105" s="112"/>
      <c r="CU1105" s="112"/>
      <c r="CW1105" s="112"/>
      <c r="CX1105" s="112"/>
      <c r="CY1105" s="112"/>
    </row>
    <row r="1106" spans="1:103" s="112" customFormat="1" ht="14.45" hidden="1" customHeight="1" x14ac:dyDescent="0.25">
      <c r="A1106" s="31" t="s">
        <v>2102</v>
      </c>
      <c r="B1106" s="226" t="s">
        <v>1985</v>
      </c>
      <c r="C1106" s="106" t="s">
        <v>1985</v>
      </c>
      <c r="D1106" s="116" t="s">
        <v>2293</v>
      </c>
      <c r="E1106" s="106" t="s">
        <v>1416</v>
      </c>
      <c r="F1106" s="106" t="s">
        <v>1608</v>
      </c>
      <c r="G1106" s="109">
        <v>2957</v>
      </c>
      <c r="H1106" s="109">
        <f t="shared" si="583"/>
        <v>26</v>
      </c>
      <c r="I1106" s="106" t="s">
        <v>2098</v>
      </c>
      <c r="J1106" s="106" t="s">
        <v>160</v>
      </c>
      <c r="K1106" s="106">
        <f t="shared" si="592"/>
        <v>0</v>
      </c>
      <c r="L1106" s="110">
        <v>7</v>
      </c>
      <c r="M1106" s="110">
        <v>7</v>
      </c>
      <c r="N1106" s="110">
        <v>7</v>
      </c>
      <c r="O1106" s="110">
        <v>7</v>
      </c>
      <c r="P1106" s="110">
        <v>7</v>
      </c>
      <c r="Q1106" s="110">
        <v>7</v>
      </c>
      <c r="R1106" s="110">
        <v>7</v>
      </c>
      <c r="S1106" s="110">
        <v>7</v>
      </c>
      <c r="T1106" s="110">
        <v>7</v>
      </c>
      <c r="U1106" s="110">
        <v>7</v>
      </c>
      <c r="V1106" s="110"/>
      <c r="W1106" s="110"/>
      <c r="X1106" s="110"/>
      <c r="Y1106" s="106">
        <v>50</v>
      </c>
      <c r="Z1106" s="106">
        <f t="shared" si="584"/>
        <v>0</v>
      </c>
      <c r="AA1106" s="106" t="s">
        <v>1985</v>
      </c>
      <c r="AB1106" s="111">
        <f t="shared" si="576"/>
        <v>3</v>
      </c>
      <c r="AC1106" s="85" t="s">
        <v>2425</v>
      </c>
      <c r="AD1106" s="107">
        <f t="shared" si="594"/>
        <v>14000.94696969697</v>
      </c>
      <c r="AE1106" s="198"/>
      <c r="AF1106" s="113">
        <f t="shared" si="586"/>
        <v>0</v>
      </c>
      <c r="AG1106" s="85">
        <v>2026</v>
      </c>
      <c r="AH1106" s="26" t="str">
        <f t="shared" si="593"/>
        <v/>
      </c>
      <c r="AI1106" s="26" t="str">
        <f t="shared" si="563"/>
        <v/>
      </c>
      <c r="AJ1106" s="26" t="str">
        <f t="shared" si="571"/>
        <v/>
      </c>
      <c r="AK1106" s="26" t="str">
        <f t="shared" si="578"/>
        <v/>
      </c>
      <c r="AL1106" s="26" t="str">
        <f t="shared" si="578"/>
        <v>Liquid Road</v>
      </c>
      <c r="AM1106" s="26" t="str">
        <f t="shared" si="578"/>
        <v/>
      </c>
      <c r="AN1106" s="26" t="str">
        <f t="shared" si="560"/>
        <v>Liquid Road</v>
      </c>
      <c r="AO1106" s="26" t="str">
        <f t="shared" si="572"/>
        <v/>
      </c>
      <c r="AP1106" s="26" t="str">
        <f t="shared" si="568"/>
        <v/>
      </c>
      <c r="AQ1106" s="68">
        <f t="shared" si="579"/>
        <v>10</v>
      </c>
      <c r="AR1106" s="68">
        <f t="shared" si="580"/>
        <v>10</v>
      </c>
      <c r="AS1106" s="68">
        <f t="shared" si="587"/>
        <v>1.05</v>
      </c>
      <c r="AT1106" s="68">
        <f t="shared" si="588"/>
        <v>1.05</v>
      </c>
      <c r="AU1106" s="68">
        <f t="shared" si="589"/>
        <v>1.05</v>
      </c>
      <c r="AV1106" s="68">
        <f t="shared" si="590"/>
        <v>1.05</v>
      </c>
      <c r="AW1106" s="68">
        <f t="shared" si="591"/>
        <v>1.05</v>
      </c>
      <c r="AX1106" s="68">
        <f t="shared" ca="1" si="581"/>
        <v>2.1</v>
      </c>
      <c r="AY1106" s="106">
        <v>2017</v>
      </c>
      <c r="AZ1106" s="68" t="s">
        <v>2371</v>
      </c>
      <c r="BA1106" s="106" t="str">
        <f t="shared" si="585"/>
        <v/>
      </c>
      <c r="BB1106" s="178"/>
      <c r="BC1106" s="177"/>
      <c r="BD1106" s="177"/>
      <c r="BE1106" s="177"/>
      <c r="BF1106" s="177"/>
      <c r="BG1106" s="177">
        <v>4</v>
      </c>
      <c r="BH1106" s="177"/>
      <c r="BI1106" s="33"/>
      <c r="BJ1106" s="2"/>
      <c r="BK1106" s="48">
        <f>$G1106/5280*VLOOKUP($AC1106,'Cost and Score'!$B$27:$O$40,6,0)</f>
        <v>0.56003787878787881</v>
      </c>
      <c r="BL1106" s="48">
        <f>$G1106/5280*VLOOKUP($AC1106,'Cost and Score'!$B$27:$O$40,7,0)</f>
        <v>8.9606060606060609</v>
      </c>
      <c r="BM1106" s="48">
        <f>$G1106/5280*VLOOKUP($AC1106,'Cost and Score'!$B$27:$O$40,8,0)</f>
        <v>0</v>
      </c>
      <c r="BN1106" s="48">
        <f>$G1106/5280*VLOOKUP($AC1106,'Cost and Score'!$B$27:$O$40,9,0)</f>
        <v>0</v>
      </c>
      <c r="BO1106" s="48">
        <f>$G1106/5280*VLOOKUP($AC1106,'Cost and Score'!$B$27:$O$40,10,0)</f>
        <v>0</v>
      </c>
      <c r="BP1106" s="48">
        <f>$G1106/5280*VLOOKUP($AC1106,'Cost and Score'!$B$27:$O$40,11,0)</f>
        <v>0</v>
      </c>
      <c r="BQ1106" s="48">
        <f>$G1106/5280*VLOOKUP($AC1106,'Cost and Score'!$B$27:$O$40,12,0)</f>
        <v>0</v>
      </c>
      <c r="BR1106" s="48">
        <f>$G1106/5280*VLOOKUP($AC1106,'Cost and Score'!$B$27:$O$40,13,0)</f>
        <v>0</v>
      </c>
      <c r="BS1106" s="48">
        <f>$G1106/5280*VLOOKUP($AC1106,'Cost and Score'!$B$27:$O$40,14,0)</f>
        <v>0</v>
      </c>
      <c r="BT1106" s="220">
        <f t="shared" si="582"/>
        <v>0.56003787878787881</v>
      </c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N1106" s="2"/>
      <c r="CO1106" s="2"/>
      <c r="CP1106" s="2"/>
      <c r="CQ1106" s="2"/>
      <c r="CV1106" s="2"/>
      <c r="CW1106" s="2"/>
      <c r="CX1106" s="2"/>
      <c r="CY1106" s="2"/>
    </row>
    <row r="1107" spans="1:103" s="112" customFormat="1" ht="14.45" hidden="1" customHeight="1" x14ac:dyDescent="0.25">
      <c r="A1107" s="31" t="s">
        <v>2102</v>
      </c>
      <c r="B1107" s="226" t="s">
        <v>1986</v>
      </c>
      <c r="C1107" s="106" t="s">
        <v>1986</v>
      </c>
      <c r="D1107" s="116" t="s">
        <v>2294</v>
      </c>
      <c r="E1107" s="106" t="s">
        <v>1711</v>
      </c>
      <c r="F1107" s="106" t="s">
        <v>1408</v>
      </c>
      <c r="G1107" s="109">
        <v>211</v>
      </c>
      <c r="H1107" s="109">
        <f t="shared" si="583"/>
        <v>26</v>
      </c>
      <c r="I1107" s="106" t="s">
        <v>2098</v>
      </c>
      <c r="J1107" s="106" t="s">
        <v>125</v>
      </c>
      <c r="K1107" s="106">
        <f t="shared" si="592"/>
        <v>0</v>
      </c>
      <c r="L1107" s="110">
        <v>7</v>
      </c>
      <c r="M1107" s="110">
        <v>6</v>
      </c>
      <c r="N1107" s="110">
        <v>6</v>
      </c>
      <c r="O1107" s="110">
        <v>6</v>
      </c>
      <c r="P1107" s="110">
        <v>6</v>
      </c>
      <c r="Q1107" s="110">
        <v>8</v>
      </c>
      <c r="R1107" s="110">
        <v>7</v>
      </c>
      <c r="S1107" s="110">
        <v>7</v>
      </c>
      <c r="T1107" s="110">
        <v>7</v>
      </c>
      <c r="U1107" s="110">
        <v>7</v>
      </c>
      <c r="V1107" s="110"/>
      <c r="W1107" s="110"/>
      <c r="X1107" s="110"/>
      <c r="Y1107" s="106">
        <v>278</v>
      </c>
      <c r="Z1107" s="106">
        <f t="shared" si="584"/>
        <v>0</v>
      </c>
      <c r="AA1107" s="106" t="s">
        <v>1986</v>
      </c>
      <c r="AB1107" s="111">
        <f t="shared" si="576"/>
        <v>4</v>
      </c>
      <c r="AC1107" s="85" t="s">
        <v>2312</v>
      </c>
      <c r="AD1107" s="107">
        <f t="shared" si="594"/>
        <v>2997.159090909091</v>
      </c>
      <c r="AE1107" s="198"/>
      <c r="AF1107" s="113">
        <f t="shared" si="586"/>
        <v>0</v>
      </c>
      <c r="AG1107" s="85">
        <v>2024</v>
      </c>
      <c r="AH1107" s="26" t="str">
        <f t="shared" si="593"/>
        <v/>
      </c>
      <c r="AI1107" s="26" t="str">
        <f t="shared" si="563"/>
        <v/>
      </c>
      <c r="AJ1107" s="26" t="str">
        <f t="shared" si="571"/>
        <v>Concrete - Joint/Crack Sealing</v>
      </c>
      <c r="AK1107" s="26" t="str">
        <f t="shared" si="578"/>
        <v/>
      </c>
      <c r="AL1107" s="26" t="str">
        <f t="shared" si="578"/>
        <v/>
      </c>
      <c r="AM1107" s="26" t="str">
        <f t="shared" si="578"/>
        <v/>
      </c>
      <c r="AN1107" s="26" t="str">
        <f t="shared" si="560"/>
        <v>Concrete - Joint/Crack Sealing</v>
      </c>
      <c r="AO1107" s="26" t="str">
        <f t="shared" si="572"/>
        <v/>
      </c>
      <c r="AP1107" s="26" t="str">
        <f t="shared" si="568"/>
        <v/>
      </c>
      <c r="AQ1107" s="68">
        <f t="shared" si="579"/>
        <v>8</v>
      </c>
      <c r="AR1107" s="68">
        <f t="shared" si="580"/>
        <v>6</v>
      </c>
      <c r="AS1107" s="68">
        <f t="shared" si="587"/>
        <v>1.05</v>
      </c>
      <c r="AT1107" s="68">
        <f t="shared" si="588"/>
        <v>1.1000000000000001</v>
      </c>
      <c r="AU1107" s="68">
        <f t="shared" si="589"/>
        <v>1.1000000000000001</v>
      </c>
      <c r="AV1107" s="68">
        <f t="shared" si="590"/>
        <v>1.1000000000000001</v>
      </c>
      <c r="AW1107" s="68">
        <f t="shared" si="591"/>
        <v>1.1000000000000001</v>
      </c>
      <c r="AX1107" s="68">
        <f t="shared" ca="1" si="581"/>
        <v>0</v>
      </c>
      <c r="AY1107" s="106">
        <v>2017</v>
      </c>
      <c r="AZ1107" s="106" t="s">
        <v>2075</v>
      </c>
      <c r="BA1107" s="106" t="str">
        <f t="shared" si="585"/>
        <v/>
      </c>
      <c r="BB1107" s="177"/>
      <c r="BC1107" s="110"/>
      <c r="BD1107" s="110"/>
      <c r="BE1107" s="110"/>
      <c r="BF1107" s="110"/>
      <c r="BG1107" s="110"/>
      <c r="BH1107" s="110"/>
      <c r="BI1107" s="33" t="s">
        <v>2415</v>
      </c>
      <c r="BJ1107" s="2"/>
      <c r="BK1107" s="48">
        <f>$G1107/5280*VLOOKUP($AC1107,'Cost and Score'!$B$27:$O$40,6,0)</f>
        <v>1.9981060606060606E-2</v>
      </c>
      <c r="BL1107" s="48">
        <f>$G1107/5280*VLOOKUP($AC1107,'Cost and Score'!$B$27:$O$40,7,0)</f>
        <v>1.9981060606060606</v>
      </c>
      <c r="BM1107" s="48">
        <f>$G1107/5280*VLOOKUP($AC1107,'Cost and Score'!$B$27:$O$40,8,0)</f>
        <v>0</v>
      </c>
      <c r="BN1107" s="48">
        <f>$G1107/5280*VLOOKUP($AC1107,'Cost and Score'!$B$27:$O$40,9,0)</f>
        <v>0</v>
      </c>
      <c r="BO1107" s="48">
        <f>$G1107/5280*VLOOKUP($AC1107,'Cost and Score'!$B$27:$O$40,10,0)</f>
        <v>0</v>
      </c>
      <c r="BP1107" s="48">
        <f>$G1107/5280*VLOOKUP($AC1107,'Cost and Score'!$B$27:$O$40,11,0)</f>
        <v>0</v>
      </c>
      <c r="BQ1107" s="48">
        <f>$G1107/5280*VLOOKUP($AC1107,'Cost and Score'!$B$27:$O$40,12,0)</f>
        <v>0</v>
      </c>
      <c r="BR1107" s="48">
        <f>$G1107/5280*VLOOKUP($AC1107,'Cost and Score'!$B$27:$O$40,13,0)</f>
        <v>0</v>
      </c>
      <c r="BS1107" s="48">
        <f>$G1107/5280*VLOOKUP($AC1107,'Cost and Score'!$B$27:$O$40,14,0)</f>
        <v>0</v>
      </c>
      <c r="BT1107" s="220">
        <f t="shared" si="582"/>
        <v>3.9962121212121213E-2</v>
      </c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W1107" s="2"/>
      <c r="CX1107" s="2"/>
      <c r="CY1107" s="2"/>
    </row>
    <row r="1108" spans="1:103" s="112" customFormat="1" ht="14.45" hidden="1" customHeight="1" x14ac:dyDescent="0.25">
      <c r="A1108" s="31" t="s">
        <v>2102</v>
      </c>
      <c r="B1108" s="226" t="s">
        <v>1987</v>
      </c>
      <c r="C1108" s="106" t="s">
        <v>1987</v>
      </c>
      <c r="D1108" s="116" t="s">
        <v>2294</v>
      </c>
      <c r="E1108" s="106" t="s">
        <v>1711</v>
      </c>
      <c r="F1108" s="106" t="s">
        <v>1408</v>
      </c>
      <c r="G1108" s="109">
        <v>1531</v>
      </c>
      <c r="H1108" s="109">
        <f t="shared" si="583"/>
        <v>26</v>
      </c>
      <c r="I1108" s="106" t="s">
        <v>2098</v>
      </c>
      <c r="J1108" s="106" t="s">
        <v>125</v>
      </c>
      <c r="K1108" s="106">
        <f t="shared" si="592"/>
        <v>0</v>
      </c>
      <c r="L1108" s="110">
        <v>7</v>
      </c>
      <c r="M1108" s="110">
        <v>6</v>
      </c>
      <c r="N1108" s="110">
        <v>6</v>
      </c>
      <c r="O1108" s="110">
        <v>6</v>
      </c>
      <c r="P1108" s="110">
        <v>6</v>
      </c>
      <c r="Q1108" s="110">
        <v>6</v>
      </c>
      <c r="R1108" s="110">
        <v>6</v>
      </c>
      <c r="S1108" s="110">
        <v>7</v>
      </c>
      <c r="T1108" s="110">
        <v>7</v>
      </c>
      <c r="U1108" s="110">
        <v>7</v>
      </c>
      <c r="V1108" s="110"/>
      <c r="W1108" s="110"/>
      <c r="X1108" s="110"/>
      <c r="Y1108" s="106">
        <v>278</v>
      </c>
      <c r="Z1108" s="106">
        <f t="shared" si="584"/>
        <v>0</v>
      </c>
      <c r="AA1108" s="106" t="s">
        <v>1987</v>
      </c>
      <c r="AB1108" s="111">
        <f t="shared" si="576"/>
        <v>4</v>
      </c>
      <c r="AC1108" s="85" t="s">
        <v>2312</v>
      </c>
      <c r="AD1108" s="107">
        <f t="shared" si="594"/>
        <v>21747.159090909092</v>
      </c>
      <c r="AE1108" s="198"/>
      <c r="AF1108" s="113">
        <f t="shared" si="586"/>
        <v>0</v>
      </c>
      <c r="AG1108" s="85">
        <v>2024</v>
      </c>
      <c r="AH1108" s="26" t="str">
        <f t="shared" si="593"/>
        <v/>
      </c>
      <c r="AI1108" s="26" t="str">
        <f t="shared" si="563"/>
        <v/>
      </c>
      <c r="AJ1108" s="26" t="str">
        <f t="shared" si="571"/>
        <v>Concrete - Joint/Crack Sealing</v>
      </c>
      <c r="AK1108" s="26" t="str">
        <f t="shared" ref="AK1108:AM1127" si="595">IF($AG1108=AK$1,VLOOKUP($AC1108,RSL,3,FALSE),"")</f>
        <v/>
      </c>
      <c r="AL1108" s="26" t="str">
        <f t="shared" si="595"/>
        <v/>
      </c>
      <c r="AM1108" s="26" t="str">
        <f t="shared" si="595"/>
        <v/>
      </c>
      <c r="AN1108" s="26" t="str">
        <f t="shared" si="560"/>
        <v>Concrete - Joint/Crack Sealing</v>
      </c>
      <c r="AO1108" s="26" t="str">
        <f t="shared" si="572"/>
        <v/>
      </c>
      <c r="AP1108" s="26" t="str">
        <f t="shared" si="568"/>
        <v/>
      </c>
      <c r="AQ1108" s="68">
        <f t="shared" si="579"/>
        <v>8</v>
      </c>
      <c r="AR1108" s="68">
        <f t="shared" si="580"/>
        <v>6</v>
      </c>
      <c r="AS1108" s="68">
        <f t="shared" si="587"/>
        <v>1.05</v>
      </c>
      <c r="AT1108" s="68">
        <f t="shared" si="588"/>
        <v>1.1000000000000001</v>
      </c>
      <c r="AU1108" s="68">
        <f t="shared" si="589"/>
        <v>1.1000000000000001</v>
      </c>
      <c r="AV1108" s="68">
        <f t="shared" si="590"/>
        <v>1.1000000000000001</v>
      </c>
      <c r="AW1108" s="68">
        <f t="shared" si="591"/>
        <v>1.1000000000000001</v>
      </c>
      <c r="AX1108" s="68">
        <f t="shared" ca="1" si="581"/>
        <v>0</v>
      </c>
      <c r="AY1108" s="106">
        <v>2017</v>
      </c>
      <c r="AZ1108" s="106" t="s">
        <v>2075</v>
      </c>
      <c r="BA1108" s="106" t="str">
        <f t="shared" si="585"/>
        <v/>
      </c>
      <c r="BB1108" s="177"/>
      <c r="BC1108" s="177"/>
      <c r="BD1108" s="177"/>
      <c r="BE1108" s="177"/>
      <c r="BF1108" s="177"/>
      <c r="BG1108" s="177"/>
      <c r="BH1108" s="177"/>
      <c r="BI1108" s="33" t="s">
        <v>2415</v>
      </c>
      <c r="BJ1108" s="2"/>
      <c r="BK1108" s="48">
        <f>$G1108/5280*VLOOKUP($AC1108,'Cost and Score'!$B$27:$O$40,6,0)</f>
        <v>0.14498106060606061</v>
      </c>
      <c r="BL1108" s="48">
        <f>$G1108/5280*VLOOKUP($AC1108,'Cost and Score'!$B$27:$O$40,7,0)</f>
        <v>14.498106060606061</v>
      </c>
      <c r="BM1108" s="48">
        <f>$G1108/5280*VLOOKUP($AC1108,'Cost and Score'!$B$27:$O$40,8,0)</f>
        <v>0</v>
      </c>
      <c r="BN1108" s="48">
        <f>$G1108/5280*VLOOKUP($AC1108,'Cost and Score'!$B$27:$O$40,9,0)</f>
        <v>0</v>
      </c>
      <c r="BO1108" s="48">
        <f>$G1108/5280*VLOOKUP($AC1108,'Cost and Score'!$B$27:$O$40,10,0)</f>
        <v>0</v>
      </c>
      <c r="BP1108" s="48">
        <f>$G1108/5280*VLOOKUP($AC1108,'Cost and Score'!$B$27:$O$40,11,0)</f>
        <v>0</v>
      </c>
      <c r="BQ1108" s="48">
        <f>$G1108/5280*VLOOKUP($AC1108,'Cost and Score'!$B$27:$O$40,12,0)</f>
        <v>0</v>
      </c>
      <c r="BR1108" s="48">
        <f>$G1108/5280*VLOOKUP($AC1108,'Cost and Score'!$B$27:$O$40,13,0)</f>
        <v>0</v>
      </c>
      <c r="BS1108" s="48">
        <f>$G1108/5280*VLOOKUP($AC1108,'Cost and Score'!$B$27:$O$40,14,0)</f>
        <v>0</v>
      </c>
      <c r="BT1108" s="220">
        <f t="shared" si="582"/>
        <v>0.28996212121212123</v>
      </c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R1108" s="2"/>
      <c r="CW1108" s="2"/>
      <c r="CX1108" s="2"/>
      <c r="CY1108" s="2"/>
    </row>
    <row r="1109" spans="1:103" s="112" customFormat="1" ht="14.45" hidden="1" customHeight="1" x14ac:dyDescent="0.25">
      <c r="A1109" s="31" t="s">
        <v>2102</v>
      </c>
      <c r="B1109" s="226" t="s">
        <v>1988</v>
      </c>
      <c r="C1109" s="106" t="s">
        <v>1988</v>
      </c>
      <c r="D1109" s="116" t="s">
        <v>2294</v>
      </c>
      <c r="E1109" s="106" t="s">
        <v>1711</v>
      </c>
      <c r="F1109" s="106" t="s">
        <v>1408</v>
      </c>
      <c r="G1109" s="109">
        <v>1584</v>
      </c>
      <c r="H1109" s="109">
        <f t="shared" si="583"/>
        <v>26</v>
      </c>
      <c r="I1109" s="106" t="s">
        <v>2098</v>
      </c>
      <c r="J1109" s="106" t="s">
        <v>125</v>
      </c>
      <c r="K1109" s="106">
        <f t="shared" si="592"/>
        <v>0</v>
      </c>
      <c r="L1109" s="110">
        <v>7</v>
      </c>
      <c r="M1109" s="110">
        <v>7</v>
      </c>
      <c r="N1109" s="110">
        <v>7</v>
      </c>
      <c r="O1109" s="110">
        <v>7</v>
      </c>
      <c r="P1109" s="110">
        <v>7</v>
      </c>
      <c r="Q1109" s="110">
        <v>7</v>
      </c>
      <c r="R1109" s="110">
        <v>7</v>
      </c>
      <c r="S1109" s="110">
        <v>7</v>
      </c>
      <c r="T1109" s="110">
        <v>7</v>
      </c>
      <c r="U1109" s="110">
        <v>7</v>
      </c>
      <c r="V1109" s="110"/>
      <c r="W1109" s="110"/>
      <c r="X1109" s="110"/>
      <c r="Y1109" s="106">
        <v>278</v>
      </c>
      <c r="Z1109" s="106">
        <f t="shared" si="584"/>
        <v>0</v>
      </c>
      <c r="AA1109" s="106" t="s">
        <v>1988</v>
      </c>
      <c r="AB1109" s="111">
        <f t="shared" si="576"/>
        <v>3</v>
      </c>
      <c r="AC1109" s="85" t="s">
        <v>2312</v>
      </c>
      <c r="AD1109" s="107">
        <f t="shared" si="594"/>
        <v>22500</v>
      </c>
      <c r="AE1109" s="198"/>
      <c r="AF1109" s="113">
        <f t="shared" si="586"/>
        <v>0</v>
      </c>
      <c r="AG1109" s="85">
        <v>2024</v>
      </c>
      <c r="AH1109" s="26" t="str">
        <f t="shared" si="593"/>
        <v/>
      </c>
      <c r="AI1109" s="26" t="str">
        <f t="shared" si="563"/>
        <v/>
      </c>
      <c r="AJ1109" s="26" t="str">
        <f t="shared" si="571"/>
        <v>Concrete - Joint/Crack Sealing</v>
      </c>
      <c r="AK1109" s="26" t="str">
        <f t="shared" si="595"/>
        <v/>
      </c>
      <c r="AL1109" s="26" t="str">
        <f t="shared" si="595"/>
        <v/>
      </c>
      <c r="AM1109" s="26" t="str">
        <f t="shared" si="595"/>
        <v/>
      </c>
      <c r="AN1109" s="26" t="str">
        <f t="shared" ref="AN1109:AN1170" si="596">VLOOKUP($AC1109,RSL,3,FALSE)</f>
        <v>Concrete - Joint/Crack Sealing</v>
      </c>
      <c r="AO1109" s="26" t="str">
        <f t="shared" si="572"/>
        <v/>
      </c>
      <c r="AP1109" s="26" t="str">
        <f t="shared" si="568"/>
        <v/>
      </c>
      <c r="AQ1109" s="68">
        <f t="shared" si="579"/>
        <v>10</v>
      </c>
      <c r="AR1109" s="68">
        <f t="shared" si="580"/>
        <v>6</v>
      </c>
      <c r="AS1109" s="68">
        <f t="shared" si="587"/>
        <v>1.05</v>
      </c>
      <c r="AT1109" s="68">
        <f t="shared" si="588"/>
        <v>1.05</v>
      </c>
      <c r="AU1109" s="68">
        <f t="shared" si="589"/>
        <v>1.05</v>
      </c>
      <c r="AV1109" s="68">
        <f t="shared" si="590"/>
        <v>1.05</v>
      </c>
      <c r="AW1109" s="68">
        <f t="shared" si="591"/>
        <v>1.05</v>
      </c>
      <c r="AX1109" s="68">
        <f t="shared" ca="1" si="581"/>
        <v>0</v>
      </c>
      <c r="AY1109" s="106">
        <v>2017</v>
      </c>
      <c r="AZ1109" s="106" t="s">
        <v>2075</v>
      </c>
      <c r="BA1109" s="106" t="str">
        <f t="shared" si="585"/>
        <v/>
      </c>
      <c r="BB1109" s="177"/>
      <c r="BC1109" s="177"/>
      <c r="BD1109" s="177"/>
      <c r="BE1109" s="177"/>
      <c r="BF1109" s="177"/>
      <c r="BG1109" s="177"/>
      <c r="BH1109" s="177"/>
      <c r="BI1109" s="33" t="s">
        <v>2415</v>
      </c>
      <c r="BJ1109" s="2"/>
      <c r="BK1109" s="48">
        <f>$G1109/5280*VLOOKUP($AC1109,'Cost and Score'!$B$27:$O$40,6,0)</f>
        <v>0.15</v>
      </c>
      <c r="BL1109" s="48">
        <f>$G1109/5280*VLOOKUP($AC1109,'Cost and Score'!$B$27:$O$40,7,0)</f>
        <v>15</v>
      </c>
      <c r="BM1109" s="48">
        <f>$G1109/5280*VLOOKUP($AC1109,'Cost and Score'!$B$27:$O$40,8,0)</f>
        <v>0</v>
      </c>
      <c r="BN1109" s="48">
        <f>$G1109/5280*VLOOKUP($AC1109,'Cost and Score'!$B$27:$O$40,9,0)</f>
        <v>0</v>
      </c>
      <c r="BO1109" s="48">
        <f>$G1109/5280*VLOOKUP($AC1109,'Cost and Score'!$B$27:$O$40,10,0)</f>
        <v>0</v>
      </c>
      <c r="BP1109" s="48">
        <f>$G1109/5280*VLOOKUP($AC1109,'Cost and Score'!$B$27:$O$40,11,0)</f>
        <v>0</v>
      </c>
      <c r="BQ1109" s="48">
        <f>$G1109/5280*VLOOKUP($AC1109,'Cost and Score'!$B$27:$O$40,12,0)</f>
        <v>0</v>
      </c>
      <c r="BR1109" s="48">
        <f>$G1109/5280*VLOOKUP($AC1109,'Cost and Score'!$B$27:$O$40,13,0)</f>
        <v>0</v>
      </c>
      <c r="BS1109" s="48">
        <f>$G1109/5280*VLOOKUP($AC1109,'Cost and Score'!$B$27:$O$40,14,0)</f>
        <v>0</v>
      </c>
      <c r="BT1109" s="220">
        <f t="shared" si="582"/>
        <v>0.3</v>
      </c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R1109" s="2"/>
      <c r="CW1109" s="2"/>
      <c r="CX1109" s="2"/>
      <c r="CY1109" s="2"/>
    </row>
    <row r="1110" spans="1:103" s="112" customFormat="1" ht="14.45" hidden="1" customHeight="1" x14ac:dyDescent="0.25">
      <c r="A1110" s="31" t="s">
        <v>2102</v>
      </c>
      <c r="B1110" s="224" t="s">
        <v>1989</v>
      </c>
      <c r="C1110" s="85" t="s">
        <v>1989</v>
      </c>
      <c r="D1110" s="86" t="s">
        <v>2269</v>
      </c>
      <c r="E1110" s="85" t="s">
        <v>1407</v>
      </c>
      <c r="F1110" s="85" t="s">
        <v>1934</v>
      </c>
      <c r="G1110" s="29">
        <v>528</v>
      </c>
      <c r="H1110" s="29">
        <f t="shared" si="583"/>
        <v>26</v>
      </c>
      <c r="I1110" s="85" t="s">
        <v>2098</v>
      </c>
      <c r="J1110" s="85" t="s">
        <v>160</v>
      </c>
      <c r="K1110" s="85">
        <f t="shared" si="592"/>
        <v>0</v>
      </c>
      <c r="L1110" s="74">
        <v>7</v>
      </c>
      <c r="M1110" s="74">
        <v>8</v>
      </c>
      <c r="N1110" s="74">
        <v>8</v>
      </c>
      <c r="O1110" s="74">
        <v>7</v>
      </c>
      <c r="P1110" s="74">
        <v>7</v>
      </c>
      <c r="Q1110" s="74">
        <v>8</v>
      </c>
      <c r="R1110" s="74">
        <v>7</v>
      </c>
      <c r="S1110" s="74">
        <v>7</v>
      </c>
      <c r="T1110" s="74">
        <v>7</v>
      </c>
      <c r="U1110" s="74">
        <v>7</v>
      </c>
      <c r="V1110" s="74"/>
      <c r="W1110" s="74"/>
      <c r="X1110" s="74"/>
      <c r="Y1110" s="85">
        <v>50</v>
      </c>
      <c r="Z1110" s="85">
        <f t="shared" si="584"/>
        <v>0</v>
      </c>
      <c r="AA1110" s="85" t="s">
        <v>1989</v>
      </c>
      <c r="AB1110" s="111">
        <f t="shared" si="576"/>
        <v>3</v>
      </c>
      <c r="AC1110" s="85" t="s">
        <v>2425</v>
      </c>
      <c r="AD1110" s="47">
        <f t="shared" si="594"/>
        <v>2500</v>
      </c>
      <c r="AE1110" s="140"/>
      <c r="AF1110" s="113">
        <f t="shared" si="586"/>
        <v>0</v>
      </c>
      <c r="AG1110" s="85">
        <v>2026</v>
      </c>
      <c r="AH1110" s="26" t="str">
        <f t="shared" si="593"/>
        <v/>
      </c>
      <c r="AI1110" s="26" t="str">
        <f t="shared" si="563"/>
        <v/>
      </c>
      <c r="AJ1110" s="26" t="str">
        <f t="shared" si="571"/>
        <v/>
      </c>
      <c r="AK1110" s="26" t="str">
        <f t="shared" si="595"/>
        <v/>
      </c>
      <c r="AL1110" s="26" t="str">
        <f t="shared" si="595"/>
        <v>Liquid Road</v>
      </c>
      <c r="AM1110" s="26" t="str">
        <f t="shared" si="595"/>
        <v/>
      </c>
      <c r="AN1110" s="26" t="str">
        <f t="shared" si="596"/>
        <v>Liquid Road</v>
      </c>
      <c r="AO1110" s="26" t="str">
        <f t="shared" si="572"/>
        <v/>
      </c>
      <c r="AP1110" s="26" t="str">
        <f t="shared" si="568"/>
        <v/>
      </c>
      <c r="AQ1110" s="68">
        <f t="shared" si="579"/>
        <v>10</v>
      </c>
      <c r="AR1110" s="68">
        <f t="shared" si="580"/>
        <v>10</v>
      </c>
      <c r="AS1110" s="68">
        <f t="shared" si="587"/>
        <v>1.05</v>
      </c>
      <c r="AT1110" s="68">
        <f t="shared" si="588"/>
        <v>1</v>
      </c>
      <c r="AU1110" s="68">
        <f t="shared" si="589"/>
        <v>1</v>
      </c>
      <c r="AV1110" s="68">
        <f t="shared" si="590"/>
        <v>1.05</v>
      </c>
      <c r="AW1110" s="68">
        <f t="shared" si="591"/>
        <v>1.05</v>
      </c>
      <c r="AX1110" s="68">
        <f t="shared" ca="1" si="581"/>
        <v>2</v>
      </c>
      <c r="AY1110" s="68">
        <v>2017</v>
      </c>
      <c r="AZ1110" s="68" t="s">
        <v>2075</v>
      </c>
      <c r="BA1110" s="106" t="str">
        <f t="shared" si="585"/>
        <v/>
      </c>
      <c r="BB1110" s="178"/>
      <c r="BC1110" s="177"/>
      <c r="BD1110" s="177"/>
      <c r="BE1110" s="177"/>
      <c r="BF1110" s="177">
        <v>3</v>
      </c>
      <c r="BG1110" s="177"/>
      <c r="BH1110" s="177"/>
      <c r="BI1110" s="33"/>
      <c r="BJ1110" s="2"/>
      <c r="BK1110" s="48">
        <f>$G1110/5280*VLOOKUP($AC1110,'Cost and Score'!$B$27:$O$40,6,0)</f>
        <v>0.1</v>
      </c>
      <c r="BL1110" s="48">
        <f>$G1110/5280*VLOOKUP($AC1110,'Cost and Score'!$B$27:$O$40,7,0)</f>
        <v>1.6</v>
      </c>
      <c r="BM1110" s="48">
        <f>$G1110/5280*VLOOKUP($AC1110,'Cost and Score'!$B$27:$O$40,8,0)</f>
        <v>0</v>
      </c>
      <c r="BN1110" s="48">
        <f>$G1110/5280*VLOOKUP($AC1110,'Cost and Score'!$B$27:$O$40,9,0)</f>
        <v>0</v>
      </c>
      <c r="BO1110" s="48">
        <f>$G1110/5280*VLOOKUP($AC1110,'Cost and Score'!$B$27:$O$40,10,0)</f>
        <v>0</v>
      </c>
      <c r="BP1110" s="48">
        <f>$G1110/5280*VLOOKUP($AC1110,'Cost and Score'!$B$27:$O$40,11,0)</f>
        <v>0</v>
      </c>
      <c r="BQ1110" s="48">
        <f>$G1110/5280*VLOOKUP($AC1110,'Cost and Score'!$B$27:$O$40,12,0)</f>
        <v>0</v>
      </c>
      <c r="BR1110" s="48">
        <f>$G1110/5280*VLOOKUP($AC1110,'Cost and Score'!$B$27:$O$40,13,0)</f>
        <v>0</v>
      </c>
      <c r="BS1110" s="48">
        <f>$G1110/5280*VLOOKUP($AC1110,'Cost and Score'!$B$27:$O$40,14,0)</f>
        <v>0</v>
      </c>
      <c r="BT1110" s="220">
        <f t="shared" si="582"/>
        <v>0.1</v>
      </c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R1110" s="2"/>
      <c r="CS1110" s="2"/>
      <c r="CT1110" s="2"/>
      <c r="CU1110" s="2"/>
      <c r="CW1110" s="2"/>
      <c r="CX1110" s="2"/>
      <c r="CY1110" s="2"/>
    </row>
    <row r="1111" spans="1:103" s="2" customFormat="1" ht="14.45" hidden="1" customHeight="1" x14ac:dyDescent="0.25">
      <c r="A1111" s="31" t="s">
        <v>2102</v>
      </c>
      <c r="B1111" s="224" t="s">
        <v>1990</v>
      </c>
      <c r="C1111" s="26" t="s">
        <v>1990</v>
      </c>
      <c r="D1111" s="119" t="s">
        <v>2278</v>
      </c>
      <c r="E1111" s="82" t="s">
        <v>1451</v>
      </c>
      <c r="F1111" s="82" t="s">
        <v>1452</v>
      </c>
      <c r="G1111" s="29">
        <v>317</v>
      </c>
      <c r="H1111" s="29">
        <f t="shared" si="583"/>
        <v>26</v>
      </c>
      <c r="I1111" s="26" t="s">
        <v>2098</v>
      </c>
      <c r="J1111" s="26" t="s">
        <v>160</v>
      </c>
      <c r="K1111" s="26">
        <f t="shared" si="592"/>
        <v>0</v>
      </c>
      <c r="L1111" s="42">
        <v>7</v>
      </c>
      <c r="M1111" s="42">
        <v>8</v>
      </c>
      <c r="N1111" s="42">
        <v>8</v>
      </c>
      <c r="O1111" s="83">
        <v>8</v>
      </c>
      <c r="P1111" s="83">
        <v>8</v>
      </c>
      <c r="Q1111" s="83">
        <v>7</v>
      </c>
      <c r="R1111" s="83">
        <v>7</v>
      </c>
      <c r="S1111" s="83">
        <v>8</v>
      </c>
      <c r="T1111" s="83">
        <v>7</v>
      </c>
      <c r="U1111" s="83">
        <v>7</v>
      </c>
      <c r="V1111" s="42"/>
      <c r="W1111" s="42"/>
      <c r="X1111" s="42"/>
      <c r="Y1111" s="26">
        <v>1074</v>
      </c>
      <c r="Z1111" s="26">
        <f t="shared" si="584"/>
        <v>0.5</v>
      </c>
      <c r="AA1111" s="82" t="s">
        <v>1990</v>
      </c>
      <c r="AB1111" s="111">
        <f t="shared" si="576"/>
        <v>2.5</v>
      </c>
      <c r="AC1111" s="85" t="s">
        <v>2371</v>
      </c>
      <c r="AD1111" s="84">
        <f t="shared" si="594"/>
        <v>4803.030303030303</v>
      </c>
      <c r="AE1111" s="140">
        <v>1</v>
      </c>
      <c r="AF1111" s="113">
        <f t="shared" si="586"/>
        <v>4803.030303030303</v>
      </c>
      <c r="AG1111" s="85">
        <v>2024</v>
      </c>
      <c r="AH1111" s="26" t="str">
        <f t="shared" si="593"/>
        <v/>
      </c>
      <c r="AI1111" s="26" t="str">
        <f t="shared" si="563"/>
        <v/>
      </c>
      <c r="AJ1111" s="26" t="str">
        <f t="shared" si="571"/>
        <v>Microsurface double</v>
      </c>
      <c r="AK1111" s="26" t="str">
        <f t="shared" si="595"/>
        <v/>
      </c>
      <c r="AL1111" s="26" t="str">
        <f t="shared" si="595"/>
        <v/>
      </c>
      <c r="AM1111" s="26" t="str">
        <f t="shared" si="595"/>
        <v/>
      </c>
      <c r="AN1111" s="26" t="str">
        <f t="shared" si="596"/>
        <v>Microsurface double</v>
      </c>
      <c r="AO1111" s="26" t="str">
        <f t="shared" si="572"/>
        <v/>
      </c>
      <c r="AP1111" s="26" t="str">
        <f t="shared" si="568"/>
        <v/>
      </c>
      <c r="AQ1111" s="68">
        <f t="shared" si="579"/>
        <v>12</v>
      </c>
      <c r="AR1111" s="68">
        <f t="shared" si="580"/>
        <v>10</v>
      </c>
      <c r="AS1111" s="68">
        <f t="shared" si="587"/>
        <v>1.05</v>
      </c>
      <c r="AT1111" s="68">
        <f t="shared" si="588"/>
        <v>1</v>
      </c>
      <c r="AU1111" s="68">
        <f t="shared" si="589"/>
        <v>1</v>
      </c>
      <c r="AV1111" s="68">
        <f t="shared" si="590"/>
        <v>1</v>
      </c>
      <c r="AW1111" s="68">
        <f t="shared" si="591"/>
        <v>1</v>
      </c>
      <c r="AX1111" s="68">
        <f t="shared" ca="1" si="581"/>
        <v>0</v>
      </c>
      <c r="AY1111" s="68">
        <v>2020</v>
      </c>
      <c r="AZ1111" s="68" t="s">
        <v>2075</v>
      </c>
      <c r="BA1111" s="106" t="str">
        <f t="shared" si="585"/>
        <v/>
      </c>
      <c r="BB1111" s="178"/>
      <c r="BC1111" s="177"/>
      <c r="BD1111" s="177"/>
      <c r="BE1111" s="177"/>
      <c r="BF1111" s="177"/>
      <c r="BG1111" s="177"/>
      <c r="BH1111" s="177"/>
      <c r="BI1111" s="33"/>
      <c r="BK1111" s="48">
        <f>$G1111/5280*VLOOKUP($AC1111,'Cost and Score'!$B$27:$O$40,6,0)</f>
        <v>3.0018939393939393E-2</v>
      </c>
      <c r="BL1111" s="48">
        <f>$G1111/5280*VLOOKUP($AC1111,'Cost and Score'!$B$27:$O$40,7,0)</f>
        <v>0</v>
      </c>
      <c r="BM1111" s="48">
        <f>$G1111/5280*VLOOKUP($AC1111,'Cost and Score'!$B$27:$O$40,8,0)</f>
        <v>0</v>
      </c>
      <c r="BN1111" s="48">
        <f>$G1111/5280*VLOOKUP($AC1111,'Cost and Score'!$B$27:$O$40,9,0)</f>
        <v>0</v>
      </c>
      <c r="BO1111" s="48">
        <f>$G1111/5280*VLOOKUP($AC1111,'Cost and Score'!$B$27:$O$40,10,0)</f>
        <v>0</v>
      </c>
      <c r="BP1111" s="48">
        <f>$G1111/5280*VLOOKUP($AC1111,'Cost and Score'!$B$27:$O$40,11,0)</f>
        <v>0</v>
      </c>
      <c r="BQ1111" s="48">
        <f>$G1111/5280*VLOOKUP($AC1111,'Cost and Score'!$B$27:$O$40,12,0)</f>
        <v>0</v>
      </c>
      <c r="BR1111" s="48">
        <f>$G1111/5280*VLOOKUP($AC1111,'Cost and Score'!$B$27:$O$40,13,0)</f>
        <v>0</v>
      </c>
      <c r="BS1111" s="48">
        <f>$G1111/5280*VLOOKUP($AC1111,'Cost and Score'!$B$27:$O$40,14,0)</f>
        <v>0</v>
      </c>
      <c r="BT1111" s="220">
        <f t="shared" si="582"/>
        <v>6.0037878787878786E-2</v>
      </c>
      <c r="CN1111" s="112"/>
      <c r="CO1111" s="112"/>
      <c r="CP1111" s="112"/>
      <c r="CQ1111" s="112"/>
      <c r="CR1111" s="112"/>
      <c r="CV1111" s="112"/>
      <c r="CW1111" s="112"/>
      <c r="CX1111" s="112"/>
      <c r="CY1111" s="112"/>
    </row>
    <row r="1112" spans="1:103" s="2" customFormat="1" ht="14.45" hidden="1" customHeight="1" x14ac:dyDescent="0.25">
      <c r="A1112" s="31" t="s">
        <v>2102</v>
      </c>
      <c r="B1112" s="224" t="s">
        <v>1991</v>
      </c>
      <c r="C1112" s="26" t="s">
        <v>1991</v>
      </c>
      <c r="D1112" s="119" t="s">
        <v>2278</v>
      </c>
      <c r="E1112" s="82" t="s">
        <v>1451</v>
      </c>
      <c r="F1112" s="82" t="s">
        <v>1452</v>
      </c>
      <c r="G1112" s="29">
        <v>528</v>
      </c>
      <c r="H1112" s="29">
        <f t="shared" si="583"/>
        <v>26</v>
      </c>
      <c r="I1112" s="26" t="s">
        <v>2098</v>
      </c>
      <c r="J1112" s="26" t="s">
        <v>160</v>
      </c>
      <c r="K1112" s="26">
        <f t="shared" si="592"/>
        <v>0</v>
      </c>
      <c r="L1112" s="42">
        <v>7</v>
      </c>
      <c r="M1112" s="42">
        <v>8</v>
      </c>
      <c r="N1112" s="42">
        <v>8</v>
      </c>
      <c r="O1112" s="83">
        <v>8</v>
      </c>
      <c r="P1112" s="83">
        <v>8</v>
      </c>
      <c r="Q1112" s="83">
        <v>7</v>
      </c>
      <c r="R1112" s="83">
        <v>7</v>
      </c>
      <c r="S1112" s="83">
        <v>8</v>
      </c>
      <c r="T1112" s="83">
        <v>7</v>
      </c>
      <c r="U1112" s="83">
        <v>7</v>
      </c>
      <c r="V1112" s="42"/>
      <c r="W1112" s="42"/>
      <c r="X1112" s="42"/>
      <c r="Y1112" s="26">
        <v>1074</v>
      </c>
      <c r="Z1112" s="26">
        <f t="shared" si="584"/>
        <v>0.5</v>
      </c>
      <c r="AA1112" s="82" t="s">
        <v>1991</v>
      </c>
      <c r="AB1112" s="111">
        <f t="shared" si="576"/>
        <v>2.5</v>
      </c>
      <c r="AC1112" s="85" t="s">
        <v>2371</v>
      </c>
      <c r="AD1112" s="84">
        <f t="shared" si="594"/>
        <v>8000</v>
      </c>
      <c r="AE1112" s="140">
        <v>1</v>
      </c>
      <c r="AF1112" s="113">
        <f t="shared" si="586"/>
        <v>8000</v>
      </c>
      <c r="AG1112" s="85">
        <v>2024</v>
      </c>
      <c r="AH1112" s="26" t="str">
        <f t="shared" si="593"/>
        <v/>
      </c>
      <c r="AI1112" s="26" t="str">
        <f t="shared" si="563"/>
        <v/>
      </c>
      <c r="AJ1112" s="26" t="str">
        <f t="shared" si="571"/>
        <v>Microsurface double</v>
      </c>
      <c r="AK1112" s="26" t="str">
        <f t="shared" si="595"/>
        <v/>
      </c>
      <c r="AL1112" s="26" t="str">
        <f t="shared" si="595"/>
        <v/>
      </c>
      <c r="AM1112" s="26" t="str">
        <f t="shared" si="595"/>
        <v/>
      </c>
      <c r="AN1112" s="26" t="str">
        <f t="shared" si="596"/>
        <v>Microsurface double</v>
      </c>
      <c r="AO1112" s="26" t="str">
        <f t="shared" si="572"/>
        <v/>
      </c>
      <c r="AP1112" s="26" t="str">
        <f t="shared" si="568"/>
        <v/>
      </c>
      <c r="AQ1112" s="68">
        <f t="shared" si="579"/>
        <v>12</v>
      </c>
      <c r="AR1112" s="68">
        <f t="shared" si="580"/>
        <v>10</v>
      </c>
      <c r="AS1112" s="68">
        <f t="shared" si="587"/>
        <v>1.05</v>
      </c>
      <c r="AT1112" s="68">
        <f t="shared" si="588"/>
        <v>1</v>
      </c>
      <c r="AU1112" s="68">
        <f t="shared" si="589"/>
        <v>1</v>
      </c>
      <c r="AV1112" s="68">
        <f t="shared" si="590"/>
        <v>1</v>
      </c>
      <c r="AW1112" s="68">
        <f t="shared" si="591"/>
        <v>1</v>
      </c>
      <c r="AX1112" s="68">
        <f t="shared" ca="1" si="581"/>
        <v>0</v>
      </c>
      <c r="AY1112" s="68">
        <v>2020</v>
      </c>
      <c r="AZ1112" s="68" t="s">
        <v>2075</v>
      </c>
      <c r="BA1112" s="106" t="str">
        <f t="shared" si="585"/>
        <v/>
      </c>
      <c r="BB1112" s="178"/>
      <c r="BC1112" s="177"/>
      <c r="BD1112" s="177"/>
      <c r="BE1112" s="177"/>
      <c r="BF1112" s="177"/>
      <c r="BG1112" s="177"/>
      <c r="BH1112" s="177"/>
      <c r="BI1112" s="33"/>
      <c r="BK1112" s="48">
        <f>$G1112/5280*VLOOKUP($AC1112,'Cost and Score'!$B$27:$O$40,6,0)</f>
        <v>0.05</v>
      </c>
      <c r="BL1112" s="48">
        <f>$G1112/5280*VLOOKUP($AC1112,'Cost and Score'!$B$27:$O$40,7,0)</f>
        <v>0</v>
      </c>
      <c r="BM1112" s="48">
        <f>$G1112/5280*VLOOKUP($AC1112,'Cost and Score'!$B$27:$O$40,8,0)</f>
        <v>0</v>
      </c>
      <c r="BN1112" s="48">
        <f>$G1112/5280*VLOOKUP($AC1112,'Cost and Score'!$B$27:$O$40,9,0)</f>
        <v>0</v>
      </c>
      <c r="BO1112" s="48">
        <f>$G1112/5280*VLOOKUP($AC1112,'Cost and Score'!$B$27:$O$40,10,0)</f>
        <v>0</v>
      </c>
      <c r="BP1112" s="48">
        <f>$G1112/5280*VLOOKUP($AC1112,'Cost and Score'!$B$27:$O$40,11,0)</f>
        <v>0</v>
      </c>
      <c r="BQ1112" s="48">
        <f>$G1112/5280*VLOOKUP($AC1112,'Cost and Score'!$B$27:$O$40,12,0)</f>
        <v>0</v>
      </c>
      <c r="BR1112" s="48">
        <f>$G1112/5280*VLOOKUP($AC1112,'Cost and Score'!$B$27:$O$40,13,0)</f>
        <v>0</v>
      </c>
      <c r="BS1112" s="48">
        <f>$G1112/5280*VLOOKUP($AC1112,'Cost and Score'!$B$27:$O$40,14,0)</f>
        <v>0</v>
      </c>
      <c r="BT1112" s="220">
        <f t="shared" si="582"/>
        <v>0.1</v>
      </c>
      <c r="CF1112" s="112"/>
      <c r="CW1112" s="112"/>
      <c r="CX1112" s="112"/>
      <c r="CY1112" s="112"/>
    </row>
    <row r="1113" spans="1:103" s="2" customFormat="1" ht="14.45" hidden="1" customHeight="1" x14ac:dyDescent="0.25">
      <c r="A1113" s="31" t="s">
        <v>2102</v>
      </c>
      <c r="B1113" s="226" t="s">
        <v>1992</v>
      </c>
      <c r="C1113" s="106" t="s">
        <v>1992</v>
      </c>
      <c r="D1113" s="116" t="s">
        <v>2295</v>
      </c>
      <c r="E1113" s="106" t="s">
        <v>1576</v>
      </c>
      <c r="F1113" s="106" t="s">
        <v>1993</v>
      </c>
      <c r="G1113" s="109">
        <v>2746</v>
      </c>
      <c r="H1113" s="109">
        <f t="shared" si="583"/>
        <v>26</v>
      </c>
      <c r="I1113" s="106" t="s">
        <v>2098</v>
      </c>
      <c r="J1113" s="106" t="s">
        <v>160</v>
      </c>
      <c r="K1113" s="106">
        <f t="shared" si="592"/>
        <v>0</v>
      </c>
      <c r="L1113" s="110">
        <v>6</v>
      </c>
      <c r="M1113" s="110">
        <v>5</v>
      </c>
      <c r="N1113" s="110">
        <v>5</v>
      </c>
      <c r="O1113" s="110">
        <v>5</v>
      </c>
      <c r="P1113" s="110">
        <v>9</v>
      </c>
      <c r="Q1113" s="110">
        <v>8</v>
      </c>
      <c r="R1113" s="110">
        <v>8</v>
      </c>
      <c r="S1113" s="110">
        <v>8</v>
      </c>
      <c r="T1113" s="110">
        <v>7</v>
      </c>
      <c r="U1113" s="110">
        <v>7</v>
      </c>
      <c r="V1113" s="110"/>
      <c r="W1113" s="110"/>
      <c r="X1113" s="110"/>
      <c r="Y1113" s="106">
        <v>233</v>
      </c>
      <c r="Z1113" s="106">
        <f t="shared" si="584"/>
        <v>0</v>
      </c>
      <c r="AA1113" s="106" t="s">
        <v>1992</v>
      </c>
      <c r="AB1113" s="111">
        <f t="shared" si="576"/>
        <v>1</v>
      </c>
      <c r="AC1113" s="85" t="s">
        <v>2425</v>
      </c>
      <c r="AD1113" s="107">
        <f t="shared" si="594"/>
        <v>13001.89393939394</v>
      </c>
      <c r="AE1113" s="198"/>
      <c r="AF1113" s="113">
        <f t="shared" si="586"/>
        <v>0</v>
      </c>
      <c r="AG1113" s="85">
        <v>2026</v>
      </c>
      <c r="AH1113" s="26" t="str">
        <f t="shared" si="593"/>
        <v/>
      </c>
      <c r="AI1113" s="26" t="str">
        <f t="shared" si="563"/>
        <v/>
      </c>
      <c r="AJ1113" s="26" t="str">
        <f t="shared" si="571"/>
        <v/>
      </c>
      <c r="AK1113" s="26" t="str">
        <f t="shared" si="595"/>
        <v/>
      </c>
      <c r="AL1113" s="26" t="str">
        <f t="shared" si="595"/>
        <v>Liquid Road</v>
      </c>
      <c r="AM1113" s="26" t="str">
        <f t="shared" si="595"/>
        <v/>
      </c>
      <c r="AN1113" s="26" t="str">
        <f t="shared" si="596"/>
        <v>Liquid Road</v>
      </c>
      <c r="AO1113" s="26" t="str">
        <f t="shared" si="572"/>
        <v/>
      </c>
      <c r="AP1113" s="26" t="str">
        <f t="shared" si="568"/>
        <v/>
      </c>
      <c r="AQ1113" s="68">
        <f t="shared" si="579"/>
        <v>6</v>
      </c>
      <c r="AR1113" s="68">
        <f t="shared" si="580"/>
        <v>10</v>
      </c>
      <c r="AS1113" s="68">
        <f t="shared" si="587"/>
        <v>1.1000000000000001</v>
      </c>
      <c r="AT1113" s="68">
        <f t="shared" si="588"/>
        <v>1.25</v>
      </c>
      <c r="AU1113" s="68">
        <f t="shared" si="589"/>
        <v>1.25</v>
      </c>
      <c r="AV1113" s="68">
        <f t="shared" si="590"/>
        <v>1.25</v>
      </c>
      <c r="AW1113" s="68">
        <f t="shared" si="591"/>
        <v>1</v>
      </c>
      <c r="AX1113" s="68">
        <f t="shared" ca="1" si="581"/>
        <v>2.5</v>
      </c>
      <c r="AY1113" s="106">
        <v>2017</v>
      </c>
      <c r="AZ1113" s="106" t="s">
        <v>751</v>
      </c>
      <c r="BA1113" s="106" t="str">
        <f t="shared" si="585"/>
        <v/>
      </c>
      <c r="BB1113" s="177"/>
      <c r="BC1113" s="177">
        <v>8</v>
      </c>
      <c r="BD1113" s="177"/>
      <c r="BE1113" s="177"/>
      <c r="BF1113" s="177"/>
      <c r="BG1113" s="177">
        <v>4</v>
      </c>
      <c r="BH1113" s="177"/>
      <c r="BI1113" s="33"/>
      <c r="BK1113" s="48">
        <f>$G1113/5280*VLOOKUP($AC1113,'Cost and Score'!$B$27:$O$40,6,0)</f>
        <v>0.52007575757575752</v>
      </c>
      <c r="BL1113" s="48">
        <f>$G1113/5280*VLOOKUP($AC1113,'Cost and Score'!$B$27:$O$40,7,0)</f>
        <v>8.3212121212121204</v>
      </c>
      <c r="BM1113" s="48">
        <f>$G1113/5280*VLOOKUP($AC1113,'Cost and Score'!$B$27:$O$40,8,0)</f>
        <v>0</v>
      </c>
      <c r="BN1113" s="48">
        <f>$G1113/5280*VLOOKUP($AC1113,'Cost and Score'!$B$27:$O$40,9,0)</f>
        <v>0</v>
      </c>
      <c r="BO1113" s="48">
        <f>$G1113/5280*VLOOKUP($AC1113,'Cost and Score'!$B$27:$O$40,10,0)</f>
        <v>0</v>
      </c>
      <c r="BP1113" s="48">
        <f>$G1113/5280*VLOOKUP($AC1113,'Cost and Score'!$B$27:$O$40,11,0)</f>
        <v>0</v>
      </c>
      <c r="BQ1113" s="48">
        <f>$G1113/5280*VLOOKUP($AC1113,'Cost and Score'!$B$27:$O$40,12,0)</f>
        <v>0</v>
      </c>
      <c r="BR1113" s="48">
        <f>$G1113/5280*VLOOKUP($AC1113,'Cost and Score'!$B$27:$O$40,13,0)</f>
        <v>0</v>
      </c>
      <c r="BS1113" s="48">
        <f>$G1113/5280*VLOOKUP($AC1113,'Cost and Score'!$B$27:$O$40,14,0)</f>
        <v>0</v>
      </c>
      <c r="BT1113" s="220">
        <f t="shared" si="582"/>
        <v>0.52007575757575752</v>
      </c>
      <c r="CS1113" s="112"/>
      <c r="CT1113" s="112"/>
      <c r="CU1113" s="112"/>
    </row>
    <row r="1114" spans="1:103" s="112" customFormat="1" ht="14.45" hidden="1" customHeight="1" x14ac:dyDescent="0.25">
      <c r="A1114" s="31" t="s">
        <v>2102</v>
      </c>
      <c r="B1114" s="224" t="s">
        <v>1994</v>
      </c>
      <c r="C1114" s="26" t="s">
        <v>1994</v>
      </c>
      <c r="D1114" s="36" t="s">
        <v>2297</v>
      </c>
      <c r="E1114" s="26" t="s">
        <v>1933</v>
      </c>
      <c r="F1114" s="26" t="s">
        <v>1408</v>
      </c>
      <c r="G1114" s="29">
        <v>528</v>
      </c>
      <c r="H1114" s="29">
        <f t="shared" si="583"/>
        <v>26</v>
      </c>
      <c r="I1114" s="26" t="s">
        <v>2098</v>
      </c>
      <c r="J1114" s="26" t="s">
        <v>125</v>
      </c>
      <c r="K1114" s="26">
        <f t="shared" si="592"/>
        <v>0</v>
      </c>
      <c r="L1114" s="42">
        <v>7</v>
      </c>
      <c r="M1114" s="42">
        <v>5</v>
      </c>
      <c r="N1114" s="42">
        <v>10</v>
      </c>
      <c r="O1114" s="42">
        <v>9</v>
      </c>
      <c r="P1114" s="42">
        <v>8</v>
      </c>
      <c r="Q1114" s="42">
        <v>7</v>
      </c>
      <c r="R1114" s="42">
        <v>7</v>
      </c>
      <c r="S1114" s="42">
        <v>7</v>
      </c>
      <c r="T1114" s="42">
        <v>7</v>
      </c>
      <c r="U1114" s="42">
        <v>7</v>
      </c>
      <c r="V1114" s="42"/>
      <c r="W1114" s="42"/>
      <c r="X1114" s="42"/>
      <c r="Y1114" s="26">
        <v>50</v>
      </c>
      <c r="Z1114" s="26">
        <f t="shared" si="584"/>
        <v>0</v>
      </c>
      <c r="AA1114" s="26" t="s">
        <v>1994</v>
      </c>
      <c r="AB1114" s="111">
        <f t="shared" si="576"/>
        <v>2</v>
      </c>
      <c r="AC1114" s="85" t="s">
        <v>2425</v>
      </c>
      <c r="AD1114" s="47">
        <f t="shared" si="594"/>
        <v>2500</v>
      </c>
      <c r="AE1114" s="140"/>
      <c r="AF1114" s="113">
        <f t="shared" si="586"/>
        <v>0</v>
      </c>
      <c r="AG1114" s="85">
        <v>2026</v>
      </c>
      <c r="AH1114" s="26" t="str">
        <f t="shared" si="593"/>
        <v/>
      </c>
      <c r="AI1114" s="26" t="str">
        <f t="shared" si="563"/>
        <v/>
      </c>
      <c r="AJ1114" s="26" t="str">
        <f t="shared" si="571"/>
        <v/>
      </c>
      <c r="AK1114" s="26" t="str">
        <f t="shared" si="595"/>
        <v/>
      </c>
      <c r="AL1114" s="26" t="str">
        <f t="shared" si="595"/>
        <v>Liquid Road</v>
      </c>
      <c r="AM1114" s="26" t="str">
        <f t="shared" si="595"/>
        <v/>
      </c>
      <c r="AN1114" s="26" t="str">
        <f t="shared" si="596"/>
        <v>Liquid Road</v>
      </c>
      <c r="AO1114" s="26" t="str">
        <f t="shared" si="572"/>
        <v/>
      </c>
      <c r="AP1114" s="26" t="str">
        <f t="shared" si="568"/>
        <v/>
      </c>
      <c r="AQ1114" s="68">
        <f t="shared" si="579"/>
        <v>14</v>
      </c>
      <c r="AR1114" s="68">
        <f t="shared" si="580"/>
        <v>10</v>
      </c>
      <c r="AS1114" s="68">
        <f t="shared" si="587"/>
        <v>1.05</v>
      </c>
      <c r="AT1114" s="68">
        <f t="shared" si="588"/>
        <v>1.25</v>
      </c>
      <c r="AU1114" s="68">
        <f t="shared" si="589"/>
        <v>1</v>
      </c>
      <c r="AV1114" s="68">
        <f t="shared" si="590"/>
        <v>1</v>
      </c>
      <c r="AW1114" s="68">
        <f t="shared" si="591"/>
        <v>1</v>
      </c>
      <c r="AX1114" s="68">
        <f t="shared" ca="1" si="581"/>
        <v>2</v>
      </c>
      <c r="AY1114" s="68">
        <v>2016</v>
      </c>
      <c r="AZ1114" s="68" t="s">
        <v>751</v>
      </c>
      <c r="BA1114" s="106" t="str">
        <f t="shared" si="585"/>
        <v/>
      </c>
      <c r="BB1114" s="178"/>
      <c r="BC1114" s="177"/>
      <c r="BD1114" s="177"/>
      <c r="BE1114" s="177"/>
      <c r="BF1114" s="177"/>
      <c r="BG1114" s="177">
        <v>4</v>
      </c>
      <c r="BH1114" s="177"/>
      <c r="BI1114" s="33" t="s">
        <v>2192</v>
      </c>
      <c r="BJ1114" s="2"/>
      <c r="BK1114" s="48">
        <f>$G1114/5280*VLOOKUP($AC1114,'Cost and Score'!$B$27:$O$40,6,0)</f>
        <v>0.1</v>
      </c>
      <c r="BL1114" s="48">
        <f>$G1114/5280*VLOOKUP($AC1114,'Cost and Score'!$B$27:$O$40,7,0)</f>
        <v>1.6</v>
      </c>
      <c r="BM1114" s="48">
        <f>$G1114/5280*VLOOKUP($AC1114,'Cost and Score'!$B$27:$O$40,8,0)</f>
        <v>0</v>
      </c>
      <c r="BN1114" s="48">
        <f>$G1114/5280*VLOOKUP($AC1114,'Cost and Score'!$B$27:$O$40,9,0)</f>
        <v>0</v>
      </c>
      <c r="BO1114" s="48">
        <f>$G1114/5280*VLOOKUP($AC1114,'Cost and Score'!$B$27:$O$40,10,0)</f>
        <v>0</v>
      </c>
      <c r="BP1114" s="48">
        <f>$G1114/5280*VLOOKUP($AC1114,'Cost and Score'!$B$27:$O$40,11,0)</f>
        <v>0</v>
      </c>
      <c r="BQ1114" s="48">
        <f>$G1114/5280*VLOOKUP($AC1114,'Cost and Score'!$B$27:$O$40,12,0)</f>
        <v>0</v>
      </c>
      <c r="BR1114" s="48">
        <f>$G1114/5280*VLOOKUP($AC1114,'Cost and Score'!$B$27:$O$40,13,0)</f>
        <v>0</v>
      </c>
      <c r="BS1114" s="48">
        <f>$G1114/5280*VLOOKUP($AC1114,'Cost and Score'!$B$27:$O$40,14,0)</f>
        <v>0</v>
      </c>
      <c r="BT1114" s="220">
        <f t="shared" si="582"/>
        <v>0.1</v>
      </c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N1114" s="2"/>
      <c r="CO1114" s="2"/>
      <c r="CP1114" s="2"/>
      <c r="CQ1114" s="2"/>
      <c r="CR1114" s="2"/>
      <c r="CS1114" s="2"/>
      <c r="CT1114" s="2"/>
      <c r="CU1114" s="2"/>
      <c r="CV1114" s="2"/>
    </row>
    <row r="1115" spans="1:103" s="2" customFormat="1" ht="14.45" hidden="1" customHeight="1" x14ac:dyDescent="0.25">
      <c r="A1115" s="31" t="s">
        <v>2102</v>
      </c>
      <c r="B1115" s="224" t="s">
        <v>1995</v>
      </c>
      <c r="C1115" s="26" t="s">
        <v>1995</v>
      </c>
      <c r="D1115" s="36" t="s">
        <v>2247</v>
      </c>
      <c r="E1115" s="26" t="s">
        <v>1504</v>
      </c>
      <c r="F1115" s="26" t="s">
        <v>1502</v>
      </c>
      <c r="G1115" s="29">
        <v>3221</v>
      </c>
      <c r="H1115" s="29">
        <f t="shared" si="583"/>
        <v>26</v>
      </c>
      <c r="I1115" s="26" t="s">
        <v>2098</v>
      </c>
      <c r="J1115" s="26" t="s">
        <v>160</v>
      </c>
      <c r="K1115" s="26">
        <f t="shared" si="592"/>
        <v>0</v>
      </c>
      <c r="L1115" s="42">
        <v>7</v>
      </c>
      <c r="M1115" s="42">
        <v>7</v>
      </c>
      <c r="N1115" s="42">
        <v>7</v>
      </c>
      <c r="O1115" s="42">
        <v>8</v>
      </c>
      <c r="P1115" s="42">
        <v>8</v>
      </c>
      <c r="Q1115" s="42">
        <v>7</v>
      </c>
      <c r="R1115" s="42">
        <v>7</v>
      </c>
      <c r="S1115" s="42">
        <v>7</v>
      </c>
      <c r="T1115" s="42">
        <v>7</v>
      </c>
      <c r="U1115" s="42">
        <v>7</v>
      </c>
      <c r="V1115" s="42"/>
      <c r="W1115" s="42"/>
      <c r="X1115" s="42"/>
      <c r="Y1115" s="26">
        <v>240</v>
      </c>
      <c r="Z1115" s="26">
        <f t="shared" si="584"/>
        <v>0</v>
      </c>
      <c r="AA1115" s="26" t="s">
        <v>1995</v>
      </c>
      <c r="AB1115" s="111">
        <f t="shared" si="576"/>
        <v>2</v>
      </c>
      <c r="AC1115" s="85" t="s">
        <v>2489</v>
      </c>
      <c r="AD1115" s="47">
        <f t="shared" si="594"/>
        <v>15250.94696969697</v>
      </c>
      <c r="AE1115" s="140"/>
      <c r="AF1115" s="113">
        <f t="shared" si="586"/>
        <v>0</v>
      </c>
      <c r="AG1115" s="85">
        <v>2026</v>
      </c>
      <c r="AH1115" s="26" t="str">
        <f t="shared" si="593"/>
        <v/>
      </c>
      <c r="AI1115" s="26" t="str">
        <f t="shared" si="563"/>
        <v/>
      </c>
      <c r="AJ1115" s="26" t="str">
        <f t="shared" si="571"/>
        <v/>
      </c>
      <c r="AK1115" s="26" t="str">
        <f t="shared" si="595"/>
        <v/>
      </c>
      <c r="AL1115" s="26" t="str">
        <f t="shared" si="595"/>
        <v>Liquid Road</v>
      </c>
      <c r="AM1115" s="26" t="str">
        <f t="shared" si="595"/>
        <v/>
      </c>
      <c r="AN1115" s="26" t="str">
        <f t="shared" si="596"/>
        <v>Liquid Road</v>
      </c>
      <c r="AO1115" s="26" t="str">
        <f t="shared" si="572"/>
        <v/>
      </c>
      <c r="AP1115" s="26" t="str">
        <f t="shared" si="568"/>
        <v/>
      </c>
      <c r="AQ1115" s="68">
        <f t="shared" si="579"/>
        <v>12</v>
      </c>
      <c r="AR1115" s="68">
        <f t="shared" si="580"/>
        <v>10</v>
      </c>
      <c r="AS1115" s="68">
        <f t="shared" si="587"/>
        <v>1.05</v>
      </c>
      <c r="AT1115" s="68">
        <f t="shared" si="588"/>
        <v>1.05</v>
      </c>
      <c r="AU1115" s="68">
        <f t="shared" si="589"/>
        <v>1.05</v>
      </c>
      <c r="AV1115" s="68">
        <f t="shared" si="590"/>
        <v>1</v>
      </c>
      <c r="AW1115" s="68">
        <f t="shared" si="591"/>
        <v>1</v>
      </c>
      <c r="AX1115" s="68">
        <f t="shared" ca="1" si="581"/>
        <v>2.1</v>
      </c>
      <c r="AY1115" s="68">
        <v>2016</v>
      </c>
      <c r="AZ1115" s="68" t="s">
        <v>2371</v>
      </c>
      <c r="BA1115" s="106" t="str">
        <f t="shared" si="585"/>
        <v/>
      </c>
      <c r="BB1115" s="178"/>
      <c r="BC1115" s="177"/>
      <c r="BD1115" s="177"/>
      <c r="BE1115" s="177">
        <v>2</v>
      </c>
      <c r="BF1115" s="177"/>
      <c r="BG1115" s="177"/>
      <c r="BH1115" s="177"/>
      <c r="BI1115" s="33"/>
      <c r="BK1115" s="48">
        <f>$G1115/5280*VLOOKUP($AC1115,'Cost and Score'!$B$27:$O$40,6,0)</f>
        <v>0.61003787878787874</v>
      </c>
      <c r="BL1115" s="48">
        <f>$G1115/5280*VLOOKUP($AC1115,'Cost and Score'!$B$27:$O$40,7,0)</f>
        <v>9.7606060606060598</v>
      </c>
      <c r="BM1115" s="48">
        <f>$G1115/5280*VLOOKUP($AC1115,'Cost and Score'!$B$27:$O$40,8,0)</f>
        <v>0</v>
      </c>
      <c r="BN1115" s="48">
        <f>$G1115/5280*VLOOKUP($AC1115,'Cost and Score'!$B$27:$O$40,9,0)</f>
        <v>0</v>
      </c>
      <c r="BO1115" s="48">
        <f>$G1115/5280*VLOOKUP($AC1115,'Cost and Score'!$B$27:$O$40,10,0)</f>
        <v>0</v>
      </c>
      <c r="BP1115" s="48">
        <f>$G1115/5280*VLOOKUP($AC1115,'Cost and Score'!$B$27:$O$40,11,0)</f>
        <v>0</v>
      </c>
      <c r="BQ1115" s="48">
        <f>$G1115/5280*VLOOKUP($AC1115,'Cost and Score'!$B$27:$O$40,12,0)</f>
        <v>0</v>
      </c>
      <c r="BR1115" s="48">
        <f>$G1115/5280*VLOOKUP($AC1115,'Cost and Score'!$B$27:$O$40,13,0)</f>
        <v>0</v>
      </c>
      <c r="BS1115" s="48">
        <f>$G1115/5280*VLOOKUP($AC1115,'Cost and Score'!$B$27:$O$40,14,0)</f>
        <v>0</v>
      </c>
      <c r="BT1115" s="220">
        <f t="shared" si="582"/>
        <v>0.61003787878787874</v>
      </c>
      <c r="CN1115" s="112"/>
      <c r="CO1115" s="112"/>
      <c r="CP1115" s="112"/>
      <c r="CQ1115" s="112"/>
      <c r="CV1115" s="112"/>
    </row>
    <row r="1116" spans="1:103" s="2" customFormat="1" ht="14.45" customHeight="1" x14ac:dyDescent="0.25">
      <c r="A1116" s="36" t="s">
        <v>201</v>
      </c>
      <c r="B1116" s="34" t="s">
        <v>200</v>
      </c>
      <c r="C1116" s="85" t="s">
        <v>200</v>
      </c>
      <c r="D1116" s="85"/>
      <c r="E1116" s="85" t="s">
        <v>107</v>
      </c>
      <c r="F1116" s="85" t="s">
        <v>110</v>
      </c>
      <c r="G1116" s="29">
        <v>5350</v>
      </c>
      <c r="H1116" s="29">
        <f t="shared" si="583"/>
        <v>20</v>
      </c>
      <c r="I1116" s="85" t="s">
        <v>8</v>
      </c>
      <c r="J1116" s="85" t="s">
        <v>6</v>
      </c>
      <c r="K1116" s="85">
        <f t="shared" si="592"/>
        <v>0</v>
      </c>
      <c r="L1116" s="74">
        <v>8</v>
      </c>
      <c r="M1116" s="74">
        <v>6</v>
      </c>
      <c r="N1116" s="74">
        <v>7</v>
      </c>
      <c r="O1116" s="74">
        <v>7</v>
      </c>
      <c r="P1116" s="74">
        <v>7</v>
      </c>
      <c r="Q1116" s="74">
        <v>6</v>
      </c>
      <c r="R1116" s="74">
        <v>6</v>
      </c>
      <c r="S1116" s="74">
        <v>6</v>
      </c>
      <c r="T1116" s="74">
        <v>7</v>
      </c>
      <c r="U1116" s="74">
        <v>7</v>
      </c>
      <c r="V1116" s="74"/>
      <c r="W1116" s="74"/>
      <c r="X1116" s="74"/>
      <c r="Y1116" s="85">
        <v>473</v>
      </c>
      <c r="Z1116" s="85">
        <f t="shared" si="584"/>
        <v>0</v>
      </c>
      <c r="AA1116" s="85" t="s">
        <v>116</v>
      </c>
      <c r="AB1116" s="111">
        <f t="shared" si="576"/>
        <v>3</v>
      </c>
      <c r="AC1116" s="85" t="s">
        <v>2072</v>
      </c>
      <c r="AD1116" s="47">
        <f t="shared" si="594"/>
        <v>46609.848484848488</v>
      </c>
      <c r="AE1116" s="140"/>
      <c r="AF1116" s="113">
        <f t="shared" si="586"/>
        <v>0</v>
      </c>
      <c r="AG1116" s="106">
        <v>2025</v>
      </c>
      <c r="AH1116" s="26" t="str">
        <f t="shared" si="593"/>
        <v/>
      </c>
      <c r="AI1116" s="26" t="str">
        <f t="shared" si="563"/>
        <v/>
      </c>
      <c r="AJ1116" s="26" t="str">
        <f t="shared" si="571"/>
        <v/>
      </c>
      <c r="AK1116" s="26" t="str">
        <f t="shared" si="595"/>
        <v>Chip Seal - Triple</v>
      </c>
      <c r="AL1116" s="26" t="str">
        <f t="shared" si="595"/>
        <v/>
      </c>
      <c r="AM1116" s="26" t="str">
        <f t="shared" si="595"/>
        <v/>
      </c>
      <c r="AN1116" s="26" t="str">
        <f t="shared" si="596"/>
        <v>Chip Seal - Triple</v>
      </c>
      <c r="AO1116" s="26" t="str">
        <f t="shared" si="572"/>
        <v/>
      </c>
      <c r="AP1116" s="26" t="str">
        <f t="shared" si="568"/>
        <v/>
      </c>
      <c r="AQ1116" s="68">
        <f t="shared" si="579"/>
        <v>10</v>
      </c>
      <c r="AR1116" s="68">
        <f t="shared" si="580"/>
        <v>8</v>
      </c>
      <c r="AS1116" s="68">
        <f t="shared" si="587"/>
        <v>1</v>
      </c>
      <c r="AT1116" s="68">
        <f t="shared" si="588"/>
        <v>1.1000000000000001</v>
      </c>
      <c r="AU1116" s="68">
        <f t="shared" si="589"/>
        <v>1.05</v>
      </c>
      <c r="AV1116" s="68">
        <f t="shared" si="590"/>
        <v>1.05</v>
      </c>
      <c r="AW1116" s="68">
        <f t="shared" si="591"/>
        <v>1.05</v>
      </c>
      <c r="AX1116" s="68">
        <f t="shared" ca="1" si="581"/>
        <v>1.05</v>
      </c>
      <c r="AY1116" s="106">
        <v>2019</v>
      </c>
      <c r="AZ1116" s="106" t="s">
        <v>2075</v>
      </c>
      <c r="BA1116" s="106" t="str">
        <f t="shared" si="585"/>
        <v/>
      </c>
      <c r="BB1116" s="177"/>
      <c r="BC1116" s="177">
        <v>8</v>
      </c>
      <c r="BD1116" s="177"/>
      <c r="BE1116" s="177"/>
      <c r="BF1116" s="177"/>
      <c r="BG1116" s="177"/>
      <c r="BH1116" s="177"/>
      <c r="BI1116" s="33" t="s">
        <v>2100</v>
      </c>
      <c r="BK1116" s="48">
        <f>$G1116/5280*VLOOKUP($AC1116,'Cost and Score'!$B$27:$O$40,6,0)</f>
        <v>0.60795454545454541</v>
      </c>
      <c r="BL1116" s="48">
        <f>$G1116/5280*VLOOKUP($AC1116,'Cost and Score'!$B$27:$O$40,7,0)</f>
        <v>126.65719696969695</v>
      </c>
      <c r="BM1116" s="48">
        <f>$G1116/5280*VLOOKUP($AC1116,'Cost and Score'!$B$27:$O$40,8,0)</f>
        <v>202.65151515151513</v>
      </c>
      <c r="BN1116" s="48">
        <f>$G1116/5280*VLOOKUP($AC1116,'Cost and Score'!$B$27:$O$40,9,0)</f>
        <v>2026.5151515151513</v>
      </c>
      <c r="BO1116" s="48">
        <f>$G1116/5280*VLOOKUP($AC1116,'Cost and Score'!$B$27:$O$40,10,0)</f>
        <v>506.62878787878782</v>
      </c>
      <c r="BP1116" s="48">
        <f>$G1116/5280*VLOOKUP($AC1116,'Cost and Score'!$B$27:$O$40,11,0)</f>
        <v>101.32575757575756</v>
      </c>
      <c r="BQ1116" s="48">
        <f>$G1116/5280*VLOOKUP($AC1116,'Cost and Score'!$B$27:$O$40,12,0)</f>
        <v>810.60606060606051</v>
      </c>
      <c r="BR1116" s="48">
        <f>$G1116/5280*VLOOKUP($AC1116,'Cost and Score'!$B$27:$O$40,13,0)</f>
        <v>81.060606060606062</v>
      </c>
      <c r="BS1116" s="48">
        <f>$G1116/5280*VLOOKUP($AC1116,'Cost and Score'!$B$27:$O$40,14,0)</f>
        <v>0</v>
      </c>
      <c r="BT1116" s="220">
        <f t="shared" si="582"/>
        <v>1.0132575757575757</v>
      </c>
    </row>
    <row r="1117" spans="1:103" s="2" customFormat="1" ht="14.45" hidden="1" customHeight="1" x14ac:dyDescent="0.25">
      <c r="A1117" s="31" t="s">
        <v>2102</v>
      </c>
      <c r="B1117" s="224" t="s">
        <v>1998</v>
      </c>
      <c r="C1117" s="26" t="s">
        <v>1998</v>
      </c>
      <c r="D1117" s="36" t="s">
        <v>2266</v>
      </c>
      <c r="E1117" s="26" t="s">
        <v>1484</v>
      </c>
      <c r="F1117" s="26" t="s">
        <v>1416</v>
      </c>
      <c r="G1117" s="29">
        <v>264</v>
      </c>
      <c r="H1117" s="29">
        <f t="shared" si="583"/>
        <v>26</v>
      </c>
      <c r="I1117" s="26" t="s">
        <v>2098</v>
      </c>
      <c r="J1117" s="26" t="s">
        <v>160</v>
      </c>
      <c r="K1117" s="26">
        <f t="shared" si="592"/>
        <v>0</v>
      </c>
      <c r="L1117" s="42">
        <v>7</v>
      </c>
      <c r="M1117" s="42">
        <v>6</v>
      </c>
      <c r="N1117" s="42">
        <v>6</v>
      </c>
      <c r="O1117" s="42">
        <v>9</v>
      </c>
      <c r="P1117" s="42">
        <v>9</v>
      </c>
      <c r="Q1117" s="42">
        <v>8</v>
      </c>
      <c r="R1117" s="42">
        <v>8</v>
      </c>
      <c r="S1117" s="42">
        <v>7</v>
      </c>
      <c r="T1117" s="42">
        <v>7</v>
      </c>
      <c r="U1117" s="42">
        <v>7</v>
      </c>
      <c r="V1117" s="42"/>
      <c r="W1117" s="42"/>
      <c r="X1117" s="42"/>
      <c r="Y1117" s="26">
        <v>155</v>
      </c>
      <c r="Z1117" s="26">
        <f t="shared" si="584"/>
        <v>0</v>
      </c>
      <c r="AA1117" s="26" t="s">
        <v>1998</v>
      </c>
      <c r="AB1117" s="111">
        <f t="shared" si="576"/>
        <v>1</v>
      </c>
      <c r="AC1117" s="85" t="s">
        <v>2371</v>
      </c>
      <c r="AD1117" s="47">
        <f t="shared" si="594"/>
        <v>4000</v>
      </c>
      <c r="AE1117" s="140"/>
      <c r="AF1117" s="113">
        <f t="shared" si="586"/>
        <v>0</v>
      </c>
      <c r="AG1117" s="85">
        <v>2027</v>
      </c>
      <c r="AH1117" s="26" t="str">
        <f t="shared" si="593"/>
        <v/>
      </c>
      <c r="AI1117" s="26" t="str">
        <f t="shared" si="563"/>
        <v/>
      </c>
      <c r="AJ1117" s="26" t="str">
        <f t="shared" si="571"/>
        <v/>
      </c>
      <c r="AK1117" s="26" t="str">
        <f t="shared" si="595"/>
        <v/>
      </c>
      <c r="AL1117" s="26" t="str">
        <f t="shared" si="595"/>
        <v/>
      </c>
      <c r="AM1117" s="26" t="str">
        <f t="shared" si="595"/>
        <v>Microsurface double</v>
      </c>
      <c r="AN1117" s="26" t="str">
        <f t="shared" si="596"/>
        <v>Microsurface double</v>
      </c>
      <c r="AO1117" s="26" t="str">
        <f t="shared" si="572"/>
        <v/>
      </c>
      <c r="AP1117" s="26" t="str">
        <f t="shared" si="568"/>
        <v/>
      </c>
      <c r="AQ1117" s="68">
        <f t="shared" si="579"/>
        <v>14</v>
      </c>
      <c r="AR1117" s="68">
        <f t="shared" si="580"/>
        <v>10</v>
      </c>
      <c r="AS1117" s="68">
        <f t="shared" si="587"/>
        <v>1.05</v>
      </c>
      <c r="AT1117" s="68">
        <f t="shared" si="588"/>
        <v>1.1000000000000001</v>
      </c>
      <c r="AU1117" s="68">
        <f t="shared" si="589"/>
        <v>1.1000000000000001</v>
      </c>
      <c r="AV1117" s="68">
        <f t="shared" si="590"/>
        <v>1</v>
      </c>
      <c r="AW1117" s="68">
        <f t="shared" si="591"/>
        <v>1</v>
      </c>
      <c r="AX1117" s="68">
        <f t="shared" ca="1" si="581"/>
        <v>3.3000000000000003</v>
      </c>
      <c r="AY1117" s="68">
        <v>2020</v>
      </c>
      <c r="AZ1117" s="68" t="s">
        <v>2075</v>
      </c>
      <c r="BA1117" s="106" t="str">
        <f t="shared" si="585"/>
        <v/>
      </c>
      <c r="BB1117" s="178"/>
      <c r="BC1117" s="177"/>
      <c r="BD1117" s="177"/>
      <c r="BE1117" s="177"/>
      <c r="BF1117" s="177"/>
      <c r="BG1117" s="177"/>
      <c r="BH1117" s="177"/>
      <c r="BI1117" s="33"/>
      <c r="BK1117" s="48">
        <f>$G1117/5280*VLOOKUP($AC1117,'Cost and Score'!$B$27:$O$40,6,0)</f>
        <v>2.5000000000000001E-2</v>
      </c>
      <c r="BL1117" s="48">
        <f>$G1117/5280*VLOOKUP($AC1117,'Cost and Score'!$B$27:$O$40,7,0)</f>
        <v>0</v>
      </c>
      <c r="BM1117" s="48">
        <f>$G1117/5280*VLOOKUP($AC1117,'Cost and Score'!$B$27:$O$40,8,0)</f>
        <v>0</v>
      </c>
      <c r="BN1117" s="48">
        <f>$G1117/5280*VLOOKUP($AC1117,'Cost and Score'!$B$27:$O$40,9,0)</f>
        <v>0</v>
      </c>
      <c r="BO1117" s="48">
        <f>$G1117/5280*VLOOKUP($AC1117,'Cost and Score'!$B$27:$O$40,10,0)</f>
        <v>0</v>
      </c>
      <c r="BP1117" s="48">
        <f>$G1117/5280*VLOOKUP($AC1117,'Cost and Score'!$B$27:$O$40,11,0)</f>
        <v>0</v>
      </c>
      <c r="BQ1117" s="48">
        <f>$G1117/5280*VLOOKUP($AC1117,'Cost and Score'!$B$27:$O$40,12,0)</f>
        <v>0</v>
      </c>
      <c r="BR1117" s="48">
        <f>$G1117/5280*VLOOKUP($AC1117,'Cost and Score'!$B$27:$O$40,13,0)</f>
        <v>0</v>
      </c>
      <c r="BS1117" s="48">
        <f>$G1117/5280*VLOOKUP($AC1117,'Cost and Score'!$B$27:$O$40,14,0)</f>
        <v>0</v>
      </c>
      <c r="BT1117" s="220">
        <f t="shared" si="582"/>
        <v>0.05</v>
      </c>
    </row>
    <row r="1118" spans="1:103" s="2" customFormat="1" ht="14.45" hidden="1" customHeight="1" x14ac:dyDescent="0.25">
      <c r="A1118" s="38" t="s">
        <v>2102</v>
      </c>
      <c r="B1118" s="45" t="s">
        <v>1999</v>
      </c>
      <c r="C1118" s="26" t="s">
        <v>1999</v>
      </c>
      <c r="D1118" s="119" t="s">
        <v>2430</v>
      </c>
      <c r="E1118" s="82" t="s">
        <v>1427</v>
      </c>
      <c r="F1118" s="82" t="s">
        <v>1925</v>
      </c>
      <c r="G1118" s="29">
        <v>288</v>
      </c>
      <c r="H1118" s="29">
        <f t="shared" si="583"/>
        <v>20</v>
      </c>
      <c r="I1118" s="26" t="s">
        <v>8</v>
      </c>
      <c r="J1118" s="26" t="s">
        <v>17</v>
      </c>
      <c r="K1118" s="26">
        <f t="shared" si="592"/>
        <v>0</v>
      </c>
      <c r="L1118" s="42">
        <v>6</v>
      </c>
      <c r="M1118" s="42">
        <v>6</v>
      </c>
      <c r="N1118" s="42">
        <v>6</v>
      </c>
      <c r="O1118" s="83">
        <v>5</v>
      </c>
      <c r="P1118" s="83">
        <v>5</v>
      </c>
      <c r="Q1118" s="83">
        <v>9</v>
      </c>
      <c r="R1118" s="83">
        <v>8</v>
      </c>
      <c r="S1118" s="83">
        <v>8</v>
      </c>
      <c r="T1118" s="83">
        <v>7</v>
      </c>
      <c r="U1118" s="83">
        <v>7</v>
      </c>
      <c r="V1118" s="42"/>
      <c r="W1118" s="42"/>
      <c r="X1118" s="42"/>
      <c r="Y1118" s="26">
        <v>50</v>
      </c>
      <c r="Z1118" s="26">
        <f t="shared" si="584"/>
        <v>0</v>
      </c>
      <c r="AA1118" s="82" t="s">
        <v>1999</v>
      </c>
      <c r="AB1118" s="111">
        <f t="shared" si="576"/>
        <v>5</v>
      </c>
      <c r="AC1118" s="85" t="s">
        <v>13</v>
      </c>
      <c r="AD1118" s="84">
        <f t="shared" si="594"/>
        <v>1145.4545454545455</v>
      </c>
      <c r="AE1118" s="140"/>
      <c r="AF1118" s="113">
        <f t="shared" si="586"/>
        <v>0</v>
      </c>
      <c r="AG1118" s="26">
        <v>2024</v>
      </c>
      <c r="AH1118" s="26" t="str">
        <f t="shared" si="593"/>
        <v/>
      </c>
      <c r="AI1118" s="26" t="str">
        <f t="shared" ref="AI1118:AI1170" si="597">IF($AG1118=AI$1,VLOOKUP($AC1118,RSL,3,FALSE),"")</f>
        <v/>
      </c>
      <c r="AJ1118" s="26" t="str">
        <f t="shared" si="571"/>
        <v>Chip Seal and Fog</v>
      </c>
      <c r="AK1118" s="26" t="str">
        <f t="shared" si="595"/>
        <v/>
      </c>
      <c r="AL1118" s="26" t="str">
        <f t="shared" si="595"/>
        <v/>
      </c>
      <c r="AM1118" s="26" t="str">
        <f t="shared" si="595"/>
        <v/>
      </c>
      <c r="AN1118" s="26" t="str">
        <f t="shared" si="596"/>
        <v>Chip Seal and Fog</v>
      </c>
      <c r="AO1118" s="26" t="str">
        <f t="shared" si="572"/>
        <v/>
      </c>
      <c r="AP1118" s="26" t="str">
        <f t="shared" si="568"/>
        <v/>
      </c>
      <c r="AQ1118" s="68">
        <f t="shared" si="579"/>
        <v>6</v>
      </c>
      <c r="AR1118" s="68">
        <f t="shared" si="580"/>
        <v>6</v>
      </c>
      <c r="AS1118" s="68">
        <f t="shared" si="587"/>
        <v>1.1000000000000001</v>
      </c>
      <c r="AT1118" s="68">
        <f t="shared" si="588"/>
        <v>1.1000000000000001</v>
      </c>
      <c r="AU1118" s="68">
        <f t="shared" si="589"/>
        <v>1.1000000000000001</v>
      </c>
      <c r="AV1118" s="68">
        <f t="shared" si="590"/>
        <v>1.25</v>
      </c>
      <c r="AW1118" s="68">
        <f t="shared" si="591"/>
        <v>1.25</v>
      </c>
      <c r="AX1118" s="68">
        <f t="shared" ca="1" si="581"/>
        <v>0</v>
      </c>
      <c r="AY1118" s="68">
        <v>2018</v>
      </c>
      <c r="AZ1118" s="68" t="s">
        <v>751</v>
      </c>
      <c r="BA1118" s="106" t="str">
        <f t="shared" si="585"/>
        <v>P</v>
      </c>
      <c r="BB1118" s="178"/>
      <c r="BC1118" s="177"/>
      <c r="BD1118" s="177"/>
      <c r="BE1118" s="177"/>
      <c r="BF1118" s="177"/>
      <c r="BG1118" s="177"/>
      <c r="BH1118" s="177"/>
      <c r="BI1118" s="33"/>
      <c r="BK1118" s="48">
        <f>$G1118/5280*VLOOKUP($AC1118,'Cost and Score'!$B$27:$O$40,6,0)</f>
        <v>1.090909090909091E-2</v>
      </c>
      <c r="BL1118" s="48">
        <f>$G1118/5280*VLOOKUP($AC1118,'Cost and Score'!$B$27:$O$40,7,0)</f>
        <v>1.2</v>
      </c>
      <c r="BM1118" s="48">
        <f>$G1118/5280*VLOOKUP($AC1118,'Cost and Score'!$B$27:$O$40,8,0)</f>
        <v>0</v>
      </c>
      <c r="BN1118" s="48">
        <f>$G1118/5280*VLOOKUP($AC1118,'Cost and Score'!$B$27:$O$40,9,0)</f>
        <v>245.45454545454544</v>
      </c>
      <c r="BO1118" s="48">
        <f>$G1118/5280*VLOOKUP($AC1118,'Cost and Score'!$B$27:$O$40,10,0)</f>
        <v>54.54545454545454</v>
      </c>
      <c r="BP1118" s="48">
        <f>$G1118/5280*VLOOKUP($AC1118,'Cost and Score'!$B$27:$O$40,11,0)</f>
        <v>0</v>
      </c>
      <c r="BQ1118" s="48">
        <f>$G1118/5280*VLOOKUP($AC1118,'Cost and Score'!$B$27:$O$40,12,0)</f>
        <v>5.4545454545454541</v>
      </c>
      <c r="BR1118" s="48">
        <f>$G1118/5280*VLOOKUP($AC1118,'Cost and Score'!$B$27:$O$40,13,0)</f>
        <v>6.545454545454545</v>
      </c>
      <c r="BS1118" s="48">
        <f>$G1118/5280*VLOOKUP($AC1118,'Cost and Score'!$B$27:$O$40,14,0)</f>
        <v>0</v>
      </c>
      <c r="BT1118" s="220">
        <f t="shared" si="582"/>
        <v>5.4545454545454543E-2</v>
      </c>
    </row>
    <row r="1119" spans="1:103" s="2" customFormat="1" ht="14.45" customHeight="1" x14ac:dyDescent="0.25">
      <c r="A1119" s="16" t="s">
        <v>65</v>
      </c>
      <c r="B1119" s="34" t="s">
        <v>63</v>
      </c>
      <c r="C1119" s="26" t="s">
        <v>63</v>
      </c>
      <c r="D1119" s="82"/>
      <c r="E1119" s="82" t="s">
        <v>64</v>
      </c>
      <c r="F1119" s="82" t="s">
        <v>59</v>
      </c>
      <c r="G1119" s="29">
        <v>5438</v>
      </c>
      <c r="H1119" s="29">
        <f t="shared" si="583"/>
        <v>20</v>
      </c>
      <c r="I1119" s="26" t="s">
        <v>8</v>
      </c>
      <c r="J1119" s="26" t="s">
        <v>62</v>
      </c>
      <c r="K1119" s="26">
        <f t="shared" si="592"/>
        <v>0</v>
      </c>
      <c r="L1119" s="42">
        <v>7</v>
      </c>
      <c r="M1119" s="42">
        <v>7</v>
      </c>
      <c r="N1119" s="42">
        <v>7</v>
      </c>
      <c r="O1119" s="83">
        <v>7</v>
      </c>
      <c r="P1119" s="83">
        <v>7</v>
      </c>
      <c r="Q1119" s="83">
        <v>6</v>
      </c>
      <c r="R1119" s="83">
        <v>6</v>
      </c>
      <c r="S1119" s="83">
        <v>6</v>
      </c>
      <c r="T1119" s="83">
        <v>6</v>
      </c>
      <c r="U1119" s="83">
        <v>6</v>
      </c>
      <c r="V1119" s="42">
        <v>2022</v>
      </c>
      <c r="W1119" s="42">
        <v>2022</v>
      </c>
      <c r="X1119" s="42" t="s">
        <v>2612</v>
      </c>
      <c r="Y1119" s="26">
        <v>324</v>
      </c>
      <c r="Z1119" s="26">
        <f t="shared" si="584"/>
        <v>0</v>
      </c>
      <c r="AA1119" s="82" t="s">
        <v>20</v>
      </c>
      <c r="AB1119" s="111">
        <f t="shared" si="576"/>
        <v>3</v>
      </c>
      <c r="AC1119" s="85" t="s">
        <v>2072</v>
      </c>
      <c r="AD1119" s="84">
        <f t="shared" si="594"/>
        <v>47376.515151515152</v>
      </c>
      <c r="AE1119" s="140"/>
      <c r="AF1119" s="113">
        <f t="shared" si="586"/>
        <v>0</v>
      </c>
      <c r="AG1119" s="106">
        <v>2025</v>
      </c>
      <c r="AH1119" s="26" t="str">
        <f t="shared" si="593"/>
        <v/>
      </c>
      <c r="AI1119" s="26" t="str">
        <f t="shared" si="597"/>
        <v/>
      </c>
      <c r="AJ1119" s="26" t="str">
        <f t="shared" si="571"/>
        <v/>
      </c>
      <c r="AK1119" s="26" t="str">
        <f t="shared" si="595"/>
        <v>Chip Seal - Triple</v>
      </c>
      <c r="AL1119" s="26" t="str">
        <f t="shared" si="595"/>
        <v/>
      </c>
      <c r="AM1119" s="26" t="str">
        <f t="shared" si="595"/>
        <v/>
      </c>
      <c r="AN1119" s="26" t="str">
        <f t="shared" si="596"/>
        <v>Chip Seal - Triple</v>
      </c>
      <c r="AO1119" s="26" t="str">
        <f t="shared" si="572"/>
        <v/>
      </c>
      <c r="AP1119" s="26" t="str">
        <f t="shared" si="568"/>
        <v/>
      </c>
      <c r="AQ1119" s="68">
        <f t="shared" si="579"/>
        <v>10</v>
      </c>
      <c r="AR1119" s="68">
        <f t="shared" si="580"/>
        <v>8</v>
      </c>
      <c r="AS1119" s="68">
        <f t="shared" si="587"/>
        <v>1.05</v>
      </c>
      <c r="AT1119" s="68">
        <f t="shared" si="588"/>
        <v>1.05</v>
      </c>
      <c r="AU1119" s="68">
        <f t="shared" si="589"/>
        <v>1.05</v>
      </c>
      <c r="AV1119" s="68">
        <f t="shared" si="590"/>
        <v>1.05</v>
      </c>
      <c r="AW1119" s="68">
        <f t="shared" si="591"/>
        <v>1.05</v>
      </c>
      <c r="AX1119" s="68">
        <f t="shared" ca="1" si="581"/>
        <v>1.05</v>
      </c>
      <c r="AY1119" s="106">
        <v>2019</v>
      </c>
      <c r="AZ1119" s="106" t="s">
        <v>13</v>
      </c>
      <c r="BA1119" s="106" t="str">
        <f t="shared" si="585"/>
        <v/>
      </c>
      <c r="BB1119" s="177"/>
      <c r="BC1119" s="177">
        <v>1</v>
      </c>
      <c r="BD1119" s="177"/>
      <c r="BE1119" s="177"/>
      <c r="BF1119" s="177"/>
      <c r="BG1119" s="177"/>
      <c r="BH1119" s="177"/>
      <c r="BI1119" s="33"/>
      <c r="BK1119" s="48">
        <f>$G1119/5280*VLOOKUP($AC1119,'Cost and Score'!$B$27:$O$40,6,0)</f>
        <v>0.61795454545454553</v>
      </c>
      <c r="BL1119" s="48">
        <f>$G1119/5280*VLOOKUP($AC1119,'Cost and Score'!$B$27:$O$40,7,0)</f>
        <v>128.74053030303031</v>
      </c>
      <c r="BM1119" s="48">
        <f>$G1119/5280*VLOOKUP($AC1119,'Cost and Score'!$B$27:$O$40,8,0)</f>
        <v>205.9848484848485</v>
      </c>
      <c r="BN1119" s="48">
        <f>$G1119/5280*VLOOKUP($AC1119,'Cost and Score'!$B$27:$O$40,9,0)</f>
        <v>2059.848484848485</v>
      </c>
      <c r="BO1119" s="48">
        <f>$G1119/5280*VLOOKUP($AC1119,'Cost and Score'!$B$27:$O$40,10,0)</f>
        <v>514.96212121212125</v>
      </c>
      <c r="BP1119" s="48">
        <f>$G1119/5280*VLOOKUP($AC1119,'Cost and Score'!$B$27:$O$40,11,0)</f>
        <v>102.99242424242425</v>
      </c>
      <c r="BQ1119" s="48">
        <f>$G1119/5280*VLOOKUP($AC1119,'Cost and Score'!$B$27:$O$40,12,0)</f>
        <v>823.93939393939399</v>
      </c>
      <c r="BR1119" s="48">
        <f>$G1119/5280*VLOOKUP($AC1119,'Cost and Score'!$B$27:$O$40,13,0)</f>
        <v>82.393939393939405</v>
      </c>
      <c r="BS1119" s="48">
        <f>$G1119/5280*VLOOKUP($AC1119,'Cost and Score'!$B$27:$O$40,14,0)</f>
        <v>0</v>
      </c>
      <c r="BT1119" s="220">
        <f t="shared" si="582"/>
        <v>1.0299242424242425</v>
      </c>
    </row>
    <row r="1120" spans="1:103" s="2" customFormat="1" ht="14.45" hidden="1" customHeight="1" x14ac:dyDescent="0.25">
      <c r="A1120" s="31" t="s">
        <v>2102</v>
      </c>
      <c r="B1120" s="224" t="s">
        <v>2000</v>
      </c>
      <c r="C1120" s="26" t="s">
        <v>2000</v>
      </c>
      <c r="D1120" s="119" t="s">
        <v>2257</v>
      </c>
      <c r="E1120" s="82" t="s">
        <v>165</v>
      </c>
      <c r="F1120" s="82" t="s">
        <v>1495</v>
      </c>
      <c r="G1120" s="29">
        <v>419</v>
      </c>
      <c r="H1120" s="29">
        <f t="shared" si="583"/>
        <v>26</v>
      </c>
      <c r="I1120" s="26" t="s">
        <v>2098</v>
      </c>
      <c r="J1120" s="26" t="s">
        <v>101</v>
      </c>
      <c r="K1120" s="26">
        <v>0</v>
      </c>
      <c r="L1120" s="42">
        <v>7</v>
      </c>
      <c r="M1120" s="42">
        <v>10</v>
      </c>
      <c r="N1120" s="42">
        <v>10</v>
      </c>
      <c r="O1120" s="83">
        <v>9</v>
      </c>
      <c r="P1120" s="83">
        <v>9</v>
      </c>
      <c r="Q1120" s="83">
        <v>8</v>
      </c>
      <c r="R1120" s="83">
        <v>8</v>
      </c>
      <c r="S1120" s="83">
        <v>7</v>
      </c>
      <c r="T1120" s="83">
        <v>7</v>
      </c>
      <c r="U1120" s="83">
        <v>7</v>
      </c>
      <c r="V1120" s="42"/>
      <c r="W1120" s="42"/>
      <c r="X1120" s="42"/>
      <c r="Y1120" s="26">
        <v>50</v>
      </c>
      <c r="Z1120" s="26">
        <f t="shared" si="584"/>
        <v>0</v>
      </c>
      <c r="AA1120" s="82" t="s">
        <v>2000</v>
      </c>
      <c r="AB1120" s="111">
        <f t="shared" si="576"/>
        <v>1</v>
      </c>
      <c r="AC1120" s="85" t="s">
        <v>2425</v>
      </c>
      <c r="AD1120" s="84">
        <f t="shared" si="594"/>
        <v>1983.9015151515152</v>
      </c>
      <c r="AE1120" s="140"/>
      <c r="AF1120" s="113">
        <f t="shared" si="586"/>
        <v>0</v>
      </c>
      <c r="AG1120" s="85">
        <v>2026</v>
      </c>
      <c r="AH1120" s="26" t="str">
        <f t="shared" si="593"/>
        <v/>
      </c>
      <c r="AI1120" s="26" t="str">
        <f t="shared" si="597"/>
        <v/>
      </c>
      <c r="AJ1120" s="26" t="str">
        <f t="shared" si="571"/>
        <v/>
      </c>
      <c r="AK1120" s="26" t="str">
        <f t="shared" si="595"/>
        <v/>
      </c>
      <c r="AL1120" s="26" t="str">
        <f t="shared" si="595"/>
        <v>Liquid Road</v>
      </c>
      <c r="AM1120" s="26" t="str">
        <f t="shared" si="595"/>
        <v/>
      </c>
      <c r="AN1120" s="26" t="str">
        <f t="shared" si="596"/>
        <v>Liquid Road</v>
      </c>
      <c r="AO1120" s="26" t="str">
        <f t="shared" si="572"/>
        <v/>
      </c>
      <c r="AP1120" s="26" t="str">
        <f t="shared" si="568"/>
        <v/>
      </c>
      <c r="AQ1120" s="68">
        <f t="shared" si="579"/>
        <v>14</v>
      </c>
      <c r="AR1120" s="68">
        <f t="shared" si="580"/>
        <v>10</v>
      </c>
      <c r="AS1120" s="68">
        <f t="shared" si="587"/>
        <v>1.05</v>
      </c>
      <c r="AT1120" s="68">
        <f t="shared" si="588"/>
        <v>1</v>
      </c>
      <c r="AU1120" s="68">
        <f t="shared" si="589"/>
        <v>1</v>
      </c>
      <c r="AV1120" s="68">
        <f t="shared" si="590"/>
        <v>1</v>
      </c>
      <c r="AW1120" s="68">
        <f t="shared" si="591"/>
        <v>1</v>
      </c>
      <c r="AX1120" s="68">
        <f t="shared" ca="1" si="581"/>
        <v>2</v>
      </c>
      <c r="AY1120" s="68"/>
      <c r="AZ1120" s="68"/>
      <c r="BA1120" s="106" t="str">
        <f t="shared" si="585"/>
        <v/>
      </c>
      <c r="BB1120" s="178"/>
      <c r="BC1120" s="177"/>
      <c r="BD1120" s="177"/>
      <c r="BE1120" s="177"/>
      <c r="BF1120" s="177">
        <v>3</v>
      </c>
      <c r="BG1120" s="177"/>
      <c r="BH1120" s="177"/>
      <c r="BI1120" s="33"/>
      <c r="BK1120" s="48">
        <f>$G1120/5280*VLOOKUP($AC1120,'Cost and Score'!$B$27:$O$40,6,0)</f>
        <v>7.9356060606060611E-2</v>
      </c>
      <c r="BL1120" s="48">
        <f>$G1120/5280*VLOOKUP($AC1120,'Cost and Score'!$B$27:$O$40,7,0)</f>
        <v>1.2696969696969698</v>
      </c>
      <c r="BM1120" s="48">
        <f>$G1120/5280*VLOOKUP($AC1120,'Cost and Score'!$B$27:$O$40,8,0)</f>
        <v>0</v>
      </c>
      <c r="BN1120" s="48">
        <f>$G1120/5280*VLOOKUP($AC1120,'Cost and Score'!$B$27:$O$40,9,0)</f>
        <v>0</v>
      </c>
      <c r="BO1120" s="48">
        <f>$G1120/5280*VLOOKUP($AC1120,'Cost and Score'!$B$27:$O$40,10,0)</f>
        <v>0</v>
      </c>
      <c r="BP1120" s="48">
        <f>$G1120/5280*VLOOKUP($AC1120,'Cost and Score'!$B$27:$O$40,11,0)</f>
        <v>0</v>
      </c>
      <c r="BQ1120" s="48">
        <f>$G1120/5280*VLOOKUP($AC1120,'Cost and Score'!$B$27:$O$40,12,0)</f>
        <v>0</v>
      </c>
      <c r="BR1120" s="48">
        <f>$G1120/5280*VLOOKUP($AC1120,'Cost and Score'!$B$27:$O$40,13,0)</f>
        <v>0</v>
      </c>
      <c r="BS1120" s="48">
        <f>$G1120/5280*VLOOKUP($AC1120,'Cost and Score'!$B$27:$O$40,14,0)</f>
        <v>0</v>
      </c>
      <c r="BT1120" s="220">
        <f t="shared" si="582"/>
        <v>7.9356060606060611E-2</v>
      </c>
    </row>
    <row r="1121" spans="1:103" s="2" customFormat="1" ht="14.45" hidden="1" customHeight="1" x14ac:dyDescent="0.25">
      <c r="A1121" s="38" t="s">
        <v>2002</v>
      </c>
      <c r="B1121" s="34" t="s">
        <v>2001</v>
      </c>
      <c r="C1121" s="26" t="s">
        <v>2001</v>
      </c>
      <c r="D1121" s="82"/>
      <c r="E1121" s="82" t="s">
        <v>39</v>
      </c>
      <c r="F1121" s="82" t="s">
        <v>35</v>
      </c>
      <c r="G1121" s="29">
        <v>8725</v>
      </c>
      <c r="H1121" s="29">
        <f t="shared" si="583"/>
        <v>20</v>
      </c>
      <c r="I1121" s="26" t="s">
        <v>8</v>
      </c>
      <c r="J1121" s="26" t="s">
        <v>17</v>
      </c>
      <c r="K1121" s="26">
        <f t="shared" ref="K1121:K1127" si="598">VLOOKUP(J1121,TOWNSHIPS,2,FALSE)</f>
        <v>0</v>
      </c>
      <c r="L1121" s="42">
        <v>6</v>
      </c>
      <c r="M1121" s="42">
        <v>6</v>
      </c>
      <c r="N1121" s="42">
        <v>6</v>
      </c>
      <c r="O1121" s="83">
        <v>5</v>
      </c>
      <c r="P1121" s="83">
        <v>5</v>
      </c>
      <c r="Q1121" s="83">
        <v>9</v>
      </c>
      <c r="R1121" s="83">
        <v>8</v>
      </c>
      <c r="S1121" s="83">
        <v>7</v>
      </c>
      <c r="T1121" s="83">
        <v>7</v>
      </c>
      <c r="U1121" s="83">
        <v>7</v>
      </c>
      <c r="V1121" s="42"/>
      <c r="W1121" s="42"/>
      <c r="X1121" s="42"/>
      <c r="Y1121" s="26">
        <v>68</v>
      </c>
      <c r="Z1121" s="26">
        <f t="shared" si="584"/>
        <v>0</v>
      </c>
      <c r="AA1121" s="82" t="s">
        <v>1126</v>
      </c>
      <c r="AB1121" s="111">
        <f t="shared" si="576"/>
        <v>5</v>
      </c>
      <c r="AC1121" s="82" t="s">
        <v>2073</v>
      </c>
      <c r="AD1121" s="84">
        <f t="shared" si="594"/>
        <v>52878.78787878788</v>
      </c>
      <c r="AE1121" s="140">
        <v>1</v>
      </c>
      <c r="AF1121" s="113">
        <f t="shared" si="586"/>
        <v>52878.78787878788</v>
      </c>
      <c r="AG1121" s="82">
        <v>2024</v>
      </c>
      <c r="AH1121" s="26" t="str">
        <f t="shared" si="593"/>
        <v/>
      </c>
      <c r="AI1121" s="26" t="str">
        <f t="shared" si="597"/>
        <v/>
      </c>
      <c r="AJ1121" s="26" t="str">
        <f t="shared" si="571"/>
        <v>Chip Seal - Double and Fog</v>
      </c>
      <c r="AK1121" s="26" t="str">
        <f t="shared" si="595"/>
        <v/>
      </c>
      <c r="AL1121" s="26" t="str">
        <f t="shared" si="595"/>
        <v/>
      </c>
      <c r="AM1121" s="26" t="str">
        <f t="shared" si="595"/>
        <v/>
      </c>
      <c r="AN1121" s="26" t="str">
        <f t="shared" si="596"/>
        <v>Chip Seal - Double and Fog</v>
      </c>
      <c r="AO1121" s="26" t="str">
        <f t="shared" si="572"/>
        <v/>
      </c>
      <c r="AP1121" s="26" t="str">
        <f t="shared" si="568"/>
        <v/>
      </c>
      <c r="AQ1121" s="68">
        <f t="shared" ref="AQ1121:AQ1152" si="599">VLOOKUP(O1121,RSLrem,2,FALSE)</f>
        <v>6</v>
      </c>
      <c r="AR1121" s="68">
        <f t="shared" ref="AR1121:AR1152" si="600">VLOOKUP(AC1121,RSL,5,FALSE)</f>
        <v>6</v>
      </c>
      <c r="AS1121" s="68">
        <f t="shared" si="587"/>
        <v>1.1000000000000001</v>
      </c>
      <c r="AT1121" s="68">
        <f t="shared" si="588"/>
        <v>1.1000000000000001</v>
      </c>
      <c r="AU1121" s="68">
        <f t="shared" si="589"/>
        <v>1.1000000000000001</v>
      </c>
      <c r="AV1121" s="68">
        <f t="shared" si="590"/>
        <v>1.25</v>
      </c>
      <c r="AW1121" s="68">
        <f t="shared" si="591"/>
        <v>1.25</v>
      </c>
      <c r="AX1121" s="68">
        <f t="shared" ref="AX1121:AX1152" ca="1" si="601">AU1121*(AG1121-YEAR(TODAY()))</f>
        <v>0</v>
      </c>
      <c r="AY1121" s="68">
        <v>2018</v>
      </c>
      <c r="AZ1121" s="68" t="s">
        <v>2073</v>
      </c>
      <c r="BA1121" s="106" t="str">
        <f t="shared" si="585"/>
        <v>DS</v>
      </c>
      <c r="BB1121" s="178"/>
      <c r="BC1121" s="177">
        <v>5</v>
      </c>
      <c r="BD1121" s="177"/>
      <c r="BE1121" s="177"/>
      <c r="BF1121" s="177"/>
      <c r="BG1121" s="177"/>
      <c r="BH1121" s="177"/>
      <c r="BI1121" s="33"/>
      <c r="BK1121" s="48">
        <f>$G1121/5280*VLOOKUP($AC1121,'Cost and Score'!$B$27:$O$40,6,0)</f>
        <v>0.82623106060606055</v>
      </c>
      <c r="BL1121" s="48">
        <f>$G1121/5280*VLOOKUP($AC1121,'Cost and Score'!$B$27:$O$40,7,0)</f>
        <v>82.623106060606062</v>
      </c>
      <c r="BM1121" s="48">
        <f>$G1121/5280*VLOOKUP($AC1121,'Cost and Score'!$B$27:$O$40,8,0)</f>
        <v>0</v>
      </c>
      <c r="BN1121" s="48">
        <f>$G1121/5280*VLOOKUP($AC1121,'Cost and Score'!$B$27:$O$40,9,0)</f>
        <v>15698.39015151515</v>
      </c>
      <c r="BO1121" s="48">
        <f>$G1121/5280*VLOOKUP($AC1121,'Cost and Score'!$B$27:$O$40,10,0)</f>
        <v>1652.462121212121</v>
      </c>
      <c r="BP1121" s="48">
        <f>$G1121/5280*VLOOKUP($AC1121,'Cost and Score'!$B$27:$O$40,11,0)</f>
        <v>0</v>
      </c>
      <c r="BQ1121" s="48">
        <f>$G1121/5280*VLOOKUP($AC1121,'Cost and Score'!$B$27:$O$40,12,0)</f>
        <v>330.49242424242425</v>
      </c>
      <c r="BR1121" s="48">
        <f>$G1121/5280*VLOOKUP($AC1121,'Cost and Score'!$B$27:$O$40,13,0)</f>
        <v>297.44318181818181</v>
      </c>
      <c r="BS1121" s="48">
        <f>$G1121/5280*VLOOKUP($AC1121,'Cost and Score'!$B$27:$O$40,14,0)</f>
        <v>396.59090909090907</v>
      </c>
      <c r="BT1121" s="220">
        <f t="shared" si="582"/>
        <v>1.6524621212121211</v>
      </c>
      <c r="CR1121" s="112"/>
    </row>
    <row r="1122" spans="1:103" s="2" customFormat="1" ht="14.45" hidden="1" customHeight="1" x14ac:dyDescent="0.25">
      <c r="A1122" s="38" t="s">
        <v>2102</v>
      </c>
      <c r="B1122" s="45" t="s">
        <v>2003</v>
      </c>
      <c r="C1122" s="26" t="s">
        <v>2003</v>
      </c>
      <c r="D1122" s="119" t="s">
        <v>2430</v>
      </c>
      <c r="E1122" s="82" t="s">
        <v>2004</v>
      </c>
      <c r="F1122" s="82" t="s">
        <v>2005</v>
      </c>
      <c r="G1122" s="29">
        <v>539</v>
      </c>
      <c r="H1122" s="29">
        <f t="shared" si="583"/>
        <v>20</v>
      </c>
      <c r="I1122" s="26" t="s">
        <v>8</v>
      </c>
      <c r="J1122" s="26" t="s">
        <v>17</v>
      </c>
      <c r="K1122" s="26">
        <f t="shared" si="598"/>
        <v>0</v>
      </c>
      <c r="L1122" s="42">
        <v>6</v>
      </c>
      <c r="M1122" s="42">
        <v>6</v>
      </c>
      <c r="N1122" s="42">
        <v>6</v>
      </c>
      <c r="O1122" s="83">
        <v>5</v>
      </c>
      <c r="P1122" s="83">
        <v>5</v>
      </c>
      <c r="Q1122" s="83">
        <v>9</v>
      </c>
      <c r="R1122" s="83">
        <v>8</v>
      </c>
      <c r="S1122" s="83">
        <v>8</v>
      </c>
      <c r="T1122" s="83">
        <v>7</v>
      </c>
      <c r="U1122" s="83">
        <v>7</v>
      </c>
      <c r="V1122" s="42"/>
      <c r="W1122" s="42"/>
      <c r="X1122" s="42"/>
      <c r="Y1122" s="26">
        <v>50</v>
      </c>
      <c r="Z1122" s="26">
        <f t="shared" si="584"/>
        <v>0</v>
      </c>
      <c r="AA1122" s="82" t="s">
        <v>2006</v>
      </c>
      <c r="AB1122" s="111">
        <f t="shared" si="576"/>
        <v>5</v>
      </c>
      <c r="AC1122" s="85" t="s">
        <v>13</v>
      </c>
      <c r="AD1122" s="84">
        <f t="shared" si="594"/>
        <v>2143.75</v>
      </c>
      <c r="AE1122" s="140"/>
      <c r="AF1122" s="113">
        <f t="shared" si="586"/>
        <v>0</v>
      </c>
      <c r="AG1122" s="26">
        <v>2024</v>
      </c>
      <c r="AH1122" s="26" t="str">
        <f t="shared" si="593"/>
        <v/>
      </c>
      <c r="AI1122" s="26" t="str">
        <f t="shared" si="597"/>
        <v/>
      </c>
      <c r="AJ1122" s="26" t="str">
        <f t="shared" si="571"/>
        <v>Chip Seal and Fog</v>
      </c>
      <c r="AK1122" s="26" t="str">
        <f t="shared" si="595"/>
        <v/>
      </c>
      <c r="AL1122" s="26" t="str">
        <f t="shared" si="595"/>
        <v/>
      </c>
      <c r="AM1122" s="26" t="str">
        <f t="shared" si="595"/>
        <v/>
      </c>
      <c r="AN1122" s="26" t="str">
        <f t="shared" si="596"/>
        <v>Chip Seal and Fog</v>
      </c>
      <c r="AO1122" s="26" t="str">
        <f t="shared" si="572"/>
        <v/>
      </c>
      <c r="AP1122" s="26" t="str">
        <f t="shared" si="568"/>
        <v/>
      </c>
      <c r="AQ1122" s="68">
        <f t="shared" si="599"/>
        <v>6</v>
      </c>
      <c r="AR1122" s="68">
        <f t="shared" si="600"/>
        <v>6</v>
      </c>
      <c r="AS1122" s="68">
        <f t="shared" si="587"/>
        <v>1.1000000000000001</v>
      </c>
      <c r="AT1122" s="68">
        <f t="shared" si="588"/>
        <v>1.1000000000000001</v>
      </c>
      <c r="AU1122" s="68">
        <f t="shared" si="589"/>
        <v>1.1000000000000001</v>
      </c>
      <c r="AV1122" s="68">
        <f t="shared" si="590"/>
        <v>1.25</v>
      </c>
      <c r="AW1122" s="68">
        <f t="shared" si="591"/>
        <v>1.25</v>
      </c>
      <c r="AX1122" s="68">
        <f t="shared" ca="1" si="601"/>
        <v>0</v>
      </c>
      <c r="AY1122" s="68">
        <v>2018</v>
      </c>
      <c r="AZ1122" s="68" t="s">
        <v>751</v>
      </c>
      <c r="BA1122" s="106" t="str">
        <f t="shared" si="585"/>
        <v>P</v>
      </c>
      <c r="BB1122" s="178"/>
      <c r="BC1122" s="177"/>
      <c r="BD1122" s="177"/>
      <c r="BE1122" s="177"/>
      <c r="BF1122" s="177"/>
      <c r="BG1122" s="177"/>
      <c r="BH1122" s="177"/>
      <c r="BI1122" s="33"/>
      <c r="BK1122" s="48">
        <f>$G1122/5280*VLOOKUP($AC1122,'Cost and Score'!$B$27:$O$40,6,0)</f>
        <v>2.0416666666666666E-2</v>
      </c>
      <c r="BL1122" s="48">
        <f>$G1122/5280*VLOOKUP($AC1122,'Cost and Score'!$B$27:$O$40,7,0)</f>
        <v>2.2458333333333331</v>
      </c>
      <c r="BM1122" s="48">
        <f>$G1122/5280*VLOOKUP($AC1122,'Cost and Score'!$B$27:$O$40,8,0)</f>
        <v>0</v>
      </c>
      <c r="BN1122" s="48">
        <f>$G1122/5280*VLOOKUP($AC1122,'Cost and Score'!$B$27:$O$40,9,0)</f>
        <v>459.375</v>
      </c>
      <c r="BO1122" s="48">
        <f>$G1122/5280*VLOOKUP($AC1122,'Cost and Score'!$B$27:$O$40,10,0)</f>
        <v>102.08333333333333</v>
      </c>
      <c r="BP1122" s="48">
        <f>$G1122/5280*VLOOKUP($AC1122,'Cost and Score'!$B$27:$O$40,11,0)</f>
        <v>0</v>
      </c>
      <c r="BQ1122" s="48">
        <f>$G1122/5280*VLOOKUP($AC1122,'Cost and Score'!$B$27:$O$40,12,0)</f>
        <v>10.208333333333334</v>
      </c>
      <c r="BR1122" s="48">
        <f>$G1122/5280*VLOOKUP($AC1122,'Cost and Score'!$B$27:$O$40,13,0)</f>
        <v>12.25</v>
      </c>
      <c r="BS1122" s="48">
        <f>$G1122/5280*VLOOKUP($AC1122,'Cost and Score'!$B$27:$O$40,14,0)</f>
        <v>0</v>
      </c>
      <c r="BT1122" s="220">
        <f t="shared" si="582"/>
        <v>0.10208333333333333</v>
      </c>
      <c r="CF1122" s="112"/>
      <c r="CR1122" s="112"/>
    </row>
    <row r="1123" spans="1:103" s="2" customFormat="1" ht="14.45" hidden="1" customHeight="1" x14ac:dyDescent="0.25">
      <c r="A1123" s="31" t="s">
        <v>2102</v>
      </c>
      <c r="B1123" s="226" t="s">
        <v>2007</v>
      </c>
      <c r="C1123" s="106" t="s">
        <v>2007</v>
      </c>
      <c r="D1123" s="116" t="s">
        <v>2238</v>
      </c>
      <c r="E1123" s="106" t="s">
        <v>1451</v>
      </c>
      <c r="F1123" s="106" t="s">
        <v>1993</v>
      </c>
      <c r="G1123" s="109">
        <v>1267</v>
      </c>
      <c r="H1123" s="109">
        <f t="shared" si="583"/>
        <v>26</v>
      </c>
      <c r="I1123" s="106" t="s">
        <v>2098</v>
      </c>
      <c r="J1123" s="106" t="s">
        <v>160</v>
      </c>
      <c r="K1123" s="106">
        <f t="shared" si="598"/>
        <v>0</v>
      </c>
      <c r="L1123" s="110">
        <v>6</v>
      </c>
      <c r="M1123" s="110">
        <v>6</v>
      </c>
      <c r="N1123" s="110">
        <v>6</v>
      </c>
      <c r="O1123" s="110">
        <v>5</v>
      </c>
      <c r="P1123" s="110">
        <v>9</v>
      </c>
      <c r="Q1123" s="110">
        <v>8</v>
      </c>
      <c r="R1123" s="110">
        <v>8</v>
      </c>
      <c r="S1123" s="110">
        <v>7</v>
      </c>
      <c r="T1123" s="110">
        <v>7</v>
      </c>
      <c r="U1123" s="110">
        <v>8</v>
      </c>
      <c r="V1123" s="110"/>
      <c r="W1123" s="110"/>
      <c r="X1123" s="110"/>
      <c r="Y1123" s="106">
        <v>169</v>
      </c>
      <c r="Z1123" s="106">
        <f t="shared" si="584"/>
        <v>0</v>
      </c>
      <c r="AA1123" s="106" t="s">
        <v>2007</v>
      </c>
      <c r="AB1123" s="111">
        <f t="shared" si="576"/>
        <v>1</v>
      </c>
      <c r="AC1123" s="85" t="s">
        <v>2425</v>
      </c>
      <c r="AD1123" s="107">
        <f t="shared" si="594"/>
        <v>5999.05303030303</v>
      </c>
      <c r="AE1123" s="198"/>
      <c r="AF1123" s="113">
        <f t="shared" si="586"/>
        <v>0</v>
      </c>
      <c r="AG1123" s="85">
        <v>2026</v>
      </c>
      <c r="AH1123" s="26" t="str">
        <f t="shared" si="593"/>
        <v/>
      </c>
      <c r="AI1123" s="26" t="str">
        <f t="shared" si="597"/>
        <v/>
      </c>
      <c r="AJ1123" s="26" t="str">
        <f t="shared" si="571"/>
        <v/>
      </c>
      <c r="AK1123" s="26" t="str">
        <f t="shared" si="595"/>
        <v/>
      </c>
      <c r="AL1123" s="26" t="str">
        <f t="shared" si="595"/>
        <v>Liquid Road</v>
      </c>
      <c r="AM1123" s="26" t="str">
        <f t="shared" si="595"/>
        <v/>
      </c>
      <c r="AN1123" s="26" t="str">
        <f t="shared" si="596"/>
        <v>Liquid Road</v>
      </c>
      <c r="AO1123" s="26" t="str">
        <f t="shared" si="572"/>
        <v/>
      </c>
      <c r="AP1123" s="26" t="str">
        <f t="shared" si="568"/>
        <v/>
      </c>
      <c r="AQ1123" s="68">
        <f t="shared" si="599"/>
        <v>6</v>
      </c>
      <c r="AR1123" s="68">
        <f t="shared" si="600"/>
        <v>10</v>
      </c>
      <c r="AS1123" s="68">
        <f t="shared" si="587"/>
        <v>1.1000000000000001</v>
      </c>
      <c r="AT1123" s="68">
        <f t="shared" si="588"/>
        <v>1.1000000000000001</v>
      </c>
      <c r="AU1123" s="68">
        <f t="shared" si="589"/>
        <v>1.1000000000000001</v>
      </c>
      <c r="AV1123" s="68">
        <f t="shared" si="590"/>
        <v>1.25</v>
      </c>
      <c r="AW1123" s="68">
        <f t="shared" si="591"/>
        <v>1</v>
      </c>
      <c r="AX1123" s="68">
        <f t="shared" ca="1" si="601"/>
        <v>2.2000000000000002</v>
      </c>
      <c r="AY1123" s="106">
        <v>2017</v>
      </c>
      <c r="AZ1123" s="106" t="s">
        <v>751</v>
      </c>
      <c r="BA1123" s="106" t="str">
        <f t="shared" si="585"/>
        <v/>
      </c>
      <c r="BB1123" s="177"/>
      <c r="BC1123" s="177"/>
      <c r="BD1123" s="177"/>
      <c r="BE1123" s="177">
        <v>2</v>
      </c>
      <c r="BF1123" s="177"/>
      <c r="BG1123" s="177"/>
      <c r="BH1123" s="177"/>
      <c r="BI1123" s="33"/>
      <c r="BK1123" s="48">
        <f>$G1123/5280*VLOOKUP($AC1123,'Cost and Score'!$B$27:$O$40,6,0)</f>
        <v>0.23996212121212121</v>
      </c>
      <c r="BL1123" s="48">
        <f>$G1123/5280*VLOOKUP($AC1123,'Cost and Score'!$B$27:$O$40,7,0)</f>
        <v>3.8393939393939394</v>
      </c>
      <c r="BM1123" s="48">
        <f>$G1123/5280*VLOOKUP($AC1123,'Cost and Score'!$B$27:$O$40,8,0)</f>
        <v>0</v>
      </c>
      <c r="BN1123" s="48">
        <f>$G1123/5280*VLOOKUP($AC1123,'Cost and Score'!$B$27:$O$40,9,0)</f>
        <v>0</v>
      </c>
      <c r="BO1123" s="48">
        <f>$G1123/5280*VLOOKUP($AC1123,'Cost and Score'!$B$27:$O$40,10,0)</f>
        <v>0</v>
      </c>
      <c r="BP1123" s="48">
        <f>$G1123/5280*VLOOKUP($AC1123,'Cost and Score'!$B$27:$O$40,11,0)</f>
        <v>0</v>
      </c>
      <c r="BQ1123" s="48">
        <f>$G1123/5280*VLOOKUP($AC1123,'Cost and Score'!$B$27:$O$40,12,0)</f>
        <v>0</v>
      </c>
      <c r="BR1123" s="48">
        <f>$G1123/5280*VLOOKUP($AC1123,'Cost and Score'!$B$27:$O$40,13,0)</f>
        <v>0</v>
      </c>
      <c r="BS1123" s="48">
        <f>$G1123/5280*VLOOKUP($AC1123,'Cost and Score'!$B$27:$O$40,14,0)</f>
        <v>0</v>
      </c>
      <c r="BT1123" s="220">
        <f t="shared" si="582"/>
        <v>0.23996212121212121</v>
      </c>
      <c r="CG1123" s="112"/>
      <c r="CH1123" s="112"/>
      <c r="CI1123" s="112"/>
      <c r="CJ1123" s="112"/>
      <c r="CK1123" s="112"/>
      <c r="CL1123" s="112"/>
      <c r="CM1123" s="112"/>
      <c r="CS1123" s="112"/>
      <c r="CT1123" s="112"/>
      <c r="CU1123" s="112"/>
    </row>
    <row r="1124" spans="1:103" s="112" customFormat="1" ht="14.45" hidden="1" customHeight="1" x14ac:dyDescent="0.25">
      <c r="A1124" s="31" t="s">
        <v>2102</v>
      </c>
      <c r="B1124" s="226" t="s">
        <v>2008</v>
      </c>
      <c r="C1124" s="106" t="s">
        <v>2008</v>
      </c>
      <c r="D1124" s="116" t="s">
        <v>2245</v>
      </c>
      <c r="E1124" s="106" t="s">
        <v>1458</v>
      </c>
      <c r="F1124" s="106" t="s">
        <v>1757</v>
      </c>
      <c r="G1124" s="109">
        <v>422</v>
      </c>
      <c r="H1124" s="109">
        <f t="shared" si="583"/>
        <v>26</v>
      </c>
      <c r="I1124" s="106" t="s">
        <v>2098</v>
      </c>
      <c r="J1124" s="106" t="s">
        <v>160</v>
      </c>
      <c r="K1124" s="106">
        <f t="shared" si="598"/>
        <v>0</v>
      </c>
      <c r="L1124" s="110">
        <v>7</v>
      </c>
      <c r="M1124" s="110">
        <v>8</v>
      </c>
      <c r="N1124" s="110">
        <v>8</v>
      </c>
      <c r="O1124" s="110">
        <v>8</v>
      </c>
      <c r="P1124" s="110">
        <v>8</v>
      </c>
      <c r="Q1124" s="110">
        <v>8</v>
      </c>
      <c r="R1124" s="110">
        <v>7</v>
      </c>
      <c r="S1124" s="110">
        <v>7</v>
      </c>
      <c r="T1124" s="110">
        <v>7</v>
      </c>
      <c r="U1124" s="110">
        <v>7</v>
      </c>
      <c r="V1124" s="110"/>
      <c r="W1124" s="110"/>
      <c r="X1124" s="110"/>
      <c r="Y1124" s="106">
        <v>114</v>
      </c>
      <c r="Z1124" s="106">
        <f t="shared" si="584"/>
        <v>0</v>
      </c>
      <c r="AA1124" s="106" t="s">
        <v>2008</v>
      </c>
      <c r="AB1124" s="111">
        <f t="shared" si="576"/>
        <v>2</v>
      </c>
      <c r="AC1124" s="106" t="s">
        <v>2425</v>
      </c>
      <c r="AD1124" s="107">
        <f t="shared" si="594"/>
        <v>1998.1060606060605</v>
      </c>
      <c r="AE1124" s="198"/>
      <c r="AF1124" s="113">
        <f t="shared" si="586"/>
        <v>0</v>
      </c>
      <c r="AG1124" s="85">
        <v>2026</v>
      </c>
      <c r="AH1124" s="26" t="str">
        <f t="shared" si="593"/>
        <v/>
      </c>
      <c r="AI1124" s="26" t="str">
        <f t="shared" si="597"/>
        <v/>
      </c>
      <c r="AJ1124" s="26" t="str">
        <f t="shared" si="571"/>
        <v/>
      </c>
      <c r="AK1124" s="26" t="str">
        <f t="shared" si="595"/>
        <v/>
      </c>
      <c r="AL1124" s="26" t="str">
        <f t="shared" si="595"/>
        <v>Liquid Road</v>
      </c>
      <c r="AM1124" s="26" t="str">
        <f t="shared" si="595"/>
        <v/>
      </c>
      <c r="AN1124" s="26" t="str">
        <f t="shared" si="596"/>
        <v>Liquid Road</v>
      </c>
      <c r="AO1124" s="26" t="str">
        <f t="shared" si="572"/>
        <v/>
      </c>
      <c r="AP1124" s="26" t="str">
        <f t="shared" si="568"/>
        <v/>
      </c>
      <c r="AQ1124" s="68">
        <f t="shared" si="599"/>
        <v>12</v>
      </c>
      <c r="AR1124" s="68">
        <f t="shared" si="600"/>
        <v>10</v>
      </c>
      <c r="AS1124" s="68">
        <f t="shared" si="587"/>
        <v>1.05</v>
      </c>
      <c r="AT1124" s="68">
        <f t="shared" si="588"/>
        <v>1</v>
      </c>
      <c r="AU1124" s="68">
        <f t="shared" si="589"/>
        <v>1</v>
      </c>
      <c r="AV1124" s="68">
        <f t="shared" si="590"/>
        <v>1</v>
      </c>
      <c r="AW1124" s="68">
        <f t="shared" si="591"/>
        <v>1</v>
      </c>
      <c r="AX1124" s="68">
        <f t="shared" ca="1" si="601"/>
        <v>2</v>
      </c>
      <c r="AY1124" s="106">
        <v>2017</v>
      </c>
      <c r="AZ1124" s="106" t="s">
        <v>2086</v>
      </c>
      <c r="BA1124" s="106" t="str">
        <f t="shared" si="585"/>
        <v/>
      </c>
      <c r="BB1124" s="177"/>
      <c r="BC1124" s="177"/>
      <c r="BD1124" s="177"/>
      <c r="BE1124" s="177">
        <v>2</v>
      </c>
      <c r="BF1124" s="177"/>
      <c r="BG1124" s="177"/>
      <c r="BH1124" s="177"/>
      <c r="BI1124" s="33"/>
      <c r="BJ1124" s="2"/>
      <c r="BK1124" s="48">
        <f>$G1124/5280*VLOOKUP($AC1124,'Cost and Score'!$B$27:$O$40,6,0)</f>
        <v>7.9924242424242425E-2</v>
      </c>
      <c r="BL1124" s="48">
        <f>$G1124/5280*VLOOKUP($AC1124,'Cost and Score'!$B$27:$O$40,7,0)</f>
        <v>1.2787878787878788</v>
      </c>
      <c r="BM1124" s="48">
        <f>$G1124/5280*VLOOKUP($AC1124,'Cost and Score'!$B$27:$O$40,8,0)</f>
        <v>0</v>
      </c>
      <c r="BN1124" s="48">
        <f>$G1124/5280*VLOOKUP($AC1124,'Cost and Score'!$B$27:$O$40,9,0)</f>
        <v>0</v>
      </c>
      <c r="BO1124" s="48">
        <f>$G1124/5280*VLOOKUP($AC1124,'Cost and Score'!$B$27:$O$40,10,0)</f>
        <v>0</v>
      </c>
      <c r="BP1124" s="48">
        <f>$G1124/5280*VLOOKUP($AC1124,'Cost and Score'!$B$27:$O$40,11,0)</f>
        <v>0</v>
      </c>
      <c r="BQ1124" s="48">
        <f>$G1124/5280*VLOOKUP($AC1124,'Cost and Score'!$B$27:$O$40,12,0)</f>
        <v>0</v>
      </c>
      <c r="BR1124" s="48">
        <f>$G1124/5280*VLOOKUP($AC1124,'Cost and Score'!$B$27:$O$40,13,0)</f>
        <v>0</v>
      </c>
      <c r="BS1124" s="48">
        <f>$G1124/5280*VLOOKUP($AC1124,'Cost and Score'!$B$27:$O$40,14,0)</f>
        <v>0</v>
      </c>
      <c r="BT1124" s="220">
        <f t="shared" si="582"/>
        <v>7.9924242424242425E-2</v>
      </c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N1124" s="2"/>
      <c r="CO1124" s="2"/>
      <c r="CP1124" s="2"/>
      <c r="CQ1124" s="2"/>
      <c r="CV1124" s="2"/>
      <c r="CW1124" s="2"/>
      <c r="CX1124" s="2"/>
      <c r="CY1124" s="2"/>
    </row>
    <row r="1125" spans="1:103" s="112" customFormat="1" ht="14.45" hidden="1" customHeight="1" x14ac:dyDescent="0.25">
      <c r="A1125" s="38" t="s">
        <v>2010</v>
      </c>
      <c r="B1125" s="34" t="s">
        <v>2009</v>
      </c>
      <c r="C1125" s="26" t="s">
        <v>2009</v>
      </c>
      <c r="D1125" s="26"/>
      <c r="E1125" s="26" t="s">
        <v>422</v>
      </c>
      <c r="F1125" s="26" t="s">
        <v>38</v>
      </c>
      <c r="G1125" s="29">
        <v>5332</v>
      </c>
      <c r="H1125" s="29">
        <f t="shared" si="583"/>
        <v>20</v>
      </c>
      <c r="I1125" s="26" t="s">
        <v>13</v>
      </c>
      <c r="J1125" s="26" t="s">
        <v>62</v>
      </c>
      <c r="K1125" s="26">
        <f t="shared" si="598"/>
        <v>0</v>
      </c>
      <c r="L1125" s="42">
        <v>7</v>
      </c>
      <c r="M1125" s="42">
        <v>4</v>
      </c>
      <c r="N1125" s="42">
        <v>8</v>
      </c>
      <c r="O1125" s="42">
        <v>9</v>
      </c>
      <c r="P1125" s="42">
        <v>7</v>
      </c>
      <c r="Q1125" s="42">
        <v>7</v>
      </c>
      <c r="R1125" s="42">
        <v>7</v>
      </c>
      <c r="S1125" s="42">
        <v>7</v>
      </c>
      <c r="T1125" s="42">
        <v>7</v>
      </c>
      <c r="U1125" s="42">
        <v>7</v>
      </c>
      <c r="V1125" s="42"/>
      <c r="W1125" s="42"/>
      <c r="X1125" s="42"/>
      <c r="Y1125" s="26">
        <v>57</v>
      </c>
      <c r="Z1125" s="26">
        <f t="shared" si="584"/>
        <v>0</v>
      </c>
      <c r="AA1125" s="26" t="s">
        <v>1185</v>
      </c>
      <c r="AB1125" s="111">
        <f t="shared" si="576"/>
        <v>3</v>
      </c>
      <c r="AC1125" s="26" t="s">
        <v>13</v>
      </c>
      <c r="AD1125" s="47">
        <f t="shared" si="594"/>
        <v>21206.81818181818</v>
      </c>
      <c r="AE1125" s="140"/>
      <c r="AF1125" s="113">
        <f t="shared" si="586"/>
        <v>0</v>
      </c>
      <c r="AG1125" s="26">
        <v>2022</v>
      </c>
      <c r="AH1125" s="26" t="str">
        <f t="shared" si="593"/>
        <v>Chip Seal and Fog</v>
      </c>
      <c r="AI1125" s="26" t="str">
        <f t="shared" si="597"/>
        <v/>
      </c>
      <c r="AJ1125" s="26" t="str">
        <f t="shared" si="571"/>
        <v/>
      </c>
      <c r="AK1125" s="26" t="str">
        <f t="shared" si="595"/>
        <v/>
      </c>
      <c r="AL1125" s="26" t="str">
        <f t="shared" si="595"/>
        <v/>
      </c>
      <c r="AM1125" s="26" t="str">
        <f t="shared" si="595"/>
        <v/>
      </c>
      <c r="AN1125" s="26" t="str">
        <f t="shared" si="596"/>
        <v>Chip Seal and Fog</v>
      </c>
      <c r="AO1125" s="26" t="str">
        <f t="shared" si="572"/>
        <v/>
      </c>
      <c r="AP1125" s="26" t="str">
        <f t="shared" ref="AP1125:AP1170" si="602">IF(AY1125=AP$1,VLOOKUP(AZ1125,RSL,3,FALSE),"")</f>
        <v>Chip Seal and Fog</v>
      </c>
      <c r="AQ1125" s="68">
        <f t="shared" si="599"/>
        <v>14</v>
      </c>
      <c r="AR1125" s="68">
        <f t="shared" si="600"/>
        <v>6</v>
      </c>
      <c r="AS1125" s="68">
        <f t="shared" si="587"/>
        <v>1.05</v>
      </c>
      <c r="AT1125" s="68">
        <f t="shared" si="588"/>
        <v>1.5</v>
      </c>
      <c r="AU1125" s="68">
        <f t="shared" si="589"/>
        <v>1</v>
      </c>
      <c r="AV1125" s="68">
        <f t="shared" si="590"/>
        <v>1</v>
      </c>
      <c r="AW1125" s="68">
        <f t="shared" si="591"/>
        <v>1.05</v>
      </c>
      <c r="AX1125" s="68">
        <f t="shared" ca="1" si="601"/>
        <v>-2</v>
      </c>
      <c r="AY1125" s="68">
        <v>2022</v>
      </c>
      <c r="AZ1125" s="68" t="s">
        <v>13</v>
      </c>
      <c r="BA1125" s="106" t="str">
        <f t="shared" si="585"/>
        <v/>
      </c>
      <c r="BB1125" s="178">
        <v>104</v>
      </c>
      <c r="BC1125" s="177">
        <v>1</v>
      </c>
      <c r="BD1125" s="177"/>
      <c r="BE1125" s="177"/>
      <c r="BF1125" s="177"/>
      <c r="BG1125" s="177"/>
      <c r="BH1125" s="177"/>
      <c r="BI1125" s="33"/>
      <c r="BJ1125" s="2"/>
      <c r="BK1125" s="48">
        <f>$G1125/5280*VLOOKUP($AC1125,'Cost and Score'!$B$27:$O$40,6,0)</f>
        <v>0.20196969696969697</v>
      </c>
      <c r="BL1125" s="48">
        <f>$G1125/5280*VLOOKUP($AC1125,'Cost and Score'!$B$27:$O$40,7,0)</f>
        <v>22.216666666666665</v>
      </c>
      <c r="BM1125" s="48">
        <f>$G1125/5280*VLOOKUP($AC1125,'Cost and Score'!$B$27:$O$40,8,0)</f>
        <v>0</v>
      </c>
      <c r="BN1125" s="48">
        <f>$G1125/5280*VLOOKUP($AC1125,'Cost and Score'!$B$27:$O$40,9,0)</f>
        <v>4544.3181818181811</v>
      </c>
      <c r="BO1125" s="48">
        <f>$G1125/5280*VLOOKUP($AC1125,'Cost and Score'!$B$27:$O$40,10,0)</f>
        <v>1009.8484848484848</v>
      </c>
      <c r="BP1125" s="48">
        <f>$G1125/5280*VLOOKUP($AC1125,'Cost and Score'!$B$27:$O$40,11,0)</f>
        <v>0</v>
      </c>
      <c r="BQ1125" s="48">
        <f>$G1125/5280*VLOOKUP($AC1125,'Cost and Score'!$B$27:$O$40,12,0)</f>
        <v>100.98484848484847</v>
      </c>
      <c r="BR1125" s="48">
        <f>$G1125/5280*VLOOKUP($AC1125,'Cost and Score'!$B$27:$O$40,13,0)</f>
        <v>121.18181818181817</v>
      </c>
      <c r="BS1125" s="48">
        <f>$G1125/5280*VLOOKUP($AC1125,'Cost and Score'!$B$27:$O$40,14,0)</f>
        <v>0</v>
      </c>
      <c r="BT1125" s="220">
        <f t="shared" si="582"/>
        <v>1.0098484848484848</v>
      </c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R1125" s="2"/>
      <c r="CS1125" s="2"/>
      <c r="CT1125" s="2"/>
      <c r="CU1125" s="2"/>
      <c r="CW1125" s="2"/>
      <c r="CX1125" s="2"/>
      <c r="CY1125" s="2"/>
    </row>
    <row r="1126" spans="1:103" s="2" customFormat="1" ht="14.45" hidden="1" customHeight="1" x14ac:dyDescent="0.25">
      <c r="A1126" s="38" t="s">
        <v>2012</v>
      </c>
      <c r="B1126" s="108" t="s">
        <v>2011</v>
      </c>
      <c r="C1126" s="106" t="s">
        <v>2011</v>
      </c>
      <c r="D1126" s="106"/>
      <c r="E1126" s="106" t="s">
        <v>39</v>
      </c>
      <c r="F1126" s="106" t="s">
        <v>422</v>
      </c>
      <c r="G1126" s="109">
        <v>725</v>
      </c>
      <c r="H1126" s="109">
        <f t="shared" si="583"/>
        <v>20</v>
      </c>
      <c r="I1126" s="106" t="s">
        <v>8</v>
      </c>
      <c r="J1126" s="106" t="s">
        <v>62</v>
      </c>
      <c r="K1126" s="106">
        <f t="shared" si="598"/>
        <v>0</v>
      </c>
      <c r="L1126" s="110">
        <v>8</v>
      </c>
      <c r="M1126" s="110">
        <v>6</v>
      </c>
      <c r="N1126" s="110">
        <v>8</v>
      </c>
      <c r="O1126" s="110">
        <v>7</v>
      </c>
      <c r="P1126" s="110">
        <v>6</v>
      </c>
      <c r="Q1126" s="110">
        <v>6</v>
      </c>
      <c r="R1126" s="110">
        <v>6</v>
      </c>
      <c r="S1126" s="110">
        <v>6</v>
      </c>
      <c r="T1126" s="110">
        <v>8</v>
      </c>
      <c r="U1126" s="110">
        <v>8</v>
      </c>
      <c r="V1126" s="110"/>
      <c r="W1126" s="110"/>
      <c r="X1126" s="110"/>
      <c r="Y1126" s="106">
        <v>123</v>
      </c>
      <c r="Z1126" s="106">
        <f t="shared" si="584"/>
        <v>0</v>
      </c>
      <c r="AA1126" s="106" t="s">
        <v>1185</v>
      </c>
      <c r="AB1126" s="111">
        <f t="shared" si="576"/>
        <v>4</v>
      </c>
      <c r="AC1126" s="85" t="s">
        <v>13</v>
      </c>
      <c r="AD1126" s="107">
        <f t="shared" si="594"/>
        <v>2883.5227272727275</v>
      </c>
      <c r="AE1126" s="140"/>
      <c r="AF1126" s="113">
        <f t="shared" si="586"/>
        <v>0</v>
      </c>
      <c r="AG1126" s="26">
        <v>2027</v>
      </c>
      <c r="AH1126" s="26" t="str">
        <f t="shared" si="593"/>
        <v/>
      </c>
      <c r="AI1126" s="26" t="str">
        <f t="shared" si="597"/>
        <v/>
      </c>
      <c r="AJ1126" s="26" t="str">
        <f t="shared" si="571"/>
        <v/>
      </c>
      <c r="AK1126" s="26" t="str">
        <f t="shared" si="595"/>
        <v/>
      </c>
      <c r="AL1126" s="26" t="str">
        <f t="shared" si="595"/>
        <v/>
      </c>
      <c r="AM1126" s="26" t="str">
        <f t="shared" si="595"/>
        <v>Chip Seal and Fog</v>
      </c>
      <c r="AN1126" s="26" t="str">
        <f t="shared" si="596"/>
        <v>Chip Seal and Fog</v>
      </c>
      <c r="AO1126" s="26" t="str">
        <f t="shared" si="572"/>
        <v/>
      </c>
      <c r="AP1126" s="26" t="str">
        <f t="shared" si="602"/>
        <v/>
      </c>
      <c r="AQ1126" s="68">
        <f t="shared" si="599"/>
        <v>10</v>
      </c>
      <c r="AR1126" s="68">
        <f t="shared" si="600"/>
        <v>6</v>
      </c>
      <c r="AS1126" s="68">
        <f t="shared" si="587"/>
        <v>1</v>
      </c>
      <c r="AT1126" s="68">
        <f t="shared" si="588"/>
        <v>1.1000000000000001</v>
      </c>
      <c r="AU1126" s="68">
        <f t="shared" si="589"/>
        <v>1</v>
      </c>
      <c r="AV1126" s="68">
        <f t="shared" si="590"/>
        <v>1.05</v>
      </c>
      <c r="AW1126" s="68">
        <f t="shared" si="591"/>
        <v>1.1000000000000001</v>
      </c>
      <c r="AX1126" s="68">
        <f t="shared" ca="1" si="601"/>
        <v>3</v>
      </c>
      <c r="AY1126" s="106">
        <v>2018</v>
      </c>
      <c r="AZ1126" s="106" t="s">
        <v>2075</v>
      </c>
      <c r="BA1126" s="106" t="str">
        <f t="shared" si="585"/>
        <v>CRACK</v>
      </c>
      <c r="BB1126" s="177"/>
      <c r="BC1126" s="177">
        <v>1</v>
      </c>
      <c r="BD1126" s="177"/>
      <c r="BE1126" s="177"/>
      <c r="BF1126" s="177"/>
      <c r="BG1126" s="177"/>
      <c r="BH1126" s="177"/>
      <c r="BI1126" s="33"/>
      <c r="BK1126" s="48">
        <f>$G1126/5280*VLOOKUP($AC1126,'Cost and Score'!$B$27:$O$40,6,0)</f>
        <v>2.7462121212121212E-2</v>
      </c>
      <c r="BL1126" s="48">
        <f>$G1126/5280*VLOOKUP($AC1126,'Cost and Score'!$B$27:$O$40,7,0)</f>
        <v>3.020833333333333</v>
      </c>
      <c r="BM1126" s="48">
        <f>$G1126/5280*VLOOKUP($AC1126,'Cost and Score'!$B$27:$O$40,8,0)</f>
        <v>0</v>
      </c>
      <c r="BN1126" s="48">
        <f>$G1126/5280*VLOOKUP($AC1126,'Cost and Score'!$B$27:$O$40,9,0)</f>
        <v>617.89772727272725</v>
      </c>
      <c r="BO1126" s="48">
        <f>$G1126/5280*VLOOKUP($AC1126,'Cost and Score'!$B$27:$O$40,10,0)</f>
        <v>137.31060606060606</v>
      </c>
      <c r="BP1126" s="48">
        <f>$G1126/5280*VLOOKUP($AC1126,'Cost and Score'!$B$27:$O$40,11,0)</f>
        <v>0</v>
      </c>
      <c r="BQ1126" s="48">
        <f>$G1126/5280*VLOOKUP($AC1126,'Cost and Score'!$B$27:$O$40,12,0)</f>
        <v>13.731060606060606</v>
      </c>
      <c r="BR1126" s="48">
        <f>$G1126/5280*VLOOKUP($AC1126,'Cost and Score'!$B$27:$O$40,13,0)</f>
        <v>16.477272727272727</v>
      </c>
      <c r="BS1126" s="48">
        <f>$G1126/5280*VLOOKUP($AC1126,'Cost and Score'!$B$27:$O$40,14,0)</f>
        <v>0</v>
      </c>
      <c r="BT1126" s="220">
        <f t="shared" si="582"/>
        <v>0.13731060606060605</v>
      </c>
      <c r="BY1126" s="2" t="s">
        <v>62</v>
      </c>
      <c r="BZ1126" s="27">
        <v>7000</v>
      </c>
      <c r="CA1126" s="2" t="s">
        <v>2088</v>
      </c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</row>
    <row r="1127" spans="1:103" s="112" customFormat="1" ht="14.45" hidden="1" customHeight="1" x14ac:dyDescent="0.25">
      <c r="A1127" s="38" t="s">
        <v>2014</v>
      </c>
      <c r="B1127" s="34" t="s">
        <v>2013</v>
      </c>
      <c r="C1127" s="26" t="s">
        <v>2013</v>
      </c>
      <c r="D1127" s="26"/>
      <c r="E1127" s="26" t="s">
        <v>39</v>
      </c>
      <c r="F1127" s="26" t="s">
        <v>213</v>
      </c>
      <c r="G1127" s="29">
        <v>5300</v>
      </c>
      <c r="H1127" s="29">
        <f t="shared" ref="H1127:H1158" si="603">IF(I1127="NC",26,20)</f>
        <v>20</v>
      </c>
      <c r="I1127" s="106" t="s">
        <v>751</v>
      </c>
      <c r="J1127" s="26" t="s">
        <v>62</v>
      </c>
      <c r="K1127" s="26">
        <f t="shared" si="598"/>
        <v>0</v>
      </c>
      <c r="L1127" s="42">
        <v>4</v>
      </c>
      <c r="M1127" s="42">
        <v>3</v>
      </c>
      <c r="N1127" s="42">
        <v>10</v>
      </c>
      <c r="O1127" s="42">
        <v>9</v>
      </c>
      <c r="P1127" s="42">
        <v>9</v>
      </c>
      <c r="Q1127" s="42">
        <v>8</v>
      </c>
      <c r="R1127" s="42">
        <v>8</v>
      </c>
      <c r="S1127" s="42">
        <v>8</v>
      </c>
      <c r="T1127" s="42">
        <v>7</v>
      </c>
      <c r="U1127" s="42">
        <v>7</v>
      </c>
      <c r="V1127" s="42"/>
      <c r="W1127" s="42"/>
      <c r="X1127" s="42"/>
      <c r="Y1127" s="26">
        <v>97</v>
      </c>
      <c r="Z1127" s="26">
        <f t="shared" ref="Z1127:Z1158" si="604">VLOOKUP(Y1127,AADT,2)</f>
        <v>0</v>
      </c>
      <c r="AA1127" s="26" t="s">
        <v>1185</v>
      </c>
      <c r="AB1127" s="111">
        <f t="shared" si="576"/>
        <v>1</v>
      </c>
      <c r="AC1127" s="85" t="s">
        <v>13</v>
      </c>
      <c r="AD1127" s="47">
        <f t="shared" si="594"/>
        <v>21079.545454545456</v>
      </c>
      <c r="AE1127" s="140"/>
      <c r="AF1127" s="113">
        <f t="shared" si="586"/>
        <v>0</v>
      </c>
      <c r="AG1127" s="26">
        <v>2027</v>
      </c>
      <c r="AH1127" s="26" t="str">
        <f t="shared" si="593"/>
        <v/>
      </c>
      <c r="AI1127" s="26" t="str">
        <f t="shared" si="597"/>
        <v/>
      </c>
      <c r="AJ1127" s="26" t="str">
        <f t="shared" ref="AJ1127:AJ1170" si="605">IF($AG1127=AJ$1,VLOOKUP($AC1127,RSL,3,FALSE),"")</f>
        <v/>
      </c>
      <c r="AK1127" s="26" t="str">
        <f t="shared" si="595"/>
        <v/>
      </c>
      <c r="AL1127" s="26" t="str">
        <f t="shared" si="595"/>
        <v/>
      </c>
      <c r="AM1127" s="26" t="str">
        <f t="shared" si="595"/>
        <v>Chip Seal and Fog</v>
      </c>
      <c r="AN1127" s="26" t="str">
        <f t="shared" si="596"/>
        <v>Chip Seal and Fog</v>
      </c>
      <c r="AO1127" s="26" t="str">
        <f t="shared" ref="AO1127:AO1170" si="606">IF(AY1127=AO$1,VLOOKUP(AZ1127,RSL,3,FALSE),"")</f>
        <v>Crack Seal</v>
      </c>
      <c r="AP1127" s="26" t="str">
        <f t="shared" si="602"/>
        <v/>
      </c>
      <c r="AQ1127" s="68">
        <f t="shared" si="599"/>
        <v>14</v>
      </c>
      <c r="AR1127" s="68">
        <f t="shared" si="600"/>
        <v>6</v>
      </c>
      <c r="AS1127" s="68">
        <f t="shared" si="587"/>
        <v>1.5</v>
      </c>
      <c r="AT1127" s="68">
        <f t="shared" si="588"/>
        <v>1.75</v>
      </c>
      <c r="AU1127" s="68">
        <f t="shared" si="589"/>
        <v>1</v>
      </c>
      <c r="AV1127" s="68">
        <f t="shared" si="590"/>
        <v>1</v>
      </c>
      <c r="AW1127" s="68">
        <f t="shared" si="591"/>
        <v>1</v>
      </c>
      <c r="AX1127" s="68">
        <f t="shared" ca="1" si="601"/>
        <v>3</v>
      </c>
      <c r="AY1127" s="68">
        <v>2021</v>
      </c>
      <c r="AZ1127" s="68" t="s">
        <v>2075</v>
      </c>
      <c r="BA1127" s="106" t="str">
        <f t="shared" ref="BA1127:BA1158" si="607">IF(AY1127=2018,AZ1127,"")</f>
        <v/>
      </c>
      <c r="BB1127" s="178"/>
      <c r="BC1127" s="177">
        <v>3</v>
      </c>
      <c r="BD1127" s="177"/>
      <c r="BE1127" s="177"/>
      <c r="BF1127" s="177"/>
      <c r="BG1127" s="177"/>
      <c r="BH1127" s="177"/>
      <c r="BI1127" s="33" t="s">
        <v>2378</v>
      </c>
      <c r="BJ1127" s="2"/>
      <c r="BK1127" s="48">
        <f>$G1127/5280*VLOOKUP($AC1127,'Cost and Score'!$B$27:$O$40,6,0)</f>
        <v>0.2007575757575758</v>
      </c>
      <c r="BL1127" s="48">
        <f>$G1127/5280*VLOOKUP($AC1127,'Cost and Score'!$B$27:$O$40,7,0)</f>
        <v>22.083333333333336</v>
      </c>
      <c r="BM1127" s="48">
        <f>$G1127/5280*VLOOKUP($AC1127,'Cost and Score'!$B$27:$O$40,8,0)</f>
        <v>0</v>
      </c>
      <c r="BN1127" s="48">
        <f>$G1127/5280*VLOOKUP($AC1127,'Cost and Score'!$B$27:$O$40,9,0)</f>
        <v>4517.045454545455</v>
      </c>
      <c r="BO1127" s="48">
        <f>$G1127/5280*VLOOKUP($AC1127,'Cost and Score'!$B$27:$O$40,10,0)</f>
        <v>1003.7878787878789</v>
      </c>
      <c r="BP1127" s="48">
        <f>$G1127/5280*VLOOKUP($AC1127,'Cost and Score'!$B$27:$O$40,11,0)</f>
        <v>0</v>
      </c>
      <c r="BQ1127" s="48">
        <f>$G1127/5280*VLOOKUP($AC1127,'Cost and Score'!$B$27:$O$40,12,0)</f>
        <v>100.37878787878789</v>
      </c>
      <c r="BR1127" s="48">
        <f>$G1127/5280*VLOOKUP($AC1127,'Cost and Score'!$B$27:$O$40,13,0)</f>
        <v>120.45454545454547</v>
      </c>
      <c r="BS1127" s="48">
        <f>$G1127/5280*VLOOKUP($AC1127,'Cost and Score'!$B$27:$O$40,14,0)</f>
        <v>0</v>
      </c>
      <c r="BT1127" s="220">
        <f t="shared" si="582"/>
        <v>1.0037878787878789</v>
      </c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</row>
    <row r="1128" spans="1:103" s="2" customFormat="1" ht="14.45" hidden="1" customHeight="1" x14ac:dyDescent="0.25">
      <c r="A1128" s="31" t="s">
        <v>2102</v>
      </c>
      <c r="B1128" s="226" t="s">
        <v>2015</v>
      </c>
      <c r="C1128" s="106" t="s">
        <v>2015</v>
      </c>
      <c r="D1128" s="116" t="s">
        <v>2250</v>
      </c>
      <c r="E1128" s="106" t="s">
        <v>1706</v>
      </c>
      <c r="F1128" s="106" t="s">
        <v>1707</v>
      </c>
      <c r="G1128" s="109">
        <v>1320</v>
      </c>
      <c r="H1128" s="109">
        <f t="shared" si="603"/>
        <v>26</v>
      </c>
      <c r="I1128" s="106" t="s">
        <v>2098</v>
      </c>
      <c r="J1128" s="106" t="s">
        <v>125</v>
      </c>
      <c r="K1128" s="106">
        <v>0</v>
      </c>
      <c r="L1128" s="110">
        <v>7</v>
      </c>
      <c r="M1128" s="110">
        <v>7</v>
      </c>
      <c r="N1128" s="110">
        <v>7</v>
      </c>
      <c r="O1128" s="110">
        <v>6</v>
      </c>
      <c r="P1128" s="110">
        <v>9</v>
      </c>
      <c r="Q1128" s="110">
        <v>9</v>
      </c>
      <c r="R1128" s="110">
        <v>8</v>
      </c>
      <c r="S1128" s="110">
        <v>7</v>
      </c>
      <c r="T1128" s="110">
        <v>7</v>
      </c>
      <c r="U1128" s="110">
        <v>7</v>
      </c>
      <c r="V1128" s="110"/>
      <c r="W1128" s="110"/>
      <c r="X1128" s="110"/>
      <c r="Y1128" s="106">
        <v>50</v>
      </c>
      <c r="Z1128" s="106">
        <f t="shared" si="604"/>
        <v>0</v>
      </c>
      <c r="AA1128" s="106" t="s">
        <v>2015</v>
      </c>
      <c r="AB1128" s="111">
        <f t="shared" si="576"/>
        <v>1</v>
      </c>
      <c r="AC1128" s="85" t="s">
        <v>2425</v>
      </c>
      <c r="AD1128" s="107">
        <f t="shared" si="594"/>
        <v>6250</v>
      </c>
      <c r="AE1128" s="198"/>
      <c r="AF1128" s="113">
        <f t="shared" si="586"/>
        <v>0</v>
      </c>
      <c r="AG1128" s="85">
        <v>2026</v>
      </c>
      <c r="AH1128" s="26" t="str">
        <f t="shared" si="593"/>
        <v/>
      </c>
      <c r="AI1128" s="26" t="str">
        <f t="shared" si="597"/>
        <v/>
      </c>
      <c r="AJ1128" s="26" t="str">
        <f t="shared" si="605"/>
        <v/>
      </c>
      <c r="AK1128" s="26" t="str">
        <f t="shared" ref="AK1128:AM1147" si="608">IF($AG1128=AK$1,VLOOKUP($AC1128,RSL,3,FALSE),"")</f>
        <v/>
      </c>
      <c r="AL1128" s="26" t="str">
        <f t="shared" si="608"/>
        <v>Liquid Road</v>
      </c>
      <c r="AM1128" s="26" t="str">
        <f t="shared" si="608"/>
        <v/>
      </c>
      <c r="AN1128" s="26" t="str">
        <f t="shared" si="596"/>
        <v>Liquid Road</v>
      </c>
      <c r="AO1128" s="26" t="str">
        <f t="shared" si="606"/>
        <v/>
      </c>
      <c r="AP1128" s="26" t="str">
        <f t="shared" si="602"/>
        <v/>
      </c>
      <c r="AQ1128" s="68">
        <f t="shared" si="599"/>
        <v>8</v>
      </c>
      <c r="AR1128" s="68">
        <f t="shared" si="600"/>
        <v>10</v>
      </c>
      <c r="AS1128" s="68">
        <f t="shared" si="587"/>
        <v>1.05</v>
      </c>
      <c r="AT1128" s="68">
        <f t="shared" si="588"/>
        <v>1.05</v>
      </c>
      <c r="AU1128" s="68">
        <f t="shared" si="589"/>
        <v>1.05</v>
      </c>
      <c r="AV1128" s="68">
        <f t="shared" si="590"/>
        <v>1.1000000000000001</v>
      </c>
      <c r="AW1128" s="68">
        <f t="shared" si="591"/>
        <v>1</v>
      </c>
      <c r="AX1128" s="68">
        <f t="shared" ca="1" si="601"/>
        <v>2.1</v>
      </c>
      <c r="AY1128" s="106">
        <v>2017</v>
      </c>
      <c r="AZ1128" s="68" t="s">
        <v>2371</v>
      </c>
      <c r="BA1128" s="106" t="str">
        <f t="shared" si="607"/>
        <v/>
      </c>
      <c r="BB1128" s="178"/>
      <c r="BC1128" s="177"/>
      <c r="BD1128" s="177"/>
      <c r="BE1128" s="177"/>
      <c r="BF1128" s="177">
        <v>3</v>
      </c>
      <c r="BG1128" s="177"/>
      <c r="BH1128" s="177"/>
      <c r="BI1128" s="33"/>
      <c r="BK1128" s="48">
        <f>$G1128/5280*VLOOKUP($AC1128,'Cost and Score'!$B$27:$O$40,6,0)</f>
        <v>0.25</v>
      </c>
      <c r="BL1128" s="48">
        <f>$G1128/5280*VLOOKUP($AC1128,'Cost and Score'!$B$27:$O$40,7,0)</f>
        <v>4</v>
      </c>
      <c r="BM1128" s="48">
        <f>$G1128/5280*VLOOKUP($AC1128,'Cost and Score'!$B$27:$O$40,8,0)</f>
        <v>0</v>
      </c>
      <c r="BN1128" s="48">
        <f>$G1128/5280*VLOOKUP($AC1128,'Cost and Score'!$B$27:$O$40,9,0)</f>
        <v>0</v>
      </c>
      <c r="BO1128" s="48">
        <f>$G1128/5280*VLOOKUP($AC1128,'Cost and Score'!$B$27:$O$40,10,0)</f>
        <v>0</v>
      </c>
      <c r="BP1128" s="48">
        <f>$G1128/5280*VLOOKUP($AC1128,'Cost and Score'!$B$27:$O$40,11,0)</f>
        <v>0</v>
      </c>
      <c r="BQ1128" s="48">
        <f>$G1128/5280*VLOOKUP($AC1128,'Cost and Score'!$B$27:$O$40,12,0)</f>
        <v>0</v>
      </c>
      <c r="BR1128" s="48">
        <f>$G1128/5280*VLOOKUP($AC1128,'Cost and Score'!$B$27:$O$40,13,0)</f>
        <v>0</v>
      </c>
      <c r="BS1128" s="48">
        <f>$G1128/5280*VLOOKUP($AC1128,'Cost and Score'!$B$27:$O$40,14,0)</f>
        <v>0</v>
      </c>
      <c r="BT1128" s="220">
        <f t="shared" si="582"/>
        <v>0.25</v>
      </c>
      <c r="CN1128" s="112"/>
      <c r="CO1128" s="112"/>
      <c r="CP1128" s="112"/>
      <c r="CQ1128" s="112"/>
      <c r="CR1128" s="112"/>
      <c r="CS1128" s="112"/>
      <c r="CT1128" s="112"/>
      <c r="CU1128" s="112"/>
      <c r="CV1128" s="112"/>
    </row>
    <row r="1129" spans="1:103" s="112" customFormat="1" ht="14.45" hidden="1" customHeight="1" x14ac:dyDescent="0.25">
      <c r="A1129" s="31" t="s">
        <v>2102</v>
      </c>
      <c r="B1129" s="45" t="s">
        <v>2016</v>
      </c>
      <c r="C1129" s="26" t="s">
        <v>2016</v>
      </c>
      <c r="D1129" s="36" t="s">
        <v>2231</v>
      </c>
      <c r="E1129" s="26" t="s">
        <v>1458</v>
      </c>
      <c r="F1129" s="26" t="s">
        <v>1459</v>
      </c>
      <c r="G1129" s="29">
        <v>438</v>
      </c>
      <c r="H1129" s="29">
        <f t="shared" si="603"/>
        <v>26</v>
      </c>
      <c r="I1129" s="26" t="s">
        <v>2098</v>
      </c>
      <c r="J1129" s="26" t="s">
        <v>160</v>
      </c>
      <c r="K1129" s="26">
        <f>VLOOKUP(J1129,TOWNSHIPS,2,FALSE)</f>
        <v>0</v>
      </c>
      <c r="L1129" s="42">
        <v>7</v>
      </c>
      <c r="M1129" s="42">
        <v>8</v>
      </c>
      <c r="N1129" s="42">
        <v>8</v>
      </c>
      <c r="O1129" s="42">
        <v>8</v>
      </c>
      <c r="P1129" s="42">
        <v>8</v>
      </c>
      <c r="Q1129" s="42">
        <v>8</v>
      </c>
      <c r="R1129" s="42">
        <v>7</v>
      </c>
      <c r="S1129" s="42">
        <v>7</v>
      </c>
      <c r="T1129" s="42">
        <v>7</v>
      </c>
      <c r="U1129" s="42">
        <v>7</v>
      </c>
      <c r="V1129" s="42"/>
      <c r="W1129" s="42"/>
      <c r="X1129" s="42"/>
      <c r="Y1129" s="26">
        <v>433</v>
      </c>
      <c r="Z1129" s="26">
        <f t="shared" si="604"/>
        <v>0</v>
      </c>
      <c r="AA1129" s="26" t="s">
        <v>2016</v>
      </c>
      <c r="AB1129" s="111">
        <f t="shared" si="576"/>
        <v>2</v>
      </c>
      <c r="AC1129" s="26" t="s">
        <v>2086</v>
      </c>
      <c r="AD1129" s="47">
        <f t="shared" si="594"/>
        <v>207.38636363636363</v>
      </c>
      <c r="AE1129" s="198"/>
      <c r="AF1129" s="113">
        <f t="shared" si="586"/>
        <v>0</v>
      </c>
      <c r="AG1129" s="26">
        <v>2024</v>
      </c>
      <c r="AH1129" s="26" t="str">
        <f t="shared" si="593"/>
        <v/>
      </c>
      <c r="AI1129" s="26" t="str">
        <f t="shared" si="597"/>
        <v/>
      </c>
      <c r="AJ1129" s="26" t="str">
        <f t="shared" si="605"/>
        <v>Fog Seal</v>
      </c>
      <c r="AK1129" s="26" t="str">
        <f t="shared" si="608"/>
        <v/>
      </c>
      <c r="AL1129" s="26" t="str">
        <f t="shared" si="608"/>
        <v/>
      </c>
      <c r="AM1129" s="26" t="str">
        <f t="shared" si="608"/>
        <v/>
      </c>
      <c r="AN1129" s="26" t="str">
        <f t="shared" si="596"/>
        <v>Fog Seal</v>
      </c>
      <c r="AO1129" s="26" t="str">
        <f t="shared" si="606"/>
        <v/>
      </c>
      <c r="AP1129" s="26" t="str">
        <f t="shared" si="602"/>
        <v/>
      </c>
      <c r="AQ1129" s="68">
        <f t="shared" si="599"/>
        <v>12</v>
      </c>
      <c r="AR1129" s="68">
        <f t="shared" si="600"/>
        <v>2</v>
      </c>
      <c r="AS1129" s="68">
        <f t="shared" si="587"/>
        <v>1.05</v>
      </c>
      <c r="AT1129" s="68">
        <f t="shared" si="588"/>
        <v>1</v>
      </c>
      <c r="AU1129" s="68">
        <f t="shared" si="589"/>
        <v>1</v>
      </c>
      <c r="AV1129" s="68">
        <f t="shared" si="590"/>
        <v>1</v>
      </c>
      <c r="AW1129" s="68">
        <f t="shared" si="591"/>
        <v>1</v>
      </c>
      <c r="AX1129" s="68">
        <f t="shared" ca="1" si="601"/>
        <v>0</v>
      </c>
      <c r="AY1129" s="68">
        <v>2018</v>
      </c>
      <c r="AZ1129" s="68" t="s">
        <v>2425</v>
      </c>
      <c r="BA1129" s="106" t="str">
        <f t="shared" si="607"/>
        <v>MICROSEAL</v>
      </c>
      <c r="BB1129" s="178"/>
      <c r="BC1129" s="177"/>
      <c r="BD1129" s="177"/>
      <c r="BE1129" s="177"/>
      <c r="BF1129" s="177"/>
      <c r="BG1129" s="177"/>
      <c r="BH1129" s="177"/>
      <c r="BI1129" s="33"/>
      <c r="BJ1129" s="2"/>
      <c r="BK1129" s="48">
        <f>$G1129/5280*VLOOKUP($AC1129,'Cost and Score'!$B$27:$O$40,6,0)</f>
        <v>8.2954545454545468E-3</v>
      </c>
      <c r="BL1129" s="48">
        <f>$G1129/5280*VLOOKUP($AC1129,'Cost and Score'!$B$27:$O$40,7,0)</f>
        <v>1.6590909090909094E-2</v>
      </c>
      <c r="BM1129" s="48">
        <f>$G1129/5280*VLOOKUP($AC1129,'Cost and Score'!$B$27:$O$40,8,0)</f>
        <v>0</v>
      </c>
      <c r="BN1129" s="48">
        <f>$G1129/5280*VLOOKUP($AC1129,'Cost and Score'!$B$27:$O$40,9,0)</f>
        <v>0</v>
      </c>
      <c r="BO1129" s="48">
        <f>$G1129/5280*VLOOKUP($AC1129,'Cost and Score'!$B$27:$O$40,10,0)</f>
        <v>82.954545454545467</v>
      </c>
      <c r="BP1129" s="48">
        <f>$G1129/5280*VLOOKUP($AC1129,'Cost and Score'!$B$27:$O$40,11,0)</f>
        <v>0</v>
      </c>
      <c r="BQ1129" s="48">
        <f>$G1129/5280*VLOOKUP($AC1129,'Cost and Score'!$B$27:$O$40,12,0)</f>
        <v>0</v>
      </c>
      <c r="BR1129" s="48">
        <f>$G1129/5280*VLOOKUP($AC1129,'Cost and Score'!$B$27:$O$40,13,0)</f>
        <v>0</v>
      </c>
      <c r="BS1129" s="48">
        <f>$G1129/5280*VLOOKUP($AC1129,'Cost and Score'!$B$27:$O$40,14,0)</f>
        <v>0</v>
      </c>
      <c r="BT1129" s="220">
        <f t="shared" si="582"/>
        <v>8.2954545454545461E-2</v>
      </c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N1129" s="2"/>
      <c r="CO1129" s="2"/>
      <c r="CP1129" s="2"/>
      <c r="CQ1129" s="2"/>
      <c r="CS1129" s="2"/>
      <c r="CT1129" s="2"/>
      <c r="CU1129" s="2"/>
      <c r="CV1129" s="2"/>
      <c r="CW1129" s="2"/>
      <c r="CX1129" s="2"/>
      <c r="CY1129" s="2"/>
    </row>
    <row r="1130" spans="1:103" s="2" customFormat="1" ht="14.45" hidden="1" customHeight="1" x14ac:dyDescent="0.25">
      <c r="A1130" s="31" t="s">
        <v>2102</v>
      </c>
      <c r="B1130" s="120" t="s">
        <v>2017</v>
      </c>
      <c r="C1130" s="106" t="s">
        <v>2017</v>
      </c>
      <c r="D1130" s="116" t="s">
        <v>2231</v>
      </c>
      <c r="E1130" s="106" t="s">
        <v>1458</v>
      </c>
      <c r="F1130" s="106" t="s">
        <v>1459</v>
      </c>
      <c r="G1130" s="109">
        <v>1320</v>
      </c>
      <c r="H1130" s="109">
        <f t="shared" si="603"/>
        <v>26</v>
      </c>
      <c r="I1130" s="106" t="s">
        <v>2098</v>
      </c>
      <c r="J1130" s="106" t="s">
        <v>160</v>
      </c>
      <c r="K1130" s="106">
        <f>VLOOKUP(J1130,TOWNSHIPS,2,FALSE)</f>
        <v>0</v>
      </c>
      <c r="L1130" s="110">
        <v>7</v>
      </c>
      <c r="M1130" s="110">
        <v>8</v>
      </c>
      <c r="N1130" s="110">
        <v>8</v>
      </c>
      <c r="O1130" s="110">
        <v>8</v>
      </c>
      <c r="P1130" s="110">
        <v>7</v>
      </c>
      <c r="Q1130" s="110">
        <v>7</v>
      </c>
      <c r="R1130" s="110">
        <v>7</v>
      </c>
      <c r="S1130" s="110">
        <v>7</v>
      </c>
      <c r="T1130" s="110">
        <v>7</v>
      </c>
      <c r="U1130" s="110">
        <v>7</v>
      </c>
      <c r="V1130" s="110"/>
      <c r="W1130" s="110"/>
      <c r="X1130" s="110"/>
      <c r="Y1130" s="106">
        <v>433</v>
      </c>
      <c r="Z1130" s="106">
        <f t="shared" si="604"/>
        <v>0</v>
      </c>
      <c r="AA1130" s="106" t="s">
        <v>2017</v>
      </c>
      <c r="AB1130" s="111">
        <f t="shared" si="576"/>
        <v>3</v>
      </c>
      <c r="AC1130" s="26" t="s">
        <v>2086</v>
      </c>
      <c r="AD1130" s="107">
        <f t="shared" si="594"/>
        <v>625</v>
      </c>
      <c r="AE1130" s="198"/>
      <c r="AF1130" s="113">
        <f t="shared" si="586"/>
        <v>0</v>
      </c>
      <c r="AG1130" s="26">
        <v>2024</v>
      </c>
      <c r="AH1130" s="26" t="str">
        <f t="shared" si="593"/>
        <v/>
      </c>
      <c r="AI1130" s="26" t="str">
        <f t="shared" si="597"/>
        <v/>
      </c>
      <c r="AJ1130" s="26" t="str">
        <f t="shared" si="605"/>
        <v>Fog Seal</v>
      </c>
      <c r="AK1130" s="26" t="str">
        <f t="shared" si="608"/>
        <v/>
      </c>
      <c r="AL1130" s="26" t="str">
        <f t="shared" si="608"/>
        <v/>
      </c>
      <c r="AM1130" s="26" t="str">
        <f t="shared" si="608"/>
        <v/>
      </c>
      <c r="AN1130" s="26" t="str">
        <f t="shared" si="596"/>
        <v>Fog Seal</v>
      </c>
      <c r="AO1130" s="26" t="str">
        <f t="shared" si="606"/>
        <v/>
      </c>
      <c r="AP1130" s="26" t="str">
        <f t="shared" si="602"/>
        <v/>
      </c>
      <c r="AQ1130" s="68">
        <f t="shared" si="599"/>
        <v>12</v>
      </c>
      <c r="AR1130" s="68">
        <f t="shared" si="600"/>
        <v>2</v>
      </c>
      <c r="AS1130" s="68">
        <f t="shared" si="587"/>
        <v>1.05</v>
      </c>
      <c r="AT1130" s="68">
        <f t="shared" si="588"/>
        <v>1</v>
      </c>
      <c r="AU1130" s="68">
        <f t="shared" si="589"/>
        <v>1</v>
      </c>
      <c r="AV1130" s="68">
        <f t="shared" si="590"/>
        <v>1</v>
      </c>
      <c r="AW1130" s="68">
        <f t="shared" si="591"/>
        <v>1.05</v>
      </c>
      <c r="AX1130" s="68">
        <f t="shared" ca="1" si="601"/>
        <v>0</v>
      </c>
      <c r="AY1130" s="106">
        <v>2018</v>
      </c>
      <c r="AZ1130" s="106" t="s">
        <v>2425</v>
      </c>
      <c r="BA1130" s="106" t="str">
        <f t="shared" si="607"/>
        <v>MICROSEAL</v>
      </c>
      <c r="BB1130" s="177"/>
      <c r="BC1130" s="177"/>
      <c r="BD1130" s="177"/>
      <c r="BE1130" s="177"/>
      <c r="BF1130" s="177"/>
      <c r="BG1130" s="177"/>
      <c r="BH1130" s="177"/>
      <c r="BI1130" s="33"/>
      <c r="BK1130" s="48">
        <f>$G1130/5280*VLOOKUP($AC1130,'Cost and Score'!$B$27:$O$40,6,0)</f>
        <v>2.5000000000000001E-2</v>
      </c>
      <c r="BL1130" s="48">
        <f>$G1130/5280*VLOOKUP($AC1130,'Cost and Score'!$B$27:$O$40,7,0)</f>
        <v>0.05</v>
      </c>
      <c r="BM1130" s="48">
        <f>$G1130/5280*VLOOKUP($AC1130,'Cost and Score'!$B$27:$O$40,8,0)</f>
        <v>0</v>
      </c>
      <c r="BN1130" s="48">
        <f>$G1130/5280*VLOOKUP($AC1130,'Cost and Score'!$B$27:$O$40,9,0)</f>
        <v>0</v>
      </c>
      <c r="BO1130" s="48">
        <f>$G1130/5280*VLOOKUP($AC1130,'Cost and Score'!$B$27:$O$40,10,0)</f>
        <v>250</v>
      </c>
      <c r="BP1130" s="48">
        <f>$G1130/5280*VLOOKUP($AC1130,'Cost and Score'!$B$27:$O$40,11,0)</f>
        <v>0</v>
      </c>
      <c r="BQ1130" s="48">
        <f>$G1130/5280*VLOOKUP($AC1130,'Cost and Score'!$B$27:$O$40,12,0)</f>
        <v>0</v>
      </c>
      <c r="BR1130" s="48">
        <f>$G1130/5280*VLOOKUP($AC1130,'Cost and Score'!$B$27:$O$40,13,0)</f>
        <v>0</v>
      </c>
      <c r="BS1130" s="48">
        <f>$G1130/5280*VLOOKUP($AC1130,'Cost and Score'!$B$27:$O$40,14,0)</f>
        <v>0</v>
      </c>
      <c r="BT1130" s="220">
        <f t="shared" si="582"/>
        <v>0.25</v>
      </c>
      <c r="CF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</row>
    <row r="1131" spans="1:103" s="112" customFormat="1" ht="14.45" hidden="1" customHeight="1" x14ac:dyDescent="0.25">
      <c r="A1131" s="31" t="s">
        <v>2102</v>
      </c>
      <c r="B1131" s="226" t="s">
        <v>2018</v>
      </c>
      <c r="C1131" s="106" t="s">
        <v>2018</v>
      </c>
      <c r="D1131" s="116" t="s">
        <v>2299</v>
      </c>
      <c r="E1131" s="106" t="s">
        <v>4</v>
      </c>
      <c r="F1131" s="106" t="s">
        <v>1405</v>
      </c>
      <c r="G1131" s="109">
        <v>528</v>
      </c>
      <c r="H1131" s="109">
        <f t="shared" si="603"/>
        <v>26</v>
      </c>
      <c r="I1131" s="106" t="s">
        <v>2098</v>
      </c>
      <c r="J1131" s="106" t="s">
        <v>101</v>
      </c>
      <c r="K1131" s="106">
        <v>0</v>
      </c>
      <c r="L1131" s="110">
        <v>7</v>
      </c>
      <c r="M1131" s="110">
        <v>8</v>
      </c>
      <c r="N1131" s="110">
        <v>8</v>
      </c>
      <c r="O1131" s="110">
        <v>8</v>
      </c>
      <c r="P1131" s="110">
        <v>8</v>
      </c>
      <c r="Q1131" s="110">
        <v>8</v>
      </c>
      <c r="R1131" s="83">
        <v>8</v>
      </c>
      <c r="S1131" s="83">
        <v>7</v>
      </c>
      <c r="T1131" s="83">
        <v>6</v>
      </c>
      <c r="U1131" s="83">
        <v>6</v>
      </c>
      <c r="V1131" s="110"/>
      <c r="W1131" s="110"/>
      <c r="X1131" s="110"/>
      <c r="Y1131" s="106">
        <v>50</v>
      </c>
      <c r="Z1131" s="106">
        <f t="shared" si="604"/>
        <v>0</v>
      </c>
      <c r="AA1131" s="106" t="s">
        <v>2018</v>
      </c>
      <c r="AB1131" s="111">
        <f t="shared" si="576"/>
        <v>2</v>
      </c>
      <c r="AC1131" s="85" t="s">
        <v>2371</v>
      </c>
      <c r="AD1131" s="107">
        <f t="shared" si="594"/>
        <v>8000</v>
      </c>
      <c r="AE1131" s="140">
        <v>1</v>
      </c>
      <c r="AF1131" s="113">
        <f t="shared" si="586"/>
        <v>8000</v>
      </c>
      <c r="AG1131" s="106">
        <v>2024</v>
      </c>
      <c r="AH1131" s="26" t="str">
        <f t="shared" si="593"/>
        <v/>
      </c>
      <c r="AI1131" s="26" t="str">
        <f t="shared" si="597"/>
        <v/>
      </c>
      <c r="AJ1131" s="26" t="str">
        <f t="shared" si="605"/>
        <v>Microsurface double</v>
      </c>
      <c r="AK1131" s="26" t="str">
        <f t="shared" si="608"/>
        <v/>
      </c>
      <c r="AL1131" s="26" t="str">
        <f t="shared" si="608"/>
        <v/>
      </c>
      <c r="AM1131" s="26" t="str">
        <f t="shared" si="608"/>
        <v/>
      </c>
      <c r="AN1131" s="26" t="str">
        <f t="shared" si="596"/>
        <v>Microsurface double</v>
      </c>
      <c r="AO1131" s="26" t="str">
        <f t="shared" si="606"/>
        <v/>
      </c>
      <c r="AP1131" s="26" t="str">
        <f t="shared" si="602"/>
        <v/>
      </c>
      <c r="AQ1131" s="68">
        <f t="shared" si="599"/>
        <v>12</v>
      </c>
      <c r="AR1131" s="68">
        <f t="shared" si="600"/>
        <v>10</v>
      </c>
      <c r="AS1131" s="68">
        <f t="shared" si="587"/>
        <v>1.05</v>
      </c>
      <c r="AT1131" s="68">
        <f t="shared" si="588"/>
        <v>1</v>
      </c>
      <c r="AU1131" s="68">
        <f t="shared" si="589"/>
        <v>1</v>
      </c>
      <c r="AV1131" s="68">
        <f t="shared" si="590"/>
        <v>1</v>
      </c>
      <c r="AW1131" s="68">
        <f t="shared" si="591"/>
        <v>1</v>
      </c>
      <c r="AX1131" s="68">
        <f t="shared" ca="1" si="601"/>
        <v>0</v>
      </c>
      <c r="AY1131" s="106">
        <v>2017</v>
      </c>
      <c r="AZ1131" s="68" t="s">
        <v>2425</v>
      </c>
      <c r="BA1131" s="106" t="str">
        <f t="shared" si="607"/>
        <v/>
      </c>
      <c r="BB1131" s="178"/>
      <c r="BC1131" s="177"/>
      <c r="BD1131" s="177"/>
      <c r="BE1131" s="177"/>
      <c r="BF1131" s="177"/>
      <c r="BG1131" s="177"/>
      <c r="BH1131" s="177">
        <v>5</v>
      </c>
      <c r="BI1131" s="33" t="s">
        <v>2623</v>
      </c>
      <c r="BJ1131" s="2"/>
      <c r="BK1131" s="48">
        <f>$G1131/5280*VLOOKUP($AC1131,'Cost and Score'!$B$27:$O$40,6,0)</f>
        <v>0.05</v>
      </c>
      <c r="BL1131" s="48">
        <f>$G1131/5280*VLOOKUP($AC1131,'Cost and Score'!$B$27:$O$40,7,0)</f>
        <v>0</v>
      </c>
      <c r="BM1131" s="48">
        <f>$G1131/5280*VLOOKUP($AC1131,'Cost and Score'!$B$27:$O$40,8,0)</f>
        <v>0</v>
      </c>
      <c r="BN1131" s="48">
        <f>$G1131/5280*VLOOKUP($AC1131,'Cost and Score'!$B$27:$O$40,9,0)</f>
        <v>0</v>
      </c>
      <c r="BO1131" s="48">
        <f>$G1131/5280*VLOOKUP($AC1131,'Cost and Score'!$B$27:$O$40,10,0)</f>
        <v>0</v>
      </c>
      <c r="BP1131" s="48">
        <f>$G1131/5280*VLOOKUP($AC1131,'Cost and Score'!$B$27:$O$40,11,0)</f>
        <v>0</v>
      </c>
      <c r="BQ1131" s="48">
        <f>$G1131/5280*VLOOKUP($AC1131,'Cost and Score'!$B$27:$O$40,12,0)</f>
        <v>0</v>
      </c>
      <c r="BR1131" s="48">
        <f>$G1131/5280*VLOOKUP($AC1131,'Cost and Score'!$B$27:$O$40,13,0)</f>
        <v>0</v>
      </c>
      <c r="BS1131" s="48">
        <f>$G1131/5280*VLOOKUP($AC1131,'Cost and Score'!$B$27:$O$40,14,0)</f>
        <v>0</v>
      </c>
      <c r="BT1131" s="220">
        <f t="shared" si="582"/>
        <v>0.1</v>
      </c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N1131" s="2"/>
      <c r="CO1131" s="2"/>
      <c r="CP1131" s="2"/>
      <c r="CQ1131" s="2"/>
      <c r="CR1131" s="115"/>
      <c r="CV1131" s="2"/>
      <c r="CW1131" s="2"/>
      <c r="CX1131" s="2"/>
      <c r="CY1131" s="2"/>
    </row>
    <row r="1132" spans="1:103" s="112" customFormat="1" ht="14.45" hidden="1" customHeight="1" x14ac:dyDescent="0.25">
      <c r="A1132" s="31" t="s">
        <v>2102</v>
      </c>
      <c r="B1132" s="226" t="s">
        <v>2019</v>
      </c>
      <c r="C1132" s="106" t="s">
        <v>2019</v>
      </c>
      <c r="D1132" s="116" t="s">
        <v>2275</v>
      </c>
      <c r="E1132" s="106" t="s">
        <v>1469</v>
      </c>
      <c r="F1132" s="106" t="s">
        <v>1706</v>
      </c>
      <c r="G1132" s="109">
        <v>475</v>
      </c>
      <c r="H1132" s="109">
        <f t="shared" si="603"/>
        <v>26</v>
      </c>
      <c r="I1132" s="106" t="s">
        <v>2098</v>
      </c>
      <c r="J1132" s="106" t="s">
        <v>101</v>
      </c>
      <c r="K1132" s="106">
        <v>0</v>
      </c>
      <c r="L1132" s="110">
        <v>7</v>
      </c>
      <c r="M1132" s="110">
        <v>7</v>
      </c>
      <c r="N1132" s="110">
        <v>7</v>
      </c>
      <c r="O1132" s="110">
        <v>6</v>
      </c>
      <c r="P1132" s="110">
        <v>9</v>
      </c>
      <c r="Q1132" s="110">
        <v>9</v>
      </c>
      <c r="R1132" s="110">
        <v>8</v>
      </c>
      <c r="S1132" s="110">
        <v>8</v>
      </c>
      <c r="T1132" s="110">
        <v>8</v>
      </c>
      <c r="U1132" s="110">
        <v>8</v>
      </c>
      <c r="V1132" s="110"/>
      <c r="W1132" s="110"/>
      <c r="X1132" s="110"/>
      <c r="Y1132" s="106">
        <v>50</v>
      </c>
      <c r="Z1132" s="106">
        <f t="shared" si="604"/>
        <v>0</v>
      </c>
      <c r="AA1132" s="106" t="s">
        <v>2019</v>
      </c>
      <c r="AB1132" s="111">
        <f t="shared" si="576"/>
        <v>1</v>
      </c>
      <c r="AC1132" s="85" t="s">
        <v>2425</v>
      </c>
      <c r="AD1132" s="107">
        <f t="shared" si="594"/>
        <v>2249.0530303030305</v>
      </c>
      <c r="AE1132" s="198"/>
      <c r="AF1132" s="113">
        <f t="shared" si="586"/>
        <v>0</v>
      </c>
      <c r="AG1132" s="85">
        <v>2026</v>
      </c>
      <c r="AH1132" s="26" t="str">
        <f t="shared" si="593"/>
        <v/>
      </c>
      <c r="AI1132" s="26" t="str">
        <f t="shared" si="597"/>
        <v/>
      </c>
      <c r="AJ1132" s="26" t="str">
        <f t="shared" si="605"/>
        <v/>
      </c>
      <c r="AK1132" s="26" t="str">
        <f t="shared" si="608"/>
        <v/>
      </c>
      <c r="AL1132" s="26" t="str">
        <f t="shared" si="608"/>
        <v>Liquid Road</v>
      </c>
      <c r="AM1132" s="26" t="str">
        <f t="shared" si="608"/>
        <v/>
      </c>
      <c r="AN1132" s="26" t="str">
        <f t="shared" si="596"/>
        <v>Liquid Road</v>
      </c>
      <c r="AO1132" s="26" t="str">
        <f t="shared" si="606"/>
        <v/>
      </c>
      <c r="AP1132" s="26" t="str">
        <f t="shared" si="602"/>
        <v/>
      </c>
      <c r="AQ1132" s="68">
        <f t="shared" si="599"/>
        <v>8</v>
      </c>
      <c r="AR1132" s="68">
        <f t="shared" si="600"/>
        <v>10</v>
      </c>
      <c r="AS1132" s="68">
        <f t="shared" si="587"/>
        <v>1.05</v>
      </c>
      <c r="AT1132" s="68">
        <f t="shared" si="588"/>
        <v>1.05</v>
      </c>
      <c r="AU1132" s="68">
        <f t="shared" si="589"/>
        <v>1.05</v>
      </c>
      <c r="AV1132" s="68">
        <f t="shared" si="590"/>
        <v>1.1000000000000001</v>
      </c>
      <c r="AW1132" s="68">
        <f t="shared" si="591"/>
        <v>1</v>
      </c>
      <c r="AX1132" s="68">
        <f t="shared" ca="1" si="601"/>
        <v>2.1</v>
      </c>
      <c r="AY1132" s="106">
        <v>2017</v>
      </c>
      <c r="AZ1132" s="106" t="s">
        <v>751</v>
      </c>
      <c r="BA1132" s="106" t="str">
        <f t="shared" si="607"/>
        <v/>
      </c>
      <c r="BB1132" s="177"/>
      <c r="BC1132" s="177"/>
      <c r="BD1132" s="177"/>
      <c r="BE1132" s="177"/>
      <c r="BF1132" s="177"/>
      <c r="BG1132" s="177">
        <v>4</v>
      </c>
      <c r="BH1132" s="177"/>
      <c r="BI1132" s="33"/>
      <c r="BJ1132" s="2"/>
      <c r="BK1132" s="48">
        <f>$G1132/5280*VLOOKUP($AC1132,'Cost and Score'!$B$27:$O$40,6,0)</f>
        <v>8.9962121212121215E-2</v>
      </c>
      <c r="BL1132" s="48">
        <f>$G1132/5280*VLOOKUP($AC1132,'Cost and Score'!$B$27:$O$40,7,0)</f>
        <v>1.4393939393939394</v>
      </c>
      <c r="BM1132" s="48">
        <f>$G1132/5280*VLOOKUP($AC1132,'Cost and Score'!$B$27:$O$40,8,0)</f>
        <v>0</v>
      </c>
      <c r="BN1132" s="48">
        <f>$G1132/5280*VLOOKUP($AC1132,'Cost and Score'!$B$27:$O$40,9,0)</f>
        <v>0</v>
      </c>
      <c r="BO1132" s="48">
        <f>$G1132/5280*VLOOKUP($AC1132,'Cost and Score'!$B$27:$O$40,10,0)</f>
        <v>0</v>
      </c>
      <c r="BP1132" s="48">
        <f>$G1132/5280*VLOOKUP($AC1132,'Cost and Score'!$B$27:$O$40,11,0)</f>
        <v>0</v>
      </c>
      <c r="BQ1132" s="48">
        <f>$G1132/5280*VLOOKUP($AC1132,'Cost and Score'!$B$27:$O$40,12,0)</f>
        <v>0</v>
      </c>
      <c r="BR1132" s="48">
        <f>$G1132/5280*VLOOKUP($AC1132,'Cost and Score'!$B$27:$O$40,13,0)</f>
        <v>0</v>
      </c>
      <c r="BS1132" s="48">
        <f>$G1132/5280*VLOOKUP($AC1132,'Cost and Score'!$B$27:$O$40,14,0)</f>
        <v>0</v>
      </c>
      <c r="BT1132" s="220">
        <f t="shared" si="582"/>
        <v>8.9962121212121215E-2</v>
      </c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W1132" s="2"/>
      <c r="CX1132" s="2"/>
      <c r="CY1132" s="2"/>
    </row>
    <row r="1133" spans="1:103" s="112" customFormat="1" ht="14.45" hidden="1" customHeight="1" x14ac:dyDescent="0.25">
      <c r="A1133" s="31" t="s">
        <v>2102</v>
      </c>
      <c r="B1133" s="226" t="s">
        <v>2020</v>
      </c>
      <c r="C1133" s="106" t="s">
        <v>2020</v>
      </c>
      <c r="D1133" s="116" t="s">
        <v>2275</v>
      </c>
      <c r="E1133" s="106" t="s">
        <v>1469</v>
      </c>
      <c r="F1133" s="106" t="s">
        <v>1706</v>
      </c>
      <c r="G1133" s="109">
        <v>1003</v>
      </c>
      <c r="H1133" s="109">
        <f t="shared" si="603"/>
        <v>26</v>
      </c>
      <c r="I1133" s="106" t="s">
        <v>2098</v>
      </c>
      <c r="J1133" s="106" t="s">
        <v>101</v>
      </c>
      <c r="K1133" s="106">
        <v>0</v>
      </c>
      <c r="L1133" s="110">
        <v>6</v>
      </c>
      <c r="M1133" s="110">
        <v>5</v>
      </c>
      <c r="N1133" s="110">
        <v>4</v>
      </c>
      <c r="O1133" s="110">
        <v>4</v>
      </c>
      <c r="P1133" s="110">
        <v>9</v>
      </c>
      <c r="Q1133" s="110">
        <v>9</v>
      </c>
      <c r="R1133" s="110">
        <v>8</v>
      </c>
      <c r="S1133" s="110">
        <v>8</v>
      </c>
      <c r="T1133" s="110">
        <v>8</v>
      </c>
      <c r="U1133" s="110">
        <v>8</v>
      </c>
      <c r="V1133" s="110"/>
      <c r="W1133" s="110"/>
      <c r="X1133" s="110"/>
      <c r="Y1133" s="106">
        <v>50</v>
      </c>
      <c r="Z1133" s="106">
        <f t="shared" si="604"/>
        <v>0</v>
      </c>
      <c r="AA1133" s="106" t="s">
        <v>2020</v>
      </c>
      <c r="AB1133" s="111">
        <f t="shared" si="576"/>
        <v>1</v>
      </c>
      <c r="AC1133" s="85" t="s">
        <v>2425</v>
      </c>
      <c r="AD1133" s="107">
        <f t="shared" si="594"/>
        <v>4749.05303030303</v>
      </c>
      <c r="AE1133" s="198"/>
      <c r="AF1133" s="113">
        <f t="shared" si="586"/>
        <v>0</v>
      </c>
      <c r="AG1133" s="85">
        <v>2026</v>
      </c>
      <c r="AH1133" s="26" t="str">
        <f t="shared" si="593"/>
        <v/>
      </c>
      <c r="AI1133" s="26" t="str">
        <f t="shared" si="597"/>
        <v/>
      </c>
      <c r="AJ1133" s="26" t="str">
        <f t="shared" si="605"/>
        <v/>
      </c>
      <c r="AK1133" s="26" t="str">
        <f t="shared" si="608"/>
        <v/>
      </c>
      <c r="AL1133" s="26" t="str">
        <f t="shared" si="608"/>
        <v>Liquid Road</v>
      </c>
      <c r="AM1133" s="26" t="str">
        <f t="shared" si="608"/>
        <v/>
      </c>
      <c r="AN1133" s="26" t="str">
        <f t="shared" si="596"/>
        <v>Liquid Road</v>
      </c>
      <c r="AO1133" s="26" t="str">
        <f t="shared" si="606"/>
        <v/>
      </c>
      <c r="AP1133" s="26" t="str">
        <f t="shared" si="602"/>
        <v/>
      </c>
      <c r="AQ1133" s="68">
        <f t="shared" si="599"/>
        <v>3</v>
      </c>
      <c r="AR1133" s="68">
        <f t="shared" si="600"/>
        <v>10</v>
      </c>
      <c r="AS1133" s="68">
        <f t="shared" si="587"/>
        <v>1.1000000000000001</v>
      </c>
      <c r="AT1133" s="68">
        <f t="shared" si="588"/>
        <v>1.25</v>
      </c>
      <c r="AU1133" s="68">
        <f t="shared" si="589"/>
        <v>1.5</v>
      </c>
      <c r="AV1133" s="68">
        <f t="shared" si="590"/>
        <v>1.5</v>
      </c>
      <c r="AW1133" s="68">
        <f t="shared" si="591"/>
        <v>1</v>
      </c>
      <c r="AX1133" s="68">
        <f t="shared" ca="1" si="601"/>
        <v>3</v>
      </c>
      <c r="AY1133" s="106">
        <v>2017</v>
      </c>
      <c r="AZ1133" s="106" t="s">
        <v>751</v>
      </c>
      <c r="BA1133" s="106" t="str">
        <f t="shared" si="607"/>
        <v/>
      </c>
      <c r="BB1133" s="177"/>
      <c r="BC1133" s="177"/>
      <c r="BD1133" s="177"/>
      <c r="BE1133" s="177"/>
      <c r="BF1133" s="177"/>
      <c r="BG1133" s="177">
        <v>4</v>
      </c>
      <c r="BH1133" s="177"/>
      <c r="BI1133" s="33"/>
      <c r="BJ1133" s="2"/>
      <c r="BK1133" s="48">
        <f>$G1133/5280*VLOOKUP($AC1133,'Cost and Score'!$B$27:$O$40,6,0)</f>
        <v>0.18996212121212122</v>
      </c>
      <c r="BL1133" s="48">
        <f>$G1133/5280*VLOOKUP($AC1133,'Cost and Score'!$B$27:$O$40,7,0)</f>
        <v>3.0393939393939395</v>
      </c>
      <c r="BM1133" s="48">
        <f>$G1133/5280*VLOOKUP($AC1133,'Cost and Score'!$B$27:$O$40,8,0)</f>
        <v>0</v>
      </c>
      <c r="BN1133" s="48">
        <f>$G1133/5280*VLOOKUP($AC1133,'Cost and Score'!$B$27:$O$40,9,0)</f>
        <v>0</v>
      </c>
      <c r="BO1133" s="48">
        <f>$G1133/5280*VLOOKUP($AC1133,'Cost and Score'!$B$27:$O$40,10,0)</f>
        <v>0</v>
      </c>
      <c r="BP1133" s="48">
        <f>$G1133/5280*VLOOKUP($AC1133,'Cost and Score'!$B$27:$O$40,11,0)</f>
        <v>0</v>
      </c>
      <c r="BQ1133" s="48">
        <f>$G1133/5280*VLOOKUP($AC1133,'Cost and Score'!$B$27:$O$40,12,0)</f>
        <v>0</v>
      </c>
      <c r="BR1133" s="48">
        <f>$G1133/5280*VLOOKUP($AC1133,'Cost and Score'!$B$27:$O$40,13,0)</f>
        <v>0</v>
      </c>
      <c r="BS1133" s="48">
        <f>$G1133/5280*VLOOKUP($AC1133,'Cost and Score'!$B$27:$O$40,14,0)</f>
        <v>0</v>
      </c>
      <c r="BT1133" s="220">
        <f t="shared" si="582"/>
        <v>0.18996212121212122</v>
      </c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R1133" s="2"/>
      <c r="CS1133" s="115"/>
      <c r="CT1133" s="115"/>
      <c r="CU1133" s="115"/>
      <c r="CW1133" s="2"/>
      <c r="CX1133" s="2"/>
      <c r="CY1133" s="2"/>
    </row>
    <row r="1134" spans="1:103" s="115" customFormat="1" ht="14.45" hidden="1" customHeight="1" x14ac:dyDescent="0.25">
      <c r="A1134" s="31" t="s">
        <v>2102</v>
      </c>
      <c r="B1134" s="226" t="s">
        <v>2021</v>
      </c>
      <c r="C1134" s="106" t="s">
        <v>2021</v>
      </c>
      <c r="D1134" s="116" t="s">
        <v>2223</v>
      </c>
      <c r="E1134" s="106" t="s">
        <v>1451</v>
      </c>
      <c r="F1134" s="106" t="s">
        <v>1502</v>
      </c>
      <c r="G1134" s="109">
        <v>1109</v>
      </c>
      <c r="H1134" s="109">
        <f t="shared" si="603"/>
        <v>26</v>
      </c>
      <c r="I1134" s="106" t="s">
        <v>2098</v>
      </c>
      <c r="J1134" s="106" t="s">
        <v>160</v>
      </c>
      <c r="K1134" s="106">
        <f t="shared" ref="K1134:K1144" si="609">VLOOKUP(J1134,TOWNSHIPS,2,FALSE)</f>
        <v>0</v>
      </c>
      <c r="L1134" s="110">
        <v>7</v>
      </c>
      <c r="M1134" s="110">
        <v>7</v>
      </c>
      <c r="N1134" s="110">
        <v>7</v>
      </c>
      <c r="O1134" s="110">
        <v>7</v>
      </c>
      <c r="P1134" s="110">
        <v>8</v>
      </c>
      <c r="Q1134" s="110">
        <v>8</v>
      </c>
      <c r="R1134" s="110">
        <v>8</v>
      </c>
      <c r="S1134" s="110">
        <v>8</v>
      </c>
      <c r="T1134" s="110">
        <v>7</v>
      </c>
      <c r="U1134" s="110">
        <v>7</v>
      </c>
      <c r="V1134" s="110"/>
      <c r="W1134" s="110"/>
      <c r="X1134" s="110"/>
      <c r="Y1134" s="106">
        <v>232</v>
      </c>
      <c r="Z1134" s="106">
        <f t="shared" si="604"/>
        <v>0</v>
      </c>
      <c r="AA1134" s="106" t="s">
        <v>2021</v>
      </c>
      <c r="AB1134" s="111">
        <f t="shared" si="576"/>
        <v>2</v>
      </c>
      <c r="AC1134" s="85" t="s">
        <v>2425</v>
      </c>
      <c r="AD1134" s="107">
        <f t="shared" ref="AD1134:AD1165" si="610">VLOOKUP(AC1134,Cost,2,FALSE)*G1134/5280</f>
        <v>5250.94696969697</v>
      </c>
      <c r="AE1134" s="198"/>
      <c r="AF1134" s="113">
        <f t="shared" si="586"/>
        <v>0</v>
      </c>
      <c r="AG1134" s="85">
        <v>2026</v>
      </c>
      <c r="AH1134" s="26" t="str">
        <f t="shared" si="593"/>
        <v/>
      </c>
      <c r="AI1134" s="26" t="str">
        <f t="shared" si="597"/>
        <v/>
      </c>
      <c r="AJ1134" s="26" t="str">
        <f t="shared" si="605"/>
        <v/>
      </c>
      <c r="AK1134" s="26" t="str">
        <f t="shared" si="608"/>
        <v/>
      </c>
      <c r="AL1134" s="26" t="str">
        <f t="shared" si="608"/>
        <v>Liquid Road</v>
      </c>
      <c r="AM1134" s="26" t="str">
        <f t="shared" si="608"/>
        <v/>
      </c>
      <c r="AN1134" s="26" t="str">
        <f t="shared" si="596"/>
        <v>Liquid Road</v>
      </c>
      <c r="AO1134" s="26" t="str">
        <f t="shared" si="606"/>
        <v/>
      </c>
      <c r="AP1134" s="26" t="str">
        <f t="shared" si="602"/>
        <v/>
      </c>
      <c r="AQ1134" s="68">
        <f t="shared" si="599"/>
        <v>10</v>
      </c>
      <c r="AR1134" s="68">
        <f t="shared" si="600"/>
        <v>10</v>
      </c>
      <c r="AS1134" s="68">
        <f t="shared" si="587"/>
        <v>1.05</v>
      </c>
      <c r="AT1134" s="68">
        <f t="shared" si="588"/>
        <v>1.05</v>
      </c>
      <c r="AU1134" s="68">
        <f t="shared" si="589"/>
        <v>1.05</v>
      </c>
      <c r="AV1134" s="68">
        <f t="shared" si="590"/>
        <v>1.05</v>
      </c>
      <c r="AW1134" s="68">
        <f t="shared" si="591"/>
        <v>1</v>
      </c>
      <c r="AX1134" s="68">
        <f t="shared" ca="1" si="601"/>
        <v>2.1</v>
      </c>
      <c r="AY1134" s="106">
        <v>2017</v>
      </c>
      <c r="AZ1134" s="68" t="s">
        <v>2425</v>
      </c>
      <c r="BA1134" s="106" t="str">
        <f t="shared" si="607"/>
        <v/>
      </c>
      <c r="BB1134" s="178"/>
      <c r="BC1134" s="177"/>
      <c r="BD1134" s="177"/>
      <c r="BE1134" s="177">
        <v>2</v>
      </c>
      <c r="BF1134" s="177"/>
      <c r="BG1134" s="177"/>
      <c r="BH1134" s="177"/>
      <c r="BI1134" s="33" t="s">
        <v>2425</v>
      </c>
      <c r="BJ1134" s="2"/>
      <c r="BK1134" s="48">
        <f>$G1134/5280*VLOOKUP($AC1134,'Cost and Score'!$B$27:$O$40,6,0)</f>
        <v>0.2100378787878788</v>
      </c>
      <c r="BL1134" s="48">
        <f>$G1134/5280*VLOOKUP($AC1134,'Cost and Score'!$B$27:$O$40,7,0)</f>
        <v>3.3606060606060608</v>
      </c>
      <c r="BM1134" s="48">
        <f>$G1134/5280*VLOOKUP($AC1134,'Cost and Score'!$B$27:$O$40,8,0)</f>
        <v>0</v>
      </c>
      <c r="BN1134" s="48">
        <f>$G1134/5280*VLOOKUP($AC1134,'Cost and Score'!$B$27:$O$40,9,0)</f>
        <v>0</v>
      </c>
      <c r="BO1134" s="48">
        <f>$G1134/5280*VLOOKUP($AC1134,'Cost and Score'!$B$27:$O$40,10,0)</f>
        <v>0</v>
      </c>
      <c r="BP1134" s="48">
        <f>$G1134/5280*VLOOKUP($AC1134,'Cost and Score'!$B$27:$O$40,11,0)</f>
        <v>0</v>
      </c>
      <c r="BQ1134" s="48">
        <f>$G1134/5280*VLOOKUP($AC1134,'Cost and Score'!$B$27:$O$40,12,0)</f>
        <v>0</v>
      </c>
      <c r="BR1134" s="48">
        <f>$G1134/5280*VLOOKUP($AC1134,'Cost and Score'!$B$27:$O$40,13,0)</f>
        <v>0</v>
      </c>
      <c r="BS1134" s="48">
        <f>$G1134/5280*VLOOKUP($AC1134,'Cost and Score'!$B$27:$O$40,14,0)</f>
        <v>0</v>
      </c>
      <c r="BT1134" s="220">
        <f t="shared" si="582"/>
        <v>0.2100378787878788</v>
      </c>
      <c r="BU1134" s="2"/>
      <c r="BV1134" s="28"/>
      <c r="BW1134" s="28"/>
      <c r="BX1134" s="28"/>
      <c r="BY1134" s="28"/>
      <c r="BZ1134" s="28"/>
      <c r="CA1134" s="28"/>
      <c r="CB1134" s="28"/>
      <c r="CC1134" s="28"/>
      <c r="CD1134" s="28"/>
      <c r="CE1134" s="28"/>
      <c r="CF1134" s="28"/>
      <c r="CN1134" s="112"/>
      <c r="CO1134" s="112"/>
      <c r="CP1134" s="112"/>
      <c r="CQ1134" s="112"/>
      <c r="CR1134" s="2"/>
      <c r="CS1134" s="112"/>
      <c r="CT1134" s="112"/>
      <c r="CU1134" s="112"/>
      <c r="CV1134" s="112"/>
      <c r="CW1134" s="2"/>
      <c r="CX1134" s="2"/>
      <c r="CY1134" s="2"/>
    </row>
    <row r="1135" spans="1:103" s="112" customFormat="1" ht="14.45" customHeight="1" x14ac:dyDescent="0.25">
      <c r="A1135" s="36" t="s">
        <v>1014</v>
      </c>
      <c r="B1135" s="34" t="s">
        <v>1013</v>
      </c>
      <c r="C1135" s="85" t="s">
        <v>1013</v>
      </c>
      <c r="D1135" s="85"/>
      <c r="E1135" s="85" t="s">
        <v>110</v>
      </c>
      <c r="F1135" s="85" t="s">
        <v>107</v>
      </c>
      <c r="G1135" s="29">
        <v>5300</v>
      </c>
      <c r="H1135" s="29">
        <f t="shared" si="603"/>
        <v>20</v>
      </c>
      <c r="I1135" s="85" t="s">
        <v>8</v>
      </c>
      <c r="J1135" s="85" t="s">
        <v>172</v>
      </c>
      <c r="K1135" s="85">
        <f t="shared" si="609"/>
        <v>0</v>
      </c>
      <c r="L1135" s="74">
        <v>9</v>
      </c>
      <c r="M1135" s="74">
        <v>7</v>
      </c>
      <c r="N1135" s="74">
        <v>7</v>
      </c>
      <c r="O1135" s="74">
        <v>6</v>
      </c>
      <c r="P1135" s="74">
        <v>6</v>
      </c>
      <c r="Q1135" s="74">
        <v>6</v>
      </c>
      <c r="R1135" s="74">
        <v>6</v>
      </c>
      <c r="S1135" s="74">
        <v>6</v>
      </c>
      <c r="T1135" s="74">
        <v>7</v>
      </c>
      <c r="U1135" s="74">
        <v>7</v>
      </c>
      <c r="V1135" s="74"/>
      <c r="W1135" s="74">
        <v>2020</v>
      </c>
      <c r="X1135" s="74" t="s">
        <v>2612</v>
      </c>
      <c r="Y1135" s="85">
        <v>320</v>
      </c>
      <c r="Z1135" s="85">
        <f t="shared" si="604"/>
        <v>0</v>
      </c>
      <c r="AA1135" s="85" t="s">
        <v>73</v>
      </c>
      <c r="AB1135" s="111">
        <f t="shared" si="576"/>
        <v>4</v>
      </c>
      <c r="AC1135" s="85" t="s">
        <v>2072</v>
      </c>
      <c r="AD1135" s="47">
        <f t="shared" si="610"/>
        <v>46174.242424242424</v>
      </c>
      <c r="AE1135" s="140"/>
      <c r="AF1135" s="113">
        <f t="shared" si="586"/>
        <v>0</v>
      </c>
      <c r="AG1135" s="106">
        <v>2025</v>
      </c>
      <c r="AH1135" s="26" t="str">
        <f t="shared" si="593"/>
        <v/>
      </c>
      <c r="AI1135" s="26" t="str">
        <f t="shared" si="597"/>
        <v/>
      </c>
      <c r="AJ1135" s="26" t="str">
        <f t="shared" si="605"/>
        <v/>
      </c>
      <c r="AK1135" s="26" t="str">
        <f t="shared" si="608"/>
        <v>Chip Seal - Triple</v>
      </c>
      <c r="AL1135" s="26" t="str">
        <f t="shared" si="608"/>
        <v/>
      </c>
      <c r="AM1135" s="26" t="str">
        <f t="shared" si="608"/>
        <v/>
      </c>
      <c r="AN1135" s="26" t="str">
        <f t="shared" si="596"/>
        <v>Chip Seal - Triple</v>
      </c>
      <c r="AO1135" s="26" t="str">
        <f t="shared" si="606"/>
        <v/>
      </c>
      <c r="AP1135" s="26" t="str">
        <f t="shared" si="602"/>
        <v/>
      </c>
      <c r="AQ1135" s="68">
        <f t="shared" si="599"/>
        <v>8</v>
      </c>
      <c r="AR1135" s="68">
        <f t="shared" si="600"/>
        <v>8</v>
      </c>
      <c r="AS1135" s="68">
        <f t="shared" si="587"/>
        <v>1</v>
      </c>
      <c r="AT1135" s="68">
        <f t="shared" si="588"/>
        <v>1.05</v>
      </c>
      <c r="AU1135" s="68">
        <f t="shared" si="589"/>
        <v>1.05</v>
      </c>
      <c r="AV1135" s="68">
        <f t="shared" si="590"/>
        <v>1.1000000000000001</v>
      </c>
      <c r="AW1135" s="68">
        <f t="shared" si="591"/>
        <v>1.1000000000000001</v>
      </c>
      <c r="AX1135" s="68">
        <f t="shared" ca="1" si="601"/>
        <v>1.05</v>
      </c>
      <c r="AY1135" s="68">
        <v>2019</v>
      </c>
      <c r="AZ1135" s="68" t="s">
        <v>751</v>
      </c>
      <c r="BA1135" s="106" t="str">
        <f t="shared" si="607"/>
        <v/>
      </c>
      <c r="BB1135" s="178"/>
      <c r="BC1135" s="178">
        <v>9</v>
      </c>
      <c r="BD1135" s="178"/>
      <c r="BE1135" s="178"/>
      <c r="BF1135" s="178"/>
      <c r="BG1135" s="178"/>
      <c r="BH1135" s="178"/>
      <c r="BI1135" s="33" t="s">
        <v>2202</v>
      </c>
      <c r="BJ1135" s="2" t="s">
        <v>2538</v>
      </c>
      <c r="BK1135" s="48">
        <f>$G1135/5280*VLOOKUP($AC1135,'Cost and Score'!$B$27:$O$40,6,0)</f>
        <v>0.60227272727272729</v>
      </c>
      <c r="BL1135" s="48">
        <f>$G1135/5280*VLOOKUP($AC1135,'Cost and Score'!$B$27:$O$40,7,0)</f>
        <v>125.47348484848486</v>
      </c>
      <c r="BM1135" s="48">
        <f>$G1135/5280*VLOOKUP($AC1135,'Cost and Score'!$B$27:$O$40,8,0)</f>
        <v>200.75757575757578</v>
      </c>
      <c r="BN1135" s="48">
        <f>$G1135/5280*VLOOKUP($AC1135,'Cost and Score'!$B$27:$O$40,9,0)</f>
        <v>2007.5757575757577</v>
      </c>
      <c r="BO1135" s="48">
        <f>$G1135/5280*VLOOKUP($AC1135,'Cost and Score'!$B$27:$O$40,10,0)</f>
        <v>501.89393939393943</v>
      </c>
      <c r="BP1135" s="48">
        <f>$G1135/5280*VLOOKUP($AC1135,'Cost and Score'!$B$27:$O$40,11,0)</f>
        <v>100.37878787878789</v>
      </c>
      <c r="BQ1135" s="48">
        <f>$G1135/5280*VLOOKUP($AC1135,'Cost and Score'!$B$27:$O$40,12,0)</f>
        <v>803.03030303030312</v>
      </c>
      <c r="BR1135" s="48">
        <f>$G1135/5280*VLOOKUP($AC1135,'Cost and Score'!$B$27:$O$40,13,0)</f>
        <v>80.303030303030312</v>
      </c>
      <c r="BS1135" s="48">
        <f>$G1135/5280*VLOOKUP($AC1135,'Cost and Score'!$B$27:$O$40,14,0)</f>
        <v>0</v>
      </c>
      <c r="BT1135" s="220">
        <f t="shared" si="582"/>
        <v>1.0037878787878789</v>
      </c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N1135" s="2"/>
      <c r="CO1135" s="2"/>
      <c r="CP1135" s="2"/>
      <c r="CQ1135" s="2"/>
      <c r="CR1135" s="2"/>
      <c r="CV1135" s="2"/>
      <c r="CW1135" s="2"/>
      <c r="CX1135" s="2"/>
      <c r="CY1135" s="2"/>
    </row>
    <row r="1136" spans="1:103" s="2" customFormat="1" ht="14.45" hidden="1" customHeight="1" x14ac:dyDescent="0.25">
      <c r="A1136" s="31" t="s">
        <v>2102</v>
      </c>
      <c r="B1136" s="224" t="s">
        <v>2023</v>
      </c>
      <c r="C1136" s="26" t="s">
        <v>2023</v>
      </c>
      <c r="D1136" s="36" t="s">
        <v>2278</v>
      </c>
      <c r="E1136" s="26" t="s">
        <v>1484</v>
      </c>
      <c r="F1136" s="26" t="s">
        <v>1416</v>
      </c>
      <c r="G1136" s="29">
        <v>1109</v>
      </c>
      <c r="H1136" s="29">
        <f t="shared" si="603"/>
        <v>26</v>
      </c>
      <c r="I1136" s="26" t="s">
        <v>2098</v>
      </c>
      <c r="J1136" s="26" t="s">
        <v>160</v>
      </c>
      <c r="K1136" s="26">
        <f t="shared" si="609"/>
        <v>0</v>
      </c>
      <c r="L1136" s="42">
        <v>6</v>
      </c>
      <c r="M1136" s="42">
        <v>6</v>
      </c>
      <c r="N1136" s="42">
        <v>5</v>
      </c>
      <c r="O1136" s="42">
        <v>9</v>
      </c>
      <c r="P1136" s="42">
        <v>9</v>
      </c>
      <c r="Q1136" s="42">
        <v>8</v>
      </c>
      <c r="R1136" s="42">
        <v>8</v>
      </c>
      <c r="S1136" s="42">
        <v>7</v>
      </c>
      <c r="T1136" s="42">
        <v>7</v>
      </c>
      <c r="U1136" s="42">
        <v>7</v>
      </c>
      <c r="V1136" s="42"/>
      <c r="W1136" s="42"/>
      <c r="X1136" s="42"/>
      <c r="Y1136" s="26">
        <v>155</v>
      </c>
      <c r="Z1136" s="26">
        <f t="shared" si="604"/>
        <v>0</v>
      </c>
      <c r="AA1136" s="26" t="s">
        <v>2023</v>
      </c>
      <c r="AB1136" s="111">
        <f t="shared" si="576"/>
        <v>1</v>
      </c>
      <c r="AC1136" s="85" t="s">
        <v>2371</v>
      </c>
      <c r="AD1136" s="47">
        <f t="shared" si="610"/>
        <v>16803.030303030304</v>
      </c>
      <c r="AE1136" s="140">
        <v>1</v>
      </c>
      <c r="AF1136" s="113">
        <f t="shared" si="586"/>
        <v>16803.030303030304</v>
      </c>
      <c r="AG1136" s="85">
        <v>2024</v>
      </c>
      <c r="AH1136" s="26" t="str">
        <f t="shared" si="593"/>
        <v/>
      </c>
      <c r="AI1136" s="26" t="str">
        <f t="shared" si="597"/>
        <v/>
      </c>
      <c r="AJ1136" s="26" t="str">
        <f t="shared" si="605"/>
        <v>Microsurface double</v>
      </c>
      <c r="AK1136" s="26" t="str">
        <f t="shared" si="608"/>
        <v/>
      </c>
      <c r="AL1136" s="26" t="str">
        <f t="shared" si="608"/>
        <v/>
      </c>
      <c r="AM1136" s="26" t="str">
        <f t="shared" si="608"/>
        <v/>
      </c>
      <c r="AN1136" s="26" t="str">
        <f t="shared" si="596"/>
        <v>Microsurface double</v>
      </c>
      <c r="AO1136" s="26" t="str">
        <f t="shared" si="606"/>
        <v/>
      </c>
      <c r="AP1136" s="26" t="str">
        <f t="shared" si="602"/>
        <v/>
      </c>
      <c r="AQ1136" s="68">
        <f t="shared" si="599"/>
        <v>14</v>
      </c>
      <c r="AR1136" s="68">
        <f t="shared" si="600"/>
        <v>10</v>
      </c>
      <c r="AS1136" s="68">
        <f t="shared" si="587"/>
        <v>1.1000000000000001</v>
      </c>
      <c r="AT1136" s="68">
        <f t="shared" si="588"/>
        <v>1.1000000000000001</v>
      </c>
      <c r="AU1136" s="68">
        <f t="shared" si="589"/>
        <v>1.25</v>
      </c>
      <c r="AV1136" s="68">
        <f t="shared" si="590"/>
        <v>1</v>
      </c>
      <c r="AW1136" s="68">
        <f t="shared" si="591"/>
        <v>1</v>
      </c>
      <c r="AX1136" s="68">
        <f t="shared" ca="1" si="601"/>
        <v>0</v>
      </c>
      <c r="AY1136" s="68">
        <v>2016</v>
      </c>
      <c r="AZ1136" s="68" t="s">
        <v>751</v>
      </c>
      <c r="BA1136" s="106" t="str">
        <f t="shared" si="607"/>
        <v/>
      </c>
      <c r="BB1136" s="178"/>
      <c r="BC1136" s="177"/>
      <c r="BD1136" s="177"/>
      <c r="BE1136" s="177"/>
      <c r="BF1136" s="177">
        <v>3</v>
      </c>
      <c r="BG1136" s="177"/>
      <c r="BH1136" s="177"/>
      <c r="BI1136" s="33"/>
      <c r="BK1136" s="48">
        <f>$G1136/5280*VLOOKUP($AC1136,'Cost and Score'!$B$27:$O$40,6,0)</f>
        <v>0.1050189393939394</v>
      </c>
      <c r="BL1136" s="48">
        <f>$G1136/5280*VLOOKUP($AC1136,'Cost and Score'!$B$27:$O$40,7,0)</f>
        <v>0</v>
      </c>
      <c r="BM1136" s="48">
        <f>$G1136/5280*VLOOKUP($AC1136,'Cost and Score'!$B$27:$O$40,8,0)</f>
        <v>0</v>
      </c>
      <c r="BN1136" s="48">
        <f>$G1136/5280*VLOOKUP($AC1136,'Cost and Score'!$B$27:$O$40,9,0)</f>
        <v>0</v>
      </c>
      <c r="BO1136" s="48">
        <f>$G1136/5280*VLOOKUP($AC1136,'Cost and Score'!$B$27:$O$40,10,0)</f>
        <v>0</v>
      </c>
      <c r="BP1136" s="48">
        <f>$G1136/5280*VLOOKUP($AC1136,'Cost and Score'!$B$27:$O$40,11,0)</f>
        <v>0</v>
      </c>
      <c r="BQ1136" s="48">
        <f>$G1136/5280*VLOOKUP($AC1136,'Cost and Score'!$B$27:$O$40,12,0)</f>
        <v>0</v>
      </c>
      <c r="BR1136" s="48">
        <f>$G1136/5280*VLOOKUP($AC1136,'Cost and Score'!$B$27:$O$40,13,0)</f>
        <v>0</v>
      </c>
      <c r="BS1136" s="48">
        <f>$G1136/5280*VLOOKUP($AC1136,'Cost and Score'!$B$27:$O$40,14,0)</f>
        <v>0</v>
      </c>
      <c r="BT1136" s="220">
        <f t="shared" si="582"/>
        <v>0.2100378787878788</v>
      </c>
      <c r="CN1136" s="112"/>
      <c r="CO1136" s="112"/>
      <c r="CP1136" s="112"/>
      <c r="CQ1136" s="112"/>
      <c r="CV1136" s="112"/>
    </row>
    <row r="1137" spans="1:103" s="2" customFormat="1" ht="14.45" hidden="1" customHeight="1" x14ac:dyDescent="0.25">
      <c r="A1137" s="31"/>
      <c r="B1137" s="225" t="s">
        <v>2350</v>
      </c>
      <c r="C1137" s="26" t="s">
        <v>2350</v>
      </c>
      <c r="D1137" s="36" t="s">
        <v>2266</v>
      </c>
      <c r="E1137" s="26" t="s">
        <v>1451</v>
      </c>
      <c r="F1137" s="26" t="s">
        <v>1452</v>
      </c>
      <c r="G1137" s="29">
        <v>1818</v>
      </c>
      <c r="H1137" s="29">
        <v>26</v>
      </c>
      <c r="I1137" s="26" t="s">
        <v>2098</v>
      </c>
      <c r="J1137" s="26" t="s">
        <v>160</v>
      </c>
      <c r="K1137" s="26">
        <f t="shared" si="609"/>
        <v>0</v>
      </c>
      <c r="L1137" s="42"/>
      <c r="M1137" s="42">
        <v>7</v>
      </c>
      <c r="N1137" s="42">
        <v>7</v>
      </c>
      <c r="O1137" s="42">
        <v>7</v>
      </c>
      <c r="P1137" s="42">
        <v>7</v>
      </c>
      <c r="Q1137" s="42">
        <v>7</v>
      </c>
      <c r="R1137" s="42">
        <v>7</v>
      </c>
      <c r="S1137" s="42">
        <v>8</v>
      </c>
      <c r="T1137" s="42">
        <v>7</v>
      </c>
      <c r="U1137" s="42">
        <v>7</v>
      </c>
      <c r="V1137" s="42"/>
      <c r="W1137" s="42"/>
      <c r="X1137" s="42"/>
      <c r="Y1137" s="26">
        <v>1074</v>
      </c>
      <c r="Z1137" s="26">
        <f t="shared" si="604"/>
        <v>0.5</v>
      </c>
      <c r="AA1137" s="26" t="s">
        <v>2350</v>
      </c>
      <c r="AB1137" s="111">
        <f t="shared" si="576"/>
        <v>3.5</v>
      </c>
      <c r="AC1137" s="85" t="s">
        <v>2371</v>
      </c>
      <c r="AD1137" s="47">
        <f t="shared" si="610"/>
        <v>27545.454545454544</v>
      </c>
      <c r="AE1137" s="140"/>
      <c r="AF1137" s="113">
        <f t="shared" si="586"/>
        <v>0</v>
      </c>
      <c r="AG1137" s="85">
        <v>2026</v>
      </c>
      <c r="AH1137" s="26" t="str">
        <f t="shared" si="593"/>
        <v/>
      </c>
      <c r="AI1137" s="26" t="str">
        <f t="shared" si="597"/>
        <v/>
      </c>
      <c r="AJ1137" s="26" t="str">
        <f t="shared" si="605"/>
        <v/>
      </c>
      <c r="AK1137" s="26" t="str">
        <f t="shared" si="608"/>
        <v/>
      </c>
      <c r="AL1137" s="26" t="str">
        <f t="shared" si="608"/>
        <v>Microsurface double</v>
      </c>
      <c r="AM1137" s="26" t="str">
        <f t="shared" si="608"/>
        <v/>
      </c>
      <c r="AN1137" s="26" t="str">
        <f t="shared" si="596"/>
        <v>Microsurface double</v>
      </c>
      <c r="AO1137" s="26" t="str">
        <f t="shared" si="606"/>
        <v/>
      </c>
      <c r="AP1137" s="26" t="str">
        <f t="shared" si="602"/>
        <v/>
      </c>
      <c r="AQ1137" s="68">
        <f t="shared" si="599"/>
        <v>10</v>
      </c>
      <c r="AR1137" s="68">
        <f t="shared" si="600"/>
        <v>10</v>
      </c>
      <c r="AS1137" s="68">
        <f t="shared" si="587"/>
        <v>0</v>
      </c>
      <c r="AT1137" s="68">
        <f t="shared" si="588"/>
        <v>1.05</v>
      </c>
      <c r="AU1137" s="68">
        <f t="shared" si="589"/>
        <v>1.05</v>
      </c>
      <c r="AV1137" s="68">
        <f t="shared" si="590"/>
        <v>1.05</v>
      </c>
      <c r="AW1137" s="68">
        <f t="shared" si="591"/>
        <v>1.05</v>
      </c>
      <c r="AX1137" s="68">
        <f t="shared" ca="1" si="601"/>
        <v>2.1</v>
      </c>
      <c r="AY1137" s="68">
        <v>2016</v>
      </c>
      <c r="AZ1137" s="68" t="s">
        <v>751</v>
      </c>
      <c r="BA1137" s="106" t="str">
        <f t="shared" si="607"/>
        <v/>
      </c>
      <c r="BB1137" s="178"/>
      <c r="BC1137" s="177"/>
      <c r="BD1137" s="177"/>
      <c r="BE1137" s="177"/>
      <c r="BF1137" s="177"/>
      <c r="BG1137" s="177">
        <v>4</v>
      </c>
      <c r="BH1137" s="177"/>
      <c r="BI1137" s="43"/>
      <c r="BJ1137" s="26"/>
      <c r="BK1137" s="48">
        <f>$G1137/5280*VLOOKUP($AC1137,'Cost and Score'!$B$27:$O$40,6,0)</f>
        <v>0.1721590909090909</v>
      </c>
      <c r="BL1137" s="48">
        <f>$G1137/5280*VLOOKUP($AC1137,'Cost and Score'!$B$27:$O$40,7,0)</f>
        <v>0</v>
      </c>
      <c r="BM1137" s="48">
        <f>$G1137/5280*VLOOKUP($AC1137,'Cost and Score'!$B$27:$O$40,8,0)</f>
        <v>0</v>
      </c>
      <c r="BN1137" s="48">
        <f>$G1137/5280*VLOOKUP($AC1137,'Cost and Score'!$B$27:$O$40,9,0)</f>
        <v>0</v>
      </c>
      <c r="BO1137" s="48">
        <f>$G1137/5280*VLOOKUP($AC1137,'Cost and Score'!$B$27:$O$40,10,0)</f>
        <v>0</v>
      </c>
      <c r="BP1137" s="48">
        <f>$G1137/5280*VLOOKUP($AC1137,'Cost and Score'!$B$27:$O$40,11,0)</f>
        <v>0</v>
      </c>
      <c r="BQ1137" s="48">
        <f>$G1137/5280*VLOOKUP($AC1137,'Cost and Score'!$B$27:$O$40,12,0)</f>
        <v>0</v>
      </c>
      <c r="BR1137" s="48">
        <f>$G1137/5280*VLOOKUP($AC1137,'Cost and Score'!$B$27:$O$40,13,0)</f>
        <v>0</v>
      </c>
      <c r="BS1137" s="48">
        <f>$G1137/5280*VLOOKUP($AC1137,'Cost and Score'!$B$27:$O$40,14,0)</f>
        <v>0</v>
      </c>
      <c r="BT1137" s="220">
        <f t="shared" si="582"/>
        <v>0.3443181818181818</v>
      </c>
      <c r="CW1137" s="112"/>
      <c r="CX1137" s="112"/>
      <c r="CY1137" s="112"/>
    </row>
    <row r="1138" spans="1:103" s="2" customFormat="1" ht="14.45" hidden="1" customHeight="1" x14ac:dyDescent="0.25">
      <c r="A1138" s="31" t="s">
        <v>2102</v>
      </c>
      <c r="B1138" s="224" t="s">
        <v>2024</v>
      </c>
      <c r="C1138" s="26" t="s">
        <v>2024</v>
      </c>
      <c r="D1138" s="36" t="s">
        <v>2278</v>
      </c>
      <c r="E1138" s="26" t="s">
        <v>1451</v>
      </c>
      <c r="F1138" s="26" t="s">
        <v>1452</v>
      </c>
      <c r="G1138" s="29">
        <v>2006</v>
      </c>
      <c r="H1138" s="29">
        <f>IF(I1138="NC",26,20)</f>
        <v>26</v>
      </c>
      <c r="I1138" s="26" t="s">
        <v>2098</v>
      </c>
      <c r="J1138" s="26" t="s">
        <v>160</v>
      </c>
      <c r="K1138" s="26">
        <f t="shared" si="609"/>
        <v>0</v>
      </c>
      <c r="L1138" s="42">
        <v>7</v>
      </c>
      <c r="M1138" s="42">
        <v>7</v>
      </c>
      <c r="N1138" s="42">
        <v>9</v>
      </c>
      <c r="O1138" s="42">
        <v>8</v>
      </c>
      <c r="P1138" s="42">
        <v>8</v>
      </c>
      <c r="Q1138" s="42">
        <v>7</v>
      </c>
      <c r="R1138" s="42">
        <v>7</v>
      </c>
      <c r="S1138" s="42">
        <v>8</v>
      </c>
      <c r="T1138" s="42">
        <v>7</v>
      </c>
      <c r="U1138" s="42">
        <v>7</v>
      </c>
      <c r="V1138" s="42"/>
      <c r="W1138" s="42"/>
      <c r="X1138" s="42"/>
      <c r="Y1138" s="26">
        <v>1074</v>
      </c>
      <c r="Z1138" s="26">
        <f t="shared" si="604"/>
        <v>0.5</v>
      </c>
      <c r="AA1138" s="26" t="s">
        <v>2024</v>
      </c>
      <c r="AB1138" s="111">
        <f t="shared" si="576"/>
        <v>2.5</v>
      </c>
      <c r="AC1138" s="85" t="s">
        <v>2371</v>
      </c>
      <c r="AD1138" s="47">
        <f t="shared" si="610"/>
        <v>30393.939393939392</v>
      </c>
      <c r="AE1138" s="140">
        <v>1</v>
      </c>
      <c r="AF1138" s="113">
        <f t="shared" si="586"/>
        <v>30393.939393939392</v>
      </c>
      <c r="AG1138" s="85">
        <v>2024</v>
      </c>
      <c r="AH1138" s="26" t="str">
        <f t="shared" si="593"/>
        <v/>
      </c>
      <c r="AI1138" s="26" t="str">
        <f t="shared" si="597"/>
        <v/>
      </c>
      <c r="AJ1138" s="26" t="str">
        <f t="shared" si="605"/>
        <v>Microsurface double</v>
      </c>
      <c r="AK1138" s="26" t="str">
        <f t="shared" si="608"/>
        <v/>
      </c>
      <c r="AL1138" s="26" t="str">
        <f t="shared" si="608"/>
        <v/>
      </c>
      <c r="AM1138" s="26" t="str">
        <f t="shared" si="608"/>
        <v/>
      </c>
      <c r="AN1138" s="26" t="str">
        <f t="shared" si="596"/>
        <v>Microsurface double</v>
      </c>
      <c r="AO1138" s="26" t="str">
        <f t="shared" si="606"/>
        <v/>
      </c>
      <c r="AP1138" s="26" t="str">
        <f t="shared" si="602"/>
        <v/>
      </c>
      <c r="AQ1138" s="68">
        <f t="shared" si="599"/>
        <v>12</v>
      </c>
      <c r="AR1138" s="68">
        <f t="shared" si="600"/>
        <v>10</v>
      </c>
      <c r="AS1138" s="68">
        <f t="shared" si="587"/>
        <v>1.05</v>
      </c>
      <c r="AT1138" s="68">
        <f t="shared" si="588"/>
        <v>1.05</v>
      </c>
      <c r="AU1138" s="68">
        <f t="shared" si="589"/>
        <v>1</v>
      </c>
      <c r="AV1138" s="68">
        <f t="shared" si="590"/>
        <v>1</v>
      </c>
      <c r="AW1138" s="68">
        <f t="shared" si="591"/>
        <v>1</v>
      </c>
      <c r="AX1138" s="68">
        <f t="shared" ca="1" si="601"/>
        <v>0</v>
      </c>
      <c r="AY1138" s="68">
        <v>2016</v>
      </c>
      <c r="AZ1138" s="68" t="s">
        <v>2371</v>
      </c>
      <c r="BA1138" s="106" t="str">
        <f t="shared" si="607"/>
        <v/>
      </c>
      <c r="BB1138" s="178"/>
      <c r="BC1138" s="177"/>
      <c r="BD1138" s="177"/>
      <c r="BE1138" s="177"/>
      <c r="BF1138" s="177"/>
      <c r="BG1138" s="177">
        <v>4</v>
      </c>
      <c r="BH1138" s="177"/>
      <c r="BI1138" s="33"/>
      <c r="BK1138" s="48">
        <f>$G1138/5280*VLOOKUP($AC1138,'Cost and Score'!$B$27:$O$40,6,0)</f>
        <v>0.18996212121212122</v>
      </c>
      <c r="BL1138" s="48">
        <f>$G1138/5280*VLOOKUP($AC1138,'Cost and Score'!$B$27:$O$40,7,0)</f>
        <v>0</v>
      </c>
      <c r="BM1138" s="48">
        <f>$G1138/5280*VLOOKUP($AC1138,'Cost and Score'!$B$27:$O$40,8,0)</f>
        <v>0</v>
      </c>
      <c r="BN1138" s="48">
        <f>$G1138/5280*VLOOKUP($AC1138,'Cost and Score'!$B$27:$O$40,9,0)</f>
        <v>0</v>
      </c>
      <c r="BO1138" s="48">
        <f>$G1138/5280*VLOOKUP($AC1138,'Cost and Score'!$B$27:$O$40,10,0)</f>
        <v>0</v>
      </c>
      <c r="BP1138" s="48">
        <f>$G1138/5280*VLOOKUP($AC1138,'Cost and Score'!$B$27:$O$40,11,0)</f>
        <v>0</v>
      </c>
      <c r="BQ1138" s="48">
        <f>$G1138/5280*VLOOKUP($AC1138,'Cost and Score'!$B$27:$O$40,12,0)</f>
        <v>0</v>
      </c>
      <c r="BR1138" s="48">
        <f>$G1138/5280*VLOOKUP($AC1138,'Cost and Score'!$B$27:$O$40,13,0)</f>
        <v>0</v>
      </c>
      <c r="BS1138" s="48">
        <f>$G1138/5280*VLOOKUP($AC1138,'Cost and Score'!$B$27:$O$40,14,0)</f>
        <v>0</v>
      </c>
      <c r="BT1138" s="220">
        <f t="shared" si="582"/>
        <v>0.37992424242424244</v>
      </c>
      <c r="CR1138" s="112"/>
    </row>
    <row r="1139" spans="1:103" s="2" customFormat="1" ht="14.45" hidden="1" customHeight="1" x14ac:dyDescent="0.25">
      <c r="A1139" s="31" t="s">
        <v>2102</v>
      </c>
      <c r="B1139" s="224" t="s">
        <v>2025</v>
      </c>
      <c r="C1139" s="26" t="s">
        <v>2025</v>
      </c>
      <c r="D1139" s="36" t="s">
        <v>2278</v>
      </c>
      <c r="E1139" s="26" t="s">
        <v>1451</v>
      </c>
      <c r="F1139" s="26" t="s">
        <v>1452</v>
      </c>
      <c r="G1139" s="29">
        <v>845</v>
      </c>
      <c r="H1139" s="29">
        <f>IF(I1139="NC",26,20)</f>
        <v>26</v>
      </c>
      <c r="I1139" s="26" t="s">
        <v>2098</v>
      </c>
      <c r="J1139" s="26" t="s">
        <v>160</v>
      </c>
      <c r="K1139" s="26">
        <f t="shared" si="609"/>
        <v>0</v>
      </c>
      <c r="L1139" s="42">
        <v>7</v>
      </c>
      <c r="M1139" s="42">
        <v>6</v>
      </c>
      <c r="N1139" s="42">
        <v>8</v>
      </c>
      <c r="O1139" s="42">
        <v>8</v>
      </c>
      <c r="P1139" s="42">
        <v>8</v>
      </c>
      <c r="Q1139" s="42">
        <v>7</v>
      </c>
      <c r="R1139" s="42">
        <v>7</v>
      </c>
      <c r="S1139" s="42">
        <v>8</v>
      </c>
      <c r="T1139" s="42">
        <v>7</v>
      </c>
      <c r="U1139" s="42">
        <v>7</v>
      </c>
      <c r="V1139" s="42"/>
      <c r="W1139" s="42"/>
      <c r="X1139" s="42"/>
      <c r="Y1139" s="26">
        <v>1074</v>
      </c>
      <c r="Z1139" s="26">
        <f t="shared" si="604"/>
        <v>0.5</v>
      </c>
      <c r="AA1139" s="26" t="s">
        <v>2025</v>
      </c>
      <c r="AB1139" s="111">
        <f t="shared" si="576"/>
        <v>2.5</v>
      </c>
      <c r="AC1139" s="85" t="s">
        <v>2371</v>
      </c>
      <c r="AD1139" s="47">
        <f t="shared" si="610"/>
        <v>12803.030303030304</v>
      </c>
      <c r="AE1139" s="140">
        <v>1</v>
      </c>
      <c r="AF1139" s="113">
        <f t="shared" si="586"/>
        <v>12803.030303030304</v>
      </c>
      <c r="AG1139" s="85">
        <v>2024</v>
      </c>
      <c r="AH1139" s="26" t="str">
        <f t="shared" si="593"/>
        <v/>
      </c>
      <c r="AI1139" s="26" t="str">
        <f t="shared" si="597"/>
        <v/>
      </c>
      <c r="AJ1139" s="26" t="str">
        <f t="shared" si="605"/>
        <v>Microsurface double</v>
      </c>
      <c r="AK1139" s="26" t="str">
        <f t="shared" si="608"/>
        <v/>
      </c>
      <c r="AL1139" s="26" t="str">
        <f t="shared" si="608"/>
        <v/>
      </c>
      <c r="AM1139" s="26" t="str">
        <f t="shared" si="608"/>
        <v/>
      </c>
      <c r="AN1139" s="26" t="str">
        <f t="shared" si="596"/>
        <v>Microsurface double</v>
      </c>
      <c r="AO1139" s="26" t="str">
        <f t="shared" si="606"/>
        <v/>
      </c>
      <c r="AP1139" s="26" t="str">
        <f t="shared" si="602"/>
        <v/>
      </c>
      <c r="AQ1139" s="68">
        <f t="shared" si="599"/>
        <v>12</v>
      </c>
      <c r="AR1139" s="68">
        <f t="shared" si="600"/>
        <v>10</v>
      </c>
      <c r="AS1139" s="68">
        <f t="shared" si="587"/>
        <v>1.05</v>
      </c>
      <c r="AT1139" s="68">
        <f t="shared" si="588"/>
        <v>1.1000000000000001</v>
      </c>
      <c r="AU1139" s="68">
        <f t="shared" si="589"/>
        <v>1</v>
      </c>
      <c r="AV1139" s="68">
        <f t="shared" si="590"/>
        <v>1</v>
      </c>
      <c r="AW1139" s="68">
        <f t="shared" si="591"/>
        <v>1</v>
      </c>
      <c r="AX1139" s="68">
        <f t="shared" ca="1" si="601"/>
        <v>0</v>
      </c>
      <c r="AY1139" s="68">
        <v>2016</v>
      </c>
      <c r="AZ1139" s="68" t="s">
        <v>2371</v>
      </c>
      <c r="BA1139" s="106" t="str">
        <f t="shared" si="607"/>
        <v/>
      </c>
      <c r="BB1139" s="178"/>
      <c r="BC1139" s="177"/>
      <c r="BD1139" s="177"/>
      <c r="BE1139" s="177"/>
      <c r="BF1139" s="177"/>
      <c r="BG1139" s="177">
        <v>4</v>
      </c>
      <c r="BH1139" s="177"/>
      <c r="BI1139" s="33"/>
      <c r="BK1139" s="48">
        <f>$G1139/5280*VLOOKUP($AC1139,'Cost and Score'!$B$27:$O$40,6,0)</f>
        <v>8.0018939393939392E-2</v>
      </c>
      <c r="BL1139" s="48">
        <f>$G1139/5280*VLOOKUP($AC1139,'Cost and Score'!$B$27:$O$40,7,0)</f>
        <v>0</v>
      </c>
      <c r="BM1139" s="48">
        <f>$G1139/5280*VLOOKUP($AC1139,'Cost and Score'!$B$27:$O$40,8,0)</f>
        <v>0</v>
      </c>
      <c r="BN1139" s="48">
        <f>$G1139/5280*VLOOKUP($AC1139,'Cost and Score'!$B$27:$O$40,9,0)</f>
        <v>0</v>
      </c>
      <c r="BO1139" s="48">
        <f>$G1139/5280*VLOOKUP($AC1139,'Cost and Score'!$B$27:$O$40,10,0)</f>
        <v>0</v>
      </c>
      <c r="BP1139" s="48">
        <f>$G1139/5280*VLOOKUP($AC1139,'Cost and Score'!$B$27:$O$40,11,0)</f>
        <v>0</v>
      </c>
      <c r="BQ1139" s="48">
        <f>$G1139/5280*VLOOKUP($AC1139,'Cost and Score'!$B$27:$O$40,12,0)</f>
        <v>0</v>
      </c>
      <c r="BR1139" s="48">
        <f>$G1139/5280*VLOOKUP($AC1139,'Cost and Score'!$B$27:$O$40,13,0)</f>
        <v>0</v>
      </c>
      <c r="BS1139" s="48">
        <f>$G1139/5280*VLOOKUP($AC1139,'Cost and Score'!$B$27:$O$40,14,0)</f>
        <v>0</v>
      </c>
      <c r="BT1139" s="220">
        <f t="shared" si="582"/>
        <v>0.16003787878787878</v>
      </c>
      <c r="BV1139" s="26"/>
      <c r="BW1139" s="26"/>
      <c r="BX1139" s="26"/>
      <c r="BY1139" s="26"/>
      <c r="BZ1139" s="26"/>
      <c r="CA1139" s="26"/>
      <c r="CB1139" s="26"/>
    </row>
    <row r="1140" spans="1:103" s="2" customFormat="1" ht="14.45" hidden="1" customHeight="1" x14ac:dyDescent="0.25">
      <c r="A1140" s="36"/>
      <c r="B1140" s="224" t="s">
        <v>2447</v>
      </c>
      <c r="C1140" s="45" t="s">
        <v>2486</v>
      </c>
      <c r="D1140" s="36" t="s">
        <v>2431</v>
      </c>
      <c r="E1140" s="26" t="s">
        <v>168</v>
      </c>
      <c r="F1140" s="26" t="s">
        <v>99</v>
      </c>
      <c r="G1140" s="29">
        <v>110</v>
      </c>
      <c r="H1140" s="29">
        <v>26</v>
      </c>
      <c r="I1140" s="26"/>
      <c r="J1140" s="26" t="s">
        <v>160</v>
      </c>
      <c r="K1140" s="26">
        <f t="shared" si="609"/>
        <v>0</v>
      </c>
      <c r="L1140" s="42"/>
      <c r="M1140" s="42"/>
      <c r="N1140" s="42"/>
      <c r="O1140" s="42">
        <v>9</v>
      </c>
      <c r="P1140" s="42">
        <v>9</v>
      </c>
      <c r="Q1140" s="42">
        <v>8</v>
      </c>
      <c r="R1140" s="42">
        <v>7</v>
      </c>
      <c r="S1140" s="42">
        <v>8</v>
      </c>
      <c r="T1140" s="42">
        <v>8</v>
      </c>
      <c r="U1140" s="42">
        <v>8</v>
      </c>
      <c r="V1140" s="42"/>
      <c r="W1140" s="42"/>
      <c r="X1140" s="42"/>
      <c r="Y1140" s="26">
        <v>640</v>
      </c>
      <c r="Z1140" s="26"/>
      <c r="AA1140" s="45" t="s">
        <v>2447</v>
      </c>
      <c r="AB1140" s="111">
        <f t="shared" si="576"/>
        <v>1</v>
      </c>
      <c r="AC1140" s="85" t="s">
        <v>2425</v>
      </c>
      <c r="AD1140" s="84">
        <f t="shared" si="610"/>
        <v>520.83333333333337</v>
      </c>
      <c r="AE1140" s="140"/>
      <c r="AF1140" s="113">
        <f t="shared" si="586"/>
        <v>0</v>
      </c>
      <c r="AG1140" s="85">
        <v>2026</v>
      </c>
      <c r="AH1140" s="26" t="str">
        <f t="shared" si="593"/>
        <v/>
      </c>
      <c r="AI1140" s="26" t="str">
        <f t="shared" si="597"/>
        <v/>
      </c>
      <c r="AJ1140" s="26" t="str">
        <f t="shared" si="605"/>
        <v/>
      </c>
      <c r="AK1140" s="26" t="str">
        <f t="shared" si="608"/>
        <v/>
      </c>
      <c r="AL1140" s="26" t="str">
        <f t="shared" si="608"/>
        <v>Liquid Road</v>
      </c>
      <c r="AM1140" s="26" t="str">
        <f t="shared" si="608"/>
        <v/>
      </c>
      <c r="AN1140" s="26" t="str">
        <f t="shared" si="596"/>
        <v>Liquid Road</v>
      </c>
      <c r="AO1140" s="26" t="str">
        <f t="shared" si="606"/>
        <v/>
      </c>
      <c r="AP1140" s="26" t="str">
        <f t="shared" si="602"/>
        <v/>
      </c>
      <c r="AQ1140" s="68">
        <f t="shared" si="599"/>
        <v>14</v>
      </c>
      <c r="AR1140" s="68">
        <f t="shared" si="600"/>
        <v>10</v>
      </c>
      <c r="AS1140" s="68">
        <f t="shared" si="587"/>
        <v>0</v>
      </c>
      <c r="AT1140" s="68">
        <f t="shared" si="588"/>
        <v>0</v>
      </c>
      <c r="AU1140" s="68">
        <f t="shared" si="589"/>
        <v>0</v>
      </c>
      <c r="AV1140" s="68">
        <f t="shared" si="590"/>
        <v>1</v>
      </c>
      <c r="AW1140" s="68">
        <f t="shared" si="591"/>
        <v>1</v>
      </c>
      <c r="AX1140" s="68">
        <f t="shared" ca="1" si="601"/>
        <v>0</v>
      </c>
      <c r="AY1140" s="68">
        <v>2019</v>
      </c>
      <c r="AZ1140" s="68" t="s">
        <v>2075</v>
      </c>
      <c r="BA1140" s="106" t="str">
        <f t="shared" si="607"/>
        <v/>
      </c>
      <c r="BB1140" s="178"/>
      <c r="BC1140" s="177"/>
      <c r="BD1140" s="177"/>
      <c r="BE1140" s="177">
        <v>2</v>
      </c>
      <c r="BF1140" s="177"/>
      <c r="BG1140" s="177"/>
      <c r="BH1140" s="177"/>
      <c r="BI1140" s="46"/>
      <c r="BJ1140" s="28"/>
      <c r="BK1140" s="48">
        <f>$G1140/5280*VLOOKUP($AC1140,'Cost and Score'!$B$27:$O$40,6,0)</f>
        <v>2.0833333333333332E-2</v>
      </c>
      <c r="BL1140" s="48">
        <f>$G1140/5280*VLOOKUP($AC1140,'Cost and Score'!$B$27:$O$40,7,0)</f>
        <v>0.33333333333333331</v>
      </c>
      <c r="BM1140" s="48">
        <f>$G1140/5280*VLOOKUP($AC1140,'Cost and Score'!$B$27:$O$40,8,0)</f>
        <v>0</v>
      </c>
      <c r="BN1140" s="48">
        <f>$G1140/5280*VLOOKUP($AC1140,'Cost and Score'!$B$27:$O$40,9,0)</f>
        <v>0</v>
      </c>
      <c r="BO1140" s="48">
        <f>$G1140/5280*VLOOKUP($AC1140,'Cost and Score'!$B$27:$O$40,10,0)</f>
        <v>0</v>
      </c>
      <c r="BP1140" s="48">
        <f>$G1140/5280*VLOOKUP($AC1140,'Cost and Score'!$B$27:$O$40,11,0)</f>
        <v>0</v>
      </c>
      <c r="BQ1140" s="48">
        <f>$G1140/5280*VLOOKUP($AC1140,'Cost and Score'!$B$27:$O$40,12,0)</f>
        <v>0</v>
      </c>
      <c r="BR1140" s="48">
        <f>$G1140/5280*VLOOKUP($AC1140,'Cost and Score'!$B$27:$O$40,13,0)</f>
        <v>0</v>
      </c>
      <c r="BS1140" s="48">
        <f>$G1140/5280*VLOOKUP($AC1140,'Cost and Score'!$B$27:$O$40,14,0)</f>
        <v>0</v>
      </c>
      <c r="BT1140" s="220">
        <f t="shared" si="582"/>
        <v>2.0833333333333332E-2</v>
      </c>
      <c r="BU1140" s="26"/>
      <c r="CS1140" s="112"/>
      <c r="CT1140" s="112"/>
      <c r="CU1140" s="112"/>
    </row>
    <row r="1141" spans="1:103" s="2" customFormat="1" ht="14.45" hidden="1" customHeight="1" x14ac:dyDescent="0.25">
      <c r="A1141" s="31"/>
      <c r="B1141" s="224" t="s">
        <v>2444</v>
      </c>
      <c r="C1141" s="45" t="s">
        <v>2487</v>
      </c>
      <c r="D1141" s="36" t="s">
        <v>2431</v>
      </c>
      <c r="E1141" s="26" t="s">
        <v>168</v>
      </c>
      <c r="F1141" s="26" t="s">
        <v>99</v>
      </c>
      <c r="G1141" s="29">
        <v>411</v>
      </c>
      <c r="H1141" s="29">
        <v>26</v>
      </c>
      <c r="I1141" s="26"/>
      <c r="J1141" s="26" t="s">
        <v>160</v>
      </c>
      <c r="K1141" s="26">
        <f t="shared" si="609"/>
        <v>0</v>
      </c>
      <c r="L1141" s="42"/>
      <c r="M1141" s="42"/>
      <c r="N1141" s="42"/>
      <c r="O1141" s="42">
        <v>9</v>
      </c>
      <c r="P1141" s="42">
        <v>9</v>
      </c>
      <c r="Q1141" s="42">
        <v>8</v>
      </c>
      <c r="R1141" s="42">
        <v>7</v>
      </c>
      <c r="S1141" s="42">
        <v>8</v>
      </c>
      <c r="T1141" s="42">
        <v>8</v>
      </c>
      <c r="U1141" s="42">
        <v>8</v>
      </c>
      <c r="V1141" s="42"/>
      <c r="W1141" s="42"/>
      <c r="X1141" s="42"/>
      <c r="Y1141" s="26">
        <v>640</v>
      </c>
      <c r="Z1141" s="26"/>
      <c r="AA1141" s="34" t="s">
        <v>2444</v>
      </c>
      <c r="AB1141" s="111">
        <f t="shared" ref="AB1141:AB1163" si="611">(10-P1141)+Z1141+K1141</f>
        <v>1</v>
      </c>
      <c r="AC1141" s="85" t="s">
        <v>2425</v>
      </c>
      <c r="AD1141" s="84">
        <f t="shared" si="610"/>
        <v>1946.0227272727273</v>
      </c>
      <c r="AE1141" s="140"/>
      <c r="AF1141" s="113">
        <f t="shared" si="586"/>
        <v>0</v>
      </c>
      <c r="AG1141" s="85">
        <v>2026</v>
      </c>
      <c r="AH1141" s="26" t="str">
        <f t="shared" si="593"/>
        <v/>
      </c>
      <c r="AI1141" s="26" t="str">
        <f t="shared" si="597"/>
        <v/>
      </c>
      <c r="AJ1141" s="26" t="str">
        <f t="shared" si="605"/>
        <v/>
      </c>
      <c r="AK1141" s="26" t="str">
        <f t="shared" si="608"/>
        <v/>
      </c>
      <c r="AL1141" s="26" t="str">
        <f t="shared" si="608"/>
        <v>Liquid Road</v>
      </c>
      <c r="AM1141" s="26" t="str">
        <f t="shared" si="608"/>
        <v/>
      </c>
      <c r="AN1141" s="26" t="str">
        <f t="shared" si="596"/>
        <v>Liquid Road</v>
      </c>
      <c r="AO1141" s="26" t="str">
        <f t="shared" si="606"/>
        <v/>
      </c>
      <c r="AP1141" s="26" t="str">
        <f t="shared" si="602"/>
        <v/>
      </c>
      <c r="AQ1141" s="68">
        <f t="shared" si="599"/>
        <v>14</v>
      </c>
      <c r="AR1141" s="68">
        <f t="shared" si="600"/>
        <v>10</v>
      </c>
      <c r="AS1141" s="68">
        <f t="shared" si="587"/>
        <v>0</v>
      </c>
      <c r="AT1141" s="68">
        <f t="shared" si="588"/>
        <v>0</v>
      </c>
      <c r="AU1141" s="68">
        <f t="shared" si="589"/>
        <v>0</v>
      </c>
      <c r="AV1141" s="68">
        <f t="shared" si="590"/>
        <v>1</v>
      </c>
      <c r="AW1141" s="68">
        <f t="shared" si="591"/>
        <v>1</v>
      </c>
      <c r="AX1141" s="68">
        <f t="shared" ca="1" si="601"/>
        <v>0</v>
      </c>
      <c r="AY1141" s="68">
        <v>2020</v>
      </c>
      <c r="AZ1141" s="68" t="s">
        <v>2075</v>
      </c>
      <c r="BA1141" s="106" t="str">
        <f t="shared" si="607"/>
        <v/>
      </c>
      <c r="BB1141" s="178"/>
      <c r="BC1141" s="177"/>
      <c r="BD1141" s="177"/>
      <c r="BE1141" s="177">
        <v>2</v>
      </c>
      <c r="BF1141" s="177"/>
      <c r="BG1141" s="177"/>
      <c r="BH1141" s="177"/>
      <c r="BI1141" s="46"/>
      <c r="BJ1141" s="28"/>
      <c r="BK1141" s="48">
        <f>$G1141/5280*VLOOKUP($AC1141,'Cost and Score'!$B$27:$O$40,6,0)</f>
        <v>7.7840909090909086E-2</v>
      </c>
      <c r="BL1141" s="48">
        <f>$G1141/5280*VLOOKUP($AC1141,'Cost and Score'!$B$27:$O$40,7,0)</f>
        <v>1.2454545454545454</v>
      </c>
      <c r="BM1141" s="48">
        <f>$G1141/5280*VLOOKUP($AC1141,'Cost and Score'!$B$27:$O$40,8,0)</f>
        <v>0</v>
      </c>
      <c r="BN1141" s="48">
        <f>$G1141/5280*VLOOKUP($AC1141,'Cost and Score'!$B$27:$O$40,9,0)</f>
        <v>0</v>
      </c>
      <c r="BO1141" s="48">
        <f>$G1141/5280*VLOOKUP($AC1141,'Cost and Score'!$B$27:$O$40,10,0)</f>
        <v>0</v>
      </c>
      <c r="BP1141" s="48">
        <f>$G1141/5280*VLOOKUP($AC1141,'Cost and Score'!$B$27:$O$40,11,0)</f>
        <v>0</v>
      </c>
      <c r="BQ1141" s="48">
        <f>$G1141/5280*VLOOKUP($AC1141,'Cost and Score'!$B$27:$O$40,12,0)</f>
        <v>0</v>
      </c>
      <c r="BR1141" s="48">
        <f>$G1141/5280*VLOOKUP($AC1141,'Cost and Score'!$B$27:$O$40,13,0)</f>
        <v>0</v>
      </c>
      <c r="BS1141" s="48">
        <f>$G1141/5280*VLOOKUP($AC1141,'Cost and Score'!$B$27:$O$40,14,0)</f>
        <v>0</v>
      </c>
      <c r="BT1141" s="220">
        <f t="shared" si="582"/>
        <v>7.7840909090909086E-2</v>
      </c>
      <c r="CR1141" s="112"/>
    </row>
    <row r="1142" spans="1:103" s="2" customFormat="1" ht="14.45" hidden="1" customHeight="1" x14ac:dyDescent="0.25">
      <c r="A1142" s="31" t="s">
        <v>2102</v>
      </c>
      <c r="B1142" s="224" t="s">
        <v>2026</v>
      </c>
      <c r="C1142" s="26" t="s">
        <v>2026</v>
      </c>
      <c r="D1142" s="36" t="s">
        <v>2297</v>
      </c>
      <c r="E1142" s="26" t="s">
        <v>1933</v>
      </c>
      <c r="F1142" s="26" t="s">
        <v>1408</v>
      </c>
      <c r="G1142" s="29">
        <v>739</v>
      </c>
      <c r="H1142" s="29">
        <f>IF(I1142="NC",26,20)</f>
        <v>26</v>
      </c>
      <c r="I1142" s="26" t="s">
        <v>2098</v>
      </c>
      <c r="J1142" s="26" t="s">
        <v>125</v>
      </c>
      <c r="K1142" s="26">
        <f t="shared" si="609"/>
        <v>0</v>
      </c>
      <c r="L1142" s="42">
        <v>6</v>
      </c>
      <c r="M1142" s="42">
        <v>5</v>
      </c>
      <c r="N1142" s="42">
        <v>5</v>
      </c>
      <c r="O1142" s="42">
        <v>9</v>
      </c>
      <c r="P1142" s="42">
        <v>8</v>
      </c>
      <c r="Q1142" s="42">
        <v>7</v>
      </c>
      <c r="R1142" s="42">
        <v>7</v>
      </c>
      <c r="S1142" s="42">
        <v>7</v>
      </c>
      <c r="T1142" s="42">
        <v>7</v>
      </c>
      <c r="U1142" s="42">
        <v>7</v>
      </c>
      <c r="V1142" s="42"/>
      <c r="W1142" s="42"/>
      <c r="X1142" s="42"/>
      <c r="Y1142" s="26">
        <v>50</v>
      </c>
      <c r="Z1142" s="26">
        <f t="shared" ref="Z1142:Z1162" si="612">VLOOKUP(Y1142,AADT,2)</f>
        <v>0</v>
      </c>
      <c r="AA1142" s="26" t="s">
        <v>2026</v>
      </c>
      <c r="AB1142" s="111">
        <f t="shared" si="611"/>
        <v>2</v>
      </c>
      <c r="AC1142" s="85" t="s">
        <v>2425</v>
      </c>
      <c r="AD1142" s="47">
        <f t="shared" si="610"/>
        <v>3499.0530303030305</v>
      </c>
      <c r="AE1142" s="140"/>
      <c r="AF1142" s="113">
        <f t="shared" si="586"/>
        <v>0</v>
      </c>
      <c r="AG1142" s="85">
        <v>2026</v>
      </c>
      <c r="AH1142" s="26" t="str">
        <f t="shared" si="593"/>
        <v/>
      </c>
      <c r="AI1142" s="26" t="str">
        <f t="shared" si="597"/>
        <v/>
      </c>
      <c r="AJ1142" s="26" t="str">
        <f t="shared" si="605"/>
        <v/>
      </c>
      <c r="AK1142" s="26" t="str">
        <f t="shared" si="608"/>
        <v/>
      </c>
      <c r="AL1142" s="26" t="str">
        <f t="shared" si="608"/>
        <v>Liquid Road</v>
      </c>
      <c r="AM1142" s="26" t="str">
        <f t="shared" si="608"/>
        <v/>
      </c>
      <c r="AN1142" s="26" t="str">
        <f t="shared" si="596"/>
        <v>Liquid Road</v>
      </c>
      <c r="AO1142" s="26" t="str">
        <f t="shared" si="606"/>
        <v/>
      </c>
      <c r="AP1142" s="26" t="str">
        <f t="shared" si="602"/>
        <v/>
      </c>
      <c r="AQ1142" s="68">
        <f t="shared" si="599"/>
        <v>14</v>
      </c>
      <c r="AR1142" s="68">
        <f t="shared" si="600"/>
        <v>10</v>
      </c>
      <c r="AS1142" s="68">
        <f t="shared" si="587"/>
        <v>1.1000000000000001</v>
      </c>
      <c r="AT1142" s="68">
        <f t="shared" si="588"/>
        <v>1.25</v>
      </c>
      <c r="AU1142" s="68">
        <f t="shared" si="589"/>
        <v>1.25</v>
      </c>
      <c r="AV1142" s="68">
        <f t="shared" si="590"/>
        <v>1</v>
      </c>
      <c r="AW1142" s="68">
        <f t="shared" si="591"/>
        <v>1</v>
      </c>
      <c r="AX1142" s="68">
        <f t="shared" ca="1" si="601"/>
        <v>2.5</v>
      </c>
      <c r="AY1142" s="68">
        <v>2016</v>
      </c>
      <c r="AZ1142" s="68" t="s">
        <v>751</v>
      </c>
      <c r="BA1142" s="106" t="str">
        <f t="shared" si="607"/>
        <v/>
      </c>
      <c r="BB1142" s="178"/>
      <c r="BC1142" s="177"/>
      <c r="BD1142" s="177"/>
      <c r="BE1142" s="177"/>
      <c r="BF1142" s="177"/>
      <c r="BG1142" s="177">
        <v>4</v>
      </c>
      <c r="BH1142" s="177"/>
      <c r="BI1142" s="33"/>
      <c r="BK1142" s="48">
        <f>$G1142/5280*VLOOKUP($AC1142,'Cost and Score'!$B$27:$O$40,6,0)</f>
        <v>0.1399621212121212</v>
      </c>
      <c r="BL1142" s="48">
        <f>$G1142/5280*VLOOKUP($AC1142,'Cost and Score'!$B$27:$O$40,7,0)</f>
        <v>2.2393939393939393</v>
      </c>
      <c r="BM1142" s="48">
        <f>$G1142/5280*VLOOKUP($AC1142,'Cost and Score'!$B$27:$O$40,8,0)</f>
        <v>0</v>
      </c>
      <c r="BN1142" s="48">
        <f>$G1142/5280*VLOOKUP($AC1142,'Cost and Score'!$B$27:$O$40,9,0)</f>
        <v>0</v>
      </c>
      <c r="BO1142" s="48">
        <f>$G1142/5280*VLOOKUP($AC1142,'Cost and Score'!$B$27:$O$40,10,0)</f>
        <v>0</v>
      </c>
      <c r="BP1142" s="48">
        <f>$G1142/5280*VLOOKUP($AC1142,'Cost and Score'!$B$27:$O$40,11,0)</f>
        <v>0</v>
      </c>
      <c r="BQ1142" s="48">
        <f>$G1142/5280*VLOOKUP($AC1142,'Cost and Score'!$B$27:$O$40,12,0)</f>
        <v>0</v>
      </c>
      <c r="BR1142" s="48">
        <f>$G1142/5280*VLOOKUP($AC1142,'Cost and Score'!$B$27:$O$40,13,0)</f>
        <v>0</v>
      </c>
      <c r="BS1142" s="48">
        <f>$G1142/5280*VLOOKUP($AC1142,'Cost and Score'!$B$27:$O$40,14,0)</f>
        <v>0</v>
      </c>
      <c r="BT1142" s="220">
        <f t="shared" si="582"/>
        <v>0.1399621212121212</v>
      </c>
    </row>
    <row r="1143" spans="1:103" s="2" customFormat="1" ht="14.45" hidden="1" customHeight="1" x14ac:dyDescent="0.25">
      <c r="A1143" s="31" t="s">
        <v>2102</v>
      </c>
      <c r="B1143" s="224" t="s">
        <v>2027</v>
      </c>
      <c r="C1143" s="26" t="s">
        <v>2027</v>
      </c>
      <c r="D1143" s="36" t="s">
        <v>2247</v>
      </c>
      <c r="E1143" s="26" t="s">
        <v>1504</v>
      </c>
      <c r="F1143" s="26" t="s">
        <v>1502</v>
      </c>
      <c r="G1143" s="29">
        <v>1320</v>
      </c>
      <c r="H1143" s="29">
        <f>IF(I1143="NC",26,20)</f>
        <v>26</v>
      </c>
      <c r="I1143" s="26" t="s">
        <v>2098</v>
      </c>
      <c r="J1143" s="26" t="s">
        <v>160</v>
      </c>
      <c r="K1143" s="26">
        <f t="shared" si="609"/>
        <v>0</v>
      </c>
      <c r="L1143" s="42">
        <v>7</v>
      </c>
      <c r="M1143" s="42">
        <v>7</v>
      </c>
      <c r="N1143" s="42">
        <v>7</v>
      </c>
      <c r="O1143" s="42">
        <v>8</v>
      </c>
      <c r="P1143" s="42">
        <v>8</v>
      </c>
      <c r="Q1143" s="42">
        <v>7</v>
      </c>
      <c r="R1143" s="42">
        <v>7</v>
      </c>
      <c r="S1143" s="42">
        <v>7</v>
      </c>
      <c r="T1143" s="42">
        <v>7</v>
      </c>
      <c r="U1143" s="42">
        <v>7</v>
      </c>
      <c r="V1143" s="42"/>
      <c r="W1143" s="42"/>
      <c r="X1143" s="42"/>
      <c r="Y1143" s="26">
        <v>240</v>
      </c>
      <c r="Z1143" s="26">
        <f t="shared" si="612"/>
        <v>0</v>
      </c>
      <c r="AA1143" s="26" t="s">
        <v>2027</v>
      </c>
      <c r="AB1143" s="111">
        <f t="shared" si="611"/>
        <v>2</v>
      </c>
      <c r="AC1143" s="85" t="s">
        <v>2489</v>
      </c>
      <c r="AD1143" s="47">
        <f t="shared" si="610"/>
        <v>6250</v>
      </c>
      <c r="AE1143" s="140"/>
      <c r="AF1143" s="113">
        <f t="shared" si="586"/>
        <v>0</v>
      </c>
      <c r="AG1143" s="85">
        <v>2026</v>
      </c>
      <c r="AH1143" s="26" t="str">
        <f t="shared" si="593"/>
        <v/>
      </c>
      <c r="AI1143" s="26" t="str">
        <f t="shared" si="597"/>
        <v/>
      </c>
      <c r="AJ1143" s="26" t="str">
        <f t="shared" si="605"/>
        <v/>
      </c>
      <c r="AK1143" s="26" t="str">
        <f t="shared" si="608"/>
        <v/>
      </c>
      <c r="AL1143" s="26" t="str">
        <f t="shared" si="608"/>
        <v>Liquid Road</v>
      </c>
      <c r="AM1143" s="26" t="str">
        <f t="shared" si="608"/>
        <v/>
      </c>
      <c r="AN1143" s="26" t="str">
        <f t="shared" si="596"/>
        <v>Liquid Road</v>
      </c>
      <c r="AO1143" s="26" t="str">
        <f t="shared" si="606"/>
        <v/>
      </c>
      <c r="AP1143" s="26" t="str">
        <f t="shared" si="602"/>
        <v/>
      </c>
      <c r="AQ1143" s="68">
        <f t="shared" si="599"/>
        <v>12</v>
      </c>
      <c r="AR1143" s="68">
        <f t="shared" si="600"/>
        <v>10</v>
      </c>
      <c r="AS1143" s="68">
        <f t="shared" si="587"/>
        <v>1.05</v>
      </c>
      <c r="AT1143" s="68">
        <f t="shared" si="588"/>
        <v>1.05</v>
      </c>
      <c r="AU1143" s="68">
        <f t="shared" si="589"/>
        <v>1.05</v>
      </c>
      <c r="AV1143" s="68">
        <f t="shared" si="590"/>
        <v>1</v>
      </c>
      <c r="AW1143" s="68">
        <f t="shared" si="591"/>
        <v>1</v>
      </c>
      <c r="AX1143" s="68">
        <f t="shared" ca="1" si="601"/>
        <v>2.1</v>
      </c>
      <c r="AY1143" s="68">
        <v>2016</v>
      </c>
      <c r="AZ1143" s="68" t="s">
        <v>2371</v>
      </c>
      <c r="BA1143" s="106" t="str">
        <f t="shared" si="607"/>
        <v/>
      </c>
      <c r="BB1143" s="178"/>
      <c r="BC1143" s="177"/>
      <c r="BD1143" s="177"/>
      <c r="BE1143" s="177">
        <v>2</v>
      </c>
      <c r="BF1143" s="177"/>
      <c r="BG1143" s="177"/>
      <c r="BH1143" s="177"/>
      <c r="BI1143" s="33"/>
      <c r="BK1143" s="48">
        <f>$G1143/5280*VLOOKUP($AC1143,'Cost and Score'!$B$27:$O$40,6,0)</f>
        <v>0.25</v>
      </c>
      <c r="BL1143" s="48">
        <f>$G1143/5280*VLOOKUP($AC1143,'Cost and Score'!$B$27:$O$40,7,0)</f>
        <v>4</v>
      </c>
      <c r="BM1143" s="48">
        <f>$G1143/5280*VLOOKUP($AC1143,'Cost and Score'!$B$27:$O$40,8,0)</f>
        <v>0</v>
      </c>
      <c r="BN1143" s="48">
        <f>$G1143/5280*VLOOKUP($AC1143,'Cost and Score'!$B$27:$O$40,9,0)</f>
        <v>0</v>
      </c>
      <c r="BO1143" s="48">
        <f>$G1143/5280*VLOOKUP($AC1143,'Cost and Score'!$B$27:$O$40,10,0)</f>
        <v>0</v>
      </c>
      <c r="BP1143" s="48">
        <f>$G1143/5280*VLOOKUP($AC1143,'Cost and Score'!$B$27:$O$40,11,0)</f>
        <v>0</v>
      </c>
      <c r="BQ1143" s="48">
        <f>$G1143/5280*VLOOKUP($AC1143,'Cost and Score'!$B$27:$O$40,12,0)</f>
        <v>0</v>
      </c>
      <c r="BR1143" s="48">
        <f>$G1143/5280*VLOOKUP($AC1143,'Cost and Score'!$B$27:$O$40,13,0)</f>
        <v>0</v>
      </c>
      <c r="BS1143" s="48">
        <f>$G1143/5280*VLOOKUP($AC1143,'Cost and Score'!$B$27:$O$40,14,0)</f>
        <v>0</v>
      </c>
      <c r="BT1143" s="220">
        <f t="shared" si="582"/>
        <v>0.25</v>
      </c>
      <c r="CF1143" s="112"/>
      <c r="CW1143" s="112"/>
      <c r="CX1143" s="112"/>
      <c r="CY1143" s="112"/>
    </row>
    <row r="1144" spans="1:103" s="112" customFormat="1" ht="14.45" customHeight="1" x14ac:dyDescent="0.25">
      <c r="A1144" s="36" t="s">
        <v>80</v>
      </c>
      <c r="B1144" s="34" t="s">
        <v>78</v>
      </c>
      <c r="C1144" s="85" t="s">
        <v>78</v>
      </c>
      <c r="D1144" s="85"/>
      <c r="E1144" s="85" t="s">
        <v>76</v>
      </c>
      <c r="F1144" s="85" t="s">
        <v>79</v>
      </c>
      <c r="G1144" s="29">
        <v>2798</v>
      </c>
      <c r="H1144" s="29">
        <f>IF(I1144="NC",26,20)</f>
        <v>20</v>
      </c>
      <c r="I1144" s="85" t="s">
        <v>8</v>
      </c>
      <c r="J1144" s="85" t="s">
        <v>17</v>
      </c>
      <c r="K1144" s="85">
        <f t="shared" si="609"/>
        <v>0</v>
      </c>
      <c r="L1144" s="74">
        <v>8</v>
      </c>
      <c r="M1144" s="74">
        <v>7</v>
      </c>
      <c r="N1144" s="74">
        <v>7</v>
      </c>
      <c r="O1144" s="74">
        <v>7</v>
      </c>
      <c r="P1144" s="74">
        <v>7</v>
      </c>
      <c r="Q1144" s="74">
        <v>6</v>
      </c>
      <c r="R1144" s="74">
        <v>6</v>
      </c>
      <c r="S1144" s="74">
        <v>6</v>
      </c>
      <c r="T1144" s="74">
        <v>6</v>
      </c>
      <c r="U1144" s="74">
        <v>6</v>
      </c>
      <c r="V1144" s="74">
        <v>2022</v>
      </c>
      <c r="W1144" s="74">
        <v>2022</v>
      </c>
      <c r="X1144" s="74" t="s">
        <v>2612</v>
      </c>
      <c r="Y1144" s="85">
        <v>125</v>
      </c>
      <c r="Z1144" s="85">
        <f t="shared" si="612"/>
        <v>0</v>
      </c>
      <c r="AA1144" s="85" t="s">
        <v>20</v>
      </c>
      <c r="AB1144" s="111">
        <f t="shared" si="611"/>
        <v>3</v>
      </c>
      <c r="AC1144" s="85" t="s">
        <v>2072</v>
      </c>
      <c r="AD1144" s="47">
        <f t="shared" si="610"/>
        <v>24376.515151515152</v>
      </c>
      <c r="AE1144" s="140"/>
      <c r="AF1144" s="113">
        <f t="shared" si="586"/>
        <v>0</v>
      </c>
      <c r="AG1144" s="106">
        <v>2025</v>
      </c>
      <c r="AH1144" s="26" t="str">
        <f t="shared" si="593"/>
        <v/>
      </c>
      <c r="AI1144" s="26" t="str">
        <f t="shared" si="597"/>
        <v/>
      </c>
      <c r="AJ1144" s="26" t="str">
        <f t="shared" si="605"/>
        <v/>
      </c>
      <c r="AK1144" s="26" t="str">
        <f t="shared" si="608"/>
        <v>Chip Seal - Triple</v>
      </c>
      <c r="AL1144" s="26" t="str">
        <f t="shared" si="608"/>
        <v/>
      </c>
      <c r="AM1144" s="26" t="str">
        <f t="shared" si="608"/>
        <v/>
      </c>
      <c r="AN1144" s="26" t="str">
        <f t="shared" si="596"/>
        <v>Chip Seal - Triple</v>
      </c>
      <c r="AO1144" s="26" t="str">
        <f t="shared" si="606"/>
        <v/>
      </c>
      <c r="AP1144" s="26" t="str">
        <f t="shared" si="602"/>
        <v/>
      </c>
      <c r="AQ1144" s="68">
        <f t="shared" si="599"/>
        <v>10</v>
      </c>
      <c r="AR1144" s="68">
        <f t="shared" si="600"/>
        <v>8</v>
      </c>
      <c r="AS1144" s="68">
        <f t="shared" si="587"/>
        <v>1</v>
      </c>
      <c r="AT1144" s="68">
        <f t="shared" si="588"/>
        <v>1.05</v>
      </c>
      <c r="AU1144" s="68">
        <f t="shared" si="589"/>
        <v>1.05</v>
      </c>
      <c r="AV1144" s="68">
        <f t="shared" si="590"/>
        <v>1.05</v>
      </c>
      <c r="AW1144" s="68">
        <f t="shared" si="591"/>
        <v>1.05</v>
      </c>
      <c r="AX1144" s="68">
        <f t="shared" ca="1" si="601"/>
        <v>1.05</v>
      </c>
      <c r="AY1144" s="106">
        <v>2019</v>
      </c>
      <c r="AZ1144" s="106" t="s">
        <v>2075</v>
      </c>
      <c r="BA1144" s="106" t="str">
        <f t="shared" si="607"/>
        <v/>
      </c>
      <c r="BB1144" s="177"/>
      <c r="BC1144" s="177">
        <v>1</v>
      </c>
      <c r="BD1144" s="177"/>
      <c r="BE1144" s="177"/>
      <c r="BF1144" s="177"/>
      <c r="BG1144" s="177"/>
      <c r="BH1144" s="177"/>
      <c r="BI1144" s="33" t="s">
        <v>2100</v>
      </c>
      <c r="BJ1144" s="2"/>
      <c r="BK1144" s="48">
        <f>$G1144/5280*VLOOKUP($AC1144,'Cost and Score'!$B$27:$O$40,6,0)</f>
        <v>0.31795454545454543</v>
      </c>
      <c r="BL1144" s="48">
        <f>$G1144/5280*VLOOKUP($AC1144,'Cost and Score'!$B$27:$O$40,7,0)</f>
        <v>66.240530303030297</v>
      </c>
      <c r="BM1144" s="48">
        <f>$G1144/5280*VLOOKUP($AC1144,'Cost and Score'!$B$27:$O$40,8,0)</f>
        <v>105.98484848484848</v>
      </c>
      <c r="BN1144" s="48">
        <f>$G1144/5280*VLOOKUP($AC1144,'Cost and Score'!$B$27:$O$40,9,0)</f>
        <v>1059.8484848484848</v>
      </c>
      <c r="BO1144" s="48">
        <f>$G1144/5280*VLOOKUP($AC1144,'Cost and Score'!$B$27:$O$40,10,0)</f>
        <v>264.96212121212119</v>
      </c>
      <c r="BP1144" s="48">
        <f>$G1144/5280*VLOOKUP($AC1144,'Cost and Score'!$B$27:$O$40,11,0)</f>
        <v>52.992424242424242</v>
      </c>
      <c r="BQ1144" s="48">
        <f>$G1144/5280*VLOOKUP($AC1144,'Cost and Score'!$B$27:$O$40,12,0)</f>
        <v>423.93939393939394</v>
      </c>
      <c r="BR1144" s="48">
        <f>$G1144/5280*VLOOKUP($AC1144,'Cost and Score'!$B$27:$O$40,13,0)</f>
        <v>42.393939393939391</v>
      </c>
      <c r="BS1144" s="48">
        <f>$G1144/5280*VLOOKUP($AC1144,'Cost and Score'!$B$27:$O$40,14,0)</f>
        <v>0</v>
      </c>
      <c r="BT1144" s="220">
        <f t="shared" si="582"/>
        <v>0.52992424242424241</v>
      </c>
      <c r="BU1144" s="2"/>
      <c r="BV1144" s="2"/>
      <c r="BW1144" s="2"/>
      <c r="BX1144" s="2"/>
      <c r="BY1144" s="2">
        <v>2</v>
      </c>
      <c r="BZ1144" s="2" t="s">
        <v>751</v>
      </c>
      <c r="CA1144" s="2"/>
      <c r="CB1144" s="2">
        <v>2</v>
      </c>
      <c r="CC1144" s="2" t="s">
        <v>751</v>
      </c>
      <c r="CD1144" s="2"/>
      <c r="CE1144" s="2">
        <v>2</v>
      </c>
      <c r="CF1144" s="2" t="s">
        <v>2077</v>
      </c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</row>
    <row r="1145" spans="1:103" s="2" customFormat="1" ht="14.45" hidden="1" customHeight="1" x14ac:dyDescent="0.25">
      <c r="A1145" s="38" t="s">
        <v>2102</v>
      </c>
      <c r="B1145" s="34" t="s">
        <v>2030</v>
      </c>
      <c r="C1145" s="26" t="s">
        <v>2030</v>
      </c>
      <c r="D1145" s="26"/>
      <c r="E1145" s="26" t="s">
        <v>86</v>
      </c>
      <c r="F1145" s="26" t="s">
        <v>1418</v>
      </c>
      <c r="G1145" s="29">
        <v>614</v>
      </c>
      <c r="H1145" s="29">
        <f>IF(I1145="NC",26,20)</f>
        <v>20</v>
      </c>
      <c r="I1145" s="26" t="s">
        <v>13</v>
      </c>
      <c r="J1145" s="26" t="s">
        <v>101</v>
      </c>
      <c r="K1145" s="26">
        <v>0</v>
      </c>
      <c r="L1145" s="42">
        <v>7</v>
      </c>
      <c r="M1145" s="42">
        <v>6</v>
      </c>
      <c r="N1145" s="42">
        <v>6</v>
      </c>
      <c r="O1145" s="42">
        <v>6</v>
      </c>
      <c r="P1145" s="42">
        <v>6</v>
      </c>
      <c r="Q1145" s="42">
        <v>6</v>
      </c>
      <c r="R1145" s="42">
        <v>6</v>
      </c>
      <c r="S1145" s="42">
        <v>6</v>
      </c>
      <c r="T1145" s="42">
        <v>6</v>
      </c>
      <c r="U1145" s="42">
        <v>6</v>
      </c>
      <c r="V1145" s="42"/>
      <c r="W1145" s="42"/>
      <c r="X1145" s="42"/>
      <c r="Y1145" s="26">
        <v>50</v>
      </c>
      <c r="Z1145" s="26">
        <f t="shared" si="612"/>
        <v>0</v>
      </c>
      <c r="AA1145" s="26" t="s">
        <v>2031</v>
      </c>
      <c r="AB1145" s="111">
        <f t="shared" si="611"/>
        <v>4</v>
      </c>
      <c r="AC1145" s="26" t="s">
        <v>2073</v>
      </c>
      <c r="AD1145" s="47">
        <f t="shared" si="610"/>
        <v>3721.212121212121</v>
      </c>
      <c r="AE1145" s="140"/>
      <c r="AF1145" s="113">
        <f t="shared" si="586"/>
        <v>0</v>
      </c>
      <c r="AG1145" s="26">
        <v>2022</v>
      </c>
      <c r="AH1145" s="26" t="str">
        <f t="shared" si="593"/>
        <v>Chip Seal - Double and Fog</v>
      </c>
      <c r="AI1145" s="26" t="str">
        <f t="shared" si="597"/>
        <v/>
      </c>
      <c r="AJ1145" s="26" t="str">
        <f t="shared" si="605"/>
        <v/>
      </c>
      <c r="AK1145" s="26" t="str">
        <f t="shared" si="608"/>
        <v/>
      </c>
      <c r="AL1145" s="26" t="str">
        <f t="shared" si="608"/>
        <v/>
      </c>
      <c r="AM1145" s="26" t="str">
        <f t="shared" si="608"/>
        <v/>
      </c>
      <c r="AN1145" s="26" t="str">
        <f t="shared" si="596"/>
        <v>Chip Seal - Double and Fog</v>
      </c>
      <c r="AO1145" s="26" t="str">
        <f t="shared" si="606"/>
        <v/>
      </c>
      <c r="AP1145" s="26" t="str">
        <f t="shared" si="602"/>
        <v/>
      </c>
      <c r="AQ1145" s="68">
        <f t="shared" si="599"/>
        <v>8</v>
      </c>
      <c r="AR1145" s="68">
        <f t="shared" si="600"/>
        <v>6</v>
      </c>
      <c r="AS1145" s="68">
        <f t="shared" si="587"/>
        <v>1.05</v>
      </c>
      <c r="AT1145" s="68">
        <f t="shared" si="588"/>
        <v>1.1000000000000001</v>
      </c>
      <c r="AU1145" s="68">
        <f t="shared" si="589"/>
        <v>1.1000000000000001</v>
      </c>
      <c r="AV1145" s="68">
        <f t="shared" si="590"/>
        <v>1.1000000000000001</v>
      </c>
      <c r="AW1145" s="68">
        <f t="shared" si="591"/>
        <v>1.1000000000000001</v>
      </c>
      <c r="AX1145" s="68">
        <f t="shared" ca="1" si="601"/>
        <v>-2.2000000000000002</v>
      </c>
      <c r="AY1145" s="68"/>
      <c r="AZ1145" s="68"/>
      <c r="BA1145" s="106" t="str">
        <f t="shared" si="607"/>
        <v/>
      </c>
      <c r="BB1145" s="178"/>
      <c r="BC1145" s="178"/>
      <c r="BD1145" s="178"/>
      <c r="BE1145" s="178"/>
      <c r="BF1145" s="178"/>
      <c r="BG1145" s="178"/>
      <c r="BH1145" s="178"/>
      <c r="BI1145" s="33"/>
      <c r="BK1145" s="48">
        <f>$G1145/5280*VLOOKUP($AC1145,'Cost and Score'!$B$27:$O$40,6,0)</f>
        <v>5.8143939393939394E-2</v>
      </c>
      <c r="BL1145" s="48">
        <f>$G1145/5280*VLOOKUP($AC1145,'Cost and Score'!$B$27:$O$40,7,0)</f>
        <v>5.8143939393939394</v>
      </c>
      <c r="BM1145" s="48">
        <f>$G1145/5280*VLOOKUP($AC1145,'Cost and Score'!$B$27:$O$40,8,0)</f>
        <v>0</v>
      </c>
      <c r="BN1145" s="48">
        <f>$G1145/5280*VLOOKUP($AC1145,'Cost and Score'!$B$27:$O$40,9,0)</f>
        <v>1104.7348484848485</v>
      </c>
      <c r="BO1145" s="48">
        <f>$G1145/5280*VLOOKUP($AC1145,'Cost and Score'!$B$27:$O$40,10,0)</f>
        <v>116.28787878787878</v>
      </c>
      <c r="BP1145" s="48">
        <f>$G1145/5280*VLOOKUP($AC1145,'Cost and Score'!$B$27:$O$40,11,0)</f>
        <v>0</v>
      </c>
      <c r="BQ1145" s="48">
        <f>$G1145/5280*VLOOKUP($AC1145,'Cost and Score'!$B$27:$O$40,12,0)</f>
        <v>23.257575757575758</v>
      </c>
      <c r="BR1145" s="48">
        <f>$G1145/5280*VLOOKUP($AC1145,'Cost and Score'!$B$27:$O$40,13,0)</f>
        <v>20.931818181818183</v>
      </c>
      <c r="BS1145" s="48">
        <f>$G1145/5280*VLOOKUP($AC1145,'Cost and Score'!$B$27:$O$40,14,0)</f>
        <v>27.90909090909091</v>
      </c>
      <c r="BT1145" s="220">
        <f t="shared" si="582"/>
        <v>0.11628787878787879</v>
      </c>
      <c r="CN1145" s="112"/>
      <c r="CO1145" s="112"/>
      <c r="CP1145" s="112"/>
      <c r="CQ1145" s="112"/>
      <c r="CS1145" s="112"/>
      <c r="CT1145" s="112"/>
      <c r="CU1145" s="112"/>
      <c r="CV1145" s="112"/>
    </row>
    <row r="1146" spans="1:103" s="112" customFormat="1" hidden="1" x14ac:dyDescent="0.25">
      <c r="A1146" s="31" t="s">
        <v>2102</v>
      </c>
      <c r="B1146" s="226" t="s">
        <v>2032</v>
      </c>
      <c r="C1146" s="106" t="s">
        <v>2032</v>
      </c>
      <c r="D1146" s="116" t="s">
        <v>2230</v>
      </c>
      <c r="E1146" s="106" t="s">
        <v>4</v>
      </c>
      <c r="F1146" s="106" t="s">
        <v>1804</v>
      </c>
      <c r="G1146" s="109">
        <v>845</v>
      </c>
      <c r="H1146" s="109">
        <f>IF(I1146="NC",26,20)</f>
        <v>26</v>
      </c>
      <c r="I1146" s="106" t="s">
        <v>2098</v>
      </c>
      <c r="J1146" s="106" t="s">
        <v>101</v>
      </c>
      <c r="K1146" s="106">
        <v>0</v>
      </c>
      <c r="L1146" s="110">
        <v>7</v>
      </c>
      <c r="M1146" s="110">
        <v>8</v>
      </c>
      <c r="N1146" s="110">
        <v>8</v>
      </c>
      <c r="O1146" s="110">
        <v>7</v>
      </c>
      <c r="P1146" s="110">
        <v>8</v>
      </c>
      <c r="Q1146" s="110">
        <v>7</v>
      </c>
      <c r="R1146" s="110">
        <v>7</v>
      </c>
      <c r="S1146" s="110">
        <v>7</v>
      </c>
      <c r="T1146" s="110">
        <v>7</v>
      </c>
      <c r="U1146" s="110">
        <v>7</v>
      </c>
      <c r="V1146" s="110"/>
      <c r="W1146" s="110"/>
      <c r="X1146" s="110"/>
      <c r="Y1146" s="106">
        <v>50</v>
      </c>
      <c r="Z1146" s="106">
        <f t="shared" si="612"/>
        <v>0</v>
      </c>
      <c r="AA1146" s="106" t="s">
        <v>2032</v>
      </c>
      <c r="AB1146" s="111">
        <f t="shared" si="611"/>
        <v>2</v>
      </c>
      <c r="AC1146" s="85" t="s">
        <v>2371</v>
      </c>
      <c r="AD1146" s="107">
        <f t="shared" si="610"/>
        <v>12803.030303030304</v>
      </c>
      <c r="AE1146" s="140">
        <v>1</v>
      </c>
      <c r="AF1146" s="113">
        <f t="shared" si="586"/>
        <v>12803.030303030304</v>
      </c>
      <c r="AG1146" s="85">
        <v>2024</v>
      </c>
      <c r="AH1146" s="26" t="str">
        <f t="shared" si="593"/>
        <v/>
      </c>
      <c r="AI1146" s="26" t="str">
        <f t="shared" si="597"/>
        <v/>
      </c>
      <c r="AJ1146" s="26" t="str">
        <f t="shared" si="605"/>
        <v>Microsurface double</v>
      </c>
      <c r="AK1146" s="26" t="str">
        <f t="shared" si="608"/>
        <v/>
      </c>
      <c r="AL1146" s="26" t="str">
        <f t="shared" si="608"/>
        <v/>
      </c>
      <c r="AM1146" s="26" t="str">
        <f t="shared" si="608"/>
        <v/>
      </c>
      <c r="AN1146" s="26" t="str">
        <f t="shared" si="596"/>
        <v>Microsurface double</v>
      </c>
      <c r="AO1146" s="26" t="str">
        <f t="shared" si="606"/>
        <v/>
      </c>
      <c r="AP1146" s="26" t="str">
        <f t="shared" si="602"/>
        <v/>
      </c>
      <c r="AQ1146" s="68">
        <f t="shared" si="599"/>
        <v>10</v>
      </c>
      <c r="AR1146" s="68">
        <f t="shared" si="600"/>
        <v>10</v>
      </c>
      <c r="AS1146" s="68">
        <f t="shared" si="587"/>
        <v>1.05</v>
      </c>
      <c r="AT1146" s="68">
        <f t="shared" si="588"/>
        <v>1</v>
      </c>
      <c r="AU1146" s="68">
        <f t="shared" si="589"/>
        <v>1</v>
      </c>
      <c r="AV1146" s="68">
        <f t="shared" si="590"/>
        <v>1.05</v>
      </c>
      <c r="AW1146" s="68">
        <f t="shared" si="591"/>
        <v>1</v>
      </c>
      <c r="AX1146" s="68">
        <f t="shared" ca="1" si="601"/>
        <v>0</v>
      </c>
      <c r="AY1146" s="106">
        <v>2017</v>
      </c>
      <c r="AZ1146" s="68" t="s">
        <v>2371</v>
      </c>
      <c r="BA1146" s="106" t="str">
        <f t="shared" si="607"/>
        <v/>
      </c>
      <c r="BB1146" s="178"/>
      <c r="BC1146" s="177"/>
      <c r="BD1146" s="177">
        <v>1</v>
      </c>
      <c r="BE1146" s="177"/>
      <c r="BF1146" s="177"/>
      <c r="BG1146" s="177"/>
      <c r="BH1146" s="177"/>
      <c r="BI1146" s="33" t="s">
        <v>2623</v>
      </c>
      <c r="BJ1146" s="2"/>
      <c r="BK1146" s="48">
        <f>$G1146/5280*VLOOKUP($AC1146,'Cost and Score'!$B$27:$O$40,6,0)</f>
        <v>8.0018939393939392E-2</v>
      </c>
      <c r="BL1146" s="48">
        <f>$G1146/5280*VLOOKUP($AC1146,'Cost and Score'!$B$27:$O$40,7,0)</f>
        <v>0</v>
      </c>
      <c r="BM1146" s="48">
        <f>$G1146/5280*VLOOKUP($AC1146,'Cost and Score'!$B$27:$O$40,8,0)</f>
        <v>0</v>
      </c>
      <c r="BN1146" s="48">
        <f>$G1146/5280*VLOOKUP($AC1146,'Cost and Score'!$B$27:$O$40,9,0)</f>
        <v>0</v>
      </c>
      <c r="BO1146" s="48">
        <f>$G1146/5280*VLOOKUP($AC1146,'Cost and Score'!$B$27:$O$40,10,0)</f>
        <v>0</v>
      </c>
      <c r="BP1146" s="48">
        <f>$G1146/5280*VLOOKUP($AC1146,'Cost and Score'!$B$27:$O$40,11,0)</f>
        <v>0</v>
      </c>
      <c r="BQ1146" s="48">
        <f>$G1146/5280*VLOOKUP($AC1146,'Cost and Score'!$B$27:$O$40,12,0)</f>
        <v>0</v>
      </c>
      <c r="BR1146" s="48">
        <f>$G1146/5280*VLOOKUP($AC1146,'Cost and Score'!$B$27:$O$40,13,0)</f>
        <v>0</v>
      </c>
      <c r="BS1146" s="48">
        <f>$G1146/5280*VLOOKUP($AC1146,'Cost and Score'!$B$27:$O$40,14,0)</f>
        <v>0</v>
      </c>
      <c r="BT1146" s="220">
        <f t="shared" si="582"/>
        <v>0.16003787878787878</v>
      </c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N1146" s="2"/>
      <c r="CO1146" s="2"/>
      <c r="CP1146" s="2"/>
      <c r="CQ1146" s="2"/>
      <c r="CR1146" s="2"/>
      <c r="CS1146" s="2"/>
      <c r="CT1146" s="2"/>
      <c r="CU1146" s="2"/>
      <c r="CV1146" s="2"/>
    </row>
    <row r="1147" spans="1:103" s="2" customFormat="1" hidden="1" x14ac:dyDescent="0.25">
      <c r="A1147" s="36"/>
      <c r="B1147" s="225" t="s">
        <v>2213</v>
      </c>
      <c r="C1147" s="26" t="s">
        <v>2213</v>
      </c>
      <c r="D1147" s="119" t="s">
        <v>2345</v>
      </c>
      <c r="E1147" s="82" t="s">
        <v>1576</v>
      </c>
      <c r="F1147" s="82" t="s">
        <v>1912</v>
      </c>
      <c r="G1147" s="29">
        <v>1072</v>
      </c>
      <c r="H1147" s="29"/>
      <c r="I1147" s="26" t="s">
        <v>2098</v>
      </c>
      <c r="J1147" s="26" t="s">
        <v>125</v>
      </c>
      <c r="K1147" s="26">
        <f>VLOOKUP(J1147,TOWNSHIPS,2,FALSE)</f>
        <v>0</v>
      </c>
      <c r="L1147" s="42"/>
      <c r="M1147" s="42">
        <v>10</v>
      </c>
      <c r="N1147" s="42">
        <v>10</v>
      </c>
      <c r="O1147" s="83">
        <v>9</v>
      </c>
      <c r="P1147" s="83">
        <v>8</v>
      </c>
      <c r="Q1147" s="83">
        <v>8</v>
      </c>
      <c r="R1147" s="83">
        <v>7</v>
      </c>
      <c r="S1147" s="83">
        <v>7</v>
      </c>
      <c r="T1147" s="83">
        <v>7</v>
      </c>
      <c r="U1147" s="83">
        <v>7</v>
      </c>
      <c r="V1147" s="42"/>
      <c r="W1147" s="42"/>
      <c r="X1147" s="42"/>
      <c r="Y1147" s="26"/>
      <c r="Z1147" s="26">
        <f t="shared" si="612"/>
        <v>0</v>
      </c>
      <c r="AA1147" s="26" t="s">
        <v>2213</v>
      </c>
      <c r="AB1147" s="111">
        <f t="shared" si="611"/>
        <v>2</v>
      </c>
      <c r="AC1147" s="85" t="s">
        <v>2425</v>
      </c>
      <c r="AD1147" s="84">
        <f t="shared" si="610"/>
        <v>5075.757575757576</v>
      </c>
      <c r="AE1147" s="140"/>
      <c r="AF1147" s="113">
        <f t="shared" si="586"/>
        <v>0</v>
      </c>
      <c r="AG1147" s="85">
        <v>2026</v>
      </c>
      <c r="AH1147" s="26" t="str">
        <f t="shared" si="593"/>
        <v/>
      </c>
      <c r="AI1147" s="26" t="str">
        <f t="shared" si="597"/>
        <v/>
      </c>
      <c r="AJ1147" s="26" t="str">
        <f t="shared" si="605"/>
        <v/>
      </c>
      <c r="AK1147" s="26" t="str">
        <f t="shared" si="608"/>
        <v/>
      </c>
      <c r="AL1147" s="26" t="str">
        <f t="shared" si="608"/>
        <v>Liquid Road</v>
      </c>
      <c r="AM1147" s="26" t="str">
        <f t="shared" si="608"/>
        <v/>
      </c>
      <c r="AN1147" s="26" t="str">
        <f t="shared" si="596"/>
        <v>Liquid Road</v>
      </c>
      <c r="AO1147" s="26" t="str">
        <f t="shared" si="606"/>
        <v/>
      </c>
      <c r="AP1147" s="26" t="str">
        <f t="shared" si="602"/>
        <v/>
      </c>
      <c r="AQ1147" s="68">
        <f t="shared" si="599"/>
        <v>14</v>
      </c>
      <c r="AR1147" s="68">
        <f t="shared" si="600"/>
        <v>10</v>
      </c>
      <c r="AS1147" s="68">
        <f t="shared" si="587"/>
        <v>0</v>
      </c>
      <c r="AT1147" s="68">
        <f t="shared" si="588"/>
        <v>1</v>
      </c>
      <c r="AU1147" s="68">
        <f t="shared" si="589"/>
        <v>1</v>
      </c>
      <c r="AV1147" s="68">
        <f t="shared" si="590"/>
        <v>1</v>
      </c>
      <c r="AW1147" s="68">
        <f t="shared" si="591"/>
        <v>1</v>
      </c>
      <c r="AX1147" s="68">
        <f t="shared" ca="1" si="601"/>
        <v>2</v>
      </c>
      <c r="AY1147" s="68"/>
      <c r="AZ1147" s="68"/>
      <c r="BA1147" s="106" t="str">
        <f t="shared" si="607"/>
        <v/>
      </c>
      <c r="BB1147" s="178"/>
      <c r="BC1147" s="177"/>
      <c r="BD1147" s="177"/>
      <c r="BE1147" s="177"/>
      <c r="BF1147" s="177">
        <v>3</v>
      </c>
      <c r="BG1147" s="177"/>
      <c r="BH1147" s="177"/>
      <c r="BI1147" s="43"/>
      <c r="BJ1147" s="26"/>
      <c r="BK1147" s="48">
        <f>$G1147/5280*VLOOKUP($AC1147,'Cost and Score'!$B$27:$O$40,6,0)</f>
        <v>0.20303030303030303</v>
      </c>
      <c r="BL1147" s="48">
        <f>$G1147/5280*VLOOKUP($AC1147,'Cost and Score'!$B$27:$O$40,7,0)</f>
        <v>3.2484848484848485</v>
      </c>
      <c r="BM1147" s="48">
        <f>$G1147/5280*VLOOKUP($AC1147,'Cost and Score'!$B$27:$O$40,8,0)</f>
        <v>0</v>
      </c>
      <c r="BN1147" s="48">
        <f>$G1147/5280*VLOOKUP($AC1147,'Cost and Score'!$B$27:$O$40,9,0)</f>
        <v>0</v>
      </c>
      <c r="BO1147" s="48">
        <f>$G1147/5280*VLOOKUP($AC1147,'Cost and Score'!$B$27:$O$40,10,0)</f>
        <v>0</v>
      </c>
      <c r="BP1147" s="48">
        <f>$G1147/5280*VLOOKUP($AC1147,'Cost and Score'!$B$27:$O$40,11,0)</f>
        <v>0</v>
      </c>
      <c r="BQ1147" s="48">
        <f>$G1147/5280*VLOOKUP($AC1147,'Cost and Score'!$B$27:$O$40,12,0)</f>
        <v>0</v>
      </c>
      <c r="BR1147" s="48">
        <f>$G1147/5280*VLOOKUP($AC1147,'Cost and Score'!$B$27:$O$40,13,0)</f>
        <v>0</v>
      </c>
      <c r="BS1147" s="48">
        <f>$G1147/5280*VLOOKUP($AC1147,'Cost and Score'!$B$27:$O$40,14,0)</f>
        <v>0</v>
      </c>
      <c r="BT1147" s="220">
        <f t="shared" si="582"/>
        <v>0.20303030303030303</v>
      </c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</row>
    <row r="1148" spans="1:103" s="2" customFormat="1" hidden="1" x14ac:dyDescent="0.25">
      <c r="A1148" s="36"/>
      <c r="B1148" s="225" t="s">
        <v>2348</v>
      </c>
      <c r="C1148" s="26" t="s">
        <v>2348</v>
      </c>
      <c r="D1148" s="119" t="s">
        <v>2345</v>
      </c>
      <c r="E1148" s="82" t="s">
        <v>1576</v>
      </c>
      <c r="F1148" s="82" t="s">
        <v>1912</v>
      </c>
      <c r="G1148" s="29">
        <v>393.8</v>
      </c>
      <c r="H1148" s="29"/>
      <c r="I1148" s="26" t="s">
        <v>2098</v>
      </c>
      <c r="J1148" s="26" t="s">
        <v>125</v>
      </c>
      <c r="K1148" s="26">
        <f>VLOOKUP(J1148,TOWNSHIPS,2,FALSE)</f>
        <v>0</v>
      </c>
      <c r="L1148" s="42"/>
      <c r="M1148" s="42">
        <v>10</v>
      </c>
      <c r="N1148" s="42">
        <v>10</v>
      </c>
      <c r="O1148" s="83">
        <v>9</v>
      </c>
      <c r="P1148" s="83">
        <v>9</v>
      </c>
      <c r="Q1148" s="83">
        <v>9</v>
      </c>
      <c r="R1148" s="83">
        <v>8</v>
      </c>
      <c r="S1148" s="83">
        <v>8</v>
      </c>
      <c r="T1148" s="83">
        <v>8</v>
      </c>
      <c r="U1148" s="83">
        <v>8</v>
      </c>
      <c r="V1148" s="42"/>
      <c r="W1148" s="42"/>
      <c r="X1148" s="42"/>
      <c r="Y1148" s="26"/>
      <c r="Z1148" s="26">
        <f t="shared" si="612"/>
        <v>0</v>
      </c>
      <c r="AA1148" s="26" t="s">
        <v>2348</v>
      </c>
      <c r="AB1148" s="111">
        <f t="shared" si="611"/>
        <v>1</v>
      </c>
      <c r="AC1148" s="85" t="s">
        <v>2425</v>
      </c>
      <c r="AD1148" s="84">
        <f t="shared" si="610"/>
        <v>1864.5833333333333</v>
      </c>
      <c r="AE1148" s="140"/>
      <c r="AF1148" s="113">
        <f t="shared" si="586"/>
        <v>0</v>
      </c>
      <c r="AG1148" s="85">
        <v>2026</v>
      </c>
      <c r="AH1148" s="26" t="str">
        <f t="shared" si="593"/>
        <v/>
      </c>
      <c r="AI1148" s="26" t="str">
        <f t="shared" si="597"/>
        <v/>
      </c>
      <c r="AJ1148" s="26" t="str">
        <f t="shared" si="605"/>
        <v/>
      </c>
      <c r="AK1148" s="26" t="str">
        <f t="shared" ref="AK1148:AM1170" si="613">IF($AG1148=AK$1,VLOOKUP($AC1148,RSL,3,FALSE),"")</f>
        <v/>
      </c>
      <c r="AL1148" s="26" t="str">
        <f t="shared" si="613"/>
        <v>Liquid Road</v>
      </c>
      <c r="AM1148" s="26" t="str">
        <f t="shared" si="613"/>
        <v/>
      </c>
      <c r="AN1148" s="26" t="str">
        <f t="shared" si="596"/>
        <v>Liquid Road</v>
      </c>
      <c r="AO1148" s="26" t="str">
        <f t="shared" si="606"/>
        <v/>
      </c>
      <c r="AP1148" s="26" t="str">
        <f t="shared" si="602"/>
        <v/>
      </c>
      <c r="AQ1148" s="68">
        <f t="shared" si="599"/>
        <v>14</v>
      </c>
      <c r="AR1148" s="68">
        <f t="shared" si="600"/>
        <v>10</v>
      </c>
      <c r="AS1148" s="68">
        <f t="shared" si="587"/>
        <v>0</v>
      </c>
      <c r="AT1148" s="68">
        <f t="shared" si="588"/>
        <v>1</v>
      </c>
      <c r="AU1148" s="68">
        <f t="shared" si="589"/>
        <v>1</v>
      </c>
      <c r="AV1148" s="68">
        <f t="shared" si="590"/>
        <v>1</v>
      </c>
      <c r="AW1148" s="68">
        <f t="shared" si="591"/>
        <v>1</v>
      </c>
      <c r="AX1148" s="68">
        <f t="shared" ca="1" si="601"/>
        <v>2</v>
      </c>
      <c r="AY1148" s="68">
        <v>2015</v>
      </c>
      <c r="AZ1148" s="68" t="s">
        <v>751</v>
      </c>
      <c r="BA1148" s="106" t="str">
        <f t="shared" si="607"/>
        <v/>
      </c>
      <c r="BB1148" s="178"/>
      <c r="BC1148" s="177"/>
      <c r="BD1148" s="177"/>
      <c r="BE1148" s="177"/>
      <c r="BF1148" s="177">
        <v>3</v>
      </c>
      <c r="BG1148" s="177"/>
      <c r="BH1148" s="177"/>
      <c r="BI1148" s="43"/>
      <c r="BJ1148" s="26"/>
      <c r="BK1148" s="48">
        <f>$G1148/5280*VLOOKUP($AC1148,'Cost and Score'!$B$27:$O$40,6,0)</f>
        <v>7.4583333333333335E-2</v>
      </c>
      <c r="BL1148" s="48">
        <f>$G1148/5280*VLOOKUP($AC1148,'Cost and Score'!$B$27:$O$40,7,0)</f>
        <v>1.1933333333333334</v>
      </c>
      <c r="BM1148" s="48">
        <f>$G1148/5280*VLOOKUP($AC1148,'Cost and Score'!$B$27:$O$40,8,0)</f>
        <v>0</v>
      </c>
      <c r="BN1148" s="48">
        <f>$G1148/5280*VLOOKUP($AC1148,'Cost and Score'!$B$27:$O$40,9,0)</f>
        <v>0</v>
      </c>
      <c r="BO1148" s="48">
        <f>$G1148/5280*VLOOKUP($AC1148,'Cost and Score'!$B$27:$O$40,10,0)</f>
        <v>0</v>
      </c>
      <c r="BP1148" s="48">
        <f>$G1148/5280*VLOOKUP($AC1148,'Cost and Score'!$B$27:$O$40,11,0)</f>
        <v>0</v>
      </c>
      <c r="BQ1148" s="48">
        <f>$G1148/5280*VLOOKUP($AC1148,'Cost and Score'!$B$27:$O$40,12,0)</f>
        <v>0</v>
      </c>
      <c r="BR1148" s="48">
        <f>$G1148/5280*VLOOKUP($AC1148,'Cost and Score'!$B$27:$O$40,13,0)</f>
        <v>0</v>
      </c>
      <c r="BS1148" s="48">
        <f>$G1148/5280*VLOOKUP($AC1148,'Cost and Score'!$B$27:$O$40,14,0)</f>
        <v>0</v>
      </c>
      <c r="BT1148" s="220">
        <f t="shared" si="582"/>
        <v>7.4583333333333335E-2</v>
      </c>
      <c r="BV1148" s="26"/>
      <c r="BW1148" s="26"/>
      <c r="BX1148" s="26"/>
      <c r="BY1148" s="26"/>
      <c r="BZ1148" s="26"/>
      <c r="CA1148" s="26"/>
      <c r="CB1148" s="26"/>
      <c r="CF1148" s="112"/>
      <c r="CW1148" s="112"/>
      <c r="CX1148" s="112"/>
      <c r="CY1148" s="112"/>
    </row>
    <row r="1149" spans="1:103" s="112" customFormat="1" hidden="1" x14ac:dyDescent="0.25">
      <c r="A1149" s="31" t="s">
        <v>2102</v>
      </c>
      <c r="B1149" s="226" t="s">
        <v>2033</v>
      </c>
      <c r="C1149" s="106" t="s">
        <v>2033</v>
      </c>
      <c r="D1149" s="116" t="s">
        <v>2259</v>
      </c>
      <c r="E1149" s="106" t="s">
        <v>1458</v>
      </c>
      <c r="F1149" s="106" t="s">
        <v>1535</v>
      </c>
      <c r="G1149" s="109">
        <v>158</v>
      </c>
      <c r="H1149" s="109">
        <f t="shared" ref="H1149:H1156" si="614">IF(I1149="NC",26,20)</f>
        <v>26</v>
      </c>
      <c r="I1149" s="106" t="s">
        <v>2098</v>
      </c>
      <c r="J1149" s="106" t="s">
        <v>160</v>
      </c>
      <c r="K1149" s="106">
        <f>VLOOKUP(J1149,TOWNSHIPS,2,FALSE)</f>
        <v>0</v>
      </c>
      <c r="L1149" s="110">
        <v>8</v>
      </c>
      <c r="M1149" s="110">
        <v>9</v>
      </c>
      <c r="N1149" s="110">
        <v>9</v>
      </c>
      <c r="O1149" s="110">
        <v>9</v>
      </c>
      <c r="P1149" s="110">
        <v>9</v>
      </c>
      <c r="Q1149" s="110">
        <v>8</v>
      </c>
      <c r="R1149" s="110">
        <v>8</v>
      </c>
      <c r="S1149" s="110">
        <v>7</v>
      </c>
      <c r="T1149" s="110">
        <v>7</v>
      </c>
      <c r="U1149" s="110">
        <v>7</v>
      </c>
      <c r="V1149" s="110"/>
      <c r="W1149" s="110"/>
      <c r="X1149" s="110"/>
      <c r="Y1149" s="106">
        <v>364</v>
      </c>
      <c r="Z1149" s="106">
        <f t="shared" si="612"/>
        <v>0</v>
      </c>
      <c r="AA1149" s="106" t="s">
        <v>2033</v>
      </c>
      <c r="AB1149" s="111">
        <f t="shared" si="611"/>
        <v>1</v>
      </c>
      <c r="AC1149" s="85" t="s">
        <v>2425</v>
      </c>
      <c r="AD1149" s="107">
        <f t="shared" si="610"/>
        <v>748.10606060606062</v>
      </c>
      <c r="AE1149" s="198"/>
      <c r="AF1149" s="113">
        <f t="shared" si="586"/>
        <v>0</v>
      </c>
      <c r="AG1149" s="85">
        <v>2026</v>
      </c>
      <c r="AH1149" s="26" t="str">
        <f t="shared" si="593"/>
        <v/>
      </c>
      <c r="AI1149" s="26" t="str">
        <f t="shared" si="597"/>
        <v/>
      </c>
      <c r="AJ1149" s="26" t="str">
        <f t="shared" si="605"/>
        <v/>
      </c>
      <c r="AK1149" s="26" t="str">
        <f t="shared" si="613"/>
        <v/>
      </c>
      <c r="AL1149" s="26" t="str">
        <f t="shared" si="613"/>
        <v>Liquid Road</v>
      </c>
      <c r="AM1149" s="26" t="str">
        <f t="shared" si="613"/>
        <v/>
      </c>
      <c r="AN1149" s="26" t="str">
        <f t="shared" si="596"/>
        <v>Liquid Road</v>
      </c>
      <c r="AO1149" s="26" t="str">
        <f t="shared" si="606"/>
        <v/>
      </c>
      <c r="AP1149" s="26" t="str">
        <f t="shared" si="602"/>
        <v/>
      </c>
      <c r="AQ1149" s="68">
        <f t="shared" si="599"/>
        <v>14</v>
      </c>
      <c r="AR1149" s="68">
        <f t="shared" si="600"/>
        <v>10</v>
      </c>
      <c r="AS1149" s="68">
        <f t="shared" si="587"/>
        <v>1</v>
      </c>
      <c r="AT1149" s="68">
        <f t="shared" si="588"/>
        <v>1</v>
      </c>
      <c r="AU1149" s="68">
        <f t="shared" si="589"/>
        <v>1</v>
      </c>
      <c r="AV1149" s="68">
        <f t="shared" si="590"/>
        <v>1</v>
      </c>
      <c r="AW1149" s="68">
        <f t="shared" si="591"/>
        <v>1</v>
      </c>
      <c r="AX1149" s="68">
        <f t="shared" ca="1" si="601"/>
        <v>2</v>
      </c>
      <c r="AY1149" s="106">
        <v>2017</v>
      </c>
      <c r="AZ1149" s="106" t="s">
        <v>2075</v>
      </c>
      <c r="BA1149" s="106" t="str">
        <f t="shared" si="607"/>
        <v/>
      </c>
      <c r="BB1149" s="177"/>
      <c r="BC1149" s="177"/>
      <c r="BD1149" s="177">
        <v>1</v>
      </c>
      <c r="BE1149" s="177"/>
      <c r="BF1149" s="177"/>
      <c r="BG1149" s="177"/>
      <c r="BH1149" s="177"/>
      <c r="BI1149" s="33"/>
      <c r="BJ1149" s="2"/>
      <c r="BK1149" s="48">
        <f>$G1149/5280*VLOOKUP($AC1149,'Cost and Score'!$B$27:$O$40,6,0)</f>
        <v>2.9924242424242423E-2</v>
      </c>
      <c r="BL1149" s="48">
        <f>$G1149/5280*VLOOKUP($AC1149,'Cost and Score'!$B$27:$O$40,7,0)</f>
        <v>0.47878787878787876</v>
      </c>
      <c r="BM1149" s="48">
        <f>$G1149/5280*VLOOKUP($AC1149,'Cost and Score'!$B$27:$O$40,8,0)</f>
        <v>0</v>
      </c>
      <c r="BN1149" s="48">
        <f>$G1149/5280*VLOOKUP($AC1149,'Cost and Score'!$B$27:$O$40,9,0)</f>
        <v>0</v>
      </c>
      <c r="BO1149" s="48">
        <f>$G1149/5280*VLOOKUP($AC1149,'Cost and Score'!$B$27:$O$40,10,0)</f>
        <v>0</v>
      </c>
      <c r="BP1149" s="48">
        <f>$G1149/5280*VLOOKUP($AC1149,'Cost and Score'!$B$27:$O$40,11,0)</f>
        <v>0</v>
      </c>
      <c r="BQ1149" s="48">
        <f>$G1149/5280*VLOOKUP($AC1149,'Cost and Score'!$B$27:$O$40,12,0)</f>
        <v>0</v>
      </c>
      <c r="BR1149" s="48">
        <f>$G1149/5280*VLOOKUP($AC1149,'Cost and Score'!$B$27:$O$40,13,0)</f>
        <v>0</v>
      </c>
      <c r="BS1149" s="48">
        <f>$G1149/5280*VLOOKUP($AC1149,'Cost and Score'!$B$27:$O$40,14,0)</f>
        <v>0</v>
      </c>
      <c r="BT1149" s="220">
        <f t="shared" si="582"/>
        <v>2.9924242424242423E-2</v>
      </c>
      <c r="BU1149" s="26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</row>
    <row r="1150" spans="1:103" s="2" customFormat="1" hidden="1" x14ac:dyDescent="0.25">
      <c r="A1150" s="31" t="s">
        <v>2102</v>
      </c>
      <c r="B1150" s="224" t="s">
        <v>2034</v>
      </c>
      <c r="C1150" s="26" t="s">
        <v>2034</v>
      </c>
      <c r="D1150" s="36" t="s">
        <v>2305</v>
      </c>
      <c r="E1150" s="26" t="s">
        <v>1407</v>
      </c>
      <c r="F1150" s="26" t="s">
        <v>1408</v>
      </c>
      <c r="G1150" s="29">
        <v>2429</v>
      </c>
      <c r="H1150" s="29">
        <f t="shared" si="614"/>
        <v>26</v>
      </c>
      <c r="I1150" s="26" t="s">
        <v>2098</v>
      </c>
      <c r="J1150" s="26" t="s">
        <v>125</v>
      </c>
      <c r="K1150" s="26">
        <v>0</v>
      </c>
      <c r="L1150" s="42">
        <v>6</v>
      </c>
      <c r="M1150" s="42">
        <v>6</v>
      </c>
      <c r="N1150" s="42">
        <v>6</v>
      </c>
      <c r="O1150" s="42">
        <v>6</v>
      </c>
      <c r="P1150" s="42">
        <v>9</v>
      </c>
      <c r="Q1150" s="42">
        <v>7</v>
      </c>
      <c r="R1150" s="42">
        <v>6</v>
      </c>
      <c r="S1150" s="42">
        <v>5</v>
      </c>
      <c r="T1150" s="42">
        <v>5</v>
      </c>
      <c r="U1150" s="42">
        <v>6</v>
      </c>
      <c r="V1150" s="42"/>
      <c r="W1150" s="42"/>
      <c r="X1150" s="42"/>
      <c r="Y1150" s="26">
        <v>50</v>
      </c>
      <c r="Z1150" s="26">
        <f t="shared" si="612"/>
        <v>0</v>
      </c>
      <c r="AA1150" s="26" t="s">
        <v>2034</v>
      </c>
      <c r="AB1150" s="111">
        <f t="shared" si="611"/>
        <v>1</v>
      </c>
      <c r="AC1150" s="85" t="s">
        <v>2312</v>
      </c>
      <c r="AD1150" s="47">
        <f t="shared" si="610"/>
        <v>34502.840909090912</v>
      </c>
      <c r="AE1150" s="140"/>
      <c r="AF1150" s="113">
        <f t="shared" si="586"/>
        <v>0</v>
      </c>
      <c r="AG1150" s="85">
        <v>2023</v>
      </c>
      <c r="AH1150" s="26" t="str">
        <f t="shared" si="593"/>
        <v/>
      </c>
      <c r="AI1150" s="26" t="str">
        <f t="shared" si="597"/>
        <v>Concrete - Joint/Crack Sealing</v>
      </c>
      <c r="AJ1150" s="26" t="str">
        <f t="shared" si="605"/>
        <v/>
      </c>
      <c r="AK1150" s="26" t="str">
        <f t="shared" si="613"/>
        <v/>
      </c>
      <c r="AL1150" s="26" t="str">
        <f t="shared" si="613"/>
        <v/>
      </c>
      <c r="AM1150" s="26" t="str">
        <f t="shared" si="613"/>
        <v/>
      </c>
      <c r="AN1150" s="26" t="str">
        <f t="shared" si="596"/>
        <v>Concrete - Joint/Crack Sealing</v>
      </c>
      <c r="AO1150" s="26" t="str">
        <f t="shared" si="606"/>
        <v/>
      </c>
      <c r="AP1150" s="26" t="str">
        <f t="shared" si="602"/>
        <v/>
      </c>
      <c r="AQ1150" s="68">
        <f t="shared" si="599"/>
        <v>8</v>
      </c>
      <c r="AR1150" s="68">
        <f t="shared" si="600"/>
        <v>6</v>
      </c>
      <c r="AS1150" s="68">
        <f t="shared" si="587"/>
        <v>1.1000000000000001</v>
      </c>
      <c r="AT1150" s="68">
        <f t="shared" si="588"/>
        <v>1.1000000000000001</v>
      </c>
      <c r="AU1150" s="68">
        <f t="shared" si="589"/>
        <v>1.1000000000000001</v>
      </c>
      <c r="AV1150" s="68">
        <f t="shared" si="590"/>
        <v>1.1000000000000001</v>
      </c>
      <c r="AW1150" s="68">
        <f t="shared" si="591"/>
        <v>1</v>
      </c>
      <c r="AX1150" s="68">
        <f t="shared" ca="1" si="601"/>
        <v>-1.1000000000000001</v>
      </c>
      <c r="AY1150" s="68">
        <v>2016</v>
      </c>
      <c r="AZ1150" s="68" t="s">
        <v>2072</v>
      </c>
      <c r="BA1150" s="106" t="str">
        <f t="shared" si="607"/>
        <v/>
      </c>
      <c r="BB1150" s="178"/>
      <c r="BC1150" s="177"/>
      <c r="BD1150" s="177"/>
      <c r="BE1150" s="177"/>
      <c r="BF1150" s="177"/>
      <c r="BG1150" s="177"/>
      <c r="BH1150" s="177">
        <v>5</v>
      </c>
      <c r="BI1150" s="33"/>
      <c r="BJ1150" s="2" t="s">
        <v>2617</v>
      </c>
      <c r="BK1150" s="48">
        <f>$G1150/5280*VLOOKUP($AC1150,'Cost and Score'!$B$27:$O$40,6,0)</f>
        <v>0.23001893939393939</v>
      </c>
      <c r="BL1150" s="48">
        <f>$G1150/5280*VLOOKUP($AC1150,'Cost and Score'!$B$27:$O$40,7,0)</f>
        <v>23.001893939393938</v>
      </c>
      <c r="BM1150" s="48">
        <f>$G1150/5280*VLOOKUP($AC1150,'Cost and Score'!$B$27:$O$40,8,0)</f>
        <v>0</v>
      </c>
      <c r="BN1150" s="48">
        <f>$G1150/5280*VLOOKUP($AC1150,'Cost and Score'!$B$27:$O$40,9,0)</f>
        <v>0</v>
      </c>
      <c r="BO1150" s="48">
        <f>$G1150/5280*VLOOKUP($AC1150,'Cost and Score'!$B$27:$O$40,10,0)</f>
        <v>0</v>
      </c>
      <c r="BP1150" s="48">
        <f>$G1150/5280*VLOOKUP($AC1150,'Cost and Score'!$B$27:$O$40,11,0)</f>
        <v>0</v>
      </c>
      <c r="BQ1150" s="48">
        <f>$G1150/5280*VLOOKUP($AC1150,'Cost and Score'!$B$27:$O$40,12,0)</f>
        <v>0</v>
      </c>
      <c r="BR1150" s="48">
        <f>$G1150/5280*VLOOKUP($AC1150,'Cost and Score'!$B$27:$O$40,13,0)</f>
        <v>0</v>
      </c>
      <c r="BS1150" s="48">
        <f>$G1150/5280*VLOOKUP($AC1150,'Cost and Score'!$B$27:$O$40,14,0)</f>
        <v>0</v>
      </c>
      <c r="BT1150" s="220">
        <f t="shared" si="582"/>
        <v>0.46003787878787877</v>
      </c>
      <c r="CN1150" s="112"/>
      <c r="CO1150" s="112"/>
      <c r="CP1150" s="112"/>
      <c r="CQ1150" s="112"/>
      <c r="CR1150" s="112"/>
      <c r="CS1150" s="112"/>
      <c r="CT1150" s="112"/>
      <c r="CU1150" s="112"/>
      <c r="CV1150" s="112"/>
    </row>
    <row r="1151" spans="1:103" s="2" customFormat="1" hidden="1" x14ac:dyDescent="0.25">
      <c r="A1151" s="31" t="s">
        <v>2102</v>
      </c>
      <c r="B1151" s="224" t="s">
        <v>2035</v>
      </c>
      <c r="C1151" s="26" t="s">
        <v>2035</v>
      </c>
      <c r="D1151" s="36" t="s">
        <v>2287</v>
      </c>
      <c r="E1151" s="26" t="s">
        <v>1933</v>
      </c>
      <c r="F1151" s="26" t="s">
        <v>628</v>
      </c>
      <c r="G1151" s="29">
        <v>1267</v>
      </c>
      <c r="H1151" s="29">
        <f t="shared" si="614"/>
        <v>26</v>
      </c>
      <c r="I1151" s="26" t="s">
        <v>2098</v>
      </c>
      <c r="J1151" s="26" t="s">
        <v>160</v>
      </c>
      <c r="K1151" s="26">
        <f t="shared" ref="K1151:K1162" si="615">VLOOKUP(J1151,TOWNSHIPS,2,FALSE)</f>
        <v>0</v>
      </c>
      <c r="L1151" s="42">
        <v>7</v>
      </c>
      <c r="M1151" s="42">
        <v>5</v>
      </c>
      <c r="N1151" s="42">
        <v>4</v>
      </c>
      <c r="O1151" s="42">
        <v>9</v>
      </c>
      <c r="P1151" s="42">
        <v>9</v>
      </c>
      <c r="Q1151" s="42">
        <v>9</v>
      </c>
      <c r="R1151" s="42">
        <v>8</v>
      </c>
      <c r="S1151" s="42">
        <v>8</v>
      </c>
      <c r="T1151" s="42">
        <v>8</v>
      </c>
      <c r="U1151" s="42">
        <v>7</v>
      </c>
      <c r="V1151" s="42"/>
      <c r="W1151" s="42"/>
      <c r="X1151" s="42"/>
      <c r="Y1151" s="26">
        <v>50</v>
      </c>
      <c r="Z1151" s="26">
        <f t="shared" si="612"/>
        <v>0</v>
      </c>
      <c r="AA1151" s="26" t="s">
        <v>2035</v>
      </c>
      <c r="AB1151" s="111">
        <f t="shared" si="611"/>
        <v>1</v>
      </c>
      <c r="AC1151" s="85" t="s">
        <v>2425</v>
      </c>
      <c r="AD1151" s="47">
        <f t="shared" si="610"/>
        <v>5999.05303030303</v>
      </c>
      <c r="AE1151" s="140"/>
      <c r="AF1151" s="113">
        <f t="shared" si="586"/>
        <v>0</v>
      </c>
      <c r="AG1151" s="85">
        <v>2026</v>
      </c>
      <c r="AH1151" s="26" t="str">
        <f t="shared" si="593"/>
        <v/>
      </c>
      <c r="AI1151" s="26" t="str">
        <f t="shared" si="597"/>
        <v/>
      </c>
      <c r="AJ1151" s="26" t="str">
        <f t="shared" si="605"/>
        <v/>
      </c>
      <c r="AK1151" s="26" t="str">
        <f t="shared" si="613"/>
        <v/>
      </c>
      <c r="AL1151" s="26" t="str">
        <f t="shared" si="613"/>
        <v>Liquid Road</v>
      </c>
      <c r="AM1151" s="26" t="str">
        <f t="shared" si="613"/>
        <v/>
      </c>
      <c r="AN1151" s="26" t="str">
        <f t="shared" si="596"/>
        <v>Liquid Road</v>
      </c>
      <c r="AO1151" s="26" t="str">
        <f t="shared" si="606"/>
        <v/>
      </c>
      <c r="AP1151" s="26" t="str">
        <f t="shared" si="602"/>
        <v/>
      </c>
      <c r="AQ1151" s="68">
        <f t="shared" si="599"/>
        <v>14</v>
      </c>
      <c r="AR1151" s="68">
        <f t="shared" si="600"/>
        <v>10</v>
      </c>
      <c r="AS1151" s="68">
        <f t="shared" si="587"/>
        <v>1.05</v>
      </c>
      <c r="AT1151" s="68">
        <f t="shared" si="588"/>
        <v>1.25</v>
      </c>
      <c r="AU1151" s="68">
        <f t="shared" si="589"/>
        <v>1.5</v>
      </c>
      <c r="AV1151" s="68">
        <f t="shared" si="590"/>
        <v>1</v>
      </c>
      <c r="AW1151" s="68">
        <f t="shared" si="591"/>
        <v>1</v>
      </c>
      <c r="AX1151" s="68">
        <f t="shared" ca="1" si="601"/>
        <v>3</v>
      </c>
      <c r="AY1151" s="68">
        <v>2016</v>
      </c>
      <c r="AZ1151" s="68" t="s">
        <v>751</v>
      </c>
      <c r="BA1151" s="106" t="str">
        <f t="shared" si="607"/>
        <v/>
      </c>
      <c r="BB1151" s="178"/>
      <c r="BC1151" s="177"/>
      <c r="BD1151" s="177"/>
      <c r="BE1151" s="177"/>
      <c r="BF1151" s="177"/>
      <c r="BG1151" s="177">
        <v>4</v>
      </c>
      <c r="BH1151" s="177"/>
      <c r="BI1151" s="33" t="s">
        <v>2192</v>
      </c>
      <c r="BK1151" s="48">
        <f>$G1151/5280*VLOOKUP($AC1151,'Cost and Score'!$B$27:$O$40,6,0)</f>
        <v>0.23996212121212121</v>
      </c>
      <c r="BL1151" s="48">
        <f>$G1151/5280*VLOOKUP($AC1151,'Cost and Score'!$B$27:$O$40,7,0)</f>
        <v>3.8393939393939394</v>
      </c>
      <c r="BM1151" s="48">
        <f>$G1151/5280*VLOOKUP($AC1151,'Cost and Score'!$B$27:$O$40,8,0)</f>
        <v>0</v>
      </c>
      <c r="BN1151" s="48">
        <f>$G1151/5280*VLOOKUP($AC1151,'Cost and Score'!$B$27:$O$40,9,0)</f>
        <v>0</v>
      </c>
      <c r="BO1151" s="48">
        <f>$G1151/5280*VLOOKUP($AC1151,'Cost and Score'!$B$27:$O$40,10,0)</f>
        <v>0</v>
      </c>
      <c r="BP1151" s="48">
        <f>$G1151/5280*VLOOKUP($AC1151,'Cost and Score'!$B$27:$O$40,11,0)</f>
        <v>0</v>
      </c>
      <c r="BQ1151" s="48">
        <f>$G1151/5280*VLOOKUP($AC1151,'Cost and Score'!$B$27:$O$40,12,0)</f>
        <v>0</v>
      </c>
      <c r="BR1151" s="48">
        <f>$G1151/5280*VLOOKUP($AC1151,'Cost and Score'!$B$27:$O$40,13,0)</f>
        <v>0</v>
      </c>
      <c r="BS1151" s="48">
        <f>$G1151/5280*VLOOKUP($AC1151,'Cost and Score'!$B$27:$O$40,14,0)</f>
        <v>0</v>
      </c>
      <c r="BT1151" s="220">
        <f t="shared" si="582"/>
        <v>0.23996212121212121</v>
      </c>
      <c r="BY1151" s="2" t="s">
        <v>2076</v>
      </c>
      <c r="BZ1151" s="27">
        <v>14000</v>
      </c>
      <c r="CA1151" s="2" t="s">
        <v>2089</v>
      </c>
    </row>
    <row r="1152" spans="1:103" s="2" customFormat="1" hidden="1" x14ac:dyDescent="0.25">
      <c r="A1152" s="38" t="s">
        <v>2102</v>
      </c>
      <c r="B1152" s="34" t="s">
        <v>2037</v>
      </c>
      <c r="C1152" s="26" t="s">
        <v>2037</v>
      </c>
      <c r="D1152" s="26"/>
      <c r="E1152" s="26" t="s">
        <v>307</v>
      </c>
      <c r="F1152" s="26" t="s">
        <v>1421</v>
      </c>
      <c r="G1152" s="29">
        <v>538</v>
      </c>
      <c r="H1152" s="29">
        <f t="shared" si="614"/>
        <v>20</v>
      </c>
      <c r="I1152" s="106" t="s">
        <v>751</v>
      </c>
      <c r="J1152" s="26" t="s">
        <v>26</v>
      </c>
      <c r="K1152" s="26">
        <f t="shared" si="615"/>
        <v>0</v>
      </c>
      <c r="L1152" s="42">
        <v>6</v>
      </c>
      <c r="M1152" s="42">
        <v>3</v>
      </c>
      <c r="N1152" s="42">
        <v>3</v>
      </c>
      <c r="O1152" s="42">
        <v>9</v>
      </c>
      <c r="P1152" s="42">
        <v>8</v>
      </c>
      <c r="Q1152" s="42">
        <v>7</v>
      </c>
      <c r="R1152" s="42">
        <v>7</v>
      </c>
      <c r="S1152" s="42">
        <v>6</v>
      </c>
      <c r="T1152" s="42">
        <v>6</v>
      </c>
      <c r="U1152" s="42">
        <v>7</v>
      </c>
      <c r="V1152" s="42"/>
      <c r="W1152" s="42"/>
      <c r="X1152" s="42"/>
      <c r="Y1152" s="26">
        <v>50</v>
      </c>
      <c r="Z1152" s="26">
        <f t="shared" si="612"/>
        <v>0</v>
      </c>
      <c r="AA1152" s="26" t="s">
        <v>2037</v>
      </c>
      <c r="AB1152" s="111">
        <f t="shared" si="611"/>
        <v>2</v>
      </c>
      <c r="AC1152" s="85" t="s">
        <v>2073</v>
      </c>
      <c r="AD1152" s="47">
        <f t="shared" si="610"/>
        <v>3260.6060606060605</v>
      </c>
      <c r="AE1152" s="140"/>
      <c r="AF1152" s="113">
        <f t="shared" si="586"/>
        <v>0</v>
      </c>
      <c r="AG1152" s="26">
        <v>2027</v>
      </c>
      <c r="AH1152" s="26" t="str">
        <f t="shared" si="593"/>
        <v/>
      </c>
      <c r="AI1152" s="26" t="str">
        <f t="shared" si="597"/>
        <v/>
      </c>
      <c r="AJ1152" s="26" t="str">
        <f t="shared" si="605"/>
        <v/>
      </c>
      <c r="AK1152" s="26" t="str">
        <f t="shared" si="613"/>
        <v/>
      </c>
      <c r="AL1152" s="26" t="str">
        <f t="shared" si="613"/>
        <v/>
      </c>
      <c r="AM1152" s="26" t="str">
        <f t="shared" si="613"/>
        <v>Chip Seal - Double and Fog</v>
      </c>
      <c r="AN1152" s="26" t="str">
        <f t="shared" si="596"/>
        <v>Chip Seal - Double and Fog</v>
      </c>
      <c r="AO1152" s="26" t="str">
        <f t="shared" si="606"/>
        <v>Crack Seal</v>
      </c>
      <c r="AP1152" s="26" t="str">
        <f t="shared" si="602"/>
        <v/>
      </c>
      <c r="AQ1152" s="68">
        <f t="shared" si="599"/>
        <v>14</v>
      </c>
      <c r="AR1152" s="68">
        <f t="shared" si="600"/>
        <v>6</v>
      </c>
      <c r="AS1152" s="68">
        <f t="shared" si="587"/>
        <v>1.1000000000000001</v>
      </c>
      <c r="AT1152" s="68">
        <f t="shared" si="588"/>
        <v>1.75</v>
      </c>
      <c r="AU1152" s="68">
        <f t="shared" si="589"/>
        <v>1.75</v>
      </c>
      <c r="AV1152" s="68">
        <f t="shared" si="590"/>
        <v>1</v>
      </c>
      <c r="AW1152" s="68">
        <f t="shared" si="591"/>
        <v>1</v>
      </c>
      <c r="AX1152" s="68">
        <f t="shared" ca="1" si="601"/>
        <v>5.25</v>
      </c>
      <c r="AY1152" s="68">
        <v>2021</v>
      </c>
      <c r="AZ1152" s="68" t="s">
        <v>2075</v>
      </c>
      <c r="BA1152" s="106" t="str">
        <f t="shared" si="607"/>
        <v/>
      </c>
      <c r="BB1152" s="178"/>
      <c r="BC1152" s="177"/>
      <c r="BD1152" s="177"/>
      <c r="BE1152" s="177"/>
      <c r="BF1152" s="177"/>
      <c r="BG1152" s="177"/>
      <c r="BH1152" s="177"/>
      <c r="BI1152" s="33" t="s">
        <v>2192</v>
      </c>
      <c r="BK1152" s="48">
        <f>$G1152/5280*VLOOKUP($AC1152,'Cost and Score'!$B$27:$O$40,6,0)</f>
        <v>5.0946969696969699E-2</v>
      </c>
      <c r="BL1152" s="48">
        <f>$G1152/5280*VLOOKUP($AC1152,'Cost and Score'!$B$27:$O$40,7,0)</f>
        <v>5.0946969696969697</v>
      </c>
      <c r="BM1152" s="48">
        <f>$G1152/5280*VLOOKUP($AC1152,'Cost and Score'!$B$27:$O$40,8,0)</f>
        <v>0</v>
      </c>
      <c r="BN1152" s="48">
        <f>$G1152/5280*VLOOKUP($AC1152,'Cost and Score'!$B$27:$O$40,9,0)</f>
        <v>967.99242424242425</v>
      </c>
      <c r="BO1152" s="48">
        <f>$G1152/5280*VLOOKUP($AC1152,'Cost and Score'!$B$27:$O$40,10,0)</f>
        <v>101.89393939393939</v>
      </c>
      <c r="BP1152" s="48">
        <f>$G1152/5280*VLOOKUP($AC1152,'Cost and Score'!$B$27:$O$40,11,0)</f>
        <v>0</v>
      </c>
      <c r="BQ1152" s="48">
        <f>$G1152/5280*VLOOKUP($AC1152,'Cost and Score'!$B$27:$O$40,12,0)</f>
        <v>20.378787878787879</v>
      </c>
      <c r="BR1152" s="48">
        <f>$G1152/5280*VLOOKUP($AC1152,'Cost and Score'!$B$27:$O$40,13,0)</f>
        <v>18.34090909090909</v>
      </c>
      <c r="BS1152" s="48">
        <f>$G1152/5280*VLOOKUP($AC1152,'Cost and Score'!$B$27:$O$40,14,0)</f>
        <v>24.454545454545457</v>
      </c>
      <c r="BT1152" s="220">
        <f t="shared" si="582"/>
        <v>0.1018939393939394</v>
      </c>
      <c r="BV1152" s="26"/>
      <c r="BW1152" s="26"/>
      <c r="BX1152" s="26"/>
      <c r="BY1152" s="26"/>
      <c r="BZ1152" s="26"/>
      <c r="CA1152" s="26"/>
      <c r="CB1152" s="26"/>
      <c r="CW1152" s="112"/>
      <c r="CX1152" s="112"/>
      <c r="CY1152" s="112"/>
    </row>
    <row r="1153" spans="1:103" s="2" customFormat="1" hidden="1" x14ac:dyDescent="0.25">
      <c r="A1153" s="38" t="s">
        <v>2102</v>
      </c>
      <c r="B1153" s="34" t="s">
        <v>2038</v>
      </c>
      <c r="C1153" s="26" t="s">
        <v>2038</v>
      </c>
      <c r="D1153" s="82"/>
      <c r="E1153" s="82" t="s">
        <v>209</v>
      </c>
      <c r="F1153" s="82" t="s">
        <v>1433</v>
      </c>
      <c r="G1153" s="29">
        <v>396</v>
      </c>
      <c r="H1153" s="29">
        <f t="shared" si="614"/>
        <v>20</v>
      </c>
      <c r="I1153" s="26" t="s">
        <v>8</v>
      </c>
      <c r="J1153" s="26" t="s">
        <v>6</v>
      </c>
      <c r="K1153" s="26">
        <f t="shared" si="615"/>
        <v>0</v>
      </c>
      <c r="L1153" s="42">
        <v>7</v>
      </c>
      <c r="M1153" s="42">
        <v>7</v>
      </c>
      <c r="N1153" s="42">
        <v>7</v>
      </c>
      <c r="O1153" s="83">
        <v>7</v>
      </c>
      <c r="P1153" s="83">
        <v>7</v>
      </c>
      <c r="Q1153" s="83">
        <v>7</v>
      </c>
      <c r="R1153" s="83">
        <v>6</v>
      </c>
      <c r="S1153" s="83">
        <v>6</v>
      </c>
      <c r="T1153" s="83">
        <v>6</v>
      </c>
      <c r="U1153" s="83">
        <v>7</v>
      </c>
      <c r="V1153" s="42"/>
      <c r="W1153" s="42"/>
      <c r="X1153" s="42"/>
      <c r="Y1153" s="26">
        <v>50</v>
      </c>
      <c r="Z1153" s="26">
        <f t="shared" si="612"/>
        <v>0</v>
      </c>
      <c r="AA1153" s="82" t="s">
        <v>2038</v>
      </c>
      <c r="AB1153" s="111">
        <f t="shared" si="611"/>
        <v>3</v>
      </c>
      <c r="AC1153" s="82" t="s">
        <v>13</v>
      </c>
      <c r="AD1153" s="84">
        <f t="shared" si="610"/>
        <v>1575</v>
      </c>
      <c r="AE1153" s="140"/>
      <c r="AF1153" s="113">
        <f t="shared" si="586"/>
        <v>0</v>
      </c>
      <c r="AG1153" s="82">
        <v>2022</v>
      </c>
      <c r="AH1153" s="26" t="str">
        <f t="shared" si="593"/>
        <v>Chip Seal and Fog</v>
      </c>
      <c r="AI1153" s="26" t="str">
        <f t="shared" si="597"/>
        <v/>
      </c>
      <c r="AJ1153" s="26" t="str">
        <f t="shared" si="605"/>
        <v/>
      </c>
      <c r="AK1153" s="26" t="str">
        <f t="shared" si="613"/>
        <v/>
      </c>
      <c r="AL1153" s="26" t="str">
        <f t="shared" si="613"/>
        <v/>
      </c>
      <c r="AM1153" s="26" t="str">
        <f t="shared" si="613"/>
        <v/>
      </c>
      <c r="AN1153" s="26" t="str">
        <f t="shared" si="596"/>
        <v>Chip Seal and Fog</v>
      </c>
      <c r="AO1153" s="26" t="str">
        <f t="shared" si="606"/>
        <v/>
      </c>
      <c r="AP1153" s="26" t="str">
        <f t="shared" si="602"/>
        <v/>
      </c>
      <c r="AQ1153" s="68">
        <f t="shared" ref="AQ1153:AQ1171" si="616">VLOOKUP(O1153,RSLrem,2,FALSE)</f>
        <v>10</v>
      </c>
      <c r="AR1153" s="68">
        <f t="shared" ref="AR1153:AR1171" si="617">VLOOKUP(AC1153,RSL,5,FALSE)</f>
        <v>6</v>
      </c>
      <c r="AS1153" s="68">
        <f t="shared" si="587"/>
        <v>1.05</v>
      </c>
      <c r="AT1153" s="68">
        <f t="shared" si="588"/>
        <v>1.05</v>
      </c>
      <c r="AU1153" s="68">
        <f t="shared" si="589"/>
        <v>1.05</v>
      </c>
      <c r="AV1153" s="68">
        <f t="shared" si="590"/>
        <v>1.05</v>
      </c>
      <c r="AW1153" s="68">
        <f t="shared" si="591"/>
        <v>1.05</v>
      </c>
      <c r="AX1153" s="68">
        <f t="shared" ref="AX1153:AX1171" ca="1" si="618">AU1153*(AG1153-YEAR(TODAY()))</f>
        <v>-2.1</v>
      </c>
      <c r="AY1153" s="68"/>
      <c r="AZ1153" s="68"/>
      <c r="BA1153" s="106" t="str">
        <f t="shared" si="607"/>
        <v/>
      </c>
      <c r="BB1153" s="178"/>
      <c r="BC1153" s="177"/>
      <c r="BD1153" s="177"/>
      <c r="BE1153" s="177"/>
      <c r="BF1153" s="177"/>
      <c r="BG1153" s="177"/>
      <c r="BH1153" s="177"/>
      <c r="BI1153" s="33"/>
      <c r="BK1153" s="48">
        <f>$G1153/5280*VLOOKUP($AC1153,'Cost and Score'!$B$27:$O$40,6,0)</f>
        <v>1.4999999999999999E-2</v>
      </c>
      <c r="BL1153" s="48">
        <f>$G1153/5280*VLOOKUP($AC1153,'Cost and Score'!$B$27:$O$40,7,0)</f>
        <v>1.65</v>
      </c>
      <c r="BM1153" s="48">
        <f>$G1153/5280*VLOOKUP($AC1153,'Cost and Score'!$B$27:$O$40,8,0)</f>
        <v>0</v>
      </c>
      <c r="BN1153" s="48">
        <f>$G1153/5280*VLOOKUP($AC1153,'Cost and Score'!$B$27:$O$40,9,0)</f>
        <v>337.5</v>
      </c>
      <c r="BO1153" s="48">
        <f>$G1153/5280*VLOOKUP($AC1153,'Cost and Score'!$B$27:$O$40,10,0)</f>
        <v>75</v>
      </c>
      <c r="BP1153" s="48">
        <f>$G1153/5280*VLOOKUP($AC1153,'Cost and Score'!$B$27:$O$40,11,0)</f>
        <v>0</v>
      </c>
      <c r="BQ1153" s="48">
        <f>$G1153/5280*VLOOKUP($AC1153,'Cost and Score'!$B$27:$O$40,12,0)</f>
        <v>7.5</v>
      </c>
      <c r="BR1153" s="48">
        <f>$G1153/5280*VLOOKUP($AC1153,'Cost and Score'!$B$27:$O$40,13,0)</f>
        <v>9</v>
      </c>
      <c r="BS1153" s="48">
        <f>$G1153/5280*VLOOKUP($AC1153,'Cost and Score'!$B$27:$O$40,14,0)</f>
        <v>0</v>
      </c>
      <c r="BT1153" s="220">
        <f t="shared" si="582"/>
        <v>7.4999999999999997E-2</v>
      </c>
      <c r="BU1153" s="26"/>
    </row>
    <row r="1154" spans="1:103" s="2" customFormat="1" hidden="1" x14ac:dyDescent="0.25">
      <c r="A1154" s="31" t="s">
        <v>2102</v>
      </c>
      <c r="B1154" s="224" t="s">
        <v>2039</v>
      </c>
      <c r="C1154" s="85" t="s">
        <v>2039</v>
      </c>
      <c r="D1154" s="86" t="s">
        <v>2307</v>
      </c>
      <c r="E1154" s="85" t="s">
        <v>1451</v>
      </c>
      <c r="F1154" s="85" t="s">
        <v>1555</v>
      </c>
      <c r="G1154" s="29">
        <v>475</v>
      </c>
      <c r="H1154" s="29">
        <f t="shared" si="614"/>
        <v>26</v>
      </c>
      <c r="I1154" s="124" t="s">
        <v>2098</v>
      </c>
      <c r="J1154" s="85" t="s">
        <v>160</v>
      </c>
      <c r="K1154" s="85">
        <f t="shared" si="615"/>
        <v>0</v>
      </c>
      <c r="L1154" s="74">
        <v>7</v>
      </c>
      <c r="M1154" s="74">
        <v>7</v>
      </c>
      <c r="N1154" s="74">
        <v>7</v>
      </c>
      <c r="O1154" s="74">
        <v>7</v>
      </c>
      <c r="P1154" s="74">
        <v>7</v>
      </c>
      <c r="Q1154" s="74">
        <v>7</v>
      </c>
      <c r="R1154" s="74">
        <v>7</v>
      </c>
      <c r="S1154" s="74">
        <v>7</v>
      </c>
      <c r="T1154" s="74">
        <v>7</v>
      </c>
      <c r="U1154" s="74">
        <v>7</v>
      </c>
      <c r="V1154" s="74"/>
      <c r="W1154" s="74"/>
      <c r="X1154" s="74"/>
      <c r="Y1154" s="85">
        <v>888</v>
      </c>
      <c r="Z1154" s="85">
        <f t="shared" si="612"/>
        <v>0.5</v>
      </c>
      <c r="AA1154" s="85" t="s">
        <v>2039</v>
      </c>
      <c r="AB1154" s="111">
        <f t="shared" si="611"/>
        <v>3.5</v>
      </c>
      <c r="AC1154" s="85" t="s">
        <v>2489</v>
      </c>
      <c r="AD1154" s="47">
        <f t="shared" si="610"/>
        <v>2249.0530303030305</v>
      </c>
      <c r="AE1154" s="140"/>
      <c r="AF1154" s="113">
        <f t="shared" si="586"/>
        <v>0</v>
      </c>
      <c r="AG1154" s="85">
        <v>2026</v>
      </c>
      <c r="AH1154" s="26" t="str">
        <f t="shared" si="593"/>
        <v/>
      </c>
      <c r="AI1154" s="26" t="str">
        <f t="shared" si="597"/>
        <v/>
      </c>
      <c r="AJ1154" s="26" t="str">
        <f t="shared" si="605"/>
        <v/>
      </c>
      <c r="AK1154" s="26" t="str">
        <f t="shared" si="613"/>
        <v/>
      </c>
      <c r="AL1154" s="26" t="str">
        <f t="shared" si="613"/>
        <v>Liquid Road</v>
      </c>
      <c r="AM1154" s="26" t="str">
        <f t="shared" si="613"/>
        <v/>
      </c>
      <c r="AN1154" s="26" t="str">
        <f t="shared" si="596"/>
        <v>Liquid Road</v>
      </c>
      <c r="AO1154" s="26" t="str">
        <f t="shared" si="606"/>
        <v/>
      </c>
      <c r="AP1154" s="26" t="str">
        <f t="shared" si="602"/>
        <v/>
      </c>
      <c r="AQ1154" s="68">
        <f t="shared" si="616"/>
        <v>10</v>
      </c>
      <c r="AR1154" s="68">
        <f t="shared" si="617"/>
        <v>10</v>
      </c>
      <c r="AS1154" s="68">
        <f t="shared" si="587"/>
        <v>1.05</v>
      </c>
      <c r="AT1154" s="68">
        <f t="shared" si="588"/>
        <v>1.05</v>
      </c>
      <c r="AU1154" s="68">
        <f t="shared" si="589"/>
        <v>1.05</v>
      </c>
      <c r="AV1154" s="68">
        <f t="shared" si="590"/>
        <v>1.05</v>
      </c>
      <c r="AW1154" s="68">
        <f t="shared" si="591"/>
        <v>1.05</v>
      </c>
      <c r="AX1154" s="68">
        <f t="shared" ca="1" si="618"/>
        <v>2.1</v>
      </c>
      <c r="AY1154" s="68"/>
      <c r="AZ1154" s="68"/>
      <c r="BA1154" s="106" t="str">
        <f t="shared" si="607"/>
        <v/>
      </c>
      <c r="BB1154" s="178"/>
      <c r="BC1154" s="177"/>
      <c r="BD1154" s="177"/>
      <c r="BE1154" s="177"/>
      <c r="BF1154" s="177"/>
      <c r="BG1154" s="177"/>
      <c r="BH1154" s="177">
        <v>5</v>
      </c>
      <c r="BI1154" s="33"/>
      <c r="BK1154" s="48">
        <f>$G1154/5280*VLOOKUP($AC1154,'Cost and Score'!$B$27:$O$40,6,0)</f>
        <v>8.9962121212121215E-2</v>
      </c>
      <c r="BL1154" s="48">
        <f>$G1154/5280*VLOOKUP($AC1154,'Cost and Score'!$B$27:$O$40,7,0)</f>
        <v>1.4393939393939394</v>
      </c>
      <c r="BM1154" s="48">
        <f>$G1154/5280*VLOOKUP($AC1154,'Cost and Score'!$B$27:$O$40,8,0)</f>
        <v>0</v>
      </c>
      <c r="BN1154" s="48">
        <f>$G1154/5280*VLOOKUP($AC1154,'Cost and Score'!$B$27:$O$40,9,0)</f>
        <v>0</v>
      </c>
      <c r="BO1154" s="48">
        <f>$G1154/5280*VLOOKUP($AC1154,'Cost and Score'!$B$27:$O$40,10,0)</f>
        <v>0</v>
      </c>
      <c r="BP1154" s="48">
        <f>$G1154/5280*VLOOKUP($AC1154,'Cost and Score'!$B$27:$O$40,11,0)</f>
        <v>0</v>
      </c>
      <c r="BQ1154" s="48">
        <f>$G1154/5280*VLOOKUP($AC1154,'Cost and Score'!$B$27:$O$40,12,0)</f>
        <v>0</v>
      </c>
      <c r="BR1154" s="48">
        <f>$G1154/5280*VLOOKUP($AC1154,'Cost and Score'!$B$27:$O$40,13,0)</f>
        <v>0</v>
      </c>
      <c r="BS1154" s="48">
        <f>$G1154/5280*VLOOKUP($AC1154,'Cost and Score'!$B$27:$O$40,14,0)</f>
        <v>0</v>
      </c>
      <c r="BT1154" s="220">
        <f t="shared" ref="BT1154:BT1171" si="619">G1154/5280</f>
        <v>8.9962121212121215E-2</v>
      </c>
      <c r="BU1154" s="26"/>
      <c r="BV1154" s="26"/>
      <c r="BW1154" s="26"/>
      <c r="BX1154" s="26"/>
      <c r="BY1154" s="26"/>
      <c r="BZ1154" s="26"/>
      <c r="CA1154" s="26"/>
      <c r="CB1154" s="26"/>
      <c r="CW1154" s="112"/>
      <c r="CX1154" s="112"/>
      <c r="CY1154" s="112"/>
    </row>
    <row r="1155" spans="1:103" s="2" customFormat="1" hidden="1" x14ac:dyDescent="0.25">
      <c r="A1155" s="31"/>
      <c r="B1155" s="224" t="s">
        <v>2214</v>
      </c>
      <c r="C1155" s="26" t="s">
        <v>2214</v>
      </c>
      <c r="D1155" s="119" t="s">
        <v>2345</v>
      </c>
      <c r="E1155" s="82" t="s">
        <v>1576</v>
      </c>
      <c r="F1155" s="82" t="s">
        <v>1912</v>
      </c>
      <c r="G1155" s="29">
        <v>400</v>
      </c>
      <c r="H1155" s="29">
        <f t="shared" si="614"/>
        <v>26</v>
      </c>
      <c r="I1155" s="26" t="s">
        <v>2098</v>
      </c>
      <c r="J1155" s="26" t="s">
        <v>125</v>
      </c>
      <c r="K1155" s="26">
        <f t="shared" si="615"/>
        <v>0</v>
      </c>
      <c r="L1155" s="42"/>
      <c r="M1155" s="42">
        <v>10</v>
      </c>
      <c r="N1155" s="42">
        <v>10</v>
      </c>
      <c r="O1155" s="83">
        <v>9</v>
      </c>
      <c r="P1155" s="83">
        <v>9</v>
      </c>
      <c r="Q1155" s="83">
        <v>9</v>
      </c>
      <c r="R1155" s="83">
        <v>8</v>
      </c>
      <c r="S1155" s="83">
        <v>8</v>
      </c>
      <c r="T1155" s="83">
        <v>8</v>
      </c>
      <c r="U1155" s="83">
        <v>8</v>
      </c>
      <c r="V1155" s="42"/>
      <c r="W1155" s="42"/>
      <c r="X1155" s="42"/>
      <c r="Y1155" s="26">
        <v>50</v>
      </c>
      <c r="Z1155" s="26">
        <f t="shared" si="612"/>
        <v>0</v>
      </c>
      <c r="AA1155" s="82" t="s">
        <v>2214</v>
      </c>
      <c r="AB1155" s="111">
        <f t="shared" si="611"/>
        <v>1</v>
      </c>
      <c r="AC1155" s="85" t="s">
        <v>2425</v>
      </c>
      <c r="AD1155" s="84">
        <f t="shared" si="610"/>
        <v>1893.939393939394</v>
      </c>
      <c r="AE1155" s="140"/>
      <c r="AF1155" s="113">
        <f t="shared" si="586"/>
        <v>0</v>
      </c>
      <c r="AG1155" s="85">
        <v>2026</v>
      </c>
      <c r="AH1155" s="26" t="str">
        <f t="shared" si="593"/>
        <v/>
      </c>
      <c r="AI1155" s="26" t="str">
        <f t="shared" si="597"/>
        <v/>
      </c>
      <c r="AJ1155" s="26" t="str">
        <f t="shared" si="605"/>
        <v/>
      </c>
      <c r="AK1155" s="26" t="str">
        <f t="shared" si="613"/>
        <v/>
      </c>
      <c r="AL1155" s="26" t="str">
        <f t="shared" si="613"/>
        <v>Liquid Road</v>
      </c>
      <c r="AM1155" s="26" t="str">
        <f t="shared" si="613"/>
        <v/>
      </c>
      <c r="AN1155" s="26" t="str">
        <f t="shared" si="596"/>
        <v>Liquid Road</v>
      </c>
      <c r="AO1155" s="26" t="str">
        <f t="shared" si="606"/>
        <v/>
      </c>
      <c r="AP1155" s="26" t="str">
        <f t="shared" si="602"/>
        <v/>
      </c>
      <c r="AQ1155" s="68">
        <f t="shared" si="616"/>
        <v>14</v>
      </c>
      <c r="AR1155" s="68">
        <f t="shared" si="617"/>
        <v>10</v>
      </c>
      <c r="AS1155" s="68">
        <f t="shared" si="587"/>
        <v>0</v>
      </c>
      <c r="AT1155" s="68">
        <f t="shared" si="588"/>
        <v>1</v>
      </c>
      <c r="AU1155" s="68">
        <f t="shared" si="589"/>
        <v>1</v>
      </c>
      <c r="AV1155" s="68">
        <f t="shared" si="590"/>
        <v>1</v>
      </c>
      <c r="AW1155" s="68">
        <f t="shared" si="591"/>
        <v>1</v>
      </c>
      <c r="AX1155" s="68">
        <f t="shared" ca="1" si="618"/>
        <v>2</v>
      </c>
      <c r="AY1155" s="68">
        <v>2015</v>
      </c>
      <c r="AZ1155" s="68" t="s">
        <v>751</v>
      </c>
      <c r="BA1155" s="106" t="str">
        <f t="shared" si="607"/>
        <v/>
      </c>
      <c r="BB1155" s="178"/>
      <c r="BC1155" s="177"/>
      <c r="BD1155" s="177"/>
      <c r="BE1155" s="177"/>
      <c r="BF1155" s="177">
        <v>3</v>
      </c>
      <c r="BG1155" s="177"/>
      <c r="BH1155" s="177"/>
      <c r="BI1155" s="33"/>
      <c r="BK1155" s="48">
        <f>$G1155/5280*VLOOKUP($AC1155,'Cost and Score'!$B$27:$O$40,6,0)</f>
        <v>7.575757575757576E-2</v>
      </c>
      <c r="BL1155" s="48">
        <f>$G1155/5280*VLOOKUP($AC1155,'Cost and Score'!$B$27:$O$40,7,0)</f>
        <v>1.2121212121212122</v>
      </c>
      <c r="BM1155" s="48">
        <f>$G1155/5280*VLOOKUP($AC1155,'Cost and Score'!$B$27:$O$40,8,0)</f>
        <v>0</v>
      </c>
      <c r="BN1155" s="48">
        <f>$G1155/5280*VLOOKUP($AC1155,'Cost and Score'!$B$27:$O$40,9,0)</f>
        <v>0</v>
      </c>
      <c r="BO1155" s="48">
        <f>$G1155/5280*VLOOKUP($AC1155,'Cost and Score'!$B$27:$O$40,10,0)</f>
        <v>0</v>
      </c>
      <c r="BP1155" s="48">
        <f>$G1155/5280*VLOOKUP($AC1155,'Cost and Score'!$B$27:$O$40,11,0)</f>
        <v>0</v>
      </c>
      <c r="BQ1155" s="48">
        <f>$G1155/5280*VLOOKUP($AC1155,'Cost and Score'!$B$27:$O$40,12,0)</f>
        <v>0</v>
      </c>
      <c r="BR1155" s="48">
        <f>$G1155/5280*VLOOKUP($AC1155,'Cost and Score'!$B$27:$O$40,13,0)</f>
        <v>0</v>
      </c>
      <c r="BS1155" s="48">
        <f>$G1155/5280*VLOOKUP($AC1155,'Cost and Score'!$B$27:$O$40,14,0)</f>
        <v>0</v>
      </c>
      <c r="BT1155" s="220">
        <f t="shared" si="619"/>
        <v>7.575757575757576E-2</v>
      </c>
      <c r="BU1155" s="26"/>
      <c r="BV1155" s="26"/>
      <c r="BW1155" s="26"/>
      <c r="BX1155" s="26"/>
      <c r="BY1155" s="26"/>
      <c r="BZ1155" s="26"/>
      <c r="CA1155" s="26"/>
      <c r="CB1155" s="26"/>
    </row>
    <row r="1156" spans="1:103" s="2" customFormat="1" ht="18" hidden="1" customHeight="1" x14ac:dyDescent="0.25">
      <c r="A1156" s="31" t="s">
        <v>2102</v>
      </c>
      <c r="B1156" s="45" t="s">
        <v>2040</v>
      </c>
      <c r="C1156" s="26" t="s">
        <v>2040</v>
      </c>
      <c r="D1156" s="36" t="s">
        <v>2278</v>
      </c>
      <c r="E1156" s="26" t="s">
        <v>1451</v>
      </c>
      <c r="F1156" s="26" t="s">
        <v>1452</v>
      </c>
      <c r="G1156" s="29">
        <v>1373</v>
      </c>
      <c r="H1156" s="29">
        <f t="shared" si="614"/>
        <v>26</v>
      </c>
      <c r="I1156" s="26" t="s">
        <v>2098</v>
      </c>
      <c r="J1156" s="26" t="s">
        <v>160</v>
      </c>
      <c r="K1156" s="26">
        <f t="shared" si="615"/>
        <v>0</v>
      </c>
      <c r="L1156" s="42">
        <v>7</v>
      </c>
      <c r="M1156" s="42">
        <v>7</v>
      </c>
      <c r="N1156" s="42">
        <v>6</v>
      </c>
      <c r="O1156" s="42">
        <v>6</v>
      </c>
      <c r="P1156" s="42">
        <v>6</v>
      </c>
      <c r="Q1156" s="42">
        <v>6</v>
      </c>
      <c r="R1156" s="42">
        <v>8</v>
      </c>
      <c r="S1156" s="42">
        <v>8</v>
      </c>
      <c r="T1156" s="42">
        <v>7</v>
      </c>
      <c r="U1156" s="42">
        <v>7</v>
      </c>
      <c r="V1156" s="42"/>
      <c r="W1156" s="42"/>
      <c r="X1156" s="42"/>
      <c r="Y1156" s="26">
        <v>1074</v>
      </c>
      <c r="Z1156" s="26">
        <f t="shared" si="612"/>
        <v>0.5</v>
      </c>
      <c r="AA1156" s="26" t="s">
        <v>2040</v>
      </c>
      <c r="AB1156" s="111">
        <f t="shared" si="611"/>
        <v>4.5</v>
      </c>
      <c r="AC1156" s="106" t="s">
        <v>2371</v>
      </c>
      <c r="AD1156" s="47">
        <f t="shared" si="610"/>
        <v>20803.030303030304</v>
      </c>
      <c r="AE1156" s="140">
        <v>1</v>
      </c>
      <c r="AF1156" s="113">
        <f t="shared" si="586"/>
        <v>20803.030303030304</v>
      </c>
      <c r="AG1156" s="106">
        <v>2024</v>
      </c>
      <c r="AH1156" s="26" t="str">
        <f t="shared" si="593"/>
        <v/>
      </c>
      <c r="AI1156" s="26" t="str">
        <f t="shared" si="597"/>
        <v/>
      </c>
      <c r="AJ1156" s="26" t="str">
        <f t="shared" si="605"/>
        <v>Microsurface double</v>
      </c>
      <c r="AK1156" s="26" t="str">
        <f t="shared" si="613"/>
        <v/>
      </c>
      <c r="AL1156" s="26" t="str">
        <f t="shared" si="613"/>
        <v/>
      </c>
      <c r="AM1156" s="26" t="str">
        <f t="shared" si="613"/>
        <v/>
      </c>
      <c r="AN1156" s="26" t="str">
        <f t="shared" si="596"/>
        <v>Microsurface double</v>
      </c>
      <c r="AO1156" s="26" t="str">
        <f t="shared" si="606"/>
        <v/>
      </c>
      <c r="AP1156" s="26" t="str">
        <f t="shared" si="602"/>
        <v/>
      </c>
      <c r="AQ1156" s="68">
        <f t="shared" si="616"/>
        <v>8</v>
      </c>
      <c r="AR1156" s="68">
        <f t="shared" si="617"/>
        <v>10</v>
      </c>
      <c r="AS1156" s="68">
        <f t="shared" si="587"/>
        <v>1.05</v>
      </c>
      <c r="AT1156" s="68">
        <f t="shared" si="588"/>
        <v>1.05</v>
      </c>
      <c r="AU1156" s="68">
        <f t="shared" si="589"/>
        <v>1.1000000000000001</v>
      </c>
      <c r="AV1156" s="68">
        <f t="shared" si="590"/>
        <v>1.1000000000000001</v>
      </c>
      <c r="AW1156" s="68">
        <f t="shared" si="591"/>
        <v>1.1000000000000001</v>
      </c>
      <c r="AX1156" s="68">
        <f t="shared" ca="1" si="618"/>
        <v>0</v>
      </c>
      <c r="AY1156" s="68">
        <v>2019</v>
      </c>
      <c r="AZ1156" s="68" t="s">
        <v>2371</v>
      </c>
      <c r="BA1156" s="106" t="str">
        <f t="shared" si="607"/>
        <v/>
      </c>
      <c r="BB1156" s="178"/>
      <c r="BC1156" s="177"/>
      <c r="BD1156" s="177"/>
      <c r="BE1156" s="177"/>
      <c r="BF1156" s="177"/>
      <c r="BG1156" s="177"/>
      <c r="BH1156" s="177"/>
      <c r="BI1156" s="33"/>
      <c r="BK1156" s="48">
        <f>$G1156/5280*VLOOKUP($AC1156,'Cost and Score'!$B$27:$O$40,6,0)</f>
        <v>0.13001893939393938</v>
      </c>
      <c r="BL1156" s="48">
        <f>$G1156/5280*VLOOKUP($AC1156,'Cost and Score'!$B$27:$O$40,7,0)</f>
        <v>0</v>
      </c>
      <c r="BM1156" s="48">
        <f>$G1156/5280*VLOOKUP($AC1156,'Cost and Score'!$B$27:$O$40,8,0)</f>
        <v>0</v>
      </c>
      <c r="BN1156" s="48">
        <f>$G1156/5280*VLOOKUP($AC1156,'Cost and Score'!$B$27:$O$40,9,0)</f>
        <v>0</v>
      </c>
      <c r="BO1156" s="48">
        <f>$G1156/5280*VLOOKUP($AC1156,'Cost and Score'!$B$27:$O$40,10,0)</f>
        <v>0</v>
      </c>
      <c r="BP1156" s="48">
        <f>$G1156/5280*VLOOKUP($AC1156,'Cost and Score'!$B$27:$O$40,11,0)</f>
        <v>0</v>
      </c>
      <c r="BQ1156" s="48">
        <f>$G1156/5280*VLOOKUP($AC1156,'Cost and Score'!$B$27:$O$40,12,0)</f>
        <v>0</v>
      </c>
      <c r="BR1156" s="48">
        <f>$G1156/5280*VLOOKUP($AC1156,'Cost and Score'!$B$27:$O$40,13,0)</f>
        <v>0</v>
      </c>
      <c r="BS1156" s="48">
        <f>$G1156/5280*VLOOKUP($AC1156,'Cost and Score'!$B$27:$O$40,14,0)</f>
        <v>0</v>
      </c>
      <c r="BT1156" s="220">
        <f t="shared" si="619"/>
        <v>0.26003787878787876</v>
      </c>
      <c r="BU1156" s="26"/>
      <c r="BV1156" s="26"/>
      <c r="BW1156" s="26"/>
      <c r="BX1156" s="26"/>
      <c r="BY1156" s="26"/>
      <c r="BZ1156" s="26"/>
      <c r="CA1156" s="26"/>
      <c r="CB1156" s="26"/>
      <c r="CW1156" s="112"/>
      <c r="CX1156" s="112"/>
      <c r="CY1156" s="112"/>
    </row>
    <row r="1157" spans="1:103" s="2" customFormat="1" hidden="1" x14ac:dyDescent="0.25">
      <c r="A1157" s="36"/>
      <c r="B1157" s="225" t="s">
        <v>2346</v>
      </c>
      <c r="C1157" s="26" t="s">
        <v>2346</v>
      </c>
      <c r="D1157" s="119" t="s">
        <v>2345</v>
      </c>
      <c r="E1157" s="82" t="s">
        <v>1576</v>
      </c>
      <c r="F1157" s="82" t="s">
        <v>1912</v>
      </c>
      <c r="G1157" s="29">
        <v>371</v>
      </c>
      <c r="H1157" s="29"/>
      <c r="I1157" s="26" t="s">
        <v>2098</v>
      </c>
      <c r="J1157" s="26" t="s">
        <v>125</v>
      </c>
      <c r="K1157" s="26">
        <f t="shared" si="615"/>
        <v>0</v>
      </c>
      <c r="L1157" s="42"/>
      <c r="M1157" s="42">
        <v>10</v>
      </c>
      <c r="N1157" s="42">
        <v>10</v>
      </c>
      <c r="O1157" s="83">
        <v>9</v>
      </c>
      <c r="P1157" s="83">
        <v>9</v>
      </c>
      <c r="Q1157" s="83">
        <v>9</v>
      </c>
      <c r="R1157" s="83">
        <v>8</v>
      </c>
      <c r="S1157" s="83">
        <v>8</v>
      </c>
      <c r="T1157" s="83">
        <v>8</v>
      </c>
      <c r="U1157" s="83">
        <v>8</v>
      </c>
      <c r="V1157" s="42"/>
      <c r="W1157" s="42"/>
      <c r="X1157" s="42"/>
      <c r="Y1157" s="26"/>
      <c r="Z1157" s="26">
        <f t="shared" si="612"/>
        <v>0</v>
      </c>
      <c r="AA1157" s="26" t="s">
        <v>2346</v>
      </c>
      <c r="AB1157" s="111">
        <f t="shared" si="611"/>
        <v>1</v>
      </c>
      <c r="AC1157" s="85" t="s">
        <v>2425</v>
      </c>
      <c r="AD1157" s="84">
        <f t="shared" si="610"/>
        <v>1756.628787878788</v>
      </c>
      <c r="AE1157" s="140"/>
      <c r="AF1157" s="113">
        <f t="shared" si="586"/>
        <v>0</v>
      </c>
      <c r="AG1157" s="85">
        <v>2026</v>
      </c>
      <c r="AH1157" s="26" t="str">
        <f t="shared" si="593"/>
        <v/>
      </c>
      <c r="AI1157" s="26" t="str">
        <f t="shared" si="597"/>
        <v/>
      </c>
      <c r="AJ1157" s="26" t="str">
        <f t="shared" si="605"/>
        <v/>
      </c>
      <c r="AK1157" s="26" t="str">
        <f t="shared" si="613"/>
        <v/>
      </c>
      <c r="AL1157" s="26" t="str">
        <f t="shared" si="613"/>
        <v>Liquid Road</v>
      </c>
      <c r="AM1157" s="26" t="str">
        <f t="shared" si="613"/>
        <v/>
      </c>
      <c r="AN1157" s="26" t="str">
        <f t="shared" si="596"/>
        <v>Liquid Road</v>
      </c>
      <c r="AO1157" s="26" t="str">
        <f t="shared" si="606"/>
        <v/>
      </c>
      <c r="AP1157" s="26" t="str">
        <f t="shared" si="602"/>
        <v/>
      </c>
      <c r="AQ1157" s="68">
        <f t="shared" si="616"/>
        <v>14</v>
      </c>
      <c r="AR1157" s="68">
        <f t="shared" si="617"/>
        <v>10</v>
      </c>
      <c r="AS1157" s="68">
        <f t="shared" si="587"/>
        <v>0</v>
      </c>
      <c r="AT1157" s="68">
        <f t="shared" si="588"/>
        <v>1</v>
      </c>
      <c r="AU1157" s="68">
        <f t="shared" si="589"/>
        <v>1</v>
      </c>
      <c r="AV1157" s="68">
        <f t="shared" si="590"/>
        <v>1</v>
      </c>
      <c r="AW1157" s="68">
        <f t="shared" si="591"/>
        <v>1</v>
      </c>
      <c r="AX1157" s="68">
        <f t="shared" ca="1" si="618"/>
        <v>2</v>
      </c>
      <c r="AY1157" s="68">
        <v>2015</v>
      </c>
      <c r="AZ1157" s="68" t="s">
        <v>751</v>
      </c>
      <c r="BA1157" s="106" t="str">
        <f t="shared" si="607"/>
        <v/>
      </c>
      <c r="BB1157" s="178"/>
      <c r="BC1157" s="177"/>
      <c r="BD1157" s="177"/>
      <c r="BE1157" s="177"/>
      <c r="BF1157" s="177">
        <v>3</v>
      </c>
      <c r="BG1157" s="177"/>
      <c r="BH1157" s="177"/>
      <c r="BI1157" s="43"/>
      <c r="BJ1157" s="26"/>
      <c r="BK1157" s="48">
        <f>$G1157/5280*VLOOKUP($AC1157,'Cost and Score'!$B$27:$O$40,6,0)</f>
        <v>7.0265151515151517E-2</v>
      </c>
      <c r="BL1157" s="48">
        <f>$G1157/5280*VLOOKUP($AC1157,'Cost and Score'!$B$27:$O$40,7,0)</f>
        <v>1.1242424242424243</v>
      </c>
      <c r="BM1157" s="48">
        <f>$G1157/5280*VLOOKUP($AC1157,'Cost and Score'!$B$27:$O$40,8,0)</f>
        <v>0</v>
      </c>
      <c r="BN1157" s="48">
        <f>$G1157/5280*VLOOKUP($AC1157,'Cost and Score'!$B$27:$O$40,9,0)</f>
        <v>0</v>
      </c>
      <c r="BO1157" s="48">
        <f>$G1157/5280*VLOOKUP($AC1157,'Cost and Score'!$B$27:$O$40,10,0)</f>
        <v>0</v>
      </c>
      <c r="BP1157" s="48">
        <f>$G1157/5280*VLOOKUP($AC1157,'Cost and Score'!$B$27:$O$40,11,0)</f>
        <v>0</v>
      </c>
      <c r="BQ1157" s="48">
        <f>$G1157/5280*VLOOKUP($AC1157,'Cost and Score'!$B$27:$O$40,12,0)</f>
        <v>0</v>
      </c>
      <c r="BR1157" s="48">
        <f>$G1157/5280*VLOOKUP($AC1157,'Cost and Score'!$B$27:$O$40,13,0)</f>
        <v>0</v>
      </c>
      <c r="BS1157" s="48">
        <f>$G1157/5280*VLOOKUP($AC1157,'Cost and Score'!$B$27:$O$40,14,0)</f>
        <v>0</v>
      </c>
      <c r="BT1157" s="220">
        <f t="shared" si="619"/>
        <v>7.0265151515151517E-2</v>
      </c>
      <c r="BU1157" s="26"/>
    </row>
    <row r="1158" spans="1:103" s="2" customFormat="1" hidden="1" x14ac:dyDescent="0.25">
      <c r="A1158" s="31" t="s">
        <v>2102</v>
      </c>
      <c r="B1158" s="45" t="s">
        <v>2041</v>
      </c>
      <c r="C1158" s="26" t="s">
        <v>2041</v>
      </c>
      <c r="D1158" s="36" t="s">
        <v>2222</v>
      </c>
      <c r="E1158" s="26" t="s">
        <v>1451</v>
      </c>
      <c r="F1158" s="26" t="s">
        <v>1522</v>
      </c>
      <c r="G1158" s="29">
        <v>739</v>
      </c>
      <c r="H1158" s="29">
        <f>IF(I1158="NC",26,20)</f>
        <v>26</v>
      </c>
      <c r="I1158" s="26" t="s">
        <v>2098</v>
      </c>
      <c r="J1158" s="26" t="s">
        <v>160</v>
      </c>
      <c r="K1158" s="26">
        <f t="shared" si="615"/>
        <v>0</v>
      </c>
      <c r="L1158" s="42">
        <v>7</v>
      </c>
      <c r="M1158" s="42">
        <v>7</v>
      </c>
      <c r="N1158" s="42">
        <v>7</v>
      </c>
      <c r="O1158" s="42">
        <v>7</v>
      </c>
      <c r="P1158" s="42">
        <v>7</v>
      </c>
      <c r="Q1158" s="42">
        <v>7</v>
      </c>
      <c r="R1158" s="42">
        <v>7</v>
      </c>
      <c r="S1158" s="42">
        <v>7</v>
      </c>
      <c r="T1158" s="42">
        <v>7</v>
      </c>
      <c r="U1158" s="42">
        <v>7</v>
      </c>
      <c r="V1158" s="42"/>
      <c r="W1158" s="42"/>
      <c r="X1158" s="42"/>
      <c r="Y1158" s="26">
        <v>50</v>
      </c>
      <c r="Z1158" s="26">
        <f t="shared" si="612"/>
        <v>0</v>
      </c>
      <c r="AA1158" s="26" t="s">
        <v>2041</v>
      </c>
      <c r="AB1158" s="111">
        <f t="shared" si="611"/>
        <v>3</v>
      </c>
      <c r="AC1158" s="26" t="s">
        <v>2086</v>
      </c>
      <c r="AD1158" s="47">
        <v>8326</v>
      </c>
      <c r="AE1158" s="140"/>
      <c r="AF1158" s="113">
        <f t="shared" si="586"/>
        <v>0</v>
      </c>
      <c r="AG1158" s="26">
        <v>2024</v>
      </c>
      <c r="AH1158" s="26" t="str">
        <f t="shared" si="593"/>
        <v/>
      </c>
      <c r="AI1158" s="26" t="str">
        <f t="shared" si="597"/>
        <v/>
      </c>
      <c r="AJ1158" s="26" t="str">
        <f t="shared" si="605"/>
        <v>Fog Seal</v>
      </c>
      <c r="AK1158" s="26" t="str">
        <f t="shared" si="613"/>
        <v/>
      </c>
      <c r="AL1158" s="26" t="str">
        <f t="shared" si="613"/>
        <v/>
      </c>
      <c r="AM1158" s="26" t="str">
        <f t="shared" si="613"/>
        <v/>
      </c>
      <c r="AN1158" s="26" t="str">
        <f t="shared" si="596"/>
        <v>Fog Seal</v>
      </c>
      <c r="AO1158" s="26" t="str">
        <f t="shared" si="606"/>
        <v/>
      </c>
      <c r="AP1158" s="26" t="str">
        <f t="shared" si="602"/>
        <v/>
      </c>
      <c r="AQ1158" s="68">
        <f t="shared" si="616"/>
        <v>10</v>
      </c>
      <c r="AR1158" s="68">
        <f t="shared" si="617"/>
        <v>2</v>
      </c>
      <c r="AS1158" s="68">
        <f t="shared" si="587"/>
        <v>1.05</v>
      </c>
      <c r="AT1158" s="68">
        <f t="shared" si="588"/>
        <v>1.05</v>
      </c>
      <c r="AU1158" s="68">
        <f t="shared" si="589"/>
        <v>1.05</v>
      </c>
      <c r="AV1158" s="68">
        <f t="shared" si="590"/>
        <v>1.05</v>
      </c>
      <c r="AW1158" s="68">
        <f t="shared" si="591"/>
        <v>1.05</v>
      </c>
      <c r="AX1158" s="68">
        <f t="shared" ca="1" si="618"/>
        <v>0</v>
      </c>
      <c r="AY1158" s="68">
        <v>2018</v>
      </c>
      <c r="AZ1158" s="68" t="s">
        <v>2371</v>
      </c>
      <c r="BA1158" s="106" t="str">
        <f t="shared" si="607"/>
        <v>MICRO</v>
      </c>
      <c r="BB1158" s="178"/>
      <c r="BC1158" s="177"/>
      <c r="BD1158" s="177"/>
      <c r="BE1158" s="177"/>
      <c r="BF1158" s="177"/>
      <c r="BG1158" s="177"/>
      <c r="BH1158" s="177"/>
      <c r="BI1158" s="33"/>
      <c r="BK1158" s="48">
        <f>$G1158/5280*VLOOKUP($AC1158,'Cost and Score'!$B$27:$O$40,6,0)</f>
        <v>1.3996212121212121E-2</v>
      </c>
      <c r="BL1158" s="48">
        <f>$G1158/5280*VLOOKUP($AC1158,'Cost and Score'!$B$27:$O$40,7,0)</f>
        <v>2.7992424242424242E-2</v>
      </c>
      <c r="BM1158" s="48">
        <f>$G1158/5280*VLOOKUP($AC1158,'Cost and Score'!$B$27:$O$40,8,0)</f>
        <v>0</v>
      </c>
      <c r="BN1158" s="48">
        <f>$G1158/5280*VLOOKUP($AC1158,'Cost and Score'!$B$27:$O$40,9,0)</f>
        <v>0</v>
      </c>
      <c r="BO1158" s="48">
        <f>$G1158/5280*VLOOKUP($AC1158,'Cost and Score'!$B$27:$O$40,10,0)</f>
        <v>139.96212121212122</v>
      </c>
      <c r="BP1158" s="48">
        <f>$G1158/5280*VLOOKUP($AC1158,'Cost and Score'!$B$27:$O$40,11,0)</f>
        <v>0</v>
      </c>
      <c r="BQ1158" s="48">
        <f>$G1158/5280*VLOOKUP($AC1158,'Cost and Score'!$B$27:$O$40,12,0)</f>
        <v>0</v>
      </c>
      <c r="BR1158" s="48">
        <f>$G1158/5280*VLOOKUP($AC1158,'Cost and Score'!$B$27:$O$40,13,0)</f>
        <v>0</v>
      </c>
      <c r="BS1158" s="48">
        <f>$G1158/5280*VLOOKUP($AC1158,'Cost and Score'!$B$27:$O$40,14,0)</f>
        <v>0</v>
      </c>
      <c r="BT1158" s="220">
        <f t="shared" si="619"/>
        <v>0.1399621212121212</v>
      </c>
      <c r="CF1158" s="112"/>
    </row>
    <row r="1159" spans="1:103" s="112" customFormat="1" x14ac:dyDescent="0.25">
      <c r="A1159" s="38" t="s">
        <v>1773</v>
      </c>
      <c r="B1159" s="34" t="s">
        <v>1772</v>
      </c>
      <c r="C1159" s="26" t="s">
        <v>1772</v>
      </c>
      <c r="D1159" s="82"/>
      <c r="E1159" s="82" t="s">
        <v>168</v>
      </c>
      <c r="F1159" s="82" t="s">
        <v>38</v>
      </c>
      <c r="G1159" s="29">
        <v>2450</v>
      </c>
      <c r="H1159" s="29">
        <f>IF(I1159="NC",26,20)</f>
        <v>20</v>
      </c>
      <c r="I1159" s="26" t="s">
        <v>8</v>
      </c>
      <c r="J1159" s="26" t="s">
        <v>11</v>
      </c>
      <c r="K1159" s="26">
        <f t="shared" si="615"/>
        <v>0</v>
      </c>
      <c r="L1159" s="42">
        <v>6</v>
      </c>
      <c r="M1159" s="42">
        <v>8</v>
      </c>
      <c r="N1159" s="42">
        <v>8</v>
      </c>
      <c r="O1159" s="83">
        <v>7</v>
      </c>
      <c r="P1159" s="83">
        <v>7</v>
      </c>
      <c r="Q1159" s="83">
        <v>7</v>
      </c>
      <c r="R1159" s="83">
        <v>7</v>
      </c>
      <c r="S1159" s="83">
        <v>6</v>
      </c>
      <c r="T1159" s="83">
        <v>5</v>
      </c>
      <c r="U1159" s="83">
        <v>6</v>
      </c>
      <c r="V1159" s="42"/>
      <c r="W1159" s="42"/>
      <c r="X1159" s="42"/>
      <c r="Y1159" s="26">
        <v>121</v>
      </c>
      <c r="Z1159" s="26">
        <f t="shared" si="612"/>
        <v>0</v>
      </c>
      <c r="AA1159" s="82" t="s">
        <v>1772</v>
      </c>
      <c r="AB1159" s="111">
        <f t="shared" si="611"/>
        <v>3</v>
      </c>
      <c r="AC1159" s="85" t="s">
        <v>2072</v>
      </c>
      <c r="AD1159" s="84">
        <f>VLOOKUP(AC1159,Cost,2,FALSE)*G1159/5280</f>
        <v>21344.696969696968</v>
      </c>
      <c r="AE1159" s="140"/>
      <c r="AF1159" s="113">
        <f t="shared" si="586"/>
        <v>0</v>
      </c>
      <c r="AG1159" s="106">
        <v>2025</v>
      </c>
      <c r="AH1159" s="26" t="str">
        <f t="shared" si="593"/>
        <v/>
      </c>
      <c r="AI1159" s="26" t="str">
        <f t="shared" si="597"/>
        <v/>
      </c>
      <c r="AJ1159" s="26" t="str">
        <f t="shared" si="605"/>
        <v/>
      </c>
      <c r="AK1159" s="26" t="str">
        <f t="shared" si="613"/>
        <v>Chip Seal - Triple</v>
      </c>
      <c r="AL1159" s="26" t="str">
        <f t="shared" si="613"/>
        <v/>
      </c>
      <c r="AM1159" s="26" t="str">
        <f t="shared" si="613"/>
        <v/>
      </c>
      <c r="AN1159" s="26" t="str">
        <f t="shared" si="596"/>
        <v>Chip Seal - Triple</v>
      </c>
      <c r="AO1159" s="26" t="str">
        <f t="shared" si="606"/>
        <v/>
      </c>
      <c r="AP1159" s="26" t="str">
        <f t="shared" si="602"/>
        <v/>
      </c>
      <c r="AQ1159" s="68">
        <f t="shared" si="616"/>
        <v>10</v>
      </c>
      <c r="AR1159" s="68">
        <f t="shared" si="617"/>
        <v>8</v>
      </c>
      <c r="AS1159" s="68">
        <f t="shared" si="587"/>
        <v>1.1000000000000001</v>
      </c>
      <c r="AT1159" s="68">
        <f t="shared" si="588"/>
        <v>1</v>
      </c>
      <c r="AU1159" s="68">
        <f t="shared" si="589"/>
        <v>1</v>
      </c>
      <c r="AV1159" s="68">
        <f t="shared" si="590"/>
        <v>1.05</v>
      </c>
      <c r="AW1159" s="68">
        <f t="shared" si="591"/>
        <v>1.05</v>
      </c>
      <c r="AX1159" s="68">
        <f t="shared" ca="1" si="618"/>
        <v>1</v>
      </c>
      <c r="AY1159" s="68">
        <v>2019</v>
      </c>
      <c r="AZ1159" s="68" t="s">
        <v>2075</v>
      </c>
      <c r="BA1159" s="106" t="str">
        <f t="shared" ref="BA1159:BA1190" si="620">IF(AY1159=2018,AZ1159,"")</f>
        <v/>
      </c>
      <c r="BB1159" s="178"/>
      <c r="BC1159" s="178">
        <v>2</v>
      </c>
      <c r="BD1159" s="178"/>
      <c r="BE1159" s="178"/>
      <c r="BF1159" s="178"/>
      <c r="BG1159" s="178"/>
      <c r="BH1159" s="178"/>
      <c r="BI1159" s="33"/>
      <c r="BJ1159" s="2"/>
      <c r="BK1159" s="48">
        <f>$G1159/5280*VLOOKUP($AC1159,'Cost and Score'!$B$27:$O$40,6,0)</f>
        <v>0.27840909090909088</v>
      </c>
      <c r="BL1159" s="48">
        <f>$G1159/5280*VLOOKUP($AC1159,'Cost and Score'!$B$27:$O$40,7,0)</f>
        <v>58.001893939393938</v>
      </c>
      <c r="BM1159" s="48">
        <f>$G1159/5280*VLOOKUP($AC1159,'Cost and Score'!$B$27:$O$40,8,0)</f>
        <v>92.803030303030297</v>
      </c>
      <c r="BN1159" s="48">
        <f>$G1159/5280*VLOOKUP($AC1159,'Cost and Score'!$B$27:$O$40,9,0)</f>
        <v>928.030303030303</v>
      </c>
      <c r="BO1159" s="48">
        <f>$G1159/5280*VLOOKUP($AC1159,'Cost and Score'!$B$27:$O$40,10,0)</f>
        <v>232.00757575757575</v>
      </c>
      <c r="BP1159" s="48">
        <f>$G1159/5280*VLOOKUP($AC1159,'Cost and Score'!$B$27:$O$40,11,0)</f>
        <v>46.401515151515149</v>
      </c>
      <c r="BQ1159" s="48">
        <f>$G1159/5280*VLOOKUP($AC1159,'Cost and Score'!$B$27:$O$40,12,0)</f>
        <v>371.21212121212119</v>
      </c>
      <c r="BR1159" s="48">
        <f>$G1159/5280*VLOOKUP($AC1159,'Cost and Score'!$B$27:$O$40,13,0)</f>
        <v>37.121212121212118</v>
      </c>
      <c r="BS1159" s="48">
        <f>$G1159/5280*VLOOKUP($AC1159,'Cost and Score'!$B$27:$O$40,14,0)</f>
        <v>0</v>
      </c>
      <c r="BT1159" s="220">
        <f t="shared" si="619"/>
        <v>0.46401515151515149</v>
      </c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</row>
    <row r="1160" spans="1:103" s="2" customFormat="1" hidden="1" x14ac:dyDescent="0.25">
      <c r="A1160" s="31" t="s">
        <v>2102</v>
      </c>
      <c r="B1160" s="224" t="s">
        <v>2043</v>
      </c>
      <c r="C1160" s="26" t="s">
        <v>2043</v>
      </c>
      <c r="D1160" s="119" t="s">
        <v>2278</v>
      </c>
      <c r="E1160" s="82" t="s">
        <v>1451</v>
      </c>
      <c r="F1160" s="82" t="s">
        <v>1452</v>
      </c>
      <c r="G1160" s="29">
        <v>1056</v>
      </c>
      <c r="H1160" s="29">
        <f>IF(I1160="NC",26,20)</f>
        <v>26</v>
      </c>
      <c r="I1160" s="26" t="s">
        <v>2098</v>
      </c>
      <c r="J1160" s="26" t="s">
        <v>160</v>
      </c>
      <c r="K1160" s="26">
        <f t="shared" si="615"/>
        <v>0</v>
      </c>
      <c r="L1160" s="42">
        <v>7</v>
      </c>
      <c r="M1160" s="42">
        <v>8</v>
      </c>
      <c r="N1160" s="42">
        <v>8</v>
      </c>
      <c r="O1160" s="83">
        <v>8</v>
      </c>
      <c r="P1160" s="83">
        <v>8</v>
      </c>
      <c r="Q1160" s="83">
        <v>7</v>
      </c>
      <c r="R1160" s="83">
        <v>7</v>
      </c>
      <c r="S1160" s="83">
        <v>8</v>
      </c>
      <c r="T1160" s="83">
        <v>7</v>
      </c>
      <c r="U1160" s="83">
        <v>6</v>
      </c>
      <c r="V1160" s="42"/>
      <c r="W1160" s="42"/>
      <c r="X1160" s="42"/>
      <c r="Y1160" s="26">
        <v>1074</v>
      </c>
      <c r="Z1160" s="26">
        <f t="shared" si="612"/>
        <v>0.5</v>
      </c>
      <c r="AA1160" s="82" t="s">
        <v>2043</v>
      </c>
      <c r="AB1160" s="111">
        <f t="shared" si="611"/>
        <v>2.5</v>
      </c>
      <c r="AC1160" s="85" t="s">
        <v>2371</v>
      </c>
      <c r="AD1160" s="84">
        <f>VLOOKUP(AC1160,Cost,2,FALSE)*G1160/5280</f>
        <v>16000</v>
      </c>
      <c r="AE1160" s="140">
        <v>1</v>
      </c>
      <c r="AF1160" s="113">
        <f t="shared" si="586"/>
        <v>16000</v>
      </c>
      <c r="AG1160" s="85">
        <v>2024</v>
      </c>
      <c r="AH1160" s="26" t="str">
        <f t="shared" si="593"/>
        <v/>
      </c>
      <c r="AI1160" s="26" t="str">
        <f t="shared" si="597"/>
        <v/>
      </c>
      <c r="AJ1160" s="26" t="str">
        <f t="shared" si="605"/>
        <v>Microsurface double</v>
      </c>
      <c r="AK1160" s="26" t="str">
        <f t="shared" si="613"/>
        <v/>
      </c>
      <c r="AL1160" s="26" t="str">
        <f t="shared" si="613"/>
        <v/>
      </c>
      <c r="AM1160" s="26" t="str">
        <f t="shared" si="613"/>
        <v/>
      </c>
      <c r="AN1160" s="26" t="str">
        <f t="shared" si="596"/>
        <v>Microsurface double</v>
      </c>
      <c r="AO1160" s="26" t="str">
        <f t="shared" si="606"/>
        <v/>
      </c>
      <c r="AP1160" s="26" t="str">
        <f t="shared" si="602"/>
        <v/>
      </c>
      <c r="AQ1160" s="68">
        <f t="shared" si="616"/>
        <v>12</v>
      </c>
      <c r="AR1160" s="68">
        <f t="shared" si="617"/>
        <v>10</v>
      </c>
      <c r="AS1160" s="68">
        <f t="shared" si="587"/>
        <v>1.05</v>
      </c>
      <c r="AT1160" s="68">
        <f t="shared" si="588"/>
        <v>1</v>
      </c>
      <c r="AU1160" s="68">
        <f t="shared" si="589"/>
        <v>1</v>
      </c>
      <c r="AV1160" s="68">
        <f t="shared" si="590"/>
        <v>1</v>
      </c>
      <c r="AW1160" s="68">
        <f t="shared" si="591"/>
        <v>1</v>
      </c>
      <c r="AX1160" s="68">
        <f t="shared" ca="1" si="618"/>
        <v>0</v>
      </c>
      <c r="AY1160" s="68">
        <v>2020</v>
      </c>
      <c r="AZ1160" s="68" t="s">
        <v>2075</v>
      </c>
      <c r="BA1160" s="106" t="str">
        <f t="shared" si="620"/>
        <v/>
      </c>
      <c r="BB1160" s="178"/>
      <c r="BC1160" s="177"/>
      <c r="BD1160" s="177"/>
      <c r="BE1160" s="177"/>
      <c r="BF1160" s="177"/>
      <c r="BG1160" s="177"/>
      <c r="BH1160" s="177"/>
      <c r="BI1160" s="33"/>
      <c r="BK1160" s="48">
        <f>$G1160/5280*VLOOKUP($AC1160,'Cost and Score'!$B$27:$O$40,6,0)</f>
        <v>0.1</v>
      </c>
      <c r="BL1160" s="48">
        <f>$G1160/5280*VLOOKUP($AC1160,'Cost and Score'!$B$27:$O$40,7,0)</f>
        <v>0</v>
      </c>
      <c r="BM1160" s="48">
        <f>$G1160/5280*VLOOKUP($AC1160,'Cost and Score'!$B$27:$O$40,8,0)</f>
        <v>0</v>
      </c>
      <c r="BN1160" s="48">
        <f>$G1160/5280*VLOOKUP($AC1160,'Cost and Score'!$B$27:$O$40,9,0)</f>
        <v>0</v>
      </c>
      <c r="BO1160" s="48">
        <f>$G1160/5280*VLOOKUP($AC1160,'Cost and Score'!$B$27:$O$40,10,0)</f>
        <v>0</v>
      </c>
      <c r="BP1160" s="48">
        <f>$G1160/5280*VLOOKUP($AC1160,'Cost and Score'!$B$27:$O$40,11,0)</f>
        <v>0</v>
      </c>
      <c r="BQ1160" s="48">
        <f>$G1160/5280*VLOOKUP($AC1160,'Cost and Score'!$B$27:$O$40,12,0)</f>
        <v>0</v>
      </c>
      <c r="BR1160" s="48">
        <f>$G1160/5280*VLOOKUP($AC1160,'Cost and Score'!$B$27:$O$40,13,0)</f>
        <v>0</v>
      </c>
      <c r="BS1160" s="48">
        <f>$G1160/5280*VLOOKUP($AC1160,'Cost and Score'!$B$27:$O$40,14,0)</f>
        <v>0</v>
      </c>
      <c r="BT1160" s="220">
        <f t="shared" si="619"/>
        <v>0.2</v>
      </c>
      <c r="BU1160" s="26"/>
      <c r="BV1160" s="26"/>
      <c r="BW1160" s="26"/>
      <c r="BX1160" s="26"/>
      <c r="BY1160" s="26"/>
      <c r="BZ1160" s="26"/>
      <c r="CA1160" s="26"/>
      <c r="CB1160" s="26"/>
      <c r="CN1160" s="112"/>
      <c r="CO1160" s="112"/>
      <c r="CP1160" s="112"/>
      <c r="CQ1160" s="112"/>
      <c r="CR1160" s="112"/>
      <c r="CS1160" s="112"/>
      <c r="CT1160" s="112"/>
      <c r="CU1160" s="112"/>
      <c r="CV1160" s="112"/>
    </row>
    <row r="1161" spans="1:103" s="2" customFormat="1" hidden="1" x14ac:dyDescent="0.25">
      <c r="A1161" s="31" t="s">
        <v>2102</v>
      </c>
      <c r="B1161" s="224" t="s">
        <v>2044</v>
      </c>
      <c r="C1161" s="85" t="s">
        <v>2044</v>
      </c>
      <c r="D1161" s="86" t="s">
        <v>2307</v>
      </c>
      <c r="E1161" s="85" t="s">
        <v>1451</v>
      </c>
      <c r="F1161" s="85" t="s">
        <v>1555</v>
      </c>
      <c r="G1161" s="29">
        <v>758</v>
      </c>
      <c r="H1161" s="29">
        <f>IF(I1161="NC",26,20)</f>
        <v>26</v>
      </c>
      <c r="I1161" s="124" t="s">
        <v>2098</v>
      </c>
      <c r="J1161" s="85" t="s">
        <v>160</v>
      </c>
      <c r="K1161" s="85">
        <f t="shared" si="615"/>
        <v>0</v>
      </c>
      <c r="L1161" s="74">
        <v>7</v>
      </c>
      <c r="M1161" s="74">
        <v>7</v>
      </c>
      <c r="N1161" s="74">
        <v>7</v>
      </c>
      <c r="O1161" s="74">
        <v>7</v>
      </c>
      <c r="P1161" s="74">
        <v>9</v>
      </c>
      <c r="Q1161" s="74">
        <v>8</v>
      </c>
      <c r="R1161" s="74">
        <v>8</v>
      </c>
      <c r="S1161" s="74">
        <v>7</v>
      </c>
      <c r="T1161" s="74">
        <v>7</v>
      </c>
      <c r="U1161" s="74">
        <v>7</v>
      </c>
      <c r="V1161" s="74"/>
      <c r="W1161" s="74"/>
      <c r="X1161" s="74"/>
      <c r="Y1161" s="85">
        <v>888</v>
      </c>
      <c r="Z1161" s="85">
        <f t="shared" si="612"/>
        <v>0.5</v>
      </c>
      <c r="AA1161" s="85" t="s">
        <v>2044</v>
      </c>
      <c r="AB1161" s="111">
        <f t="shared" si="611"/>
        <v>1.5</v>
      </c>
      <c r="AC1161" s="85" t="s">
        <v>2371</v>
      </c>
      <c r="AD1161" s="47">
        <f>VLOOKUP(AC1161,Cost,2,FALSE)*G1161/5280</f>
        <v>11484.848484848484</v>
      </c>
      <c r="AE1161" s="140"/>
      <c r="AF1161" s="113">
        <f t="shared" si="586"/>
        <v>0</v>
      </c>
      <c r="AG1161" s="85">
        <v>2028</v>
      </c>
      <c r="AH1161" s="26" t="str">
        <f t="shared" si="593"/>
        <v/>
      </c>
      <c r="AI1161" s="26" t="str">
        <f t="shared" si="597"/>
        <v/>
      </c>
      <c r="AJ1161" s="26" t="str">
        <f t="shared" si="605"/>
        <v/>
      </c>
      <c r="AK1161" s="26" t="str">
        <f t="shared" si="613"/>
        <v/>
      </c>
      <c r="AL1161" s="26" t="str">
        <f t="shared" si="613"/>
        <v/>
      </c>
      <c r="AM1161" s="26" t="str">
        <f t="shared" si="613"/>
        <v/>
      </c>
      <c r="AN1161" s="26" t="str">
        <f t="shared" si="596"/>
        <v>Microsurface double</v>
      </c>
      <c r="AO1161" s="26" t="str">
        <f t="shared" si="606"/>
        <v/>
      </c>
      <c r="AP1161" s="26" t="str">
        <f t="shared" si="602"/>
        <v/>
      </c>
      <c r="AQ1161" s="68">
        <f t="shared" si="616"/>
        <v>10</v>
      </c>
      <c r="AR1161" s="68">
        <f t="shared" si="617"/>
        <v>10</v>
      </c>
      <c r="AS1161" s="68">
        <f t="shared" si="587"/>
        <v>1.05</v>
      </c>
      <c r="AT1161" s="68">
        <f t="shared" si="588"/>
        <v>1.05</v>
      </c>
      <c r="AU1161" s="68">
        <f t="shared" si="589"/>
        <v>1.05</v>
      </c>
      <c r="AV1161" s="68">
        <f t="shared" si="590"/>
        <v>1.05</v>
      </c>
      <c r="AW1161" s="68">
        <f t="shared" si="591"/>
        <v>1</v>
      </c>
      <c r="AX1161" s="68">
        <f t="shared" ca="1" si="618"/>
        <v>4.2</v>
      </c>
      <c r="AY1161" s="68">
        <v>2020</v>
      </c>
      <c r="AZ1161" s="68" t="s">
        <v>2075</v>
      </c>
      <c r="BA1161" s="106" t="str">
        <f t="shared" si="620"/>
        <v/>
      </c>
      <c r="BB1161" s="178"/>
      <c r="BC1161" s="177"/>
      <c r="BD1161" s="177"/>
      <c r="BE1161" s="177"/>
      <c r="BF1161" s="177"/>
      <c r="BG1161" s="177"/>
      <c r="BH1161" s="177"/>
      <c r="BI1161" s="33"/>
      <c r="BK1161" s="48">
        <f>$G1161/5280*VLOOKUP($AC1161,'Cost and Score'!$B$27:$O$40,6,0)</f>
        <v>7.1780303030303028E-2</v>
      </c>
      <c r="BL1161" s="48">
        <f>$G1161/5280*VLOOKUP($AC1161,'Cost and Score'!$B$27:$O$40,7,0)</f>
        <v>0</v>
      </c>
      <c r="BM1161" s="48">
        <f>$G1161/5280*VLOOKUP($AC1161,'Cost and Score'!$B$27:$O$40,8,0)</f>
        <v>0</v>
      </c>
      <c r="BN1161" s="48">
        <f>$G1161/5280*VLOOKUP($AC1161,'Cost and Score'!$B$27:$O$40,9,0)</f>
        <v>0</v>
      </c>
      <c r="BO1161" s="48">
        <f>$G1161/5280*VLOOKUP($AC1161,'Cost and Score'!$B$27:$O$40,10,0)</f>
        <v>0</v>
      </c>
      <c r="BP1161" s="48">
        <f>$G1161/5280*VLOOKUP($AC1161,'Cost and Score'!$B$27:$O$40,11,0)</f>
        <v>0</v>
      </c>
      <c r="BQ1161" s="48">
        <f>$G1161/5280*VLOOKUP($AC1161,'Cost and Score'!$B$27:$O$40,12,0)</f>
        <v>0</v>
      </c>
      <c r="BR1161" s="48">
        <f>$G1161/5280*VLOOKUP($AC1161,'Cost and Score'!$B$27:$O$40,13,0)</f>
        <v>0</v>
      </c>
      <c r="BS1161" s="48">
        <f>$G1161/5280*VLOOKUP($AC1161,'Cost and Score'!$B$27:$O$40,14,0)</f>
        <v>0</v>
      </c>
      <c r="BT1161" s="220">
        <f t="shared" si="619"/>
        <v>0.14356060606060606</v>
      </c>
      <c r="BU1161" s="26"/>
      <c r="BV1161" s="26"/>
      <c r="BW1161" s="26"/>
      <c r="BX1161" s="26"/>
      <c r="BY1161" s="26"/>
      <c r="BZ1161" s="26"/>
      <c r="CA1161" s="26"/>
      <c r="CB1161" s="26"/>
      <c r="CF1161" s="112"/>
      <c r="CW1161" s="112"/>
      <c r="CX1161" s="112"/>
      <c r="CY1161" s="112"/>
    </row>
    <row r="1162" spans="1:103" s="112" customFormat="1" hidden="1" x14ac:dyDescent="0.25">
      <c r="A1162" s="31" t="s">
        <v>2102</v>
      </c>
      <c r="B1162" s="226" t="s">
        <v>2045</v>
      </c>
      <c r="C1162" s="106" t="s">
        <v>2045</v>
      </c>
      <c r="D1162" s="116" t="s">
        <v>2307</v>
      </c>
      <c r="E1162" s="106" t="s">
        <v>1451</v>
      </c>
      <c r="F1162" s="106" t="s">
        <v>1555</v>
      </c>
      <c r="G1162" s="109">
        <v>2002</v>
      </c>
      <c r="H1162" s="109">
        <f>IF(I1162="NC",26,20)</f>
        <v>26</v>
      </c>
      <c r="I1162" s="106" t="s">
        <v>2098</v>
      </c>
      <c r="J1162" s="106" t="s">
        <v>160</v>
      </c>
      <c r="K1162" s="106">
        <f t="shared" si="615"/>
        <v>0</v>
      </c>
      <c r="L1162" s="110">
        <v>7</v>
      </c>
      <c r="M1162" s="110">
        <v>7</v>
      </c>
      <c r="N1162" s="110">
        <v>6</v>
      </c>
      <c r="O1162" s="110">
        <v>6</v>
      </c>
      <c r="P1162" s="110">
        <v>9</v>
      </c>
      <c r="Q1162" s="110">
        <v>8</v>
      </c>
      <c r="R1162" s="110">
        <v>8</v>
      </c>
      <c r="S1162" s="110">
        <v>7</v>
      </c>
      <c r="T1162" s="110">
        <v>7</v>
      </c>
      <c r="U1162" s="110">
        <v>7</v>
      </c>
      <c r="V1162" s="110"/>
      <c r="W1162" s="110"/>
      <c r="X1162" s="110"/>
      <c r="Y1162" s="106">
        <v>888</v>
      </c>
      <c r="Z1162" s="106">
        <f t="shared" si="612"/>
        <v>0.5</v>
      </c>
      <c r="AA1162" s="106" t="s">
        <v>2045</v>
      </c>
      <c r="AB1162" s="111">
        <f t="shared" si="611"/>
        <v>1.5</v>
      </c>
      <c r="AC1162" s="85" t="s">
        <v>2489</v>
      </c>
      <c r="AD1162" s="107">
        <f>VLOOKUP(AC1162,Cost,2,FALSE)*G1162/5280</f>
        <v>9479.1666666666661</v>
      </c>
      <c r="AE1162" s="198"/>
      <c r="AF1162" s="113">
        <f t="shared" ref="AF1162:AF1225" si="621">AD1162*AE1162</f>
        <v>0</v>
      </c>
      <c r="AG1162" s="85">
        <v>2026</v>
      </c>
      <c r="AH1162" s="26" t="str">
        <f t="shared" si="593"/>
        <v/>
      </c>
      <c r="AI1162" s="26" t="str">
        <f t="shared" si="597"/>
        <v/>
      </c>
      <c r="AJ1162" s="26" t="str">
        <f t="shared" si="605"/>
        <v/>
      </c>
      <c r="AK1162" s="26" t="str">
        <f t="shared" si="613"/>
        <v/>
      </c>
      <c r="AL1162" s="26" t="str">
        <f t="shared" si="613"/>
        <v>Liquid Road</v>
      </c>
      <c r="AM1162" s="26" t="str">
        <f t="shared" si="613"/>
        <v/>
      </c>
      <c r="AN1162" s="26" t="str">
        <f t="shared" si="596"/>
        <v>Liquid Road</v>
      </c>
      <c r="AO1162" s="26" t="str">
        <f t="shared" si="606"/>
        <v/>
      </c>
      <c r="AP1162" s="26" t="str">
        <f t="shared" si="602"/>
        <v/>
      </c>
      <c r="AQ1162" s="68">
        <f t="shared" si="616"/>
        <v>8</v>
      </c>
      <c r="AR1162" s="68">
        <f t="shared" si="617"/>
        <v>10</v>
      </c>
      <c r="AS1162" s="68">
        <f t="shared" ref="AS1162:AS1171" si="622">IF(L1162 &lt;&gt; "",VLOOKUP(L1162,RSLloss,3,FALSE),0)</f>
        <v>1.05</v>
      </c>
      <c r="AT1162" s="68">
        <f t="shared" ref="AT1162:AT1171" si="623">IF(M1162 &lt;&gt; "",VLOOKUP(M1162,RSLloss,3,FALSE),0)</f>
        <v>1.05</v>
      </c>
      <c r="AU1162" s="68">
        <f t="shared" ref="AU1162:AU1171" si="624">IF(N1162 &lt;&gt; "",VLOOKUP(N1162,RSLloss,3,FALSE),0)</f>
        <v>1.1000000000000001</v>
      </c>
      <c r="AV1162" s="68">
        <f t="shared" ref="AV1162:AV1171" si="625">IF(O1162 &lt;&gt; "",VLOOKUP(O1162,RSLloss,3,FALSE),0)</f>
        <v>1.1000000000000001</v>
      </c>
      <c r="AW1162" s="68">
        <f t="shared" ref="AW1162:AW1171" si="626">IF(P1162 &lt;&gt; "",VLOOKUP(P1162,RSLloss,3,FALSE),0)</f>
        <v>1</v>
      </c>
      <c r="AX1162" s="68">
        <f t="shared" ca="1" si="618"/>
        <v>2.2000000000000002</v>
      </c>
      <c r="AY1162" s="106">
        <v>2017</v>
      </c>
      <c r="AZ1162" s="68" t="s">
        <v>2371</v>
      </c>
      <c r="BA1162" s="106" t="str">
        <f t="shared" si="620"/>
        <v/>
      </c>
      <c r="BB1162" s="178"/>
      <c r="BC1162" s="110"/>
      <c r="BD1162" s="110"/>
      <c r="BE1162" s="110"/>
      <c r="BF1162" s="110"/>
      <c r="BG1162" s="110"/>
      <c r="BH1162" s="110">
        <v>5</v>
      </c>
      <c r="BI1162" s="33"/>
      <c r="BJ1162" s="2"/>
      <c r="BK1162" s="48">
        <f>$G1162/5280*VLOOKUP($AC1162,'Cost and Score'!$B$27:$O$40,6,0)</f>
        <v>0.37916666666666665</v>
      </c>
      <c r="BL1162" s="48">
        <f>$G1162/5280*VLOOKUP($AC1162,'Cost and Score'!$B$27:$O$40,7,0)</f>
        <v>6.0666666666666664</v>
      </c>
      <c r="BM1162" s="48">
        <f>$G1162/5280*VLOOKUP($AC1162,'Cost and Score'!$B$27:$O$40,8,0)</f>
        <v>0</v>
      </c>
      <c r="BN1162" s="48">
        <f>$G1162/5280*VLOOKUP($AC1162,'Cost and Score'!$B$27:$O$40,9,0)</f>
        <v>0</v>
      </c>
      <c r="BO1162" s="48">
        <f>$G1162/5280*VLOOKUP($AC1162,'Cost and Score'!$B$27:$O$40,10,0)</f>
        <v>0</v>
      </c>
      <c r="BP1162" s="48">
        <f>$G1162/5280*VLOOKUP($AC1162,'Cost and Score'!$B$27:$O$40,11,0)</f>
        <v>0</v>
      </c>
      <c r="BQ1162" s="48">
        <f>$G1162/5280*VLOOKUP($AC1162,'Cost and Score'!$B$27:$O$40,12,0)</f>
        <v>0</v>
      </c>
      <c r="BR1162" s="48">
        <f>$G1162/5280*VLOOKUP($AC1162,'Cost and Score'!$B$27:$O$40,13,0)</f>
        <v>0</v>
      </c>
      <c r="BS1162" s="48">
        <f>$G1162/5280*VLOOKUP($AC1162,'Cost and Score'!$B$27:$O$40,14,0)</f>
        <v>0</v>
      </c>
      <c r="BT1162" s="220">
        <f t="shared" si="619"/>
        <v>0.37916666666666665</v>
      </c>
      <c r="BU1162" s="26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N1162" s="2"/>
      <c r="CO1162" s="2"/>
      <c r="CP1162" s="2"/>
      <c r="CQ1162" s="2"/>
      <c r="CR1162" s="2"/>
      <c r="CS1162" s="2"/>
      <c r="CT1162" s="2"/>
      <c r="CU1162" s="2"/>
      <c r="CV1162" s="2"/>
    </row>
    <row r="1163" spans="1:103" s="112" customFormat="1" hidden="1" x14ac:dyDescent="0.25">
      <c r="A1163" s="31"/>
      <c r="B1163" s="226" t="s">
        <v>2441</v>
      </c>
      <c r="C1163" s="106" t="s">
        <v>2441</v>
      </c>
      <c r="D1163" s="116" t="s">
        <v>2442</v>
      </c>
      <c r="E1163" s="106" t="s">
        <v>2443</v>
      </c>
      <c r="F1163" s="106"/>
      <c r="G1163" s="109">
        <v>458</v>
      </c>
      <c r="H1163" s="109">
        <v>26</v>
      </c>
      <c r="I1163" s="106" t="s">
        <v>2098</v>
      </c>
      <c r="J1163" s="106" t="s">
        <v>160</v>
      </c>
      <c r="K1163" s="106"/>
      <c r="L1163" s="110"/>
      <c r="M1163" s="110"/>
      <c r="N1163" s="110"/>
      <c r="O1163" s="110">
        <v>9</v>
      </c>
      <c r="P1163" s="110">
        <v>9</v>
      </c>
      <c r="Q1163" s="110">
        <v>9</v>
      </c>
      <c r="R1163" s="110">
        <v>8</v>
      </c>
      <c r="S1163" s="110">
        <v>8</v>
      </c>
      <c r="T1163" s="110">
        <v>7</v>
      </c>
      <c r="U1163" s="110">
        <v>7</v>
      </c>
      <c r="V1163" s="110"/>
      <c r="W1163" s="110"/>
      <c r="X1163" s="110"/>
      <c r="Y1163" s="106">
        <v>76</v>
      </c>
      <c r="Z1163" s="106"/>
      <c r="AA1163" s="106" t="s">
        <v>2441</v>
      </c>
      <c r="AB1163" s="111">
        <f t="shared" si="611"/>
        <v>1</v>
      </c>
      <c r="AC1163" s="85" t="s">
        <v>2489</v>
      </c>
      <c r="AD1163" s="107">
        <f>VLOOKUP(AC1163,Cost,2,FALSE)*G1163/5280</f>
        <v>2168.560606060606</v>
      </c>
      <c r="AE1163" s="198"/>
      <c r="AF1163" s="113">
        <f t="shared" si="621"/>
        <v>0</v>
      </c>
      <c r="AG1163" s="85">
        <v>2026</v>
      </c>
      <c r="AH1163" s="26" t="str">
        <f t="shared" si="593"/>
        <v/>
      </c>
      <c r="AI1163" s="26" t="str">
        <f t="shared" si="597"/>
        <v/>
      </c>
      <c r="AJ1163" s="26" t="str">
        <f t="shared" si="605"/>
        <v/>
      </c>
      <c r="AK1163" s="26" t="str">
        <f t="shared" si="613"/>
        <v/>
      </c>
      <c r="AL1163" s="26" t="str">
        <f t="shared" si="613"/>
        <v>Liquid Road</v>
      </c>
      <c r="AM1163" s="26" t="str">
        <f t="shared" si="613"/>
        <v/>
      </c>
      <c r="AN1163" s="26" t="str">
        <f t="shared" si="596"/>
        <v>Liquid Road</v>
      </c>
      <c r="AO1163" s="26" t="str">
        <f t="shared" si="606"/>
        <v/>
      </c>
      <c r="AP1163" s="26" t="str">
        <f t="shared" si="602"/>
        <v/>
      </c>
      <c r="AQ1163" s="68">
        <f t="shared" si="616"/>
        <v>14</v>
      </c>
      <c r="AR1163" s="68">
        <f t="shared" si="617"/>
        <v>10</v>
      </c>
      <c r="AS1163" s="68">
        <f t="shared" si="622"/>
        <v>0</v>
      </c>
      <c r="AT1163" s="68">
        <f t="shared" si="623"/>
        <v>0</v>
      </c>
      <c r="AU1163" s="68">
        <f t="shared" si="624"/>
        <v>0</v>
      </c>
      <c r="AV1163" s="68">
        <f t="shared" si="625"/>
        <v>1</v>
      </c>
      <c r="AW1163" s="68">
        <f t="shared" si="626"/>
        <v>1</v>
      </c>
      <c r="AX1163" s="68">
        <f t="shared" ca="1" si="618"/>
        <v>0</v>
      </c>
      <c r="AY1163" s="68"/>
      <c r="AZ1163" s="68"/>
      <c r="BA1163" s="106" t="str">
        <f t="shared" si="620"/>
        <v/>
      </c>
      <c r="BB1163" s="178"/>
      <c r="BC1163" s="177"/>
      <c r="BD1163" s="177"/>
      <c r="BE1163" s="177"/>
      <c r="BF1163" s="177"/>
      <c r="BG1163" s="177"/>
      <c r="BH1163" s="177">
        <v>5</v>
      </c>
      <c r="BI1163" s="33"/>
      <c r="BJ1163" s="2"/>
      <c r="BK1163" s="48">
        <f>$G1163/5280*VLOOKUP($AC1163,'Cost and Score'!$B$27:$O$40,6,0)</f>
        <v>8.6742424242424246E-2</v>
      </c>
      <c r="BL1163" s="48">
        <f>$G1163/5280*VLOOKUP($AC1163,'Cost and Score'!$B$27:$O$40,7,0)</f>
        <v>1.3878787878787879</v>
      </c>
      <c r="BM1163" s="48">
        <f>$G1163/5280*VLOOKUP($AC1163,'Cost and Score'!$B$27:$O$40,8,0)</f>
        <v>0</v>
      </c>
      <c r="BN1163" s="48">
        <f>$G1163/5280*VLOOKUP($AC1163,'Cost and Score'!$B$27:$O$40,9,0)</f>
        <v>0</v>
      </c>
      <c r="BO1163" s="48">
        <f>$G1163/5280*VLOOKUP($AC1163,'Cost and Score'!$B$27:$O$40,10,0)</f>
        <v>0</v>
      </c>
      <c r="BP1163" s="48">
        <f>$G1163/5280*VLOOKUP($AC1163,'Cost and Score'!$B$27:$O$40,11,0)</f>
        <v>0</v>
      </c>
      <c r="BQ1163" s="48">
        <f>$G1163/5280*VLOOKUP($AC1163,'Cost and Score'!$B$27:$O$40,12,0)</f>
        <v>0</v>
      </c>
      <c r="BR1163" s="48">
        <f>$G1163/5280*VLOOKUP($AC1163,'Cost and Score'!$B$27:$O$40,13,0)</f>
        <v>0</v>
      </c>
      <c r="BS1163" s="48">
        <f>$G1163/5280*VLOOKUP($AC1163,'Cost and Score'!$B$27:$O$40,14,0)</f>
        <v>0</v>
      </c>
      <c r="BT1163" s="220">
        <f t="shared" si="619"/>
        <v>8.6742424242424246E-2</v>
      </c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</row>
    <row r="1164" spans="1:103" s="112" customFormat="1" x14ac:dyDescent="0.25">
      <c r="A1164" s="38"/>
      <c r="B1164" s="179" t="s">
        <v>2507</v>
      </c>
      <c r="C1164" s="26"/>
      <c r="D1164" s="82"/>
      <c r="E1164" s="85" t="s">
        <v>2517</v>
      </c>
      <c r="F1164" s="85" t="s">
        <v>2518</v>
      </c>
      <c r="G1164" s="29">
        <v>1185</v>
      </c>
      <c r="H1164" s="29">
        <v>20</v>
      </c>
      <c r="I1164" s="26" t="s">
        <v>8</v>
      </c>
      <c r="J1164" s="26" t="s">
        <v>17</v>
      </c>
      <c r="K1164" s="26">
        <f>VLOOKUP(J1164,TOWNSHIPS,2,FALSE)</f>
        <v>0</v>
      </c>
      <c r="L1164" s="42">
        <v>7</v>
      </c>
      <c r="M1164" s="42">
        <v>8</v>
      </c>
      <c r="N1164" s="42">
        <v>8</v>
      </c>
      <c r="O1164" s="83">
        <v>7</v>
      </c>
      <c r="P1164" s="83">
        <v>7</v>
      </c>
      <c r="Q1164" s="83">
        <v>8</v>
      </c>
      <c r="R1164" s="83">
        <v>8</v>
      </c>
      <c r="S1164" s="83">
        <v>8</v>
      </c>
      <c r="T1164" s="83">
        <v>7</v>
      </c>
      <c r="U1164" s="83">
        <v>7</v>
      </c>
      <c r="V1164" s="42"/>
      <c r="W1164" s="42">
        <v>2019</v>
      </c>
      <c r="X1164" s="42" t="s">
        <v>2612</v>
      </c>
      <c r="Y1164" s="26">
        <v>100</v>
      </c>
      <c r="Z1164" s="26">
        <v>0</v>
      </c>
      <c r="AA1164" s="179" t="s">
        <v>2507</v>
      </c>
      <c r="AB1164" s="111">
        <v>4</v>
      </c>
      <c r="AC1164" s="85" t="s">
        <v>2072</v>
      </c>
      <c r="AD1164" s="84">
        <v>3500</v>
      </c>
      <c r="AE1164" s="140"/>
      <c r="AF1164" s="113">
        <f t="shared" si="621"/>
        <v>0</v>
      </c>
      <c r="AG1164" s="82">
        <v>2025</v>
      </c>
      <c r="AH1164" s="26" t="str">
        <f t="shared" si="593"/>
        <v/>
      </c>
      <c r="AI1164" s="26" t="str">
        <f t="shared" si="597"/>
        <v/>
      </c>
      <c r="AJ1164" s="26" t="str">
        <f t="shared" si="605"/>
        <v/>
      </c>
      <c r="AK1164" s="26" t="str">
        <f t="shared" si="613"/>
        <v>Chip Seal - Triple</v>
      </c>
      <c r="AL1164" s="26" t="str">
        <f t="shared" si="613"/>
        <v/>
      </c>
      <c r="AM1164" s="26" t="str">
        <f t="shared" si="613"/>
        <v/>
      </c>
      <c r="AN1164" s="26" t="str">
        <f t="shared" si="596"/>
        <v>Chip Seal - Triple</v>
      </c>
      <c r="AO1164" s="26" t="str">
        <f t="shared" si="606"/>
        <v/>
      </c>
      <c r="AP1164" s="26" t="str">
        <f t="shared" si="602"/>
        <v/>
      </c>
      <c r="AQ1164" s="68">
        <f t="shared" si="616"/>
        <v>10</v>
      </c>
      <c r="AR1164" s="68">
        <f t="shared" si="617"/>
        <v>8</v>
      </c>
      <c r="AS1164" s="68">
        <f t="shared" si="622"/>
        <v>1.05</v>
      </c>
      <c r="AT1164" s="68">
        <f t="shared" si="623"/>
        <v>1</v>
      </c>
      <c r="AU1164" s="68">
        <f t="shared" si="624"/>
        <v>1</v>
      </c>
      <c r="AV1164" s="68">
        <f t="shared" si="625"/>
        <v>1.05</v>
      </c>
      <c r="AW1164" s="68">
        <f t="shared" si="626"/>
        <v>1.05</v>
      </c>
      <c r="AX1164" s="68">
        <f t="shared" ca="1" si="618"/>
        <v>1</v>
      </c>
      <c r="AY1164" s="68">
        <v>2018</v>
      </c>
      <c r="AZ1164" s="68" t="s">
        <v>2072</v>
      </c>
      <c r="BA1164" s="106" t="str">
        <f t="shared" si="620"/>
        <v>SP/CS</v>
      </c>
      <c r="BB1164" s="178"/>
      <c r="BC1164" s="178">
        <v>5</v>
      </c>
      <c r="BD1164" s="178"/>
      <c r="BE1164" s="178"/>
      <c r="BF1164" s="178"/>
      <c r="BG1164" s="178"/>
      <c r="BH1164" s="178"/>
      <c r="BI1164" s="33"/>
      <c r="BJ1164" s="2"/>
      <c r="BK1164" s="48"/>
      <c r="BL1164" s="48"/>
      <c r="BM1164" s="48"/>
      <c r="BN1164" s="48"/>
      <c r="BO1164" s="48"/>
      <c r="BP1164" s="48"/>
      <c r="BQ1164" s="48"/>
      <c r="BR1164" s="48"/>
      <c r="BS1164" s="48"/>
      <c r="BT1164" s="220">
        <f t="shared" si="619"/>
        <v>0.22443181818181818</v>
      </c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</row>
    <row r="1165" spans="1:103" s="112" customFormat="1" hidden="1" x14ac:dyDescent="0.25">
      <c r="A1165" s="31" t="s">
        <v>2102</v>
      </c>
      <c r="B1165" s="120" t="s">
        <v>2047</v>
      </c>
      <c r="C1165" s="106" t="s">
        <v>2047</v>
      </c>
      <c r="D1165" s="116" t="s">
        <v>2231</v>
      </c>
      <c r="E1165" s="106" t="s">
        <v>1458</v>
      </c>
      <c r="F1165" s="106" t="s">
        <v>1459</v>
      </c>
      <c r="G1165" s="109">
        <v>1003</v>
      </c>
      <c r="H1165" s="109">
        <f t="shared" ref="H1165:H1171" si="627">IF(I1165="NC",26,20)</f>
        <v>26</v>
      </c>
      <c r="I1165" s="106" t="s">
        <v>2098</v>
      </c>
      <c r="J1165" s="106" t="s">
        <v>160</v>
      </c>
      <c r="K1165" s="106">
        <f>VLOOKUP(J1165,TOWNSHIPS,2,FALSE)</f>
        <v>0</v>
      </c>
      <c r="L1165" s="110">
        <v>7</v>
      </c>
      <c r="M1165" s="110">
        <v>8</v>
      </c>
      <c r="N1165" s="110">
        <v>8</v>
      </c>
      <c r="O1165" s="110">
        <v>8</v>
      </c>
      <c r="P1165" s="110">
        <v>8</v>
      </c>
      <c r="Q1165" s="110">
        <v>7</v>
      </c>
      <c r="R1165" s="110">
        <v>7</v>
      </c>
      <c r="S1165" s="110">
        <v>7</v>
      </c>
      <c r="T1165" s="110">
        <v>7</v>
      </c>
      <c r="U1165" s="110">
        <v>7</v>
      </c>
      <c r="V1165" s="110"/>
      <c r="W1165" s="110"/>
      <c r="X1165" s="110"/>
      <c r="Y1165" s="106">
        <v>433</v>
      </c>
      <c r="Z1165" s="106">
        <f t="shared" ref="Z1165:Z1171" si="628">VLOOKUP(Y1165,AADT,2)</f>
        <v>0</v>
      </c>
      <c r="AA1165" s="106" t="s">
        <v>2047</v>
      </c>
      <c r="AB1165" s="111">
        <f t="shared" ref="AB1165:AB1171" si="629">(10-P1165)+Z1165+K1165</f>
        <v>2</v>
      </c>
      <c r="AC1165" s="26" t="s">
        <v>2086</v>
      </c>
      <c r="AD1165" s="107">
        <f>VLOOKUP(AC1165,Cost,2,FALSE)*G1165/5280</f>
        <v>474.905303030303</v>
      </c>
      <c r="AE1165" s="198"/>
      <c r="AF1165" s="113">
        <f t="shared" si="621"/>
        <v>0</v>
      </c>
      <c r="AG1165" s="26">
        <v>2024</v>
      </c>
      <c r="AH1165" s="26" t="str">
        <f t="shared" ref="AH1165:AH1170" si="630">IF($AG1165=AH$1,VLOOKUP($AC1165,RSL,3,FALSE),"")</f>
        <v/>
      </c>
      <c r="AI1165" s="26" t="str">
        <f t="shared" si="597"/>
        <v/>
      </c>
      <c r="AJ1165" s="26" t="str">
        <f t="shared" si="605"/>
        <v>Fog Seal</v>
      </c>
      <c r="AK1165" s="26" t="str">
        <f t="shared" si="613"/>
        <v/>
      </c>
      <c r="AL1165" s="26" t="str">
        <f t="shared" si="613"/>
        <v/>
      </c>
      <c r="AM1165" s="26" t="str">
        <f t="shared" si="613"/>
        <v/>
      </c>
      <c r="AN1165" s="26" t="str">
        <f t="shared" si="596"/>
        <v>Fog Seal</v>
      </c>
      <c r="AO1165" s="26" t="str">
        <f t="shared" si="606"/>
        <v/>
      </c>
      <c r="AP1165" s="26" t="str">
        <f t="shared" si="602"/>
        <v/>
      </c>
      <c r="AQ1165" s="68">
        <f t="shared" si="616"/>
        <v>12</v>
      </c>
      <c r="AR1165" s="68">
        <f t="shared" si="617"/>
        <v>2</v>
      </c>
      <c r="AS1165" s="68">
        <f t="shared" si="622"/>
        <v>1.05</v>
      </c>
      <c r="AT1165" s="68">
        <f t="shared" si="623"/>
        <v>1</v>
      </c>
      <c r="AU1165" s="68">
        <f t="shared" si="624"/>
        <v>1</v>
      </c>
      <c r="AV1165" s="68">
        <f t="shared" si="625"/>
        <v>1</v>
      </c>
      <c r="AW1165" s="68">
        <f t="shared" si="626"/>
        <v>1</v>
      </c>
      <c r="AX1165" s="68">
        <f t="shared" ca="1" si="618"/>
        <v>0</v>
      </c>
      <c r="AY1165" s="106">
        <v>2018</v>
      </c>
      <c r="AZ1165" s="106" t="s">
        <v>2425</v>
      </c>
      <c r="BA1165" s="106" t="str">
        <f t="shared" si="620"/>
        <v>MICROSEAL</v>
      </c>
      <c r="BB1165" s="177"/>
      <c r="BC1165" s="177"/>
      <c r="BD1165" s="177"/>
      <c r="BE1165" s="177"/>
      <c r="BF1165" s="177"/>
      <c r="BG1165" s="177"/>
      <c r="BH1165" s="177"/>
      <c r="BI1165" s="33"/>
      <c r="BJ1165" s="2"/>
      <c r="BK1165" s="48">
        <f>$G1165/5280*VLOOKUP($AC1165,'Cost and Score'!$B$27:$O$40,6,0)</f>
        <v>1.8996212121212122E-2</v>
      </c>
      <c r="BL1165" s="48">
        <f>$G1165/5280*VLOOKUP($AC1165,'Cost and Score'!$B$27:$O$40,7,0)</f>
        <v>3.7992424242424244E-2</v>
      </c>
      <c r="BM1165" s="48">
        <f>$G1165/5280*VLOOKUP($AC1165,'Cost and Score'!$B$27:$O$40,8,0)</f>
        <v>0</v>
      </c>
      <c r="BN1165" s="48">
        <f>$G1165/5280*VLOOKUP($AC1165,'Cost and Score'!$B$27:$O$40,9,0)</f>
        <v>0</v>
      </c>
      <c r="BO1165" s="48">
        <f>$G1165/5280*VLOOKUP($AC1165,'Cost and Score'!$B$27:$O$40,10,0)</f>
        <v>189.96212121212122</v>
      </c>
      <c r="BP1165" s="48">
        <f>$G1165/5280*VLOOKUP($AC1165,'Cost and Score'!$B$27:$O$40,11,0)</f>
        <v>0</v>
      </c>
      <c r="BQ1165" s="48">
        <f>$G1165/5280*VLOOKUP($AC1165,'Cost and Score'!$B$27:$O$40,12,0)</f>
        <v>0</v>
      </c>
      <c r="BR1165" s="48">
        <f>$G1165/5280*VLOOKUP($AC1165,'Cost and Score'!$B$27:$O$40,13,0)</f>
        <v>0</v>
      </c>
      <c r="BS1165" s="48">
        <f>$G1165/5280*VLOOKUP($AC1165,'Cost and Score'!$B$27:$O$40,14,0)</f>
        <v>0</v>
      </c>
      <c r="BT1165" s="220">
        <f t="shared" si="619"/>
        <v>0.18996212121212122</v>
      </c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W1165" s="2"/>
      <c r="CX1165" s="2"/>
      <c r="CY1165" s="2"/>
    </row>
    <row r="1166" spans="1:103" s="112" customFormat="1" x14ac:dyDescent="0.25">
      <c r="A1166" s="37" t="s">
        <v>2105</v>
      </c>
      <c r="B1166" s="197" t="s">
        <v>448</v>
      </c>
      <c r="C1166" s="194" t="s">
        <v>448</v>
      </c>
      <c r="D1166" s="26"/>
      <c r="E1166" s="26" t="s">
        <v>28</v>
      </c>
      <c r="F1166" s="26" t="s">
        <v>406</v>
      </c>
      <c r="G1166" s="29">
        <v>5600</v>
      </c>
      <c r="H1166" s="29">
        <f t="shared" si="627"/>
        <v>20</v>
      </c>
      <c r="I1166" s="26" t="s">
        <v>13</v>
      </c>
      <c r="J1166" s="26" t="s">
        <v>101</v>
      </c>
      <c r="K1166" s="26">
        <v>0</v>
      </c>
      <c r="L1166" s="42">
        <v>7</v>
      </c>
      <c r="M1166" s="42">
        <v>8</v>
      </c>
      <c r="N1166" s="42">
        <v>8</v>
      </c>
      <c r="O1166" s="42">
        <v>7</v>
      </c>
      <c r="P1166" s="42">
        <v>7</v>
      </c>
      <c r="Q1166" s="42">
        <v>6</v>
      </c>
      <c r="R1166" s="42">
        <v>6</v>
      </c>
      <c r="S1166" s="42">
        <v>6</v>
      </c>
      <c r="T1166" s="42">
        <v>6</v>
      </c>
      <c r="U1166" s="42">
        <v>5</v>
      </c>
      <c r="V1166" s="42"/>
      <c r="W1166" s="42"/>
      <c r="X1166" s="42"/>
      <c r="Y1166" s="26">
        <v>50</v>
      </c>
      <c r="Z1166" s="26">
        <f t="shared" si="628"/>
        <v>0</v>
      </c>
      <c r="AA1166" s="26" t="s">
        <v>450</v>
      </c>
      <c r="AB1166" s="111">
        <f t="shared" si="629"/>
        <v>3</v>
      </c>
      <c r="AC1166" s="85" t="s">
        <v>2072</v>
      </c>
      <c r="AD1166" s="195">
        <f>VLOOKUP(AC1166,Cost,2,FALSE)*G1166/5280</f>
        <v>48787.878787878784</v>
      </c>
      <c r="AE1166" s="140"/>
      <c r="AF1166" s="196">
        <f t="shared" si="621"/>
        <v>0</v>
      </c>
      <c r="AG1166" s="106">
        <v>2025</v>
      </c>
      <c r="AH1166" s="26" t="str">
        <f t="shared" si="630"/>
        <v/>
      </c>
      <c r="AI1166" s="26" t="str">
        <f t="shared" si="597"/>
        <v/>
      </c>
      <c r="AJ1166" s="26" t="str">
        <f t="shared" si="605"/>
        <v/>
      </c>
      <c r="AK1166" s="26" t="str">
        <f t="shared" si="613"/>
        <v>Chip Seal - Triple</v>
      </c>
      <c r="AL1166" s="26" t="str">
        <f t="shared" si="613"/>
        <v/>
      </c>
      <c r="AM1166" s="26" t="str">
        <f t="shared" si="613"/>
        <v/>
      </c>
      <c r="AN1166" s="26" t="str">
        <f t="shared" si="596"/>
        <v>Chip Seal - Triple</v>
      </c>
      <c r="AO1166" s="26" t="str">
        <f t="shared" si="606"/>
        <v/>
      </c>
      <c r="AP1166" s="26" t="str">
        <f t="shared" si="602"/>
        <v/>
      </c>
      <c r="AQ1166" s="68">
        <f t="shared" si="616"/>
        <v>10</v>
      </c>
      <c r="AR1166" s="68">
        <f t="shared" si="617"/>
        <v>8</v>
      </c>
      <c r="AS1166" s="68">
        <f t="shared" si="622"/>
        <v>1.05</v>
      </c>
      <c r="AT1166" s="68">
        <f t="shared" si="623"/>
        <v>1</v>
      </c>
      <c r="AU1166" s="68">
        <f t="shared" si="624"/>
        <v>1</v>
      </c>
      <c r="AV1166" s="68">
        <f t="shared" si="625"/>
        <v>1.05</v>
      </c>
      <c r="AW1166" s="68">
        <f t="shared" si="626"/>
        <v>1.05</v>
      </c>
      <c r="AX1166" s="68">
        <f t="shared" ca="1" si="618"/>
        <v>1</v>
      </c>
      <c r="AY1166" s="106">
        <v>2019</v>
      </c>
      <c r="AZ1166" s="106" t="s">
        <v>2072</v>
      </c>
      <c r="BA1166" s="106" t="str">
        <f t="shared" si="620"/>
        <v/>
      </c>
      <c r="BB1166" s="177"/>
      <c r="BC1166" s="177">
        <v>4</v>
      </c>
      <c r="BD1166" s="177"/>
      <c r="BE1166" s="177"/>
      <c r="BF1166" s="177"/>
      <c r="BG1166" s="177"/>
      <c r="BH1166" s="177"/>
      <c r="BI1166" s="33"/>
      <c r="BJ1166" s="2"/>
      <c r="BK1166" s="48">
        <f>$G1166/5280*VLOOKUP($AC1166,'Cost and Score'!$B$27:$O$40,6,0)</f>
        <v>0.63636363636363635</v>
      </c>
      <c r="BL1166" s="48">
        <f>$G1166/5280*VLOOKUP($AC1166,'Cost and Score'!$B$27:$O$40,7,0)</f>
        <v>132.57575757575756</v>
      </c>
      <c r="BM1166" s="48">
        <f>$G1166/5280*VLOOKUP($AC1166,'Cost and Score'!$B$27:$O$40,8,0)</f>
        <v>212.12121212121212</v>
      </c>
      <c r="BN1166" s="48">
        <f>$G1166/5280*VLOOKUP($AC1166,'Cost and Score'!$B$27:$O$40,9,0)</f>
        <v>2121.212121212121</v>
      </c>
      <c r="BO1166" s="48">
        <f>$G1166/5280*VLOOKUP($AC1166,'Cost and Score'!$B$27:$O$40,10,0)</f>
        <v>530.30303030303025</v>
      </c>
      <c r="BP1166" s="48">
        <f>$G1166/5280*VLOOKUP($AC1166,'Cost and Score'!$B$27:$O$40,11,0)</f>
        <v>106.06060606060606</v>
      </c>
      <c r="BQ1166" s="48">
        <f>$G1166/5280*VLOOKUP($AC1166,'Cost and Score'!$B$27:$O$40,12,0)</f>
        <v>848.4848484848485</v>
      </c>
      <c r="BR1166" s="48">
        <f>$G1166/5280*VLOOKUP($AC1166,'Cost and Score'!$B$27:$O$40,13,0)</f>
        <v>84.848484848484844</v>
      </c>
      <c r="BS1166" s="48">
        <f>$G1166/5280*VLOOKUP($AC1166,'Cost and Score'!$B$27:$O$40,14,0)</f>
        <v>0</v>
      </c>
      <c r="BT1166" s="220">
        <f t="shared" si="619"/>
        <v>1.0606060606060606</v>
      </c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</row>
    <row r="1167" spans="1:103" s="112" customFormat="1" hidden="1" x14ac:dyDescent="0.25">
      <c r="A1167" s="31" t="s">
        <v>2102</v>
      </c>
      <c r="B1167" s="226" t="s">
        <v>2049</v>
      </c>
      <c r="C1167" s="106" t="s">
        <v>2049</v>
      </c>
      <c r="D1167" s="116" t="s">
        <v>2237</v>
      </c>
      <c r="E1167" s="106" t="s">
        <v>1548</v>
      </c>
      <c r="F1167" s="106" t="s">
        <v>1416</v>
      </c>
      <c r="G1167" s="109">
        <v>2112</v>
      </c>
      <c r="H1167" s="109">
        <f t="shared" si="627"/>
        <v>26</v>
      </c>
      <c r="I1167" s="106" t="s">
        <v>2098</v>
      </c>
      <c r="J1167" s="106" t="s">
        <v>160</v>
      </c>
      <c r="K1167" s="106">
        <f>VLOOKUP(J1167,TOWNSHIPS,2,FALSE)</f>
        <v>0</v>
      </c>
      <c r="L1167" s="110">
        <v>8</v>
      </c>
      <c r="M1167" s="110">
        <v>7</v>
      </c>
      <c r="N1167" s="110">
        <v>7</v>
      </c>
      <c r="O1167" s="110">
        <v>7</v>
      </c>
      <c r="P1167" s="110">
        <v>7</v>
      </c>
      <c r="Q1167" s="110">
        <v>7</v>
      </c>
      <c r="R1167" s="110">
        <v>7</v>
      </c>
      <c r="S1167" s="110">
        <v>7</v>
      </c>
      <c r="T1167" s="110">
        <v>7</v>
      </c>
      <c r="U1167" s="110">
        <v>7</v>
      </c>
      <c r="V1167" s="110"/>
      <c r="W1167" s="110"/>
      <c r="X1167" s="110"/>
      <c r="Y1167" s="106">
        <v>392</v>
      </c>
      <c r="Z1167" s="106">
        <f t="shared" si="628"/>
        <v>0</v>
      </c>
      <c r="AA1167" s="106" t="s">
        <v>2049</v>
      </c>
      <c r="AB1167" s="111">
        <f t="shared" si="629"/>
        <v>3</v>
      </c>
      <c r="AC1167" s="106" t="s">
        <v>2425</v>
      </c>
      <c r="AD1167" s="107">
        <f>VLOOKUP(AC1167,Cost,2,FALSE)*G1167/5280</f>
        <v>10000</v>
      </c>
      <c r="AE1167" s="198"/>
      <c r="AF1167" s="113">
        <f t="shared" si="621"/>
        <v>0</v>
      </c>
      <c r="AG1167" s="85">
        <v>2026</v>
      </c>
      <c r="AH1167" s="26" t="str">
        <f t="shared" si="630"/>
        <v/>
      </c>
      <c r="AI1167" s="26" t="str">
        <f t="shared" si="597"/>
        <v/>
      </c>
      <c r="AJ1167" s="26" t="str">
        <f t="shared" si="605"/>
        <v/>
      </c>
      <c r="AK1167" s="26" t="str">
        <f t="shared" si="613"/>
        <v/>
      </c>
      <c r="AL1167" s="26" t="str">
        <f t="shared" si="613"/>
        <v>Liquid Road</v>
      </c>
      <c r="AM1167" s="26" t="str">
        <f t="shared" si="613"/>
        <v/>
      </c>
      <c r="AN1167" s="26" t="str">
        <f t="shared" si="596"/>
        <v>Liquid Road</v>
      </c>
      <c r="AO1167" s="26" t="str">
        <f t="shared" si="606"/>
        <v/>
      </c>
      <c r="AP1167" s="26" t="str">
        <f t="shared" si="602"/>
        <v/>
      </c>
      <c r="AQ1167" s="68">
        <f t="shared" si="616"/>
        <v>10</v>
      </c>
      <c r="AR1167" s="68">
        <f t="shared" si="617"/>
        <v>10</v>
      </c>
      <c r="AS1167" s="68">
        <f t="shared" si="622"/>
        <v>1</v>
      </c>
      <c r="AT1167" s="68">
        <f t="shared" si="623"/>
        <v>1.05</v>
      </c>
      <c r="AU1167" s="68">
        <f t="shared" si="624"/>
        <v>1.05</v>
      </c>
      <c r="AV1167" s="68">
        <f t="shared" si="625"/>
        <v>1.05</v>
      </c>
      <c r="AW1167" s="68">
        <f t="shared" si="626"/>
        <v>1.05</v>
      </c>
      <c r="AX1167" s="68">
        <f t="shared" ca="1" si="618"/>
        <v>2.1</v>
      </c>
      <c r="AY1167" s="106">
        <v>2017</v>
      </c>
      <c r="AZ1167" s="106" t="s">
        <v>2086</v>
      </c>
      <c r="BA1167" s="106" t="str">
        <f t="shared" si="620"/>
        <v/>
      </c>
      <c r="BB1167" s="177"/>
      <c r="BC1167" s="177"/>
      <c r="BD1167" s="177"/>
      <c r="BE1167" s="177">
        <v>2</v>
      </c>
      <c r="BF1167" s="177"/>
      <c r="BG1167" s="177"/>
      <c r="BH1167" s="177"/>
      <c r="BI1167" s="33"/>
      <c r="BJ1167" s="2"/>
      <c r="BK1167" s="48">
        <f>$G1167/5280*VLOOKUP($AC1167,'Cost and Score'!$B$27:$O$40,6,0)</f>
        <v>0.4</v>
      </c>
      <c r="BL1167" s="48">
        <f>$G1167/5280*VLOOKUP($AC1167,'Cost and Score'!$B$27:$O$40,7,0)</f>
        <v>6.4</v>
      </c>
      <c r="BM1167" s="48">
        <f>$G1167/5280*VLOOKUP($AC1167,'Cost and Score'!$B$27:$O$40,8,0)</f>
        <v>0</v>
      </c>
      <c r="BN1167" s="48">
        <f>$G1167/5280*VLOOKUP($AC1167,'Cost and Score'!$B$27:$O$40,9,0)</f>
        <v>0</v>
      </c>
      <c r="BO1167" s="48">
        <f>$G1167/5280*VLOOKUP($AC1167,'Cost and Score'!$B$27:$O$40,10,0)</f>
        <v>0</v>
      </c>
      <c r="BP1167" s="48">
        <f>$G1167/5280*VLOOKUP($AC1167,'Cost and Score'!$B$27:$O$40,11,0)</f>
        <v>0</v>
      </c>
      <c r="BQ1167" s="48">
        <f>$G1167/5280*VLOOKUP($AC1167,'Cost and Score'!$B$27:$O$40,12,0)</f>
        <v>0</v>
      </c>
      <c r="BR1167" s="48">
        <f>$G1167/5280*VLOOKUP($AC1167,'Cost and Score'!$B$27:$O$40,13,0)</f>
        <v>0</v>
      </c>
      <c r="BS1167" s="48">
        <f>$G1167/5280*VLOOKUP($AC1167,'Cost and Score'!$B$27:$O$40,14,0)</f>
        <v>0</v>
      </c>
      <c r="BT1167" s="220">
        <f t="shared" si="619"/>
        <v>0.4</v>
      </c>
      <c r="BU1167" s="2"/>
      <c r="BV1167" s="26"/>
      <c r="BW1167" s="26"/>
      <c r="BX1167" s="26"/>
      <c r="BY1167" s="26"/>
      <c r="BZ1167" s="26"/>
      <c r="CA1167" s="26"/>
      <c r="CB1167" s="26"/>
      <c r="CC1167" s="2"/>
      <c r="CD1167" s="2"/>
      <c r="CE1167" s="2"/>
      <c r="CW1167" s="2"/>
      <c r="CX1167" s="2"/>
      <c r="CY1167" s="2"/>
    </row>
    <row r="1168" spans="1:103" s="112" customFormat="1" hidden="1" x14ac:dyDescent="0.25">
      <c r="A1168" s="31" t="s">
        <v>2102</v>
      </c>
      <c r="B1168" s="226" t="s">
        <v>2050</v>
      </c>
      <c r="C1168" s="106" t="s">
        <v>2050</v>
      </c>
      <c r="D1168" s="116" t="s">
        <v>2311</v>
      </c>
      <c r="E1168" s="106" t="s">
        <v>1451</v>
      </c>
      <c r="F1168" s="106" t="s">
        <v>1408</v>
      </c>
      <c r="G1168" s="109">
        <v>1267</v>
      </c>
      <c r="H1168" s="109">
        <f t="shared" si="627"/>
        <v>26</v>
      </c>
      <c r="I1168" s="106" t="s">
        <v>2098</v>
      </c>
      <c r="J1168" s="106" t="s">
        <v>160</v>
      </c>
      <c r="K1168" s="106">
        <f>VLOOKUP(J1168,TOWNSHIPS,2,FALSE)</f>
        <v>0</v>
      </c>
      <c r="L1168" s="110">
        <v>6</v>
      </c>
      <c r="M1168" s="110">
        <v>6</v>
      </c>
      <c r="N1168" s="110">
        <v>5</v>
      </c>
      <c r="O1168" s="110">
        <v>5</v>
      </c>
      <c r="P1168" s="110">
        <v>9</v>
      </c>
      <c r="Q1168" s="110">
        <v>9</v>
      </c>
      <c r="R1168" s="110">
        <v>8</v>
      </c>
      <c r="S1168" s="110">
        <v>8</v>
      </c>
      <c r="T1168" s="110">
        <v>8</v>
      </c>
      <c r="U1168" s="110">
        <v>8</v>
      </c>
      <c r="V1168" s="110"/>
      <c r="W1168" s="110"/>
      <c r="X1168" s="110"/>
      <c r="Y1168" s="106">
        <v>162</v>
      </c>
      <c r="Z1168" s="106">
        <f t="shared" si="628"/>
        <v>0</v>
      </c>
      <c r="AA1168" s="106" t="s">
        <v>2050</v>
      </c>
      <c r="AB1168" s="111">
        <f t="shared" si="629"/>
        <v>1</v>
      </c>
      <c r="AC1168" s="85" t="s">
        <v>2425</v>
      </c>
      <c r="AD1168" s="107">
        <f>VLOOKUP(AC1168,Cost,2,FALSE)*G1168/5280</f>
        <v>5999.05303030303</v>
      </c>
      <c r="AE1168" s="198"/>
      <c r="AF1168" s="113">
        <f t="shared" si="621"/>
        <v>0</v>
      </c>
      <c r="AG1168" s="85">
        <v>2026</v>
      </c>
      <c r="AH1168" s="26" t="str">
        <f t="shared" si="630"/>
        <v/>
      </c>
      <c r="AI1168" s="26" t="str">
        <f t="shared" si="597"/>
        <v/>
      </c>
      <c r="AJ1168" s="26" t="str">
        <f t="shared" si="605"/>
        <v/>
      </c>
      <c r="AK1168" s="26" t="str">
        <f t="shared" si="613"/>
        <v/>
      </c>
      <c r="AL1168" s="26" t="str">
        <f t="shared" si="613"/>
        <v>Liquid Road</v>
      </c>
      <c r="AM1168" s="26" t="str">
        <f t="shared" si="613"/>
        <v/>
      </c>
      <c r="AN1168" s="26" t="str">
        <f t="shared" si="596"/>
        <v>Liquid Road</v>
      </c>
      <c r="AO1168" s="26" t="str">
        <f t="shared" si="606"/>
        <v/>
      </c>
      <c r="AP1168" s="26" t="str">
        <f t="shared" si="602"/>
        <v/>
      </c>
      <c r="AQ1168" s="68">
        <f t="shared" si="616"/>
        <v>6</v>
      </c>
      <c r="AR1168" s="68">
        <f t="shared" si="617"/>
        <v>10</v>
      </c>
      <c r="AS1168" s="68">
        <f t="shared" si="622"/>
        <v>1.1000000000000001</v>
      </c>
      <c r="AT1168" s="68">
        <f t="shared" si="623"/>
        <v>1.1000000000000001</v>
      </c>
      <c r="AU1168" s="68">
        <f t="shared" si="624"/>
        <v>1.25</v>
      </c>
      <c r="AV1168" s="68">
        <f t="shared" si="625"/>
        <v>1.25</v>
      </c>
      <c r="AW1168" s="68">
        <f t="shared" si="626"/>
        <v>1</v>
      </c>
      <c r="AX1168" s="68">
        <f t="shared" ca="1" si="618"/>
        <v>2.5</v>
      </c>
      <c r="AY1168" s="106">
        <v>2017</v>
      </c>
      <c r="AZ1168" s="106" t="s">
        <v>751</v>
      </c>
      <c r="BA1168" s="106" t="str">
        <f t="shared" si="620"/>
        <v/>
      </c>
      <c r="BB1168" s="177"/>
      <c r="BC1168" s="177"/>
      <c r="BD1168" s="177"/>
      <c r="BE1168" s="177"/>
      <c r="BF1168" s="177"/>
      <c r="BG1168" s="177"/>
      <c r="BH1168" s="177">
        <v>5</v>
      </c>
      <c r="BI1168" s="33"/>
      <c r="BJ1168" s="2"/>
      <c r="BK1168" s="48">
        <f>$G1168/5280*VLOOKUP($AC1168,'Cost and Score'!$B$27:$O$40,6,0)</f>
        <v>0.23996212121212121</v>
      </c>
      <c r="BL1168" s="48">
        <f>$G1168/5280*VLOOKUP($AC1168,'Cost and Score'!$B$27:$O$40,7,0)</f>
        <v>3.8393939393939394</v>
      </c>
      <c r="BM1168" s="48">
        <f>$G1168/5280*VLOOKUP($AC1168,'Cost and Score'!$B$27:$O$40,8,0)</f>
        <v>0</v>
      </c>
      <c r="BN1168" s="48">
        <f>$G1168/5280*VLOOKUP($AC1168,'Cost and Score'!$B$27:$O$40,9,0)</f>
        <v>0</v>
      </c>
      <c r="BO1168" s="48">
        <f>$G1168/5280*VLOOKUP($AC1168,'Cost and Score'!$B$27:$O$40,10,0)</f>
        <v>0</v>
      </c>
      <c r="BP1168" s="48">
        <f>$G1168/5280*VLOOKUP($AC1168,'Cost and Score'!$B$27:$O$40,11,0)</f>
        <v>0</v>
      </c>
      <c r="BQ1168" s="48">
        <f>$G1168/5280*VLOOKUP($AC1168,'Cost and Score'!$B$27:$O$40,12,0)</f>
        <v>0</v>
      </c>
      <c r="BR1168" s="48">
        <f>$G1168/5280*VLOOKUP($AC1168,'Cost and Score'!$B$27:$O$40,13,0)</f>
        <v>0</v>
      </c>
      <c r="BS1168" s="48">
        <f>$G1168/5280*VLOOKUP($AC1168,'Cost and Score'!$B$27:$O$40,14,0)</f>
        <v>0</v>
      </c>
      <c r="BT1168" s="220">
        <f t="shared" si="619"/>
        <v>0.23996212121212121</v>
      </c>
      <c r="BU1168" s="26"/>
      <c r="BV1168" s="26"/>
      <c r="BW1168" s="26"/>
      <c r="BX1168" s="26"/>
      <c r="BY1168" s="26"/>
      <c r="BZ1168" s="26"/>
      <c r="CA1168" s="26"/>
      <c r="CB1168" s="26"/>
      <c r="CC1168" s="2"/>
      <c r="CD1168" s="2"/>
      <c r="CE1168" s="2"/>
      <c r="CF1168" s="2"/>
    </row>
    <row r="1169" spans="1:103" s="2" customFormat="1" hidden="1" x14ac:dyDescent="0.25">
      <c r="A1169" s="31" t="s">
        <v>2102</v>
      </c>
      <c r="B1169" s="224" t="s">
        <v>2051</v>
      </c>
      <c r="C1169" s="26" t="s">
        <v>2051</v>
      </c>
      <c r="D1169" s="119" t="s">
        <v>2278</v>
      </c>
      <c r="E1169" s="82" t="s">
        <v>1451</v>
      </c>
      <c r="F1169" s="82" t="s">
        <v>1452</v>
      </c>
      <c r="G1169" s="29">
        <v>634</v>
      </c>
      <c r="H1169" s="29">
        <f t="shared" si="627"/>
        <v>26</v>
      </c>
      <c r="I1169" s="26" t="s">
        <v>2098</v>
      </c>
      <c r="J1169" s="26" t="s">
        <v>160</v>
      </c>
      <c r="K1169" s="26">
        <f>VLOOKUP(J1169,TOWNSHIPS,2,FALSE)</f>
        <v>0</v>
      </c>
      <c r="L1169" s="42">
        <v>7</v>
      </c>
      <c r="M1169" s="42">
        <v>8</v>
      </c>
      <c r="N1169" s="42">
        <v>8</v>
      </c>
      <c r="O1169" s="83">
        <v>8</v>
      </c>
      <c r="P1169" s="83">
        <v>8</v>
      </c>
      <c r="Q1169" s="83">
        <v>7</v>
      </c>
      <c r="R1169" s="83">
        <v>7</v>
      </c>
      <c r="S1169" s="83">
        <v>8</v>
      </c>
      <c r="T1169" s="83">
        <v>7</v>
      </c>
      <c r="U1169" s="83">
        <v>8</v>
      </c>
      <c r="V1169" s="42"/>
      <c r="W1169" s="42"/>
      <c r="X1169" s="42"/>
      <c r="Y1169" s="26">
        <v>1074</v>
      </c>
      <c r="Z1169" s="26">
        <f t="shared" si="628"/>
        <v>0.5</v>
      </c>
      <c r="AA1169" s="82" t="s">
        <v>2051</v>
      </c>
      <c r="AB1169" s="111">
        <f t="shared" si="629"/>
        <v>2.5</v>
      </c>
      <c r="AC1169" s="85" t="s">
        <v>2371</v>
      </c>
      <c r="AD1169" s="84">
        <f>VLOOKUP(AC1169,Cost,2,FALSE)*G1169/5280</f>
        <v>9606.060606060606</v>
      </c>
      <c r="AE1169" s="140">
        <v>1</v>
      </c>
      <c r="AF1169" s="113">
        <f t="shared" si="621"/>
        <v>9606.060606060606</v>
      </c>
      <c r="AG1169" s="85">
        <v>2024</v>
      </c>
      <c r="AH1169" s="26" t="str">
        <f t="shared" si="630"/>
        <v/>
      </c>
      <c r="AI1169" s="26" t="str">
        <f t="shared" si="597"/>
        <v/>
      </c>
      <c r="AJ1169" s="26" t="str">
        <f t="shared" si="605"/>
        <v>Microsurface double</v>
      </c>
      <c r="AK1169" s="26" t="str">
        <f t="shared" si="613"/>
        <v/>
      </c>
      <c r="AL1169" s="26" t="str">
        <f t="shared" si="613"/>
        <v/>
      </c>
      <c r="AM1169" s="26" t="str">
        <f t="shared" si="613"/>
        <v/>
      </c>
      <c r="AN1169" s="26" t="str">
        <f t="shared" si="596"/>
        <v>Microsurface double</v>
      </c>
      <c r="AO1169" s="26" t="str">
        <f t="shared" si="606"/>
        <v/>
      </c>
      <c r="AP1169" s="26" t="str">
        <f t="shared" si="602"/>
        <v/>
      </c>
      <c r="AQ1169" s="68">
        <f t="shared" si="616"/>
        <v>12</v>
      </c>
      <c r="AR1169" s="68">
        <f t="shared" si="617"/>
        <v>10</v>
      </c>
      <c r="AS1169" s="68">
        <f t="shared" si="622"/>
        <v>1.05</v>
      </c>
      <c r="AT1169" s="68">
        <f t="shared" si="623"/>
        <v>1</v>
      </c>
      <c r="AU1169" s="68">
        <f t="shared" si="624"/>
        <v>1</v>
      </c>
      <c r="AV1169" s="68">
        <f t="shared" si="625"/>
        <v>1</v>
      </c>
      <c r="AW1169" s="68">
        <f t="shared" si="626"/>
        <v>1</v>
      </c>
      <c r="AX1169" s="68">
        <f t="shared" ca="1" si="618"/>
        <v>0</v>
      </c>
      <c r="AY1169" s="68">
        <v>2020</v>
      </c>
      <c r="AZ1169" s="68" t="s">
        <v>2075</v>
      </c>
      <c r="BA1169" s="106" t="str">
        <f t="shared" si="620"/>
        <v/>
      </c>
      <c r="BB1169" s="178"/>
      <c r="BC1169" s="177"/>
      <c r="BD1169" s="177"/>
      <c r="BE1169" s="177"/>
      <c r="BF1169" s="177"/>
      <c r="BG1169" s="177"/>
      <c r="BH1169" s="177"/>
      <c r="BI1169" s="33"/>
      <c r="BK1169" s="48">
        <f>$G1169/5280*VLOOKUP($AC1169,'Cost and Score'!$B$27:$O$40,6,0)</f>
        <v>6.0037878787878786E-2</v>
      </c>
      <c r="BL1169" s="48">
        <f>$G1169/5280*VLOOKUP($AC1169,'Cost and Score'!$B$27:$O$40,7,0)</f>
        <v>0</v>
      </c>
      <c r="BM1169" s="48">
        <f>$G1169/5280*VLOOKUP($AC1169,'Cost and Score'!$B$27:$O$40,8,0)</f>
        <v>0</v>
      </c>
      <c r="BN1169" s="48">
        <f>$G1169/5280*VLOOKUP($AC1169,'Cost and Score'!$B$27:$O$40,9,0)</f>
        <v>0</v>
      </c>
      <c r="BO1169" s="48">
        <f>$G1169/5280*VLOOKUP($AC1169,'Cost and Score'!$B$27:$O$40,10,0)</f>
        <v>0</v>
      </c>
      <c r="BP1169" s="48">
        <f>$G1169/5280*VLOOKUP($AC1169,'Cost and Score'!$B$27:$O$40,11,0)</f>
        <v>0</v>
      </c>
      <c r="BQ1169" s="48">
        <f>$G1169/5280*VLOOKUP($AC1169,'Cost and Score'!$B$27:$O$40,12,0)</f>
        <v>0</v>
      </c>
      <c r="BR1169" s="48">
        <f>$G1169/5280*VLOOKUP($AC1169,'Cost and Score'!$B$27:$O$40,13,0)</f>
        <v>0</v>
      </c>
      <c r="BS1169" s="48">
        <f>$G1169/5280*VLOOKUP($AC1169,'Cost and Score'!$B$27:$O$40,14,0)</f>
        <v>0</v>
      </c>
      <c r="BT1169" s="220">
        <f t="shared" si="619"/>
        <v>0.12007575757575757</v>
      </c>
      <c r="BU1169" s="26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</row>
    <row r="1170" spans="1:103" s="2" customFormat="1" hidden="1" x14ac:dyDescent="0.25">
      <c r="A1170" s="31" t="s">
        <v>2102</v>
      </c>
      <c r="B1170" s="45" t="s">
        <v>2052</v>
      </c>
      <c r="C1170" s="26" t="s">
        <v>2052</v>
      </c>
      <c r="D1170" s="36" t="s">
        <v>2222</v>
      </c>
      <c r="E1170" s="26" t="s">
        <v>1451</v>
      </c>
      <c r="F1170" s="26" t="s">
        <v>1522</v>
      </c>
      <c r="G1170" s="29">
        <v>792</v>
      </c>
      <c r="H1170" s="29">
        <f t="shared" si="627"/>
        <v>26</v>
      </c>
      <c r="I1170" s="26" t="s">
        <v>2098</v>
      </c>
      <c r="J1170" s="26" t="s">
        <v>160</v>
      </c>
      <c r="K1170" s="26">
        <f>VLOOKUP(J1170,TOWNSHIPS,2,FALSE)</f>
        <v>0</v>
      </c>
      <c r="L1170" s="42">
        <v>8</v>
      </c>
      <c r="M1170" s="42">
        <v>7</v>
      </c>
      <c r="N1170" s="42">
        <v>7</v>
      </c>
      <c r="O1170" s="42">
        <v>7</v>
      </c>
      <c r="P1170" s="42">
        <v>7</v>
      </c>
      <c r="Q1170" s="42">
        <v>7</v>
      </c>
      <c r="R1170" s="42">
        <v>7</v>
      </c>
      <c r="S1170" s="42">
        <v>7</v>
      </c>
      <c r="T1170" s="42">
        <v>7</v>
      </c>
      <c r="U1170" s="42">
        <v>7</v>
      </c>
      <c r="V1170" s="42"/>
      <c r="W1170" s="42"/>
      <c r="X1170" s="42"/>
      <c r="Y1170" s="26">
        <v>50</v>
      </c>
      <c r="Z1170" s="26">
        <f t="shared" si="628"/>
        <v>0</v>
      </c>
      <c r="AA1170" s="26" t="s">
        <v>2052</v>
      </c>
      <c r="AB1170" s="111">
        <f t="shared" si="629"/>
        <v>3</v>
      </c>
      <c r="AC1170" s="26" t="s">
        <v>2086</v>
      </c>
      <c r="AD1170" s="47">
        <v>8924</v>
      </c>
      <c r="AE1170" s="140"/>
      <c r="AF1170" s="113">
        <f t="shared" si="621"/>
        <v>0</v>
      </c>
      <c r="AG1170" s="26">
        <v>2024</v>
      </c>
      <c r="AH1170" s="26" t="str">
        <f t="shared" si="630"/>
        <v/>
      </c>
      <c r="AI1170" s="26" t="str">
        <f t="shared" si="597"/>
        <v/>
      </c>
      <c r="AJ1170" s="26" t="str">
        <f t="shared" si="605"/>
        <v>Fog Seal</v>
      </c>
      <c r="AK1170" s="26" t="str">
        <f t="shared" si="613"/>
        <v/>
      </c>
      <c r="AL1170" s="26" t="str">
        <f t="shared" si="613"/>
        <v/>
      </c>
      <c r="AM1170" s="26" t="str">
        <f t="shared" si="613"/>
        <v/>
      </c>
      <c r="AN1170" s="26" t="str">
        <f t="shared" si="596"/>
        <v>Fog Seal</v>
      </c>
      <c r="AO1170" s="26" t="str">
        <f t="shared" si="606"/>
        <v/>
      </c>
      <c r="AP1170" s="26" t="str">
        <f t="shared" si="602"/>
        <v/>
      </c>
      <c r="AQ1170" s="68">
        <f t="shared" si="616"/>
        <v>10</v>
      </c>
      <c r="AR1170" s="68">
        <f t="shared" si="617"/>
        <v>2</v>
      </c>
      <c r="AS1170" s="68">
        <f t="shared" si="622"/>
        <v>1</v>
      </c>
      <c r="AT1170" s="68">
        <f t="shared" si="623"/>
        <v>1.05</v>
      </c>
      <c r="AU1170" s="68">
        <f t="shared" si="624"/>
        <v>1.05</v>
      </c>
      <c r="AV1170" s="68">
        <f t="shared" si="625"/>
        <v>1.05</v>
      </c>
      <c r="AW1170" s="68">
        <f t="shared" si="626"/>
        <v>1.05</v>
      </c>
      <c r="AX1170" s="68">
        <f t="shared" ca="1" si="618"/>
        <v>0</v>
      </c>
      <c r="AY1170" s="68">
        <v>2018</v>
      </c>
      <c r="AZ1170" s="68" t="s">
        <v>2371</v>
      </c>
      <c r="BA1170" s="106" t="str">
        <f t="shared" si="620"/>
        <v>MICRO</v>
      </c>
      <c r="BB1170" s="178"/>
      <c r="BC1170" s="177"/>
      <c r="BD1170" s="177"/>
      <c r="BE1170" s="177"/>
      <c r="BF1170" s="177"/>
      <c r="BG1170" s="177"/>
      <c r="BH1170" s="177"/>
      <c r="BI1170" s="33"/>
      <c r="BK1170" s="48">
        <f>$G1170/5280*VLOOKUP($AC1170,'Cost and Score'!$B$27:$O$40,6,0)</f>
        <v>1.4999999999999999E-2</v>
      </c>
      <c r="BL1170" s="48">
        <f>$G1170/5280*VLOOKUP($AC1170,'Cost and Score'!$B$27:$O$40,7,0)</f>
        <v>0.03</v>
      </c>
      <c r="BM1170" s="48">
        <f>$G1170/5280*VLOOKUP($AC1170,'Cost and Score'!$B$27:$O$40,8,0)</f>
        <v>0</v>
      </c>
      <c r="BN1170" s="48">
        <f>$G1170/5280*VLOOKUP($AC1170,'Cost and Score'!$B$27:$O$40,9,0)</f>
        <v>0</v>
      </c>
      <c r="BO1170" s="48">
        <f>$G1170/5280*VLOOKUP($AC1170,'Cost and Score'!$B$27:$O$40,10,0)</f>
        <v>150</v>
      </c>
      <c r="BP1170" s="48">
        <f>$G1170/5280*VLOOKUP($AC1170,'Cost and Score'!$B$27:$O$40,11,0)</f>
        <v>0</v>
      </c>
      <c r="BQ1170" s="48">
        <f>$G1170/5280*VLOOKUP($AC1170,'Cost and Score'!$B$27:$O$40,12,0)</f>
        <v>0</v>
      </c>
      <c r="BR1170" s="48">
        <f>$G1170/5280*VLOOKUP($AC1170,'Cost and Score'!$B$27:$O$40,13,0)</f>
        <v>0</v>
      </c>
      <c r="BS1170" s="48">
        <f>$G1170/5280*VLOOKUP($AC1170,'Cost and Score'!$B$27:$O$40,14,0)</f>
        <v>0</v>
      </c>
      <c r="BT1170" s="220">
        <f t="shared" si="619"/>
        <v>0.15</v>
      </c>
    </row>
    <row r="1171" spans="1:103" s="2" customFormat="1" hidden="1" x14ac:dyDescent="0.25">
      <c r="A1171" s="31" t="s">
        <v>893</v>
      </c>
      <c r="B1171" s="34"/>
      <c r="C1171" s="26" t="s">
        <v>168</v>
      </c>
      <c r="D1171" s="82"/>
      <c r="E1171" s="82" t="s">
        <v>892</v>
      </c>
      <c r="F1171" s="82" t="s">
        <v>836</v>
      </c>
      <c r="G1171" s="82">
        <v>5000</v>
      </c>
      <c r="H1171" s="29">
        <f t="shared" si="627"/>
        <v>20</v>
      </c>
      <c r="I1171" s="26" t="s">
        <v>701</v>
      </c>
      <c r="J1171" s="26" t="s">
        <v>125</v>
      </c>
      <c r="K1171" s="26">
        <f>VLOOKUP(J1171,TOWNSHIPS,2,FALSE)</f>
        <v>0</v>
      </c>
      <c r="L1171" s="42">
        <v>8</v>
      </c>
      <c r="M1171" s="42">
        <v>7</v>
      </c>
      <c r="N1171" s="42">
        <v>8</v>
      </c>
      <c r="O1171" s="83">
        <v>8</v>
      </c>
      <c r="P1171" s="83">
        <v>8</v>
      </c>
      <c r="Q1171" s="83">
        <v>7</v>
      </c>
      <c r="R1171" s="83">
        <v>7</v>
      </c>
      <c r="S1171" s="83">
        <v>5</v>
      </c>
      <c r="T1171" s="83">
        <v>5</v>
      </c>
      <c r="U1171" s="83"/>
      <c r="V1171" s="42"/>
      <c r="W1171" s="42"/>
      <c r="X1171" s="42"/>
      <c r="Y1171" s="26">
        <v>50</v>
      </c>
      <c r="Z1171" s="26">
        <f t="shared" si="628"/>
        <v>0</v>
      </c>
      <c r="AA1171" s="82" t="s">
        <v>168</v>
      </c>
      <c r="AB1171" s="111">
        <f t="shared" si="629"/>
        <v>2</v>
      </c>
      <c r="AC1171" s="82" t="s">
        <v>2073</v>
      </c>
      <c r="AD1171" s="84">
        <f>VLOOKUP(AC1171,Cost,2,FALSE)*G1171/5280</f>
        <v>30303.030303030304</v>
      </c>
      <c r="AE1171" s="140"/>
      <c r="AF1171" s="113">
        <f t="shared" si="621"/>
        <v>0</v>
      </c>
      <c r="AG1171" s="113">
        <f>AE1171*AF1171</f>
        <v>0</v>
      </c>
      <c r="AH1171" s="113"/>
      <c r="AI1171" s="113"/>
      <c r="AJ1171" s="113"/>
      <c r="AK1171" s="113"/>
      <c r="AL1171" s="113"/>
      <c r="AM1171" s="113"/>
      <c r="AN1171" s="113"/>
      <c r="AO1171" s="113"/>
      <c r="AP1171" s="113"/>
      <c r="AQ1171" s="68">
        <f t="shared" si="616"/>
        <v>12</v>
      </c>
      <c r="AR1171" s="68">
        <f t="shared" si="617"/>
        <v>6</v>
      </c>
      <c r="AS1171" s="68">
        <f t="shared" si="622"/>
        <v>1</v>
      </c>
      <c r="AT1171" s="68">
        <f t="shared" si="623"/>
        <v>1.05</v>
      </c>
      <c r="AU1171" s="68">
        <f t="shared" si="624"/>
        <v>1</v>
      </c>
      <c r="AV1171" s="68">
        <f t="shared" si="625"/>
        <v>1</v>
      </c>
      <c r="AW1171" s="68">
        <f t="shared" si="626"/>
        <v>1</v>
      </c>
      <c r="AX1171" s="68">
        <f t="shared" ca="1" si="618"/>
        <v>-2024</v>
      </c>
      <c r="AY1171" s="68"/>
      <c r="AZ1171" s="68"/>
      <c r="BA1171" s="106" t="str">
        <f t="shared" si="620"/>
        <v/>
      </c>
      <c r="BB1171" s="178"/>
      <c r="BC1171" s="177"/>
      <c r="BD1171" s="177"/>
      <c r="BE1171" s="177"/>
      <c r="BF1171" s="177"/>
      <c r="BG1171" s="177"/>
      <c r="BH1171" s="177"/>
      <c r="BI1171" s="33"/>
      <c r="BK1171" s="48">
        <f>$G1171/5280*VLOOKUP($AC1171,'Cost and Score'!$B$27:$O$40,6,0)</f>
        <v>0.47348484848484851</v>
      </c>
      <c r="BL1171" s="48">
        <f>$G1171/5280*VLOOKUP($AC1171,'Cost and Score'!$B$27:$O$40,7,0)</f>
        <v>47.348484848484851</v>
      </c>
      <c r="BM1171" s="48">
        <f>$G1171/5280*VLOOKUP($AC1171,'Cost and Score'!$B$27:$O$40,8,0)</f>
        <v>0</v>
      </c>
      <c r="BN1171" s="48">
        <f>$G1171/5280*VLOOKUP($AC1171,'Cost and Score'!$B$27:$O$40,9,0)</f>
        <v>8996.2121212121219</v>
      </c>
      <c r="BO1171" s="48">
        <f>$G1171/5280*VLOOKUP($AC1171,'Cost and Score'!$B$27:$O$40,10,0)</f>
        <v>946.969696969697</v>
      </c>
      <c r="BP1171" s="48">
        <f>$G1171/5280*VLOOKUP($AC1171,'Cost and Score'!$B$27:$O$40,11,0)</f>
        <v>0</v>
      </c>
      <c r="BQ1171" s="48">
        <f>$G1171/5280*VLOOKUP($AC1171,'Cost and Score'!$B$27:$O$40,12,0)</f>
        <v>189.39393939393941</v>
      </c>
      <c r="BR1171" s="48">
        <f>$G1171/5280*VLOOKUP($AC1171,'Cost and Score'!$B$27:$O$40,13,0)</f>
        <v>170.45454545454547</v>
      </c>
      <c r="BS1171" s="48">
        <f>$G1171/5280*VLOOKUP($AC1171,'Cost and Score'!$B$27:$O$40,14,0)</f>
        <v>227.27272727272728</v>
      </c>
      <c r="BT1171" s="220">
        <f t="shared" si="619"/>
        <v>0.94696969696969702</v>
      </c>
      <c r="CW1171" s="112"/>
      <c r="CX1171" s="112"/>
      <c r="CY1171" s="112"/>
    </row>
    <row r="1172" spans="1:103" s="2" customFormat="1" hidden="1" x14ac:dyDescent="0.25">
      <c r="A1172" s="31"/>
      <c r="B1172" s="26"/>
      <c r="C1172" s="26"/>
      <c r="D1172" s="26"/>
      <c r="E1172" s="26"/>
      <c r="F1172" s="26"/>
      <c r="G1172" s="29"/>
      <c r="H1172" s="29"/>
      <c r="I1172" s="26"/>
      <c r="J1172" s="26"/>
      <c r="K1172" s="26"/>
      <c r="L1172" s="73">
        <f t="shared" ref="L1172:U1172" si="631">_xlfn.STDEV.P(L2:L1171)</f>
        <v>1.111545979060494</v>
      </c>
      <c r="M1172" s="73">
        <f t="shared" si="631"/>
        <v>1.1887587479500223</v>
      </c>
      <c r="N1172" s="73">
        <f t="shared" si="631"/>
        <v>1.3218950536487677</v>
      </c>
      <c r="O1172" s="73">
        <f t="shared" si="631"/>
        <v>1.252582350422428</v>
      </c>
      <c r="P1172" s="73">
        <f t="shared" si="631"/>
        <v>1.1691491295148184</v>
      </c>
      <c r="Q1172" s="73">
        <f t="shared" si="631"/>
        <v>1.0178846097760363</v>
      </c>
      <c r="R1172" s="73">
        <f t="shared" si="631"/>
        <v>0.87494939921664205</v>
      </c>
      <c r="S1172" s="73">
        <f t="shared" si="631"/>
        <v>0.74184383560534117</v>
      </c>
      <c r="T1172" s="73">
        <f t="shared" si="631"/>
        <v>0.5734132839075613</v>
      </c>
      <c r="U1172" s="73">
        <f t="shared" si="631"/>
        <v>0.5222963495084707</v>
      </c>
      <c r="V1172" s="42"/>
      <c r="W1172" s="42"/>
      <c r="X1172" s="42"/>
      <c r="Y1172" s="26"/>
      <c r="Z1172" s="26"/>
      <c r="AA1172" s="26"/>
      <c r="AB1172" s="111"/>
      <c r="AC1172" s="26"/>
      <c r="AD1172" s="47"/>
      <c r="AE1172" s="140"/>
      <c r="AF1172" s="87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178"/>
      <c r="BC1172" s="68"/>
      <c r="BD1172" s="68"/>
      <c r="BE1172" s="68"/>
      <c r="BF1172" s="68"/>
      <c r="BG1172" s="68"/>
      <c r="BH1172" s="68"/>
      <c r="BI1172" s="33"/>
      <c r="BK1172" s="48"/>
      <c r="BL1172" s="48"/>
      <c r="BM1172" s="48"/>
      <c r="BN1172" s="48"/>
      <c r="BO1172" s="48"/>
      <c r="BP1172" s="48"/>
      <c r="BQ1172" s="48"/>
      <c r="BR1172" s="48"/>
      <c r="BS1172" s="48"/>
      <c r="BT1172" s="35"/>
    </row>
    <row r="1173" spans="1:103" s="2" customFormat="1" hidden="1" x14ac:dyDescent="0.25">
      <c r="A1173" s="36"/>
      <c r="B1173" s="45"/>
      <c r="C1173" s="26"/>
      <c r="D1173" s="26"/>
      <c r="E1173" s="26"/>
      <c r="F1173" s="26"/>
      <c r="G1173" s="29"/>
      <c r="H1173" s="29"/>
      <c r="I1173" s="26"/>
      <c r="J1173" s="26"/>
      <c r="K1173" s="26"/>
      <c r="L1173" s="73">
        <f t="shared" ref="L1173:U1173" si="632">AVERAGE(L922:L1172)</f>
        <v>6.8884118361166404</v>
      </c>
      <c r="M1173" s="73">
        <f t="shared" si="632"/>
        <v>6.9474949129014343</v>
      </c>
      <c r="N1173" s="73">
        <f t="shared" si="632"/>
        <v>7.3099666463113122</v>
      </c>
      <c r="O1173" s="73">
        <f t="shared" si="632"/>
        <v>7.2339461138571179</v>
      </c>
      <c r="P1173" s="73">
        <f t="shared" si="632"/>
        <v>7.271590235575756</v>
      </c>
      <c r="Q1173" s="73">
        <f t="shared" si="632"/>
        <v>7.2311469506365578</v>
      </c>
      <c r="R1173" s="73">
        <f t="shared" si="632"/>
        <v>6.975499797596866</v>
      </c>
      <c r="S1173" s="73">
        <f t="shared" si="632"/>
        <v>6.9189673753424215</v>
      </c>
      <c r="T1173" s="73">
        <f t="shared" si="632"/>
        <v>6.8582936531356298</v>
      </c>
      <c r="U1173" s="73">
        <f t="shared" si="632"/>
        <v>6.902089185398034</v>
      </c>
      <c r="V1173" s="42"/>
      <c r="W1173" s="42"/>
      <c r="X1173" s="42"/>
      <c r="Y1173" s="26"/>
      <c r="Z1173" s="26"/>
      <c r="AA1173" s="26"/>
      <c r="AB1173" s="111"/>
      <c r="AC1173" s="26"/>
      <c r="AD1173" s="47">
        <f>SUBTOTAL(9,AD922:AD1145)</f>
        <v>1531568.3712121206</v>
      </c>
      <c r="AE1173" s="140"/>
      <c r="AF1173" s="87">
        <f>AD1173*AE1173</f>
        <v>0</v>
      </c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43"/>
      <c r="AS1173" s="152">
        <f>SUM(AS922:AS1172)</f>
        <v>245.4500000000005</v>
      </c>
      <c r="AT1173" s="152">
        <f>SUM(AT922:AT1172)</f>
        <v>260.4000000000002</v>
      </c>
      <c r="AU1173" s="152">
        <f>SUM(AU922:AU1172)</f>
        <v>255.40000000000026</v>
      </c>
      <c r="AV1173" s="152">
        <f>SUM(AV922:AV1172)</f>
        <v>261.80000000000018</v>
      </c>
      <c r="AW1173" s="152">
        <f>SUM(AW922:AW1172)</f>
        <v>262.50000000000028</v>
      </c>
      <c r="AX1173" s="43"/>
      <c r="AY1173" s="43"/>
      <c r="AZ1173" s="43"/>
      <c r="BA1173" s="43"/>
      <c r="BB1173" s="204"/>
      <c r="BC1173" s="43"/>
      <c r="BD1173" s="43"/>
      <c r="BE1173" s="43"/>
      <c r="BF1173" s="43"/>
      <c r="BG1173" s="43"/>
      <c r="BH1173" s="43"/>
      <c r="BI1173" s="43"/>
      <c r="BJ1173" s="26"/>
      <c r="BK1173" s="48"/>
      <c r="BL1173" s="48"/>
      <c r="BM1173" s="48"/>
      <c r="BN1173" s="48"/>
      <c r="BO1173" s="48"/>
      <c r="BP1173" s="48"/>
      <c r="BQ1173" s="48"/>
      <c r="BR1173" s="48"/>
      <c r="BS1173" s="48"/>
      <c r="BT1173" s="44"/>
      <c r="BU1173" s="26"/>
      <c r="BV1173" s="26"/>
      <c r="BW1173" s="26"/>
      <c r="BX1173" s="26"/>
      <c r="BY1173" s="26"/>
      <c r="BZ1173" s="26"/>
      <c r="CA1173" s="26"/>
      <c r="CB1173" s="26"/>
    </row>
    <row r="1174" spans="1:103" s="2" customFormat="1" hidden="1" x14ac:dyDescent="0.25">
      <c r="A1174" s="36"/>
      <c r="B1174" s="45"/>
      <c r="C1174" s="26"/>
      <c r="D1174" s="26"/>
      <c r="E1174" s="26"/>
      <c r="F1174" s="26"/>
      <c r="G1174" s="29"/>
      <c r="H1174" s="29"/>
      <c r="I1174" s="26"/>
      <c r="J1174" s="26"/>
      <c r="K1174" s="26"/>
      <c r="L1174" s="139"/>
      <c r="M1174" s="139"/>
      <c r="N1174" s="139"/>
      <c r="O1174" s="139"/>
      <c r="P1174" s="139"/>
      <c r="Q1174" s="139"/>
      <c r="R1174" s="139"/>
      <c r="S1174" s="139"/>
      <c r="T1174" s="139"/>
      <c r="U1174" s="139"/>
      <c r="V1174" s="42"/>
      <c r="W1174" s="42"/>
      <c r="X1174" s="42"/>
      <c r="Y1174" s="26"/>
      <c r="Z1174" s="26"/>
      <c r="AA1174" s="26"/>
      <c r="AB1174" s="111"/>
      <c r="AC1174" s="26"/>
      <c r="AD1174" s="47"/>
      <c r="AE1174" s="140"/>
      <c r="AF1174" s="87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43"/>
      <c r="AS1174" s="43"/>
      <c r="AT1174" s="43"/>
      <c r="AU1174" s="43"/>
      <c r="AV1174" s="43"/>
      <c r="AW1174" s="43"/>
      <c r="AX1174" s="43"/>
      <c r="AY1174" s="43"/>
      <c r="AZ1174" s="43"/>
      <c r="BA1174" s="43"/>
      <c r="BB1174" s="204"/>
      <c r="BC1174" s="43"/>
      <c r="BD1174" s="43"/>
      <c r="BE1174" s="43"/>
      <c r="BF1174" s="43"/>
      <c r="BG1174" s="43"/>
      <c r="BH1174" s="43"/>
      <c r="BI1174" s="43"/>
      <c r="BJ1174" s="26"/>
      <c r="BK1174" s="48"/>
      <c r="BL1174" s="48"/>
      <c r="BM1174" s="48"/>
      <c r="BN1174" s="48"/>
      <c r="BO1174" s="48"/>
      <c r="BP1174" s="48"/>
      <c r="BQ1174" s="48"/>
      <c r="BR1174" s="48"/>
      <c r="BS1174" s="48"/>
      <c r="BT1174" s="44"/>
      <c r="BU1174" s="26"/>
      <c r="BV1174" s="26"/>
      <c r="BW1174" s="26"/>
      <c r="BX1174" s="26"/>
      <c r="BY1174" s="26"/>
      <c r="BZ1174" s="26"/>
      <c r="CA1174" s="26"/>
      <c r="CB1174" s="26"/>
    </row>
    <row r="1175" spans="1:103" s="2" customFormat="1" hidden="1" x14ac:dyDescent="0.25">
      <c r="A1175" s="36"/>
      <c r="B1175" s="45"/>
      <c r="C1175" s="26"/>
      <c r="D1175" s="26"/>
      <c r="E1175" s="26"/>
      <c r="F1175" s="26"/>
      <c r="G1175" s="29"/>
      <c r="H1175" s="29"/>
      <c r="I1175" s="26"/>
      <c r="J1175" s="26"/>
      <c r="K1175" s="26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26"/>
      <c r="Z1175" s="26"/>
      <c r="AA1175" s="26"/>
      <c r="AB1175" s="111"/>
      <c r="AC1175" s="26"/>
      <c r="AD1175" s="47"/>
      <c r="AE1175" s="140"/>
      <c r="AF1175" s="87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43"/>
      <c r="AS1175" s="43"/>
      <c r="AT1175" s="43"/>
      <c r="AU1175" s="43"/>
      <c r="AV1175" s="43"/>
      <c r="AW1175" s="43"/>
      <c r="AX1175" s="43"/>
      <c r="AY1175" s="43"/>
      <c r="AZ1175" s="43"/>
      <c r="BA1175" s="43"/>
      <c r="BB1175" s="204"/>
      <c r="BC1175" s="43"/>
      <c r="BD1175" s="43"/>
      <c r="BE1175" s="43"/>
      <c r="BF1175" s="43"/>
      <c r="BG1175" s="43"/>
      <c r="BH1175" s="43"/>
      <c r="BI1175" s="43"/>
      <c r="BJ1175" s="26"/>
      <c r="BK1175" s="48"/>
      <c r="BL1175" s="48"/>
      <c r="BM1175" s="48"/>
      <c r="BN1175" s="48"/>
      <c r="BO1175" s="48"/>
      <c r="BP1175" s="48"/>
      <c r="BQ1175" s="48"/>
      <c r="BR1175" s="48"/>
      <c r="BS1175" s="48"/>
      <c r="BT1175" s="44"/>
      <c r="BU1175" s="26"/>
      <c r="BV1175" s="26"/>
      <c r="BW1175" s="26"/>
      <c r="BX1175" s="26"/>
      <c r="BY1175" s="26"/>
      <c r="BZ1175" s="26"/>
      <c r="CA1175" s="26"/>
      <c r="CB1175" s="26"/>
    </row>
    <row r="1176" spans="1:103" s="2" customFormat="1" hidden="1" x14ac:dyDescent="0.25">
      <c r="A1176" s="36"/>
      <c r="B1176" s="45"/>
      <c r="C1176" s="26"/>
      <c r="D1176" s="26"/>
      <c r="E1176" s="26"/>
      <c r="F1176" s="26"/>
      <c r="G1176" s="29"/>
      <c r="H1176" s="29"/>
      <c r="I1176" s="26"/>
      <c r="J1176" s="26"/>
      <c r="K1176" s="26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26"/>
      <c r="Z1176" s="26"/>
      <c r="AA1176" s="26"/>
      <c r="AB1176" s="111"/>
      <c r="AC1176" s="26"/>
      <c r="AD1176" s="47"/>
      <c r="AE1176" s="140"/>
      <c r="AF1176" s="87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43"/>
      <c r="AS1176" s="43"/>
      <c r="AT1176" s="43"/>
      <c r="AU1176" s="43"/>
      <c r="AV1176" s="43"/>
      <c r="AW1176" s="43"/>
      <c r="AX1176" s="43"/>
      <c r="AY1176" s="43"/>
      <c r="AZ1176" s="43"/>
      <c r="BA1176" s="43"/>
      <c r="BB1176" s="204"/>
      <c r="BC1176" s="43"/>
      <c r="BD1176" s="43"/>
      <c r="BE1176" s="43"/>
      <c r="BF1176" s="43"/>
      <c r="BG1176" s="43"/>
      <c r="BH1176" s="43"/>
      <c r="BI1176" s="43"/>
      <c r="BJ1176" s="26"/>
      <c r="BK1176" s="48"/>
      <c r="BL1176" s="48"/>
      <c r="BM1176" s="48"/>
      <c r="BN1176" s="48"/>
      <c r="BO1176" s="48"/>
      <c r="BP1176" s="48"/>
      <c r="BQ1176" s="48"/>
      <c r="BR1176" s="48"/>
      <c r="BS1176" s="48"/>
      <c r="BT1176" s="44"/>
      <c r="BU1176" s="26"/>
      <c r="BV1176" s="26"/>
      <c r="BW1176" s="26"/>
      <c r="BX1176" s="26"/>
      <c r="BY1176" s="26"/>
      <c r="BZ1176" s="26"/>
      <c r="CA1176" s="26"/>
      <c r="CB1176" s="26"/>
    </row>
    <row r="1177" spans="1:103" s="2" customFormat="1" hidden="1" x14ac:dyDescent="0.25">
      <c r="A1177" s="36"/>
      <c r="B1177" s="45"/>
      <c r="C1177" s="26"/>
      <c r="D1177" s="26"/>
      <c r="E1177" s="26"/>
      <c r="F1177" s="26"/>
      <c r="G1177" s="29"/>
      <c r="H1177" s="29"/>
      <c r="I1177" s="26"/>
      <c r="J1177" s="26"/>
      <c r="K1177" s="26"/>
      <c r="L1177" s="42"/>
      <c r="M1177" s="42"/>
      <c r="N1177" s="42"/>
      <c r="O1177" s="42"/>
      <c r="P1177" s="42"/>
      <c r="Q1177" s="42"/>
      <c r="R1177" s="42"/>
      <c r="S1177" s="42"/>
      <c r="T1177" s="42"/>
      <c r="U1177" s="42"/>
      <c r="V1177" s="42"/>
      <c r="W1177" s="42"/>
      <c r="X1177" s="42"/>
      <c r="Y1177" s="26"/>
      <c r="Z1177" s="26"/>
      <c r="AA1177" s="26"/>
      <c r="AB1177" s="111"/>
      <c r="AC1177" s="26"/>
      <c r="AD1177" s="47"/>
      <c r="AE1177" s="140"/>
      <c r="AF1177" s="87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43"/>
      <c r="AS1177" s="43"/>
      <c r="AT1177" s="43"/>
      <c r="AU1177" s="43"/>
      <c r="AV1177" s="43"/>
      <c r="AW1177" s="43"/>
      <c r="AX1177" s="43"/>
      <c r="AY1177" s="43"/>
      <c r="AZ1177" s="43"/>
      <c r="BA1177" s="43"/>
      <c r="BB1177" s="204"/>
      <c r="BC1177" s="43"/>
      <c r="BD1177" s="43"/>
      <c r="BE1177" s="43"/>
      <c r="BF1177" s="43"/>
      <c r="BG1177" s="43"/>
      <c r="BH1177" s="43"/>
      <c r="BI1177" s="43"/>
      <c r="BJ1177" s="26"/>
      <c r="BK1177" s="48"/>
      <c r="BL1177" s="48"/>
      <c r="BM1177" s="48"/>
      <c r="BN1177" s="48"/>
      <c r="BO1177" s="48"/>
      <c r="BP1177" s="48"/>
      <c r="BQ1177" s="48"/>
      <c r="BR1177" s="48"/>
      <c r="BS1177" s="48"/>
      <c r="BT1177" s="44"/>
      <c r="BU1177" s="26"/>
      <c r="BV1177" s="26"/>
      <c r="BW1177" s="26"/>
      <c r="BX1177" s="26"/>
      <c r="BY1177" s="26"/>
      <c r="BZ1177" s="26"/>
      <c r="CA1177" s="26"/>
      <c r="CB1177" s="26"/>
    </row>
    <row r="1178" spans="1:103" s="2" customFormat="1" hidden="1" x14ac:dyDescent="0.25">
      <c r="A1178" s="36"/>
      <c r="B1178" s="45"/>
      <c r="C1178" s="26"/>
      <c r="D1178" s="26"/>
      <c r="E1178" s="26"/>
      <c r="F1178" s="26"/>
      <c r="G1178" s="29"/>
      <c r="H1178" s="29"/>
      <c r="I1178" s="26"/>
      <c r="J1178" s="26"/>
      <c r="K1178" s="26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26"/>
      <c r="Z1178" s="26"/>
      <c r="AA1178" s="26"/>
      <c r="AB1178" s="111"/>
      <c r="AC1178" s="26"/>
      <c r="AD1178" s="47"/>
      <c r="AE1178" s="140"/>
      <c r="AF1178" s="87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43"/>
      <c r="AS1178" s="43"/>
      <c r="AT1178" s="43"/>
      <c r="AU1178" s="43"/>
      <c r="AV1178" s="43"/>
      <c r="AW1178" s="43"/>
      <c r="AX1178" s="43"/>
      <c r="AY1178" s="43"/>
      <c r="AZ1178" s="43"/>
      <c r="BA1178" s="43"/>
      <c r="BB1178" s="204"/>
      <c r="BC1178" s="43"/>
      <c r="BD1178" s="43"/>
      <c r="BE1178" s="43"/>
      <c r="BF1178" s="43"/>
      <c r="BG1178" s="43"/>
      <c r="BH1178" s="43"/>
      <c r="BI1178" s="43"/>
      <c r="BJ1178" s="26"/>
      <c r="BK1178" s="48"/>
      <c r="BL1178" s="48"/>
      <c r="BM1178" s="48"/>
      <c r="BN1178" s="48"/>
      <c r="BO1178" s="48"/>
      <c r="BP1178" s="48"/>
      <c r="BQ1178" s="48"/>
      <c r="BR1178" s="48"/>
      <c r="BS1178" s="48"/>
      <c r="BT1178" s="44"/>
      <c r="BU1178" s="26"/>
      <c r="BV1178" s="26"/>
      <c r="BW1178" s="26"/>
      <c r="BX1178" s="26"/>
      <c r="BY1178" s="26"/>
      <c r="BZ1178" s="26"/>
      <c r="CA1178" s="26"/>
      <c r="CB1178" s="26"/>
    </row>
    <row r="1179" spans="1:103" s="6" customFormat="1" hidden="1" x14ac:dyDescent="0.25">
      <c r="A1179" s="153"/>
      <c r="B1179" s="154"/>
      <c r="C1179" s="155"/>
      <c r="D1179" s="155"/>
      <c r="E1179" s="155"/>
      <c r="F1179" s="155"/>
      <c r="G1179" s="156"/>
      <c r="H1179" s="156"/>
      <c r="I1179" s="155"/>
      <c r="J1179" s="155"/>
      <c r="K1179" s="155"/>
      <c r="L1179" s="157"/>
      <c r="M1179" s="157"/>
      <c r="N1179" s="157"/>
      <c r="O1179" s="157"/>
      <c r="P1179" s="157"/>
      <c r="Q1179" s="157"/>
      <c r="R1179" s="157"/>
      <c r="S1179" s="157"/>
      <c r="T1179" s="157"/>
      <c r="U1179" s="157"/>
      <c r="V1179" s="157"/>
      <c r="W1179" s="157"/>
      <c r="X1179" s="157"/>
      <c r="Y1179" s="155"/>
      <c r="Z1179" s="155"/>
      <c r="AA1179" s="155"/>
      <c r="AB1179" s="158"/>
      <c r="AC1179" s="155"/>
      <c r="AD1179" s="159"/>
      <c r="AE1179" s="160"/>
      <c r="AF1179" s="161"/>
      <c r="AG1179" s="155"/>
      <c r="AH1179" s="155"/>
      <c r="AI1179" s="155"/>
      <c r="AJ1179" s="155"/>
      <c r="AK1179" s="155"/>
      <c r="AL1179" s="155"/>
      <c r="AM1179" s="155"/>
      <c r="AN1179" s="155"/>
      <c r="AO1179" s="155"/>
      <c r="AP1179" s="155"/>
      <c r="AQ1179" s="155"/>
      <c r="AR1179" s="162"/>
      <c r="AS1179" s="162"/>
      <c r="AT1179" s="162"/>
      <c r="AU1179" s="162"/>
      <c r="AV1179" s="162"/>
      <c r="AW1179" s="162"/>
      <c r="AX1179" s="162"/>
      <c r="AY1179" s="162"/>
      <c r="AZ1179" s="162"/>
      <c r="BA1179" s="162"/>
      <c r="BB1179" s="205"/>
      <c r="BC1179" s="162"/>
      <c r="BD1179" s="162"/>
      <c r="BE1179" s="162"/>
      <c r="BF1179" s="162"/>
      <c r="BG1179" s="162"/>
      <c r="BH1179" s="162"/>
      <c r="BI1179" s="162"/>
      <c r="BJ1179" s="155"/>
      <c r="BK1179" s="163"/>
      <c r="BL1179" s="163"/>
      <c r="BM1179" s="163"/>
      <c r="BN1179" s="163"/>
      <c r="BO1179" s="163"/>
      <c r="BP1179" s="163"/>
      <c r="BQ1179" s="163"/>
      <c r="BR1179" s="163"/>
      <c r="BS1179" s="163"/>
      <c r="BT1179" s="164"/>
      <c r="BU1179" s="155"/>
      <c r="BV1179" s="155"/>
      <c r="BW1179" s="155"/>
      <c r="BX1179" s="155"/>
      <c r="BY1179" s="155"/>
      <c r="BZ1179" s="155"/>
      <c r="CA1179" s="155"/>
      <c r="CB1179" s="155"/>
    </row>
  </sheetData>
  <autoFilter ref="A1:CY1179" xr:uid="{00000000-0001-0000-0000-000000000000}">
    <filterColumn colId="32">
      <filters>
        <filter val="2025"/>
      </filters>
    </filterColumn>
    <sortState xmlns:xlrd2="http://schemas.microsoft.com/office/spreadsheetml/2017/richdata2" ref="A3:CY1166">
      <sortCondition ref="AC1:AC1179"/>
    </sortState>
  </autoFilter>
  <sortState xmlns:xlrd2="http://schemas.microsoft.com/office/spreadsheetml/2017/richdata2" ref="A2:CY1180">
    <sortCondition ref="A2:A1180"/>
  </sortState>
  <conditionalFormatting sqref="G1176:H1179 H1175 G1:H1 G3:H3 G5:H59 H60 G965:H1174 G727:H963 G61:H467 G469:H725 H468">
    <cfRule type="cellIs" dxfId="30" priority="17" operator="equal">
      <formula>5000</formula>
    </cfRule>
    <cfRule type="cellIs" dxfId="29" priority="18" operator="equal">
      <formula>1000</formula>
    </cfRule>
  </conditionalFormatting>
  <conditionalFormatting sqref="G4:H4">
    <cfRule type="cellIs" dxfId="28" priority="9" operator="equal">
      <formula>5000</formula>
    </cfRule>
    <cfRule type="cellIs" dxfId="27" priority="10" operator="equal">
      <formula>1000</formula>
    </cfRule>
  </conditionalFormatting>
  <conditionalFormatting sqref="A4">
    <cfRule type="duplicateValues" dxfId="26" priority="11"/>
  </conditionalFormatting>
  <conditionalFormatting sqref="G726:H726">
    <cfRule type="cellIs" dxfId="25" priority="7" operator="equal">
      <formula>5000</formula>
    </cfRule>
    <cfRule type="cellIs" dxfId="24" priority="8" operator="equal">
      <formula>1000</formula>
    </cfRule>
  </conditionalFormatting>
  <conditionalFormatting sqref="G2:H2">
    <cfRule type="cellIs" dxfId="23" priority="4" operator="equal">
      <formula>5000</formula>
    </cfRule>
    <cfRule type="cellIs" dxfId="22" priority="5" operator="equal">
      <formula>1000</formula>
    </cfRule>
  </conditionalFormatting>
  <conditionalFormatting sqref="A2">
    <cfRule type="duplicateValues" dxfId="21" priority="6"/>
  </conditionalFormatting>
  <conditionalFormatting sqref="A5:A61 A3 A965:A1147 A63:A963">
    <cfRule type="duplicateValues" dxfId="20" priority="153"/>
  </conditionalFormatting>
  <conditionalFormatting sqref="G964:H964">
    <cfRule type="cellIs" dxfId="19" priority="1" operator="equal">
      <formula>5000</formula>
    </cfRule>
    <cfRule type="cellIs" dxfId="18" priority="2" operator="equal">
      <formula>1000</formula>
    </cfRule>
  </conditionalFormatting>
  <conditionalFormatting sqref="A964">
    <cfRule type="duplicateValues" dxfId="17" priority="3"/>
  </conditionalFormatting>
  <printOptions horizontalCentered="1" gridLines="1"/>
  <pageMargins left="0.2" right="0.2" top="0.25" bottom="0.25" header="0.3" footer="0.3"/>
  <pageSetup paperSize="3" scale="10" orientation="portrait" r:id="rId1"/>
  <rowBreaks count="1" manualBreakCount="1">
    <brk id="272" max="16383" man="1"/>
  </rowBreaks>
  <colBreaks count="1" manualBreakCount="1">
    <brk id="3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3:I13"/>
  <sheetViews>
    <sheetView workbookViewId="0">
      <selection activeCell="F10" sqref="F10"/>
    </sheetView>
  </sheetViews>
  <sheetFormatPr defaultRowHeight="15" x14ac:dyDescent="0.25"/>
  <cols>
    <col min="2" max="2" width="13.140625" customWidth="1"/>
    <col min="3" max="3" width="14.7109375" customWidth="1"/>
    <col min="4" max="4" width="16.28515625" bestFit="1" customWidth="1"/>
    <col min="5" max="5" width="19" bestFit="1" customWidth="1"/>
    <col min="8" max="8" width="11.5703125" customWidth="1"/>
  </cols>
  <sheetData>
    <row r="3" spans="2:9" x14ac:dyDescent="0.25">
      <c r="B3" s="24" t="s">
        <v>2402</v>
      </c>
      <c r="C3" t="s">
        <v>2400</v>
      </c>
      <c r="D3" t="s">
        <v>2401</v>
      </c>
    </row>
    <row r="4" spans="2:9" x14ac:dyDescent="0.25">
      <c r="B4" s="7">
        <v>2016</v>
      </c>
      <c r="C4" s="50">
        <v>1379</v>
      </c>
      <c r="D4" s="50">
        <v>236</v>
      </c>
      <c r="E4" s="7">
        <v>2016</v>
      </c>
      <c r="F4" s="50">
        <v>1379</v>
      </c>
      <c r="G4" s="50"/>
      <c r="H4">
        <v>666</v>
      </c>
      <c r="I4">
        <f>F4-H4</f>
        <v>713</v>
      </c>
    </row>
    <row r="5" spans="2:9" x14ac:dyDescent="0.25">
      <c r="B5" s="7">
        <v>2017</v>
      </c>
      <c r="C5" s="50">
        <v>899</v>
      </c>
      <c r="D5" s="50">
        <v>140</v>
      </c>
      <c r="E5" s="7">
        <v>2017</v>
      </c>
      <c r="F5" s="50">
        <v>899</v>
      </c>
      <c r="G5" s="50"/>
      <c r="H5">
        <v>666</v>
      </c>
      <c r="I5">
        <f t="shared" ref="I5:I10" si="0">F5-H5</f>
        <v>233</v>
      </c>
    </row>
    <row r="6" spans="2:9" x14ac:dyDescent="0.25">
      <c r="B6" s="7">
        <v>2018</v>
      </c>
      <c r="C6" s="50">
        <v>797</v>
      </c>
      <c r="D6" s="50">
        <v>119</v>
      </c>
      <c r="E6" s="7">
        <v>2018</v>
      </c>
      <c r="F6" s="50">
        <v>797</v>
      </c>
      <c r="G6" s="50"/>
      <c r="H6">
        <v>666</v>
      </c>
      <c r="I6">
        <f t="shared" si="0"/>
        <v>131</v>
      </c>
    </row>
    <row r="7" spans="2:9" x14ac:dyDescent="0.25">
      <c r="B7" s="7">
        <v>2019</v>
      </c>
      <c r="C7" s="50">
        <v>827</v>
      </c>
      <c r="D7" s="50">
        <v>121</v>
      </c>
      <c r="E7" s="7">
        <v>2019</v>
      </c>
      <c r="F7" s="50">
        <v>827</v>
      </c>
      <c r="G7" s="50"/>
      <c r="H7">
        <v>666</v>
      </c>
      <c r="I7">
        <f t="shared" si="0"/>
        <v>161</v>
      </c>
    </row>
    <row r="8" spans="2:9" x14ac:dyDescent="0.25">
      <c r="B8" s="7">
        <v>2020</v>
      </c>
      <c r="C8" s="50">
        <v>1313</v>
      </c>
      <c r="D8" s="50">
        <v>227</v>
      </c>
      <c r="E8" s="7">
        <v>2020</v>
      </c>
      <c r="F8" s="50">
        <v>1313</v>
      </c>
      <c r="G8" s="50"/>
      <c r="H8">
        <v>666</v>
      </c>
      <c r="I8">
        <f t="shared" si="0"/>
        <v>647</v>
      </c>
    </row>
    <row r="9" spans="2:9" x14ac:dyDescent="0.25">
      <c r="B9" s="7">
        <v>2021</v>
      </c>
      <c r="C9" s="50">
        <v>1065</v>
      </c>
      <c r="D9" s="50">
        <v>168</v>
      </c>
      <c r="E9" s="7">
        <v>2021</v>
      </c>
      <c r="F9" s="50">
        <v>1065</v>
      </c>
      <c r="G9" s="50"/>
      <c r="H9">
        <v>666</v>
      </c>
      <c r="I9">
        <f t="shared" si="0"/>
        <v>399</v>
      </c>
    </row>
    <row r="10" spans="2:9" x14ac:dyDescent="0.25">
      <c r="B10" s="7">
        <v>2022</v>
      </c>
      <c r="C10" s="50">
        <v>869</v>
      </c>
      <c r="D10" s="50">
        <v>136</v>
      </c>
      <c r="E10" s="7">
        <v>2022</v>
      </c>
      <c r="F10" s="50">
        <v>869</v>
      </c>
      <c r="G10" s="50"/>
      <c r="H10">
        <v>666</v>
      </c>
      <c r="I10">
        <f t="shared" si="0"/>
        <v>203</v>
      </c>
    </row>
    <row r="11" spans="2:9" x14ac:dyDescent="0.25">
      <c r="B11" s="7" t="s">
        <v>2106</v>
      </c>
      <c r="C11" s="50">
        <v>11</v>
      </c>
      <c r="D11" s="50">
        <v>2</v>
      </c>
      <c r="E11" s="50"/>
    </row>
    <row r="12" spans="2:9" x14ac:dyDescent="0.25">
      <c r="B12" s="7" t="s">
        <v>2403</v>
      </c>
      <c r="C12" s="50">
        <v>25</v>
      </c>
      <c r="D12" s="50">
        <v>2</v>
      </c>
      <c r="E12" s="50"/>
    </row>
    <row r="13" spans="2:9" x14ac:dyDescent="0.25">
      <c r="B13" s="7" t="s">
        <v>2367</v>
      </c>
      <c r="C13" s="50">
        <v>7185</v>
      </c>
      <c r="D13" s="50" t="e">
        <v>#N/A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3"/>
  <sheetViews>
    <sheetView topLeftCell="A18" workbookViewId="0">
      <selection activeCell="F36" sqref="A2:F36"/>
    </sheetView>
  </sheetViews>
  <sheetFormatPr defaultRowHeight="15" x14ac:dyDescent="0.25"/>
  <cols>
    <col min="1" max="1" width="10.140625" customWidth="1"/>
    <col min="2" max="2" width="10" style="50" customWidth="1"/>
    <col min="3" max="3" width="24.5703125" customWidth="1"/>
    <col min="4" max="4" width="13.42578125" customWidth="1"/>
    <col min="5" max="5" width="10" customWidth="1"/>
    <col min="6" max="6" width="13.28515625" customWidth="1"/>
  </cols>
  <sheetData>
    <row r="1" spans="1:6" ht="30.75" thickBot="1" x14ac:dyDescent="0.3">
      <c r="A1" s="207" t="s">
        <v>2544</v>
      </c>
      <c r="B1" s="215" t="s">
        <v>2545</v>
      </c>
      <c r="C1" s="208" t="s">
        <v>2546</v>
      </c>
      <c r="D1" s="208" t="s">
        <v>2547</v>
      </c>
      <c r="E1" s="208" t="s">
        <v>2548</v>
      </c>
      <c r="F1" s="208" t="s">
        <v>2549</v>
      </c>
    </row>
    <row r="2" spans="1:6" ht="21.75" customHeight="1" thickBot="1" x14ac:dyDescent="0.3">
      <c r="A2" s="209">
        <v>2023</v>
      </c>
      <c r="B2" s="217">
        <f>AVERAGEIFS('Road Evaluations'!Q:Q,'Road Evaluations'!AC:AC,"CS",'Road Evaluations'!AG:AG,A2)</f>
        <v>7.3902439024390247</v>
      </c>
      <c r="C2" s="210" t="s">
        <v>2084</v>
      </c>
      <c r="D2" s="218">
        <f>'Cost and Score'!C29</f>
        <v>21000</v>
      </c>
      <c r="E2" s="219">
        <f>SUMIFS('Road Evaluations'!G:G,'Road Evaluations'!AG:AG,A2,'Road Evaluations'!AC:AC,"CS")/5280</f>
        <v>25.858901515151516</v>
      </c>
      <c r="F2" s="218">
        <f>E2*D2</f>
        <v>543036.93181818188</v>
      </c>
    </row>
    <row r="3" spans="1:6" ht="15.75" thickBot="1" x14ac:dyDescent="0.3">
      <c r="A3" s="209">
        <f>A2+1</f>
        <v>2024</v>
      </c>
      <c r="B3" s="217">
        <f>AVERAGEIFS('Road Evaluations'!Q:Q,'Road Evaluations'!AC:AC,"CS",'Road Evaluations'!AG:AG,A3)</f>
        <v>7.924050632911392</v>
      </c>
      <c r="C3" s="210" t="s">
        <v>2084</v>
      </c>
      <c r="D3" s="218">
        <f>D2*1.04</f>
        <v>21840</v>
      </c>
      <c r="E3" s="219">
        <f>SUMIFS('Road Evaluations'!G:G,'Road Evaluations'!AG:AG,A3,'Road Evaluations'!AC:AC,"CS")/5280</f>
        <v>50.00871212121212</v>
      </c>
      <c r="F3" s="218">
        <f t="shared" ref="F3:F36" si="0">E3*D3</f>
        <v>1092190.2727272727</v>
      </c>
    </row>
    <row r="4" spans="1:6" ht="15.75" thickBot="1" x14ac:dyDescent="0.3">
      <c r="A4" s="209">
        <f>A3+1</f>
        <v>2025</v>
      </c>
      <c r="B4" s="217">
        <f>AVERAGEIFS('Road Evaluations'!Q:Q,'Road Evaluations'!AC:AC,"CS",'Road Evaluations'!AG:AG,A4)</f>
        <v>6.1941747572815533</v>
      </c>
      <c r="C4" s="210" t="s">
        <v>2084</v>
      </c>
      <c r="D4" s="218">
        <f>D3*1.04</f>
        <v>22713.600000000002</v>
      </c>
      <c r="E4" s="219">
        <f>SUMIFS('Road Evaluations'!G:G,'Road Evaluations'!AG:AG,A4,'Road Evaluations'!AC:AC,"CS")/5280</f>
        <v>76.411174242424238</v>
      </c>
      <c r="F4" s="218">
        <f t="shared" si="0"/>
        <v>1735572.8472727274</v>
      </c>
    </row>
    <row r="5" spans="1:6" ht="15.75" thickBot="1" x14ac:dyDescent="0.3">
      <c r="A5" s="209">
        <f>A4+1</f>
        <v>2026</v>
      </c>
      <c r="B5" s="217">
        <f>AVERAGEIFS('Road Evaluations'!Q:Q,'Road Evaluations'!AC:AC,"CS",'Road Evaluations'!AG:AG,A5)</f>
        <v>6.9375</v>
      </c>
      <c r="C5" s="210" t="s">
        <v>2084</v>
      </c>
      <c r="D5" s="218">
        <f>D4*1.04</f>
        <v>23622.144000000004</v>
      </c>
      <c r="E5" s="219">
        <f>SUMIFS('Road Evaluations'!G:G,'Road Evaluations'!AG:AG,A5,'Road Evaluations'!AC:AC,"CS")/5280</f>
        <v>73.261931818181822</v>
      </c>
      <c r="F5" s="218">
        <f t="shared" si="0"/>
        <v>1730603.9031272731</v>
      </c>
    </row>
    <row r="6" spans="1:6" ht="15.75" thickBot="1" x14ac:dyDescent="0.3">
      <c r="A6" s="209">
        <f>A5+1</f>
        <v>2027</v>
      </c>
      <c r="B6" s="217">
        <f>AVERAGEIFS('Road Evaluations'!Q:Q,'Road Evaluations'!AC:AC,"CS",'Road Evaluations'!AG:AG,A6)</f>
        <v>6.5652173913043477</v>
      </c>
      <c r="C6" s="210" t="s">
        <v>2084</v>
      </c>
      <c r="D6" s="218">
        <f>D5*1.04</f>
        <v>24567.029760000005</v>
      </c>
      <c r="E6" s="219">
        <f>SUMIFS('Road Evaluations'!G:G,'Road Evaluations'!AG:AG,A6,'Road Evaluations'!AC:AC,"CS")/5280</f>
        <v>12.212878787878788</v>
      </c>
      <c r="F6" s="218">
        <f t="shared" si="0"/>
        <v>300034.15663709096</v>
      </c>
    </row>
    <row r="7" spans="1:6" ht="22.5" customHeight="1" thickBot="1" x14ac:dyDescent="0.3">
      <c r="A7" s="209">
        <f>A2</f>
        <v>2023</v>
      </c>
      <c r="B7" s="217">
        <f>AVERAGEIFS('Road Evaluations'!Q:Q,'Road Evaluations'!AC:AC,"DS",'Road Evaluations'!AG:AG,A7)</f>
        <v>6.9333333333333336</v>
      </c>
      <c r="C7" s="210" t="s">
        <v>2554</v>
      </c>
      <c r="D7" s="218">
        <f>'Cost and Score'!C31</f>
        <v>32000</v>
      </c>
      <c r="E7" s="219">
        <f>SUMIFS('Road Evaluations'!G:G,'Road Evaluations'!AG:AG,A7,'Road Evaluations'!AC:AC,"DS")/5280</f>
        <v>9.5871212121212128</v>
      </c>
      <c r="F7" s="218">
        <f t="shared" si="0"/>
        <v>306787.87878787878</v>
      </c>
    </row>
    <row r="8" spans="1:6" ht="15.75" thickBot="1" x14ac:dyDescent="0.3">
      <c r="A8" s="209">
        <f>A7+1</f>
        <v>2024</v>
      </c>
      <c r="B8" s="217">
        <f>AVERAGEIFS('Road Evaluations'!Q:Q,'Road Evaluations'!AC:AC,"DS",'Road Evaluations'!AG:AG,A8)</f>
        <v>7.8666666666666663</v>
      </c>
      <c r="C8" s="210" t="s">
        <v>2554</v>
      </c>
      <c r="D8" s="218">
        <f>D7*1.04</f>
        <v>33280</v>
      </c>
      <c r="E8" s="219">
        <f>SUMIFS('Road Evaluations'!G:G,'Road Evaluations'!AG:AG,A8,'Road Evaluations'!AC:AC,"DS")/5280</f>
        <v>13.175000000000001</v>
      </c>
      <c r="F8" s="218">
        <f t="shared" si="0"/>
        <v>438464</v>
      </c>
    </row>
    <row r="9" spans="1:6" ht="15.75" thickBot="1" x14ac:dyDescent="0.3">
      <c r="A9" s="209">
        <f>A8+1</f>
        <v>2025</v>
      </c>
      <c r="B9" s="217">
        <f>AVERAGEIFS('Road Evaluations'!Q:Q,'Road Evaluations'!AC:AC,"DS",'Road Evaluations'!AG:AG,A9)</f>
        <v>7.75</v>
      </c>
      <c r="C9" s="210" t="s">
        <v>2554</v>
      </c>
      <c r="D9" s="218">
        <f>D8*1.04</f>
        <v>34611.200000000004</v>
      </c>
      <c r="E9" s="219">
        <f>SUMIFS('Road Evaluations'!G:G,'Road Evaluations'!AG:AG,A9,'Road Evaluations'!AC:AC,"DS")/5280</f>
        <v>6.2367424242424239</v>
      </c>
      <c r="F9" s="218">
        <f t="shared" si="0"/>
        <v>215861.1393939394</v>
      </c>
    </row>
    <row r="10" spans="1:6" ht="15.75" thickBot="1" x14ac:dyDescent="0.3">
      <c r="A10" s="209">
        <f>A9+1</f>
        <v>2026</v>
      </c>
      <c r="B10" s="217">
        <f>AVERAGEIFS('Road Evaluations'!Q:Q,'Road Evaluations'!AC:AC,"DS",'Road Evaluations'!AG:AG,A10)</f>
        <v>6.5294117647058822</v>
      </c>
      <c r="C10" s="210" t="s">
        <v>2554</v>
      </c>
      <c r="D10" s="218">
        <f>D9*1.04</f>
        <v>35995.648000000008</v>
      </c>
      <c r="E10" s="219">
        <f>SUMIFS('Road Evaluations'!G:G,'Road Evaluations'!AG:AG,A10,'Road Evaluations'!AC:AC,"DS")/5280</f>
        <v>15.13560606060606</v>
      </c>
      <c r="F10" s="218">
        <f t="shared" si="0"/>
        <v>544815.94802424253</v>
      </c>
    </row>
    <row r="11" spans="1:6" ht="15.75" thickBot="1" x14ac:dyDescent="0.3">
      <c r="A11" s="209">
        <f>A10+1</f>
        <v>2027</v>
      </c>
      <c r="B11" s="217">
        <f>AVERAGEIFS('Road Evaluations'!Q:Q,'Road Evaluations'!AC:AC,"DS",'Road Evaluations'!AG:AG,A11)</f>
        <v>7.6052631578947372</v>
      </c>
      <c r="C11" s="210" t="s">
        <v>2554</v>
      </c>
      <c r="D11" s="218">
        <f>D10*1.04</f>
        <v>37435.473920000011</v>
      </c>
      <c r="E11" s="219">
        <f>SUMIFS('Road Evaluations'!G:G,'Road Evaluations'!AG:AG,A11,'Road Evaluations'!AC:AC,"DS")/5280</f>
        <v>24.659659090909091</v>
      </c>
      <c r="F11" s="218">
        <f t="shared" si="0"/>
        <v>923146.02477381844</v>
      </c>
    </row>
    <row r="12" spans="1:6" ht="30.75" thickBot="1" x14ac:dyDescent="0.3">
      <c r="A12" s="209">
        <f>A7</f>
        <v>2023</v>
      </c>
      <c r="B12" s="217">
        <f>AVERAGEIFS('Road Evaluations'!Q:Q,'Road Evaluations'!AC:AC,"SP/CS",'Road Evaluations'!AG:AG,A12)</f>
        <v>6.5555555555555554</v>
      </c>
      <c r="C12" s="210" t="s">
        <v>2559</v>
      </c>
      <c r="D12" s="218">
        <f>'Cost and Score'!C39</f>
        <v>46000</v>
      </c>
      <c r="E12" s="219">
        <f>SUMIFS('Road Evaluations'!G:G,'Road Evaluations'!AG:AG,A12,'Road Evaluations'!AC:AC,"SP/CS")/5280</f>
        <v>4.5856060606060609</v>
      </c>
      <c r="F12" s="218">
        <f t="shared" si="0"/>
        <v>210937.87878787881</v>
      </c>
    </row>
    <row r="13" spans="1:6" ht="30.75" thickBot="1" x14ac:dyDescent="0.3">
      <c r="A13" s="209">
        <f>A12+1</f>
        <v>2024</v>
      </c>
      <c r="B13" s="217">
        <f>AVERAGEIFS('Road Evaluations'!Q:Q,'Road Evaluations'!AC:AC,"SP/CS",'Road Evaluations'!AG:AG,A13)</f>
        <v>8</v>
      </c>
      <c r="C13" s="210" t="s">
        <v>2559</v>
      </c>
      <c r="D13" s="218">
        <f>D12*1.04</f>
        <v>47840</v>
      </c>
      <c r="E13" s="219">
        <f>SUMIFS('Road Evaluations'!G:G,'Road Evaluations'!AG:AG,A13,'Road Evaluations'!AC:AC,"SP/CS")/5280</f>
        <v>1.0132575757575757</v>
      </c>
      <c r="F13" s="218">
        <f t="shared" si="0"/>
        <v>48474.242424242424</v>
      </c>
    </row>
    <row r="14" spans="1:6" ht="30.75" thickBot="1" x14ac:dyDescent="0.3">
      <c r="A14" s="209">
        <f>A13+1</f>
        <v>2025</v>
      </c>
      <c r="B14" s="217">
        <f>AVERAGEIFS('Road Evaluations'!Q:Q,'Road Evaluations'!AC:AC,"SP/CS",'Road Evaluations'!AG:AG,A14)</f>
        <v>6.7272727272727275</v>
      </c>
      <c r="C14" s="210" t="s">
        <v>2559</v>
      </c>
      <c r="D14" s="218">
        <f>D13*1.04</f>
        <v>49753.599999999999</v>
      </c>
      <c r="E14" s="219">
        <f>SUMIFS('Road Evaluations'!G:G,'Road Evaluations'!AG:AG,A14,'Road Evaluations'!AC:AC,"SP/CS")/5280</f>
        <v>9.4679924242424249</v>
      </c>
      <c r="F14" s="218">
        <f t="shared" si="0"/>
        <v>471066.70787878789</v>
      </c>
    </row>
    <row r="15" spans="1:6" ht="30.75" thickBot="1" x14ac:dyDescent="0.3">
      <c r="A15" s="209">
        <f>A14+1</f>
        <v>2026</v>
      </c>
      <c r="B15" s="217">
        <f>AVERAGEIFS('Road Evaluations'!Q:Q,'Road Evaluations'!AC:AC,"SP/CS",'Road Evaluations'!AG:AG,A15)</f>
        <v>6.333333333333333</v>
      </c>
      <c r="C15" s="210" t="s">
        <v>2559</v>
      </c>
      <c r="D15" s="218">
        <f>D14*1.04</f>
        <v>51743.743999999999</v>
      </c>
      <c r="E15" s="219">
        <f>SUMIFS('Road Evaluations'!G:G,'Road Evaluations'!AG:AG,A15,'Road Evaluations'!AC:AC,"SP/CS")/5280</f>
        <v>3.4410984848484847</v>
      </c>
      <c r="F15" s="218">
        <f t="shared" si="0"/>
        <v>178055.31907878787</v>
      </c>
    </row>
    <row r="16" spans="1:6" ht="30.75" thickBot="1" x14ac:dyDescent="0.3">
      <c r="A16" s="209">
        <f>A15+1</f>
        <v>2027</v>
      </c>
      <c r="B16" s="217">
        <f>AVERAGEIFS('Road Evaluations'!Q:Q,'Road Evaluations'!AC:AC,"SP/CS",'Road Evaluations'!AG:AG,A16)</f>
        <v>6.166666666666667</v>
      </c>
      <c r="C16" s="210" t="s">
        <v>2559</v>
      </c>
      <c r="D16" s="218">
        <f>D15*1.04</f>
        <v>53813.493759999998</v>
      </c>
      <c r="E16" s="219">
        <f>SUMIFS('Road Evaluations'!G:G,'Road Evaluations'!AG:AG,A16,'Road Evaluations'!AC:AC,"SP/CS")/5280</f>
        <v>30.621780303030302</v>
      </c>
      <c r="F16" s="218">
        <f t="shared" si="0"/>
        <v>1647864.983257212</v>
      </c>
    </row>
    <row r="17" spans="1:6" ht="15.75" thickBot="1" x14ac:dyDescent="0.3">
      <c r="A17" s="209">
        <f>A12</f>
        <v>2023</v>
      </c>
      <c r="B17" s="217">
        <f>AVERAGEIFS('Road Evaluations'!Q:Q,'Road Evaluations'!AC:AC,"P",'Road Evaluations'!AG:AG,A17)</f>
        <v>6.8611111111111107</v>
      </c>
      <c r="C17" s="210" t="s">
        <v>2588</v>
      </c>
      <c r="D17" s="218">
        <f>'Cost and Score'!C28</f>
        <v>110000</v>
      </c>
      <c r="E17" s="219">
        <f>SUMIFS('Road Evaluations'!G:G,'Road Evaluations'!AG:AG,A17,'Road Evaluations'!AC:AC,"P")/5280</f>
        <v>23.376704545454544</v>
      </c>
      <c r="F17" s="218">
        <f t="shared" si="0"/>
        <v>2571437.5</v>
      </c>
    </row>
    <row r="18" spans="1:6" ht="15.75" thickBot="1" x14ac:dyDescent="0.3">
      <c r="A18" s="209">
        <f>A17+1</f>
        <v>2024</v>
      </c>
      <c r="B18" s="217">
        <f>AVERAGEIFS('Road Evaluations'!Q:Q,'Road Evaluations'!AC:AC,"P",'Road Evaluations'!AG:AG,A18)</f>
        <v>7.333333333333333</v>
      </c>
      <c r="C18" s="210" t="s">
        <v>2588</v>
      </c>
      <c r="D18" s="218">
        <f>D17*1.04</f>
        <v>114400</v>
      </c>
      <c r="E18" s="219">
        <f>SUMIFS('Road Evaluations'!G:G,'Road Evaluations'!AG:AG,A18,'Road Evaluations'!AC:AC,"P")/5280</f>
        <v>11.738068181818182</v>
      </c>
      <c r="F18" s="218">
        <f t="shared" si="0"/>
        <v>1342835</v>
      </c>
    </row>
    <row r="19" spans="1:6" ht="15.75" thickBot="1" x14ac:dyDescent="0.3">
      <c r="A19" s="209">
        <f>A18+1</f>
        <v>2025</v>
      </c>
      <c r="B19" s="217">
        <f>AVERAGEIFS('Road Evaluations'!Q:Q,'Road Evaluations'!AC:AC,"P",'Road Evaluations'!AG:AG,A19)</f>
        <v>6.7142857142857144</v>
      </c>
      <c r="C19" s="210" t="s">
        <v>2588</v>
      </c>
      <c r="D19" s="218">
        <f>D18*1.04</f>
        <v>118976</v>
      </c>
      <c r="E19" s="219">
        <f>SUMIFS('Road Evaluations'!G:G,'Road Evaluations'!AG:AG,A19,'Road Evaluations'!AC:AC,"P")/5280</f>
        <v>10.505303030303031</v>
      </c>
      <c r="F19" s="218">
        <f t="shared" si="0"/>
        <v>1249878.9333333333</v>
      </c>
    </row>
    <row r="20" spans="1:6" ht="15.75" thickBot="1" x14ac:dyDescent="0.3">
      <c r="A20" s="209">
        <f>A19+1</f>
        <v>2026</v>
      </c>
      <c r="B20" s="217">
        <f>AVERAGEIFS('Road Evaluations'!Q:Q,'Road Evaluations'!AC:AC,"P",'Road Evaluations'!AG:AG,A20)</f>
        <v>6</v>
      </c>
      <c r="C20" s="210" t="s">
        <v>2588</v>
      </c>
      <c r="D20" s="218">
        <f>D19*1.04</f>
        <v>123735.04000000001</v>
      </c>
      <c r="E20" s="219">
        <f>SUMIFS('Road Evaluations'!G:G,'Road Evaluations'!AG:AG,A20,'Road Evaluations'!AC:AC,"P")/5280</f>
        <v>0.72537878787878785</v>
      </c>
      <c r="F20" s="218">
        <f t="shared" si="0"/>
        <v>89754.773333333331</v>
      </c>
    </row>
    <row r="21" spans="1:6" ht="15.75" thickBot="1" x14ac:dyDescent="0.3">
      <c r="A21" s="209">
        <f>A20+1</f>
        <v>2027</v>
      </c>
      <c r="B21" s="217">
        <f>AVERAGEIFS('Road Evaluations'!Q:Q,'Road Evaluations'!AC:AC,"P",'Road Evaluations'!AG:AG,A21)</f>
        <v>6.4285714285714288</v>
      </c>
      <c r="C21" s="210" t="s">
        <v>2588</v>
      </c>
      <c r="D21" s="218">
        <f>D20*1.04</f>
        <v>128684.44160000002</v>
      </c>
      <c r="E21" s="219">
        <f>SUMIFS('Road Evaluations'!G:G,'Road Evaluations'!AG:AG,A21,'Road Evaluations'!AC:AC,"P")/5280</f>
        <v>6.435227272727273</v>
      </c>
      <c r="F21" s="218">
        <f t="shared" si="0"/>
        <v>828113.6281600002</v>
      </c>
    </row>
    <row r="22" spans="1:6" ht="15.75" thickBot="1" x14ac:dyDescent="0.3">
      <c r="A22" s="209">
        <f>A17</f>
        <v>2023</v>
      </c>
      <c r="B22" s="217" t="e">
        <f>AVERAGEIFS('Road Evaluations'!Q:Q,'Road Evaluations'!AC:AC,"Crack",'Road Evaluations'!AG:AG,A22)</f>
        <v>#DIV/0!</v>
      </c>
      <c r="C22" s="210" t="s">
        <v>2085</v>
      </c>
      <c r="D22" s="218">
        <f>'Cost and Score'!C30</f>
        <v>5400</v>
      </c>
      <c r="E22" s="219">
        <f>SUMIFS('Road Evaluations'!G:G,'Road Evaluations'!AG:AG,A22,'Road Evaluations'!AC:AC,"CRACK")/5280</f>
        <v>0</v>
      </c>
      <c r="F22" s="218">
        <f t="shared" si="0"/>
        <v>0</v>
      </c>
    </row>
    <row r="23" spans="1:6" ht="15.75" thickBot="1" x14ac:dyDescent="0.3">
      <c r="A23" s="209">
        <f>A22+1</f>
        <v>2024</v>
      </c>
      <c r="B23" s="217" t="e">
        <f>AVERAGEIFS('Road Evaluations'!Q:Q,'Road Evaluations'!AC:AC,"Crack",'Road Evaluations'!AG:AG,A23)</f>
        <v>#DIV/0!</v>
      </c>
      <c r="C23" s="210" t="s">
        <v>2085</v>
      </c>
      <c r="D23" s="218">
        <f>D22*1.04</f>
        <v>5616</v>
      </c>
      <c r="E23" s="219">
        <f>SUMIFS('Road Evaluations'!G:G,'Road Evaluations'!AG:AG,A23,'Road Evaluations'!AC:AC,"CRACK")/5280</f>
        <v>0</v>
      </c>
      <c r="F23" s="218">
        <f t="shared" si="0"/>
        <v>0</v>
      </c>
    </row>
    <row r="24" spans="1:6" ht="15.75" thickBot="1" x14ac:dyDescent="0.3">
      <c r="A24" s="209">
        <f>A23+1</f>
        <v>2025</v>
      </c>
      <c r="B24" s="217">
        <f>AVERAGEIFS('Road Evaluations'!Q:Q,'Road Evaluations'!AC:AC,"Crack",'Road Evaluations'!AG:AG,A24)</f>
        <v>7.8</v>
      </c>
      <c r="C24" s="210" t="s">
        <v>2085</v>
      </c>
      <c r="D24" s="218">
        <f>D23*1.04</f>
        <v>5840.64</v>
      </c>
      <c r="E24" s="219">
        <f>SUMIFS('Road Evaluations'!G:G,'Road Evaluations'!AG:AG,A24,'Road Evaluations'!AC:AC,"CRACK")/5280</f>
        <v>4.5418560606060607</v>
      </c>
      <c r="F24" s="218">
        <f t="shared" si="0"/>
        <v>26527.346181818182</v>
      </c>
    </row>
    <row r="25" spans="1:6" ht="15.75" thickBot="1" x14ac:dyDescent="0.3">
      <c r="A25" s="209">
        <f>A24+1</f>
        <v>2026</v>
      </c>
      <c r="B25" s="217" t="e">
        <f>AVERAGEIFS('Road Evaluations'!Q:Q,'Road Evaluations'!AC:AC,"Crack",'Road Evaluations'!AG:AG,A25)</f>
        <v>#DIV/0!</v>
      </c>
      <c r="C25" s="210" t="s">
        <v>2085</v>
      </c>
      <c r="D25" s="218">
        <f>D24*1.04</f>
        <v>6074.2656000000006</v>
      </c>
      <c r="E25" s="219">
        <f>SUMIFS('Road Evaluations'!G:G,'Road Evaluations'!AG:AG,A25,'Road Evaluations'!AC:AC,"CRACK")/5280</f>
        <v>0</v>
      </c>
      <c r="F25" s="218">
        <f t="shared" si="0"/>
        <v>0</v>
      </c>
    </row>
    <row r="26" spans="1:6" ht="15.75" thickBot="1" x14ac:dyDescent="0.3">
      <c r="A26" s="209">
        <f>A25+1</f>
        <v>2027</v>
      </c>
      <c r="B26" s="217" t="e">
        <f>AVERAGEIFS('Road Evaluations'!Q:Q,'Road Evaluations'!AC:AC,"Crack",'Road Evaluations'!AG:AG,A26)</f>
        <v>#DIV/0!</v>
      </c>
      <c r="C26" s="210" t="s">
        <v>2085</v>
      </c>
      <c r="D26" s="218">
        <f>D25*1.04</f>
        <v>6317.2362240000011</v>
      </c>
      <c r="E26" s="219">
        <f>SUMIFS('Road Evaluations'!G:G,'Road Evaluations'!AG:AG,A26,'Road Evaluations'!AC:AC,"CRACK")/5280</f>
        <v>0</v>
      </c>
      <c r="F26" s="218">
        <f t="shared" si="0"/>
        <v>0</v>
      </c>
    </row>
    <row r="27" spans="1:6" ht="15.75" thickBot="1" x14ac:dyDescent="0.3">
      <c r="A27" s="209">
        <f>A22</f>
        <v>2023</v>
      </c>
      <c r="B27" s="217" t="e">
        <f>AVERAGEIFS('Road Evaluations'!Q:Q,'Road Evaluations'!AC:AC,"MICROSEAL",'Road Evaluations'!AG:AG,A27)</f>
        <v>#DIV/0!</v>
      </c>
      <c r="C27" s="210" t="s">
        <v>2573</v>
      </c>
      <c r="D27" s="218">
        <f>'Cost and Score'!C37</f>
        <v>25000</v>
      </c>
      <c r="E27" s="219">
        <f>SUMIFS('Road Evaluations'!G:G,'Road Evaluations'!AG:AG,A27,'Road Evaluations'!AC:AC,"MICROSEAL")/5280</f>
        <v>0</v>
      </c>
      <c r="F27" s="218">
        <f t="shared" si="0"/>
        <v>0</v>
      </c>
    </row>
    <row r="28" spans="1:6" ht="15.75" thickBot="1" x14ac:dyDescent="0.3">
      <c r="A28" s="209">
        <f>A27+1</f>
        <v>2024</v>
      </c>
      <c r="B28" s="217" t="e">
        <f>AVERAGEIFS('Road Evaluations'!Q:Q,'Road Evaluations'!AC:AC,"MICROSEAL",'Road Evaluations'!AG:AG,A28)</f>
        <v>#DIV/0!</v>
      </c>
      <c r="C28" s="210" t="s">
        <v>2573</v>
      </c>
      <c r="D28" s="218">
        <f>D27*1.04</f>
        <v>26000</v>
      </c>
      <c r="E28" s="219">
        <f>SUMIFS('Road Evaluations'!G:G,'Road Evaluations'!AG:AG,A28,'Road Evaluations'!AC:AC,"MICROSEAL")/5280</f>
        <v>0</v>
      </c>
      <c r="F28" s="218">
        <f t="shared" si="0"/>
        <v>0</v>
      </c>
    </row>
    <row r="29" spans="1:6" ht="15.75" thickBot="1" x14ac:dyDescent="0.3">
      <c r="A29" s="209">
        <f>A28+1</f>
        <v>2025</v>
      </c>
      <c r="B29" s="217">
        <f>AVERAGEIFS('Road Evaluations'!Q:Q,'Road Evaluations'!AC:AC,"MICROSEAL",'Road Evaluations'!AG:AG,A29)</f>
        <v>7.48</v>
      </c>
      <c r="C29" s="210" t="s">
        <v>2573</v>
      </c>
      <c r="D29" s="218">
        <f>D28*1.04</f>
        <v>27040</v>
      </c>
      <c r="E29" s="219">
        <f>SUMIFS('Road Evaluations'!G:G,'Road Evaluations'!AG:AG,A29,'Road Evaluations'!AC:AC,"MICROSEAL")/5280</f>
        <v>5.2928030303030305</v>
      </c>
      <c r="F29" s="218">
        <f t="shared" si="0"/>
        <v>143117.39393939395</v>
      </c>
    </row>
    <row r="30" spans="1:6" ht="15.75" thickBot="1" x14ac:dyDescent="0.3">
      <c r="A30" s="209">
        <f>A29+1</f>
        <v>2026</v>
      </c>
      <c r="B30" s="217">
        <f>AVERAGEIFS('Road Evaluations'!Q:Q,'Road Evaluations'!AC:AC,"MICROSEAL",'Road Evaluations'!AG:AG,A30)</f>
        <v>7.4526315789473685</v>
      </c>
      <c r="C30" s="210" t="s">
        <v>2573</v>
      </c>
      <c r="D30" s="218">
        <f>D29*1.04</f>
        <v>28121.600000000002</v>
      </c>
      <c r="E30" s="219">
        <f>SUMIFS('Road Evaluations'!G:G,'Road Evaluations'!AG:AG,A30,'Road Evaluations'!AC:AC,"MICROSEAL")/5280</f>
        <v>39.664418560606059</v>
      </c>
      <c r="F30" s="218">
        <f t="shared" si="0"/>
        <v>1115426.9129939394</v>
      </c>
    </row>
    <row r="31" spans="1:6" ht="15.75" thickBot="1" x14ac:dyDescent="0.3">
      <c r="A31" s="209">
        <f>A30+1</f>
        <v>2027</v>
      </c>
      <c r="B31" s="217">
        <f>AVERAGEIFS('Road Evaluations'!Q:Q,'Road Evaluations'!AC:AC,"MICROSEAL",'Road Evaluations'!AG:AG,A31)</f>
        <v>7</v>
      </c>
      <c r="C31" s="210" t="s">
        <v>2573</v>
      </c>
      <c r="D31" s="218">
        <f>D30*1.04</f>
        <v>29246.464000000004</v>
      </c>
      <c r="E31" s="219">
        <f>SUMIFS('Road Evaluations'!G:G,'Road Evaluations'!AG:AG,A31,'Road Evaluations'!AC:AC,"MICROSEAL")/5280</f>
        <v>21.984469696969697</v>
      </c>
      <c r="F31" s="218">
        <f t="shared" si="0"/>
        <v>642968.00155151519</v>
      </c>
    </row>
    <row r="32" spans="1:6" ht="15.75" thickBot="1" x14ac:dyDescent="0.3">
      <c r="A32" s="209">
        <f>A27</f>
        <v>2023</v>
      </c>
      <c r="B32" s="217">
        <f>AVERAGEIFS('Road Evaluations'!Q:Q,'Road Evaluations'!AC:AC,"MICRO",'Road Evaluations'!AG:AG,A32)</f>
        <v>7.2142857142857144</v>
      </c>
      <c r="C32" s="210" t="s">
        <v>2599</v>
      </c>
      <c r="D32" s="218">
        <f>'Cost and Score'!C35</f>
        <v>80000</v>
      </c>
      <c r="E32" s="219">
        <f>SUMIFS('Road Evaluations'!G:G,'Road Evaluations'!AG:AG,A32,'Road Evaluations'!AC:AC,"MICRO")/5280</f>
        <v>11.388825757575757</v>
      </c>
      <c r="F32" s="218">
        <f t="shared" si="0"/>
        <v>911106.06060606055</v>
      </c>
    </row>
    <row r="33" spans="1:6" ht="15.75" thickBot="1" x14ac:dyDescent="0.3">
      <c r="A33" s="209">
        <f>A32+1</f>
        <v>2024</v>
      </c>
      <c r="B33" s="217">
        <f>AVERAGEIFS('Road Evaluations'!Q:Q,'Road Evaluations'!AC:AC,"MICRO",'Road Evaluations'!AG:AG,A33)</f>
        <v>7.3421052631578947</v>
      </c>
      <c r="C33" s="210" t="s">
        <v>2599</v>
      </c>
      <c r="D33" s="218">
        <f>D32*1.04</f>
        <v>83200</v>
      </c>
      <c r="E33" s="219">
        <f>SUMIFS('Road Evaluations'!G:G,'Road Evaluations'!AG:AG,A33,'Road Evaluations'!AC:AC,"MICRO")/5280</f>
        <v>34.459034090909093</v>
      </c>
      <c r="F33" s="218">
        <f t="shared" si="0"/>
        <v>2866991.6363636367</v>
      </c>
    </row>
    <row r="34" spans="1:6" ht="15.75" thickBot="1" x14ac:dyDescent="0.3">
      <c r="A34" s="209">
        <f>A33+1</f>
        <v>2025</v>
      </c>
      <c r="B34" s="217" t="e">
        <f>AVERAGEIFS('Road Evaluations'!Q:Q,'Road Evaluations'!AC:AC,"MICRO",'Road Evaluations'!AG:AG,A34)</f>
        <v>#DIV/0!</v>
      </c>
      <c r="C34" s="210" t="s">
        <v>2599</v>
      </c>
      <c r="D34" s="218">
        <f>D33*1.04</f>
        <v>86528</v>
      </c>
      <c r="E34" s="219">
        <f>SUMIFS('Road Evaluations'!G:G,'Road Evaluations'!AG:AG,A34,'Road Evaluations'!AC:AC,"MICRO")/5280</f>
        <v>0</v>
      </c>
      <c r="F34" s="218">
        <f t="shared" si="0"/>
        <v>0</v>
      </c>
    </row>
    <row r="35" spans="1:6" ht="15.75" thickBot="1" x14ac:dyDescent="0.3">
      <c r="A35" s="209">
        <f>A34+1</f>
        <v>2026</v>
      </c>
      <c r="B35" s="217">
        <f>AVERAGEIFS('Road Evaluations'!Q:Q,'Road Evaluations'!AC:AC,"MICRO",'Road Evaluations'!AG:AG,A35)</f>
        <v>7</v>
      </c>
      <c r="C35" s="210" t="s">
        <v>2599</v>
      </c>
      <c r="D35" s="218">
        <f>D34*1.04</f>
        <v>89989.12000000001</v>
      </c>
      <c r="E35" s="219">
        <f>SUMIFS('Road Evaluations'!G:G,'Road Evaluations'!AG:AG,A35,'Road Evaluations'!AC:AC,"MICRO")/5280</f>
        <v>0.3443181818181818</v>
      </c>
      <c r="F35" s="218">
        <f t="shared" si="0"/>
        <v>30984.890181818184</v>
      </c>
    </row>
    <row r="36" spans="1:6" ht="15.75" thickBot="1" x14ac:dyDescent="0.3">
      <c r="A36" s="209">
        <f>A35+1</f>
        <v>2027</v>
      </c>
      <c r="B36" s="217">
        <f>AVERAGEIFS('Road Evaluations'!Q:Q,'Road Evaluations'!AC:AC,"MICRO",'Road Evaluations'!AG:AG,A36)</f>
        <v>7.2</v>
      </c>
      <c r="C36" s="210" t="s">
        <v>2599</v>
      </c>
      <c r="D36" s="218">
        <f>D35*1.04</f>
        <v>93588.684800000017</v>
      </c>
      <c r="E36" s="219">
        <f>SUMIFS('Road Evaluations'!G:G,'Road Evaluations'!AG:AG,A36,'Road Evaluations'!AC:AC,"MICRO")/5280</f>
        <v>2.3196590909090906</v>
      </c>
      <c r="F36" s="218">
        <f t="shared" si="0"/>
        <v>217093.84350254547</v>
      </c>
    </row>
    <row r="37" spans="1:6" ht="15.75" thickBot="1" x14ac:dyDescent="0.3">
      <c r="A37" s="209"/>
      <c r="B37" s="216"/>
      <c r="C37" s="210"/>
      <c r="D37" s="211"/>
      <c r="E37" s="210"/>
      <c r="F37" s="211"/>
    </row>
    <row r="38" spans="1:6" ht="15.75" thickBot="1" x14ac:dyDescent="0.3">
      <c r="A38" s="209"/>
      <c r="B38" s="216"/>
      <c r="C38" s="210"/>
      <c r="D38" s="211"/>
      <c r="E38" s="210"/>
      <c r="F38" s="211"/>
    </row>
    <row r="39" spans="1:6" ht="15.75" thickBot="1" x14ac:dyDescent="0.3">
      <c r="A39" s="209"/>
      <c r="B39" s="216"/>
      <c r="C39" s="210"/>
      <c r="D39" s="211"/>
      <c r="E39" s="210"/>
      <c r="F39" s="211"/>
    </row>
    <row r="40" spans="1:6" ht="15.75" thickBot="1" x14ac:dyDescent="0.3">
      <c r="A40" s="209"/>
      <c r="B40" s="216"/>
      <c r="C40" s="210"/>
      <c r="D40" s="211"/>
      <c r="E40" s="210"/>
      <c r="F40" s="211"/>
    </row>
    <row r="41" spans="1:6" ht="15.75" thickBot="1" x14ac:dyDescent="0.3">
      <c r="A41" s="209"/>
      <c r="B41" s="216"/>
      <c r="C41" s="210"/>
      <c r="D41" s="211"/>
      <c r="E41" s="210"/>
      <c r="F41" s="211"/>
    </row>
    <row r="42" spans="1:6" ht="15.75" thickBot="1" x14ac:dyDescent="0.3">
      <c r="A42" s="209"/>
      <c r="B42" s="216"/>
      <c r="C42" s="210"/>
      <c r="D42" s="211"/>
      <c r="E42" s="210"/>
      <c r="F42" s="211"/>
    </row>
    <row r="43" spans="1:6" ht="15.75" thickBot="1" x14ac:dyDescent="0.3">
      <c r="A43" s="209"/>
      <c r="B43" s="216"/>
      <c r="C43" s="210"/>
      <c r="D43" s="211"/>
      <c r="E43" s="210"/>
      <c r="F43" s="211"/>
    </row>
  </sheetData>
  <autoFilter ref="A1:F36" xr:uid="{00000000-0009-0000-0000-000001000000}"/>
  <dataValidations count="1">
    <dataValidation type="list" allowBlank="1" showInputMessage="1" showErrorMessage="1" sqref="C2:C41" xr:uid="{00000000-0002-0000-0100-000000000000}">
      <formula1>treatment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1000000}">
          <x14:formula1>
            <xm:f>'\\HANCOCKGEO1\highway\0-INDOT\Community Crossroads Grant\[5 Year  Road  Treatment Summary Hancock 2020.xlsx]Treatment Options'!#REF!</xm:f>
          </x14:formula1>
          <xm:sqref>C42:C43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V181"/>
  <sheetViews>
    <sheetView workbookViewId="0">
      <selection activeCell="D17" sqref="D17"/>
    </sheetView>
  </sheetViews>
  <sheetFormatPr defaultRowHeight="15" x14ac:dyDescent="0.25"/>
  <cols>
    <col min="1" max="1" width="15.140625" bestFit="1" customWidth="1"/>
    <col min="2" max="2" width="14.28515625" bestFit="1" customWidth="1"/>
    <col min="3" max="3" width="15.140625" customWidth="1"/>
    <col min="4" max="4" width="20.140625" style="70" customWidth="1"/>
    <col min="5" max="7" width="15.140625" customWidth="1"/>
    <col min="8" max="8" width="12.5703125" customWidth="1"/>
    <col min="9" max="9" width="15.140625" customWidth="1"/>
    <col min="10" max="10" width="12.5703125" customWidth="1"/>
    <col min="11" max="11" width="15.140625" customWidth="1"/>
    <col min="12" max="12" width="12.5703125" customWidth="1"/>
    <col min="13" max="13" width="20.5703125" customWidth="1"/>
    <col min="14" max="15" width="15.42578125" customWidth="1"/>
    <col min="16" max="16" width="13.28515625" customWidth="1"/>
    <col min="17" max="17" width="13.140625" customWidth="1"/>
    <col min="18" max="18" width="17.5703125" customWidth="1"/>
    <col min="19" max="19" width="15.7109375" customWidth="1"/>
    <col min="20" max="20" width="9.7109375" customWidth="1"/>
    <col min="21" max="22" width="9.140625" customWidth="1"/>
  </cols>
  <sheetData>
    <row r="2" spans="1:22" x14ac:dyDescent="0.25">
      <c r="B2" t="s">
        <v>2436</v>
      </c>
      <c r="C2" t="s">
        <v>2437</v>
      </c>
      <c r="D2" s="70" t="s">
        <v>2438</v>
      </c>
      <c r="E2" t="s">
        <v>2439</v>
      </c>
    </row>
    <row r="3" spans="1:22" x14ac:dyDescent="0.25">
      <c r="A3" s="69"/>
      <c r="B3">
        <v>2024</v>
      </c>
    </row>
    <row r="4" spans="1:22" x14ac:dyDescent="0.25">
      <c r="A4" s="2" t="s">
        <v>751</v>
      </c>
      <c r="B4" s="47">
        <f>SUMIFS('Road Evaluations'!$AD$3:$AD$1179,'Road Evaluations'!$AG$3:$AG$1179,$B$3,'Road Evaluations'!$AC$3:$AC$1179,$A4)</f>
        <v>1291187.5</v>
      </c>
      <c r="C4" s="47">
        <f>SUMIFS('Road Evaluations'!$AF$1:$AF$1179,'Road Evaluations'!$AG$1:$AG$1179,$B$3,'Road Evaluations'!$AC$1:$AC$1179,$A4,'Road Evaluations'!$AE$1:$AE$1179,"&gt;0")</f>
        <v>872437.5</v>
      </c>
      <c r="D4" s="105">
        <f>B4-C4</f>
        <v>418750</v>
      </c>
      <c r="E4" s="117">
        <f>D4/B4</f>
        <v>0.32431385836681348</v>
      </c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2"/>
      <c r="R4" s="90"/>
      <c r="S4" s="90"/>
      <c r="T4" s="90"/>
      <c r="U4" s="90"/>
      <c r="V4" s="90"/>
    </row>
    <row r="5" spans="1:22" x14ac:dyDescent="0.25">
      <c r="A5" s="2" t="s">
        <v>13</v>
      </c>
      <c r="B5" s="47">
        <f>SUMIFS('Road Evaluations'!$AD$3:$AD$1179,'Road Evaluations'!$AG$3:$AG$1179,$B$3,'Road Evaluations'!$AC$3:$AC$1179,$A5)</f>
        <v>1050182.9545454546</v>
      </c>
      <c r="C5" s="47">
        <f>SUMIFS('Road Evaluations'!$AF$1:$AF$1179,'Road Evaluations'!$AG$1:$AG$1179,$B$3,'Road Evaluations'!$AC$1:$AC$1179,$A5,'Road Evaluations'!$AE$1:$AE$1179,"&gt;0")</f>
        <v>247390.34090909091</v>
      </c>
      <c r="D5" s="105">
        <f t="shared" ref="D5:D15" si="0">B5-C5</f>
        <v>802792.61363636365</v>
      </c>
      <c r="E5" s="117">
        <f t="shared" ref="E5:E14" si="1">D5/B5</f>
        <v>0.76443119759435851</v>
      </c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2"/>
      <c r="R5" s="88"/>
      <c r="S5" s="93"/>
      <c r="T5" s="93"/>
      <c r="U5" s="93"/>
      <c r="V5" s="90"/>
    </row>
    <row r="6" spans="1:22" x14ac:dyDescent="0.25">
      <c r="A6" s="49" t="s">
        <v>2075</v>
      </c>
      <c r="B6" s="47">
        <f>SUMIFS('Road Evaluations'!$AD$3:$AD$1179,'Road Evaluations'!$AG$3:$AG$1179,$B$3,'Road Evaluations'!$AC$3:$AC$1179,$A6)</f>
        <v>0</v>
      </c>
      <c r="C6" s="47">
        <f>SUMIFS('Road Evaluations'!$AF$1:$AF$1179,'Road Evaluations'!$AG$1:$AG$1179,$B$3,'Road Evaluations'!$AC$1:$AC$1179,$A6,'Road Evaluations'!$AE$1:$AE$1179,"&gt;0")</f>
        <v>0</v>
      </c>
      <c r="D6" s="105">
        <f t="shared" si="0"/>
        <v>0</v>
      </c>
      <c r="E6" s="117"/>
      <c r="F6" s="90"/>
      <c r="G6" s="90"/>
      <c r="H6" s="90"/>
      <c r="I6" s="90"/>
      <c r="J6" s="89"/>
      <c r="K6" s="90"/>
      <c r="L6" s="90"/>
      <c r="M6" s="90"/>
      <c r="N6" s="90"/>
      <c r="O6" s="90"/>
      <c r="P6" s="90"/>
      <c r="Q6" s="92"/>
      <c r="R6" s="88"/>
      <c r="S6" s="88"/>
      <c r="T6" s="93"/>
      <c r="U6" s="94"/>
      <c r="V6" s="95"/>
    </row>
    <row r="7" spans="1:22" x14ac:dyDescent="0.25">
      <c r="A7" s="2" t="s">
        <v>2073</v>
      </c>
      <c r="B7" s="47">
        <f>SUMIFS('Road Evaluations'!$AD$3:$AD$1179,'Road Evaluations'!$AG$3:$AG$1179,$B$3,'Road Evaluations'!$AC$3:$AC$1179,$A7)</f>
        <v>421600.00000000006</v>
      </c>
      <c r="C7" s="47">
        <f>SUMIFS('Road Evaluations'!$AF$1:$AF$1179,'Road Evaluations'!$AG$1:$AG$1179,$B$3,'Road Evaluations'!$AC$1:$AC$1179,$A7,'Road Evaluations'!$AE$1:$AE$1179,"&gt;0")</f>
        <v>190854.54545454544</v>
      </c>
      <c r="D7" s="105">
        <f t="shared" si="0"/>
        <v>230745.45454545462</v>
      </c>
      <c r="E7" s="117">
        <f t="shared" si="1"/>
        <v>0.54730895290667592</v>
      </c>
      <c r="F7" s="97"/>
      <c r="G7" s="90"/>
      <c r="H7" s="90"/>
      <c r="I7" s="90"/>
      <c r="J7" s="98"/>
      <c r="K7" s="90"/>
      <c r="L7" s="90"/>
      <c r="M7" s="90"/>
      <c r="N7" s="90"/>
      <c r="O7" s="90"/>
      <c r="P7" s="90"/>
      <c r="Q7" s="92"/>
      <c r="R7" s="88"/>
      <c r="S7" s="88"/>
      <c r="T7" s="93"/>
      <c r="U7" s="94"/>
      <c r="V7" s="95"/>
    </row>
    <row r="8" spans="1:22" x14ac:dyDescent="0.25">
      <c r="A8" s="2" t="s">
        <v>2086</v>
      </c>
      <c r="B8" s="47">
        <f>SUMIFS('Road Evaluations'!$AD$3:$AD$1179,'Road Evaluations'!$AG$3:$AG$1179,$B$3,'Road Evaluations'!$AC$3:$AC$1179,$A8)</f>
        <v>221982.86939393936</v>
      </c>
      <c r="C8" s="47">
        <f>SUMIFS('Road Evaluations'!$AF$1:$AF$1179,'Road Evaluations'!$AG$1:$AG$1179,$B$3,'Road Evaluations'!$AC$1:$AC$1179,$A8,'Road Evaluations'!$AE$1:$AE$1179,"&gt;0")</f>
        <v>0</v>
      </c>
      <c r="D8" s="105">
        <f t="shared" si="0"/>
        <v>221982.86939393936</v>
      </c>
      <c r="E8" s="117">
        <f t="shared" si="1"/>
        <v>1</v>
      </c>
      <c r="F8" s="97"/>
      <c r="G8" s="99"/>
      <c r="H8" s="96"/>
      <c r="I8" s="99"/>
      <c r="J8" s="100"/>
      <c r="K8" s="89"/>
      <c r="L8" s="101"/>
      <c r="M8" s="102"/>
      <c r="N8" s="90"/>
      <c r="O8" s="90"/>
      <c r="P8" s="90"/>
      <c r="Q8" s="92"/>
      <c r="R8" s="88"/>
      <c r="S8" s="88"/>
      <c r="T8" s="93"/>
      <c r="U8" s="94"/>
      <c r="V8" s="95"/>
    </row>
    <row r="9" spans="1:22" ht="45" customHeight="1" x14ac:dyDescent="0.25">
      <c r="A9" s="2" t="s">
        <v>2076</v>
      </c>
      <c r="B9" s="47">
        <f>SUMIFS('Road Evaluations'!$AD$3:$AD$1179,'Road Evaluations'!$AG$3:$AG$1179,$B$3,'Road Evaluations'!$AC$3:$AC$1179,$A9)</f>
        <v>0</v>
      </c>
      <c r="C9" s="47">
        <f>SUMIFS('Road Evaluations'!$AF$1:$AF$1179,'Road Evaluations'!$AG$1:$AG$1179,$B$3,'Road Evaluations'!$AC$1:$AC$1179,$A9,'Road Evaluations'!$AE$1:$AE$1179,"&gt;0")</f>
        <v>0</v>
      </c>
      <c r="D9" s="105">
        <f t="shared" si="0"/>
        <v>0</v>
      </c>
      <c r="E9" s="117"/>
      <c r="F9" s="97"/>
      <c r="G9" s="99"/>
      <c r="H9" s="96"/>
      <c r="I9" s="99"/>
      <c r="J9" s="100"/>
      <c r="K9" s="89"/>
      <c r="L9" s="101"/>
      <c r="M9" s="102"/>
      <c r="N9" s="90"/>
      <c r="O9" s="90"/>
      <c r="P9" s="90"/>
      <c r="Q9" s="90"/>
      <c r="R9" s="90"/>
      <c r="S9" s="90"/>
      <c r="T9" s="90"/>
      <c r="U9" s="90"/>
      <c r="V9" s="90"/>
    </row>
    <row r="10" spans="1:22" ht="45" customHeight="1" x14ac:dyDescent="0.25">
      <c r="A10" s="2" t="s">
        <v>2371</v>
      </c>
      <c r="B10" s="47">
        <f>SUMIFS('Road Evaluations'!$AD$3:$AD$1179,'Road Evaluations'!$AG$3:$AG$1179,$B$3,'Road Evaluations'!$AC$3:$AC$1179,$A10)</f>
        <v>2756722.7272727275</v>
      </c>
      <c r="C10" s="47">
        <f>SUMIFS('Road Evaluations'!$AF$1:$AF$1179,'Road Evaluations'!$AG$1:$AG$1179,$B$3,'Road Evaluations'!$AC$1:$AC$1179,$A10,'Road Evaluations'!$AE$1:$AE$1179,"&gt;0")</f>
        <v>2756722.7272727275</v>
      </c>
      <c r="D10" s="105">
        <f t="shared" si="0"/>
        <v>0</v>
      </c>
      <c r="E10" s="117">
        <f t="shared" si="1"/>
        <v>0</v>
      </c>
      <c r="F10" s="98"/>
      <c r="G10" s="103"/>
      <c r="H10" s="90"/>
      <c r="I10" s="90"/>
      <c r="J10" s="98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</row>
    <row r="11" spans="1:22" ht="45" customHeight="1" x14ac:dyDescent="0.25">
      <c r="A11" s="2" t="s">
        <v>2312</v>
      </c>
      <c r="B11" s="47">
        <f>SUMIFS('Road Evaluations'!$AD$3:$AD$1179,'Road Evaluations'!$AG$3:$AG$1179,$B$3,'Road Evaluations'!$AC$3:$AC$1179,$A11)</f>
        <v>47244.318181818184</v>
      </c>
      <c r="C11" s="47">
        <f>SUMIFS('Road Evaluations'!$AF$1:$AF$1179,'Road Evaluations'!$AG$1:$AG$1179,$B$3,'Road Evaluations'!$AC$1:$AC$1179,$A11,'Road Evaluations'!$AE$1:$AE$1179,"&gt;0")</f>
        <v>0</v>
      </c>
      <c r="D11" s="105">
        <f t="shared" si="0"/>
        <v>47244.318181818184</v>
      </c>
      <c r="E11" s="117">
        <f t="shared" si="1"/>
        <v>1</v>
      </c>
      <c r="F11" s="90"/>
      <c r="G11" s="90"/>
      <c r="H11" s="90"/>
      <c r="I11" s="90"/>
      <c r="J11" s="98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x14ac:dyDescent="0.25">
      <c r="A12" s="2" t="s">
        <v>2425</v>
      </c>
      <c r="B12" s="47">
        <f>SUMIFS('Road Evaluations'!$AD$3:$AD$1179,'Road Evaluations'!$AG$3:$AG$1179,$B$3,'Road Evaluations'!$AC$3:$AC$1179,$A12)</f>
        <v>0</v>
      </c>
      <c r="C12" s="47">
        <f>SUMIFS('Road Evaluations'!$AF$1:$AF$1179,'Road Evaluations'!$AG$1:$AG$1179,$B$3,'Road Evaluations'!$AC$1:$AC$1179,$A12,'Road Evaluations'!$AE$1:$AE$1179,"&gt;0")</f>
        <v>0</v>
      </c>
      <c r="D12" s="105">
        <f t="shared" si="0"/>
        <v>0</v>
      </c>
      <c r="E12" s="117"/>
      <c r="F12" s="90"/>
      <c r="G12" s="90"/>
      <c r="H12" s="90"/>
      <c r="I12" s="98"/>
      <c r="J12" s="98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1:22" x14ac:dyDescent="0.25">
      <c r="A13" s="2" t="s">
        <v>2078</v>
      </c>
      <c r="B13" s="47">
        <f>SUMIFS('Road Evaluations'!$AD$3:$AD$1179,'Road Evaluations'!$AG$3:$AG$1179,$B$3,'Road Evaluations'!$AC$3:$AC$1179,$A13)</f>
        <v>0</v>
      </c>
      <c r="C13" s="47">
        <f>SUMIFS('Road Evaluations'!$AF$1:$AF$1179,'Road Evaluations'!$AG$1:$AG$1179,$B$3,'Road Evaluations'!$AC$1:$AC$1179,$A13,'Road Evaluations'!$AE$1:$AE$1179,"&gt;0")</f>
        <v>0</v>
      </c>
      <c r="D13" s="105">
        <f t="shared" si="0"/>
        <v>0</v>
      </c>
      <c r="E13" s="117">
        <v>0</v>
      </c>
      <c r="F13" s="90"/>
      <c r="G13" s="90"/>
      <c r="H13" s="90"/>
      <c r="I13" s="98"/>
      <c r="J13" s="98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x14ac:dyDescent="0.25">
      <c r="A14" s="2" t="s">
        <v>2072</v>
      </c>
      <c r="B14" s="47">
        <f>SUMIFS('Road Evaluations'!$AD$3:$AD$1179,'Road Evaluations'!$AG$3:$AG$1179,$B$3,'Road Evaluations'!$AC$3:$AC$1179,$A14)</f>
        <v>46609.848484848488</v>
      </c>
      <c r="C14" s="47">
        <f>SUMIFS('Road Evaluations'!$AF$1:$AF$1179,'Road Evaluations'!$AG$1:$AG$1179,$B$3,'Road Evaluations'!$AC$1:$AC$1179,$A14,'Road Evaluations'!$AE$1:$AE$1179,"&gt;0")</f>
        <v>0</v>
      </c>
      <c r="D14" s="105">
        <f t="shared" si="0"/>
        <v>46609.848484848488</v>
      </c>
      <c r="E14" s="117">
        <f t="shared" si="1"/>
        <v>1</v>
      </c>
      <c r="F14" s="90"/>
      <c r="G14" s="90"/>
      <c r="H14" s="90"/>
      <c r="I14" s="98"/>
      <c r="J14" s="98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1:22" x14ac:dyDescent="0.25">
      <c r="A15" s="2" t="s">
        <v>2077</v>
      </c>
      <c r="B15" s="47">
        <f>SUMIFS('Road Evaluations'!$AD$3:$AD$1179,'Road Evaluations'!$AG$3:$AG$1179,$B$3,'Road Evaluations'!$AC$3:$AC$1179,$A15)</f>
        <v>0</v>
      </c>
      <c r="C15" s="47">
        <f>SUMIFS('Road Evaluations'!$AF$1:$AF$1179,'Road Evaluations'!$AG$1:$AG$1179,$B$3,'Road Evaluations'!$AC$1:$AC$1179,$A15,'Road Evaluations'!$AE$1:$AE$1179,"&gt;0")</f>
        <v>0</v>
      </c>
      <c r="D15" s="105">
        <f t="shared" si="0"/>
        <v>0</v>
      </c>
      <c r="E15" s="117"/>
      <c r="F15" s="90"/>
      <c r="G15" s="90"/>
      <c r="H15" s="90"/>
      <c r="I15" s="98"/>
      <c r="J15" s="98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1:22" x14ac:dyDescent="0.25">
      <c r="A16" s="71"/>
      <c r="B16" s="103">
        <f>SUM(B4:B15)</f>
        <v>5835530.2178787878</v>
      </c>
      <c r="C16" s="103">
        <f>SUM(C4:C15)</f>
        <v>4067405.1136363638</v>
      </c>
      <c r="D16" s="105">
        <f t="shared" ref="D16" si="2">B16-C16</f>
        <v>1768125.104242424</v>
      </c>
      <c r="E16" s="141">
        <f t="shared" ref="E16" si="3">D16/B16</f>
        <v>0.30299305088426681</v>
      </c>
      <c r="F16" s="144" t="s">
        <v>2490</v>
      </c>
      <c r="G16" s="90"/>
      <c r="H16" s="90"/>
      <c r="I16" s="143">
        <f ca="1">TODAY()</f>
        <v>45544</v>
      </c>
      <c r="J16" s="104"/>
      <c r="K16" s="90"/>
      <c r="L16" s="90"/>
      <c r="M16" s="201"/>
      <c r="N16" s="90"/>
      <c r="O16" s="90"/>
      <c r="P16" s="90"/>
      <c r="Q16" s="90"/>
      <c r="R16" s="90"/>
      <c r="S16" s="90"/>
      <c r="T16" s="90"/>
      <c r="U16" s="90"/>
      <c r="V16" s="90"/>
    </row>
    <row r="17" spans="1:22" x14ac:dyDescent="0.25">
      <c r="A17" s="71"/>
      <c r="B17" s="90" t="s">
        <v>2630</v>
      </c>
      <c r="C17" s="98">
        <v>1250000</v>
      </c>
      <c r="D17" s="103">
        <f>B16-C17</f>
        <v>4585530.2178787878</v>
      </c>
      <c r="E17" s="141">
        <f ca="1">I20/I19</f>
        <v>0.32124352331606215</v>
      </c>
      <c r="F17" s="144" t="s">
        <v>2491</v>
      </c>
      <c r="G17" s="90"/>
      <c r="H17" s="90"/>
      <c r="I17" s="142">
        <v>45413</v>
      </c>
      <c r="J17" s="104"/>
      <c r="K17" s="90"/>
      <c r="L17" s="90"/>
      <c r="M17" s="201"/>
      <c r="N17" s="90"/>
      <c r="O17" s="90"/>
      <c r="P17" s="90"/>
      <c r="Q17" s="90"/>
      <c r="R17" s="90"/>
      <c r="S17" s="90"/>
      <c r="T17" s="90"/>
      <c r="U17" s="90"/>
      <c r="V17" s="90"/>
    </row>
    <row r="18" spans="1:22" x14ac:dyDescent="0.25">
      <c r="A18" s="71"/>
      <c r="B18" s="90"/>
      <c r="C18" s="90"/>
      <c r="D18" s="91"/>
      <c r="E18" s="102">
        <f ca="1">(E17-E16)*I19</f>
        <v>3.5223411793365003</v>
      </c>
      <c r="F18" s="90" t="s">
        <v>2534</v>
      </c>
      <c r="G18" s="90"/>
      <c r="H18" s="90"/>
      <c r="I18" s="142">
        <v>45606</v>
      </c>
      <c r="J18" s="98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1:22" x14ac:dyDescent="0.25">
      <c r="A19" s="71"/>
      <c r="B19" s="90"/>
      <c r="C19" s="90">
        <v>2250000</v>
      </c>
      <c r="D19" s="91" t="s">
        <v>2533</v>
      </c>
      <c r="E19" s="90"/>
      <c r="F19" s="90"/>
      <c r="G19" s="90"/>
      <c r="H19" s="90"/>
      <c r="I19" s="104">
        <f>I18-I17</f>
        <v>193</v>
      </c>
      <c r="J19" s="98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1:22" x14ac:dyDescent="0.25">
      <c r="A20" s="71"/>
      <c r="D20" s="200">
        <f>C19-D16</f>
        <v>481874.89575757599</v>
      </c>
      <c r="I20" s="145">
        <f ca="1">I18-I16</f>
        <v>62</v>
      </c>
      <c r="J20" s="1"/>
    </row>
    <row r="21" spans="1:22" x14ac:dyDescent="0.25">
      <c r="A21" s="71"/>
      <c r="H21" s="199">
        <v>43705</v>
      </c>
      <c r="I21" s="1" t="s">
        <v>2532</v>
      </c>
      <c r="J21" s="1"/>
      <c r="K21">
        <f ca="1">I16-H21</f>
        <v>1839</v>
      </c>
    </row>
    <row r="22" spans="1:22" x14ac:dyDescent="0.25">
      <c r="A22" s="71"/>
      <c r="I22" s="1"/>
      <c r="J22" s="1"/>
    </row>
    <row r="23" spans="1:22" x14ac:dyDescent="0.25">
      <c r="A23" s="71"/>
      <c r="I23" s="1"/>
      <c r="J23" s="1"/>
    </row>
    <row r="24" spans="1:22" x14ac:dyDescent="0.25">
      <c r="A24" s="71"/>
      <c r="I24" s="1"/>
      <c r="J24" s="1"/>
    </row>
    <row r="25" spans="1:22" x14ac:dyDescent="0.25">
      <c r="A25" s="71"/>
      <c r="I25" s="1"/>
      <c r="J25" s="1"/>
    </row>
    <row r="26" spans="1:22" x14ac:dyDescent="0.25">
      <c r="A26" s="71"/>
      <c r="I26" s="1"/>
      <c r="J26" s="1"/>
    </row>
    <row r="27" spans="1:22" x14ac:dyDescent="0.25">
      <c r="A27" s="71"/>
      <c r="I27" s="1"/>
      <c r="J27" s="1"/>
    </row>
    <row r="28" spans="1:22" x14ac:dyDescent="0.25">
      <c r="A28" s="71"/>
      <c r="I28" s="1"/>
      <c r="J28" s="1"/>
    </row>
    <row r="29" spans="1:22" x14ac:dyDescent="0.25">
      <c r="A29" s="71"/>
      <c r="I29" s="1"/>
      <c r="J29" s="1"/>
    </row>
    <row r="30" spans="1:22" x14ac:dyDescent="0.25">
      <c r="A30" s="71"/>
      <c r="I30" s="1"/>
      <c r="J30" s="1"/>
    </row>
    <row r="31" spans="1:22" x14ac:dyDescent="0.25">
      <c r="A31" s="71"/>
    </row>
    <row r="32" spans="1:22" x14ac:dyDescent="0.25">
      <c r="A32" s="71"/>
      <c r="H32" s="70"/>
      <c r="I32" s="23"/>
    </row>
    <row r="33" spans="1:1" x14ac:dyDescent="0.25">
      <c r="A33" s="71"/>
    </row>
    <row r="34" spans="1:1" x14ac:dyDescent="0.25">
      <c r="A34" s="71"/>
    </row>
    <row r="35" spans="1:1" x14ac:dyDescent="0.25">
      <c r="A35" s="71"/>
    </row>
    <row r="36" spans="1:1" x14ac:dyDescent="0.25">
      <c r="A36" s="71"/>
    </row>
    <row r="37" spans="1:1" x14ac:dyDescent="0.25">
      <c r="A37" s="71"/>
    </row>
    <row r="38" spans="1:1" x14ac:dyDescent="0.25">
      <c r="A38" s="71"/>
    </row>
    <row r="39" spans="1:1" x14ac:dyDescent="0.25">
      <c r="A39" s="71"/>
    </row>
    <row r="40" spans="1:1" x14ac:dyDescent="0.25">
      <c r="A40" s="71"/>
    </row>
    <row r="41" spans="1:1" x14ac:dyDescent="0.25">
      <c r="A41" s="71"/>
    </row>
    <row r="42" spans="1:1" x14ac:dyDescent="0.25">
      <c r="A42" s="71"/>
    </row>
    <row r="43" spans="1:1" x14ac:dyDescent="0.25">
      <c r="A43" s="71"/>
    </row>
    <row r="44" spans="1:1" x14ac:dyDescent="0.25">
      <c r="A44" s="71"/>
    </row>
    <row r="45" spans="1:1" x14ac:dyDescent="0.25">
      <c r="A45" s="71"/>
    </row>
    <row r="46" spans="1:1" x14ac:dyDescent="0.25">
      <c r="A46" s="71"/>
    </row>
    <row r="47" spans="1:1" x14ac:dyDescent="0.25">
      <c r="A47" s="71"/>
    </row>
    <row r="48" spans="1:1" x14ac:dyDescent="0.25">
      <c r="A48" s="71"/>
    </row>
    <row r="49" spans="1:1" x14ac:dyDescent="0.25">
      <c r="A49" s="71"/>
    </row>
    <row r="50" spans="1:1" x14ac:dyDescent="0.25">
      <c r="A50" s="71"/>
    </row>
    <row r="51" spans="1:1" x14ac:dyDescent="0.25">
      <c r="A51" s="71"/>
    </row>
    <row r="52" spans="1:1" x14ac:dyDescent="0.25">
      <c r="A52" s="71"/>
    </row>
    <row r="53" spans="1:1" x14ac:dyDescent="0.25">
      <c r="A53" s="71"/>
    </row>
    <row r="54" spans="1:1" x14ac:dyDescent="0.25">
      <c r="A54" s="71"/>
    </row>
    <row r="55" spans="1:1" x14ac:dyDescent="0.25">
      <c r="A55" s="71"/>
    </row>
    <row r="56" spans="1:1" x14ac:dyDescent="0.25">
      <c r="A56" s="71"/>
    </row>
    <row r="57" spans="1:1" x14ac:dyDescent="0.25">
      <c r="A57" s="71"/>
    </row>
    <row r="58" spans="1:1" x14ac:dyDescent="0.25">
      <c r="A58" s="71"/>
    </row>
    <row r="59" spans="1:1" x14ac:dyDescent="0.25">
      <c r="A59" s="71"/>
    </row>
    <row r="60" spans="1:1" x14ac:dyDescent="0.25">
      <c r="A60" s="71"/>
    </row>
    <row r="61" spans="1:1" x14ac:dyDescent="0.25">
      <c r="A61" s="71"/>
    </row>
    <row r="62" spans="1:1" x14ac:dyDescent="0.25">
      <c r="A62" s="71"/>
    </row>
    <row r="63" spans="1:1" x14ac:dyDescent="0.25">
      <c r="A63" s="71"/>
    </row>
    <row r="64" spans="1:1" x14ac:dyDescent="0.25">
      <c r="A64" s="71"/>
    </row>
    <row r="65" spans="1:1" x14ac:dyDescent="0.25">
      <c r="A65" s="71"/>
    </row>
    <row r="66" spans="1:1" x14ac:dyDescent="0.25">
      <c r="A66" s="71"/>
    </row>
    <row r="67" spans="1:1" x14ac:dyDescent="0.25">
      <c r="A67" s="71"/>
    </row>
    <row r="68" spans="1:1" x14ac:dyDescent="0.25">
      <c r="A68" s="71"/>
    </row>
    <row r="69" spans="1:1" x14ac:dyDescent="0.25">
      <c r="A69" s="71"/>
    </row>
    <row r="70" spans="1:1" x14ac:dyDescent="0.25">
      <c r="A70" s="71"/>
    </row>
    <row r="71" spans="1:1" x14ac:dyDescent="0.25">
      <c r="A71" s="71"/>
    </row>
    <row r="72" spans="1:1" x14ac:dyDescent="0.25">
      <c r="A72" s="71"/>
    </row>
    <row r="73" spans="1:1" x14ac:dyDescent="0.25">
      <c r="A73" s="71"/>
    </row>
    <row r="74" spans="1:1" x14ac:dyDescent="0.25">
      <c r="A74" s="71"/>
    </row>
    <row r="75" spans="1:1" x14ac:dyDescent="0.25">
      <c r="A75" s="71"/>
    </row>
    <row r="76" spans="1:1" x14ac:dyDescent="0.25">
      <c r="A76" s="71"/>
    </row>
    <row r="77" spans="1:1" x14ac:dyDescent="0.25">
      <c r="A77" s="71"/>
    </row>
    <row r="78" spans="1:1" x14ac:dyDescent="0.25">
      <c r="A78" s="71"/>
    </row>
    <row r="79" spans="1:1" x14ac:dyDescent="0.25">
      <c r="A79" s="71"/>
    </row>
    <row r="80" spans="1:1" x14ac:dyDescent="0.25">
      <c r="A80" s="71"/>
    </row>
    <row r="81" spans="1:1" x14ac:dyDescent="0.25">
      <c r="A81" s="71"/>
    </row>
    <row r="82" spans="1:1" x14ac:dyDescent="0.25">
      <c r="A82" s="71"/>
    </row>
    <row r="83" spans="1:1" x14ac:dyDescent="0.25">
      <c r="A83" s="71"/>
    </row>
    <row r="84" spans="1:1" x14ac:dyDescent="0.25">
      <c r="A84" s="71"/>
    </row>
    <row r="85" spans="1:1" x14ac:dyDescent="0.25">
      <c r="A85" s="71"/>
    </row>
    <row r="86" spans="1:1" x14ac:dyDescent="0.25">
      <c r="A86" s="71"/>
    </row>
    <row r="87" spans="1:1" x14ac:dyDescent="0.25">
      <c r="A87" s="71"/>
    </row>
    <row r="88" spans="1:1" x14ac:dyDescent="0.25">
      <c r="A88" s="71"/>
    </row>
    <row r="89" spans="1:1" x14ac:dyDescent="0.25">
      <c r="A89" s="71"/>
    </row>
    <row r="90" spans="1:1" x14ac:dyDescent="0.25">
      <c r="A90" s="71"/>
    </row>
    <row r="91" spans="1:1" x14ac:dyDescent="0.25">
      <c r="A91" s="71"/>
    </row>
    <row r="92" spans="1:1" x14ac:dyDescent="0.25">
      <c r="A92" s="71"/>
    </row>
    <row r="93" spans="1:1" x14ac:dyDescent="0.25">
      <c r="A93" s="71"/>
    </row>
    <row r="94" spans="1:1" x14ac:dyDescent="0.25">
      <c r="A94" s="71"/>
    </row>
    <row r="95" spans="1:1" x14ac:dyDescent="0.25">
      <c r="A95" s="71"/>
    </row>
    <row r="96" spans="1:1" x14ac:dyDescent="0.25">
      <c r="A96" s="71"/>
    </row>
    <row r="97" spans="1:1" x14ac:dyDescent="0.25">
      <c r="A97" s="71"/>
    </row>
    <row r="98" spans="1:1" x14ac:dyDescent="0.25">
      <c r="A98" s="71"/>
    </row>
    <row r="99" spans="1:1" x14ac:dyDescent="0.25">
      <c r="A99" s="71"/>
    </row>
    <row r="100" spans="1:1" x14ac:dyDescent="0.25">
      <c r="A100" s="71"/>
    </row>
    <row r="101" spans="1:1" x14ac:dyDescent="0.25">
      <c r="A101" s="71"/>
    </row>
    <row r="102" spans="1:1" x14ac:dyDescent="0.25">
      <c r="A102" s="71"/>
    </row>
    <row r="103" spans="1:1" x14ac:dyDescent="0.25">
      <c r="A103" s="71"/>
    </row>
    <row r="104" spans="1:1" x14ac:dyDescent="0.25">
      <c r="A104" s="71"/>
    </row>
    <row r="105" spans="1:1" x14ac:dyDescent="0.25">
      <c r="A105" s="71"/>
    </row>
    <row r="106" spans="1:1" x14ac:dyDescent="0.25">
      <c r="A106" s="71"/>
    </row>
    <row r="107" spans="1:1" x14ac:dyDescent="0.25">
      <c r="A107" s="71"/>
    </row>
    <row r="108" spans="1:1" x14ac:dyDescent="0.25">
      <c r="A108" s="71"/>
    </row>
    <row r="109" spans="1:1" x14ac:dyDescent="0.25">
      <c r="A109" s="71"/>
    </row>
    <row r="110" spans="1:1" x14ac:dyDescent="0.25">
      <c r="A110" s="71"/>
    </row>
    <row r="111" spans="1:1" x14ac:dyDescent="0.25">
      <c r="A111" s="71"/>
    </row>
    <row r="112" spans="1:1" x14ac:dyDescent="0.25">
      <c r="A112" s="71"/>
    </row>
    <row r="113" spans="1:1" x14ac:dyDescent="0.25">
      <c r="A113" s="71"/>
    </row>
    <row r="114" spans="1:1" x14ac:dyDescent="0.25">
      <c r="A114" s="71"/>
    </row>
    <row r="115" spans="1:1" x14ac:dyDescent="0.25">
      <c r="A115" s="71"/>
    </row>
    <row r="116" spans="1:1" x14ac:dyDescent="0.25">
      <c r="A116" s="71"/>
    </row>
    <row r="117" spans="1:1" x14ac:dyDescent="0.25">
      <c r="A117" s="71"/>
    </row>
    <row r="118" spans="1:1" x14ac:dyDescent="0.25">
      <c r="A118" s="71"/>
    </row>
    <row r="119" spans="1:1" x14ac:dyDescent="0.25">
      <c r="A119" s="71"/>
    </row>
    <row r="120" spans="1:1" x14ac:dyDescent="0.25">
      <c r="A120" s="71"/>
    </row>
    <row r="121" spans="1:1" x14ac:dyDescent="0.25">
      <c r="A121" s="71"/>
    </row>
    <row r="122" spans="1:1" x14ac:dyDescent="0.25">
      <c r="A122" s="71"/>
    </row>
    <row r="123" spans="1:1" x14ac:dyDescent="0.25">
      <c r="A123" s="71"/>
    </row>
    <row r="124" spans="1:1" x14ac:dyDescent="0.25">
      <c r="A124" s="71"/>
    </row>
    <row r="125" spans="1:1" x14ac:dyDescent="0.25">
      <c r="A125" s="71"/>
    </row>
    <row r="126" spans="1:1" x14ac:dyDescent="0.25">
      <c r="A126" s="71"/>
    </row>
    <row r="127" spans="1:1" x14ac:dyDescent="0.25">
      <c r="A127" s="71"/>
    </row>
    <row r="128" spans="1:1" x14ac:dyDescent="0.25">
      <c r="A128" s="71"/>
    </row>
    <row r="129" spans="1:1" x14ac:dyDescent="0.25">
      <c r="A129" s="71"/>
    </row>
    <row r="130" spans="1:1" x14ac:dyDescent="0.25">
      <c r="A130" s="71"/>
    </row>
    <row r="131" spans="1:1" x14ac:dyDescent="0.25">
      <c r="A131" s="71"/>
    </row>
    <row r="132" spans="1:1" x14ac:dyDescent="0.25">
      <c r="A132" s="71"/>
    </row>
    <row r="133" spans="1:1" x14ac:dyDescent="0.25">
      <c r="A133" s="71"/>
    </row>
    <row r="134" spans="1:1" x14ac:dyDescent="0.25">
      <c r="A134" s="71"/>
    </row>
    <row r="135" spans="1:1" x14ac:dyDescent="0.25">
      <c r="A135" s="71"/>
    </row>
    <row r="136" spans="1:1" x14ac:dyDescent="0.25">
      <c r="A136" s="71"/>
    </row>
    <row r="137" spans="1:1" x14ac:dyDescent="0.25">
      <c r="A137" s="71"/>
    </row>
    <row r="138" spans="1:1" x14ac:dyDescent="0.25">
      <c r="A138" s="71"/>
    </row>
    <row r="139" spans="1:1" x14ac:dyDescent="0.25">
      <c r="A139" s="71"/>
    </row>
    <row r="140" spans="1:1" x14ac:dyDescent="0.25">
      <c r="A140" s="71"/>
    </row>
    <row r="141" spans="1:1" x14ac:dyDescent="0.25">
      <c r="A141" s="71"/>
    </row>
    <row r="142" spans="1:1" x14ac:dyDescent="0.25">
      <c r="A142" s="71"/>
    </row>
    <row r="143" spans="1:1" x14ac:dyDescent="0.25">
      <c r="A143" s="71"/>
    </row>
    <row r="144" spans="1:1" x14ac:dyDescent="0.25">
      <c r="A144" s="71"/>
    </row>
    <row r="145" spans="1:1" x14ac:dyDescent="0.25">
      <c r="A145" s="71"/>
    </row>
    <row r="146" spans="1:1" x14ac:dyDescent="0.25">
      <c r="A146" s="71"/>
    </row>
    <row r="147" spans="1:1" x14ac:dyDescent="0.25">
      <c r="A147" s="71"/>
    </row>
    <row r="148" spans="1:1" x14ac:dyDescent="0.25">
      <c r="A148" s="71"/>
    </row>
    <row r="149" spans="1:1" x14ac:dyDescent="0.25">
      <c r="A149" s="71"/>
    </row>
    <row r="150" spans="1:1" x14ac:dyDescent="0.25">
      <c r="A150" s="71"/>
    </row>
    <row r="151" spans="1:1" x14ac:dyDescent="0.25">
      <c r="A151" s="71"/>
    </row>
    <row r="152" spans="1:1" x14ac:dyDescent="0.25">
      <c r="A152" s="71"/>
    </row>
    <row r="153" spans="1:1" x14ac:dyDescent="0.25">
      <c r="A153" s="71"/>
    </row>
    <row r="154" spans="1:1" x14ac:dyDescent="0.25">
      <c r="A154" s="71"/>
    </row>
    <row r="155" spans="1:1" x14ac:dyDescent="0.25">
      <c r="A155" s="71"/>
    </row>
    <row r="156" spans="1:1" x14ac:dyDescent="0.25">
      <c r="A156" s="71"/>
    </row>
    <row r="157" spans="1:1" x14ac:dyDescent="0.25">
      <c r="A157" s="71"/>
    </row>
    <row r="158" spans="1:1" x14ac:dyDescent="0.25">
      <c r="A158" s="71"/>
    </row>
    <row r="159" spans="1:1" x14ac:dyDescent="0.25">
      <c r="A159" s="71"/>
    </row>
    <row r="160" spans="1:1" x14ac:dyDescent="0.25">
      <c r="A160" s="71"/>
    </row>
    <row r="161" spans="1:1" x14ac:dyDescent="0.25">
      <c r="A161" s="71"/>
    </row>
    <row r="162" spans="1:1" x14ac:dyDescent="0.25">
      <c r="A162" s="71"/>
    </row>
    <row r="163" spans="1:1" x14ac:dyDescent="0.25">
      <c r="A163" s="71"/>
    </row>
    <row r="164" spans="1:1" x14ac:dyDescent="0.25">
      <c r="A164" s="71"/>
    </row>
    <row r="165" spans="1:1" x14ac:dyDescent="0.25">
      <c r="A165" s="71"/>
    </row>
    <row r="166" spans="1:1" x14ac:dyDescent="0.25">
      <c r="A166" s="71"/>
    </row>
    <row r="167" spans="1:1" x14ac:dyDescent="0.25">
      <c r="A167" s="71"/>
    </row>
    <row r="168" spans="1:1" x14ac:dyDescent="0.25">
      <c r="A168" s="71"/>
    </row>
    <row r="169" spans="1:1" x14ac:dyDescent="0.25">
      <c r="A169" s="71"/>
    </row>
    <row r="170" spans="1:1" x14ac:dyDescent="0.25">
      <c r="A170" s="71"/>
    </row>
    <row r="171" spans="1:1" x14ac:dyDescent="0.25">
      <c r="A171" s="71"/>
    </row>
    <row r="172" spans="1:1" x14ac:dyDescent="0.25">
      <c r="A172" s="71"/>
    </row>
    <row r="173" spans="1:1" x14ac:dyDescent="0.25">
      <c r="A173" s="71"/>
    </row>
    <row r="174" spans="1:1" x14ac:dyDescent="0.25">
      <c r="A174" s="71"/>
    </row>
    <row r="175" spans="1:1" x14ac:dyDescent="0.25">
      <c r="A175" s="71"/>
    </row>
    <row r="176" spans="1:1" x14ac:dyDescent="0.25">
      <c r="A176" s="71"/>
    </row>
    <row r="177" spans="1:1" x14ac:dyDescent="0.25">
      <c r="A177" s="71"/>
    </row>
    <row r="178" spans="1:1" x14ac:dyDescent="0.25">
      <c r="A178" s="71"/>
    </row>
    <row r="179" spans="1:1" x14ac:dyDescent="0.25">
      <c r="A179" s="71"/>
    </row>
    <row r="180" spans="1:1" x14ac:dyDescent="0.25">
      <c r="A180" s="71"/>
    </row>
    <row r="181" spans="1:1" x14ac:dyDescent="0.25">
      <c r="A181" s="71"/>
    </row>
  </sheetData>
  <conditionalFormatting sqref="H8">
    <cfRule type="cellIs" dxfId="16" priority="8" operator="lessThan">
      <formula>$B$8</formula>
    </cfRule>
  </conditionalFormatting>
  <conditionalFormatting sqref="H9">
    <cfRule type="cellIs" dxfId="15" priority="3" operator="lessThan">
      <formula>$B$8</formula>
    </cfRule>
  </conditionalFormatting>
  <conditionalFormatting sqref="D20">
    <cfRule type="cellIs" dxfId="14" priority="2" operator="lessThan">
      <formula>0</formula>
    </cfRule>
  </conditionalFormatting>
  <conditionalFormatting sqref="E18">
    <cfRule type="cellIs" dxfId="13" priority="1" operator="lessThan">
      <formula>0</formula>
    </cfRule>
  </conditionalFormatting>
  <pageMargins left="0.7" right="0.7" top="0.75" bottom="0.75" header="0.3" footer="0.3"/>
  <pageSetup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D134"/>
  <sheetViews>
    <sheetView topLeftCell="A73" workbookViewId="0">
      <selection activeCell="J90" sqref="J90"/>
    </sheetView>
  </sheetViews>
  <sheetFormatPr defaultRowHeight="15" x14ac:dyDescent="0.25"/>
  <cols>
    <col min="1" max="1" width="24.140625" bestFit="1" customWidth="1"/>
    <col min="2" max="2" width="18.7109375" bestFit="1" customWidth="1"/>
    <col min="3" max="3" width="16.42578125" bestFit="1" customWidth="1"/>
    <col min="4" max="4" width="13.7109375" bestFit="1" customWidth="1"/>
    <col min="5" max="5" width="13.28515625" bestFit="1" customWidth="1"/>
    <col min="6" max="6" width="5" customWidth="1"/>
    <col min="7" max="7" width="6.85546875" bestFit="1" customWidth="1"/>
    <col min="8" max="8" width="11" bestFit="1" customWidth="1"/>
    <col min="9" max="9" width="6" customWidth="1"/>
    <col min="10" max="10" width="6.140625" customWidth="1"/>
    <col min="11" max="11" width="10.7109375" bestFit="1" customWidth="1"/>
    <col min="12" max="12" width="11" bestFit="1" customWidth="1"/>
  </cols>
  <sheetData>
    <row r="1" spans="1:4" x14ac:dyDescent="0.25">
      <c r="A1" s="24" t="s">
        <v>2067</v>
      </c>
      <c r="B1" s="7">
        <v>2022</v>
      </c>
    </row>
    <row r="2" spans="1:4" x14ac:dyDescent="0.25">
      <c r="A2" s="24" t="s">
        <v>2066</v>
      </c>
      <c r="B2" t="s">
        <v>2476</v>
      </c>
    </row>
    <row r="4" spans="1:4" x14ac:dyDescent="0.25">
      <c r="A4" s="24" t="s">
        <v>2402</v>
      </c>
      <c r="B4" s="24" t="s">
        <v>2094</v>
      </c>
      <c r="C4" s="24" t="s">
        <v>2095</v>
      </c>
      <c r="D4" t="s">
        <v>2428</v>
      </c>
    </row>
    <row r="5" spans="1:4" x14ac:dyDescent="0.25">
      <c r="A5" t="s">
        <v>23</v>
      </c>
      <c r="B5" t="s">
        <v>24</v>
      </c>
      <c r="C5" t="s">
        <v>25</v>
      </c>
      <c r="D5" s="76">
        <v>2647</v>
      </c>
    </row>
    <row r="6" spans="1:4" x14ac:dyDescent="0.25">
      <c r="A6" t="s">
        <v>33</v>
      </c>
      <c r="B6" t="s">
        <v>34</v>
      </c>
      <c r="C6" t="s">
        <v>35</v>
      </c>
      <c r="D6" s="76">
        <v>2910</v>
      </c>
    </row>
    <row r="7" spans="1:4" x14ac:dyDescent="0.25">
      <c r="A7" t="s">
        <v>96</v>
      </c>
      <c r="B7" t="s">
        <v>86</v>
      </c>
      <c r="C7" t="s">
        <v>82</v>
      </c>
      <c r="D7" s="76">
        <v>3062</v>
      </c>
    </row>
    <row r="8" spans="1:4" x14ac:dyDescent="0.25">
      <c r="A8" t="s">
        <v>132</v>
      </c>
      <c r="B8" t="s">
        <v>59</v>
      </c>
      <c r="C8" t="s">
        <v>64</v>
      </c>
      <c r="D8" s="76">
        <v>5438</v>
      </c>
    </row>
    <row r="9" spans="1:4" x14ac:dyDescent="0.25">
      <c r="A9" t="s">
        <v>137</v>
      </c>
      <c r="B9" t="s">
        <v>138</v>
      </c>
      <c r="C9" t="s">
        <v>135</v>
      </c>
      <c r="D9" s="76">
        <v>5350</v>
      </c>
    </row>
    <row r="10" spans="1:4" x14ac:dyDescent="0.25">
      <c r="A10" t="s">
        <v>175</v>
      </c>
      <c r="B10" t="s">
        <v>135</v>
      </c>
      <c r="C10" t="s">
        <v>138</v>
      </c>
      <c r="D10" s="76">
        <v>5330</v>
      </c>
    </row>
    <row r="11" spans="1:4" x14ac:dyDescent="0.25">
      <c r="A11" t="s">
        <v>2440</v>
      </c>
      <c r="B11" t="s">
        <v>179</v>
      </c>
      <c r="C11" t="s">
        <v>79</v>
      </c>
      <c r="D11" s="76">
        <v>4070</v>
      </c>
    </row>
    <row r="12" spans="1:4" x14ac:dyDescent="0.25">
      <c r="A12" t="s">
        <v>181</v>
      </c>
      <c r="B12" t="s">
        <v>94</v>
      </c>
      <c r="C12" t="s">
        <v>179</v>
      </c>
      <c r="D12" s="76">
        <v>2240</v>
      </c>
    </row>
    <row r="13" spans="1:4" x14ac:dyDescent="0.25">
      <c r="A13" t="s">
        <v>183</v>
      </c>
      <c r="B13" t="s">
        <v>149</v>
      </c>
      <c r="C13" t="s">
        <v>94</v>
      </c>
      <c r="D13" s="76">
        <v>3255</v>
      </c>
    </row>
    <row r="14" spans="1:4" x14ac:dyDescent="0.25">
      <c r="A14" t="s">
        <v>190</v>
      </c>
      <c r="B14" t="s">
        <v>55</v>
      </c>
      <c r="C14" t="s">
        <v>107</v>
      </c>
      <c r="D14" s="76">
        <v>2225</v>
      </c>
    </row>
    <row r="15" spans="1:4" x14ac:dyDescent="0.25">
      <c r="A15" t="s">
        <v>202</v>
      </c>
      <c r="B15" t="s">
        <v>110</v>
      </c>
      <c r="C15" t="s">
        <v>203</v>
      </c>
      <c r="D15" s="76">
        <v>3365</v>
      </c>
    </row>
    <row r="16" spans="1:4" x14ac:dyDescent="0.25">
      <c r="A16" t="s">
        <v>244</v>
      </c>
      <c r="B16" t="s">
        <v>67</v>
      </c>
      <c r="C16" t="s">
        <v>56</v>
      </c>
      <c r="D16" s="76">
        <v>3976</v>
      </c>
    </row>
    <row r="17" spans="1:4" x14ac:dyDescent="0.25">
      <c r="A17" t="s">
        <v>254</v>
      </c>
      <c r="B17" t="s">
        <v>255</v>
      </c>
      <c r="C17" t="s">
        <v>35</v>
      </c>
      <c r="D17" s="76">
        <v>3080</v>
      </c>
    </row>
    <row r="18" spans="1:4" x14ac:dyDescent="0.25">
      <c r="A18" t="s">
        <v>264</v>
      </c>
      <c r="B18" t="s">
        <v>265</v>
      </c>
      <c r="C18" t="s">
        <v>10</v>
      </c>
      <c r="D18" s="76">
        <v>1389</v>
      </c>
    </row>
    <row r="19" spans="1:4" x14ac:dyDescent="0.25">
      <c r="A19" t="s">
        <v>280</v>
      </c>
      <c r="B19" t="s">
        <v>281</v>
      </c>
      <c r="C19" t="s">
        <v>20</v>
      </c>
      <c r="D19" s="76">
        <v>2650</v>
      </c>
    </row>
    <row r="20" spans="1:4" x14ac:dyDescent="0.25">
      <c r="A20" t="s">
        <v>287</v>
      </c>
      <c r="B20" t="s">
        <v>288</v>
      </c>
      <c r="C20" t="s">
        <v>153</v>
      </c>
      <c r="D20" s="76">
        <v>5350</v>
      </c>
    </row>
    <row r="21" spans="1:4" x14ac:dyDescent="0.25">
      <c r="A21" t="s">
        <v>293</v>
      </c>
      <c r="B21" t="s">
        <v>147</v>
      </c>
      <c r="C21" t="s">
        <v>140</v>
      </c>
      <c r="D21" s="76">
        <v>5380</v>
      </c>
    </row>
    <row r="22" spans="1:4" x14ac:dyDescent="0.25">
      <c r="A22" t="s">
        <v>296</v>
      </c>
      <c r="B22" t="s">
        <v>297</v>
      </c>
      <c r="C22" t="s">
        <v>149</v>
      </c>
      <c r="D22" s="76">
        <v>2715</v>
      </c>
    </row>
    <row r="23" spans="1:4" x14ac:dyDescent="0.25">
      <c r="A23" t="s">
        <v>300</v>
      </c>
      <c r="B23" t="s">
        <v>307</v>
      </c>
      <c r="C23" t="s">
        <v>119</v>
      </c>
      <c r="D23" s="76">
        <v>5930</v>
      </c>
    </row>
    <row r="24" spans="1:4" x14ac:dyDescent="0.25">
      <c r="A24" t="s">
        <v>309</v>
      </c>
      <c r="B24" t="s">
        <v>210</v>
      </c>
      <c r="C24" t="s">
        <v>209</v>
      </c>
      <c r="D24" s="76">
        <v>2820</v>
      </c>
    </row>
    <row r="25" spans="1:4" x14ac:dyDescent="0.25">
      <c r="A25" t="s">
        <v>329</v>
      </c>
      <c r="B25" t="s">
        <v>131</v>
      </c>
      <c r="C25" t="s">
        <v>135</v>
      </c>
      <c r="D25" s="76">
        <v>3545</v>
      </c>
    </row>
    <row r="26" spans="1:4" x14ac:dyDescent="0.25">
      <c r="A26" t="s">
        <v>356</v>
      </c>
      <c r="B26" t="s">
        <v>354</v>
      </c>
      <c r="C26" t="s">
        <v>168</v>
      </c>
      <c r="D26" s="76">
        <v>2874</v>
      </c>
    </row>
    <row r="27" spans="1:4" x14ac:dyDescent="0.25">
      <c r="A27" t="s">
        <v>368</v>
      </c>
      <c r="B27" t="s">
        <v>79</v>
      </c>
      <c r="C27" t="s">
        <v>140</v>
      </c>
      <c r="D27" s="76">
        <v>1320</v>
      </c>
    </row>
    <row r="28" spans="1:4" x14ac:dyDescent="0.25">
      <c r="A28" t="s">
        <v>372</v>
      </c>
      <c r="B28" t="s">
        <v>140</v>
      </c>
      <c r="C28" t="s">
        <v>179</v>
      </c>
      <c r="D28" s="76">
        <v>2750</v>
      </c>
    </row>
    <row r="29" spans="1:4" x14ac:dyDescent="0.25">
      <c r="A29" t="s">
        <v>382</v>
      </c>
      <c r="B29" t="s">
        <v>119</v>
      </c>
      <c r="C29" t="s">
        <v>240</v>
      </c>
      <c r="D29" s="76">
        <v>5982</v>
      </c>
    </row>
    <row r="30" spans="1:4" x14ac:dyDescent="0.25">
      <c r="A30" t="s">
        <v>401</v>
      </c>
      <c r="B30" t="s">
        <v>9</v>
      </c>
      <c r="C30" t="s">
        <v>28</v>
      </c>
      <c r="D30" s="76">
        <v>5170</v>
      </c>
    </row>
    <row r="31" spans="1:4" x14ac:dyDescent="0.25">
      <c r="A31" t="s">
        <v>456</v>
      </c>
      <c r="B31" t="s">
        <v>104</v>
      </c>
      <c r="C31" t="s">
        <v>457</v>
      </c>
      <c r="D31" s="76">
        <v>5630</v>
      </c>
    </row>
    <row r="32" spans="1:4" x14ac:dyDescent="0.25">
      <c r="A32" t="s">
        <v>470</v>
      </c>
      <c r="B32" t="s">
        <v>110</v>
      </c>
      <c r="C32" t="s">
        <v>210</v>
      </c>
      <c r="D32" s="76">
        <v>5300</v>
      </c>
    </row>
    <row r="33" spans="1:4" x14ac:dyDescent="0.25">
      <c r="A33" t="s">
        <v>491</v>
      </c>
      <c r="B33" t="s">
        <v>461</v>
      </c>
      <c r="C33" t="s">
        <v>492</v>
      </c>
      <c r="D33" s="76">
        <v>4060</v>
      </c>
    </row>
    <row r="34" spans="1:4" x14ac:dyDescent="0.25">
      <c r="A34" t="s">
        <v>494</v>
      </c>
      <c r="B34" t="s">
        <v>492</v>
      </c>
      <c r="C34" t="s">
        <v>59</v>
      </c>
      <c r="D34" s="76">
        <v>1353</v>
      </c>
    </row>
    <row r="35" spans="1:4" x14ac:dyDescent="0.25">
      <c r="A35" t="s">
        <v>567</v>
      </c>
      <c r="B35" t="s">
        <v>147</v>
      </c>
      <c r="C35" t="s">
        <v>297</v>
      </c>
      <c r="D35" s="76">
        <v>5435</v>
      </c>
    </row>
    <row r="36" spans="1:4" x14ac:dyDescent="0.25">
      <c r="A36" t="s">
        <v>569</v>
      </c>
      <c r="B36" t="s">
        <v>140</v>
      </c>
      <c r="C36" t="s">
        <v>565</v>
      </c>
      <c r="D36" s="76">
        <v>1015</v>
      </c>
    </row>
    <row r="37" spans="1:4" x14ac:dyDescent="0.25">
      <c r="A37" t="s">
        <v>590</v>
      </c>
      <c r="B37" t="s">
        <v>28</v>
      </c>
      <c r="C37" t="s">
        <v>25</v>
      </c>
      <c r="D37" s="76">
        <v>5326</v>
      </c>
    </row>
    <row r="38" spans="1:4" x14ac:dyDescent="0.25">
      <c r="A38" t="s">
        <v>600</v>
      </c>
      <c r="B38" t="s">
        <v>601</v>
      </c>
      <c r="C38" t="s">
        <v>210</v>
      </c>
      <c r="D38" s="76">
        <v>3960</v>
      </c>
    </row>
    <row r="39" spans="1:4" x14ac:dyDescent="0.25">
      <c r="A39" t="s">
        <v>605</v>
      </c>
      <c r="B39" t="s">
        <v>213</v>
      </c>
      <c r="C39" t="s">
        <v>39</v>
      </c>
      <c r="D39" s="76">
        <v>5438</v>
      </c>
    </row>
    <row r="40" spans="1:4" x14ac:dyDescent="0.25">
      <c r="A40" t="s">
        <v>632</v>
      </c>
      <c r="B40" t="s">
        <v>9</v>
      </c>
      <c r="C40" t="s">
        <v>213</v>
      </c>
      <c r="D40" s="76">
        <v>5315</v>
      </c>
    </row>
    <row r="41" spans="1:4" x14ac:dyDescent="0.25">
      <c r="A41" t="s">
        <v>671</v>
      </c>
      <c r="B41" t="s">
        <v>116</v>
      </c>
      <c r="C41" t="s">
        <v>121</v>
      </c>
      <c r="D41" s="76">
        <v>5302</v>
      </c>
    </row>
    <row r="42" spans="1:4" x14ac:dyDescent="0.25">
      <c r="A42" t="s">
        <v>686</v>
      </c>
      <c r="B42" t="s">
        <v>504</v>
      </c>
      <c r="C42" t="s">
        <v>406</v>
      </c>
      <c r="D42" s="76">
        <v>4360</v>
      </c>
    </row>
    <row r="43" spans="1:4" x14ac:dyDescent="0.25">
      <c r="A43" t="s">
        <v>688</v>
      </c>
      <c r="B43" t="s">
        <v>499</v>
      </c>
      <c r="C43" t="s">
        <v>507</v>
      </c>
      <c r="D43" s="76">
        <v>4066</v>
      </c>
    </row>
    <row r="44" spans="1:4" x14ac:dyDescent="0.25">
      <c r="A44" t="s">
        <v>696</v>
      </c>
      <c r="B44" t="s">
        <v>140</v>
      </c>
      <c r="C44" t="s">
        <v>147</v>
      </c>
      <c r="D44" s="76">
        <v>5491</v>
      </c>
    </row>
    <row r="45" spans="1:4" x14ac:dyDescent="0.25">
      <c r="A45" t="s">
        <v>713</v>
      </c>
      <c r="B45" t="s">
        <v>461</v>
      </c>
      <c r="C45" t="s">
        <v>4</v>
      </c>
      <c r="D45" s="76">
        <v>5935</v>
      </c>
    </row>
    <row r="46" spans="1:4" x14ac:dyDescent="0.25">
      <c r="A46" t="s">
        <v>731</v>
      </c>
      <c r="B46" t="s">
        <v>565</v>
      </c>
      <c r="C46" t="s">
        <v>147</v>
      </c>
      <c r="D46" s="76">
        <v>2425</v>
      </c>
    </row>
    <row r="47" spans="1:4" x14ac:dyDescent="0.25">
      <c r="A47" t="s">
        <v>757</v>
      </c>
      <c r="B47" t="s">
        <v>107</v>
      </c>
      <c r="C47" t="s">
        <v>203</v>
      </c>
      <c r="D47" s="76">
        <v>3500</v>
      </c>
    </row>
    <row r="48" spans="1:4" x14ac:dyDescent="0.25">
      <c r="A48" t="s">
        <v>761</v>
      </c>
      <c r="B48" t="s">
        <v>9</v>
      </c>
      <c r="C48" t="s">
        <v>28</v>
      </c>
      <c r="D48" s="76">
        <v>5110</v>
      </c>
    </row>
    <row r="49" spans="1:4" x14ac:dyDescent="0.25">
      <c r="A49" t="s">
        <v>769</v>
      </c>
      <c r="B49" t="s">
        <v>213</v>
      </c>
      <c r="C49" t="s">
        <v>39</v>
      </c>
      <c r="D49" s="76">
        <v>5386</v>
      </c>
    </row>
    <row r="50" spans="1:4" x14ac:dyDescent="0.25">
      <c r="A50" t="s">
        <v>786</v>
      </c>
      <c r="B50" t="s">
        <v>147</v>
      </c>
      <c r="C50" t="s">
        <v>297</v>
      </c>
      <c r="D50" s="76">
        <v>5430</v>
      </c>
    </row>
    <row r="51" spans="1:4" x14ac:dyDescent="0.25">
      <c r="A51" t="s">
        <v>793</v>
      </c>
      <c r="B51" t="s">
        <v>39</v>
      </c>
      <c r="C51" t="s">
        <v>213</v>
      </c>
      <c r="D51" s="76">
        <v>5287</v>
      </c>
    </row>
    <row r="52" spans="1:4" x14ac:dyDescent="0.25">
      <c r="A52" t="s">
        <v>796</v>
      </c>
      <c r="B52" t="s">
        <v>38</v>
      </c>
      <c r="C52" t="s">
        <v>20</v>
      </c>
      <c r="D52" s="76">
        <v>5280</v>
      </c>
    </row>
    <row r="53" spans="1:4" x14ac:dyDescent="0.25">
      <c r="A53" t="s">
        <v>800</v>
      </c>
      <c r="B53" t="s">
        <v>99</v>
      </c>
      <c r="C53" t="s">
        <v>100</v>
      </c>
      <c r="D53" s="76">
        <v>5374</v>
      </c>
    </row>
    <row r="54" spans="1:4" x14ac:dyDescent="0.25">
      <c r="A54" t="s">
        <v>802</v>
      </c>
      <c r="B54" t="s">
        <v>21</v>
      </c>
      <c r="C54" t="s">
        <v>20</v>
      </c>
      <c r="D54" s="76">
        <v>5280</v>
      </c>
    </row>
    <row r="55" spans="1:4" x14ac:dyDescent="0.25">
      <c r="A55" t="s">
        <v>810</v>
      </c>
      <c r="B55" t="s">
        <v>197</v>
      </c>
      <c r="C55" t="s">
        <v>206</v>
      </c>
      <c r="D55" s="76">
        <v>1307</v>
      </c>
    </row>
    <row r="56" spans="1:4" x14ac:dyDescent="0.25">
      <c r="A56" t="s">
        <v>827</v>
      </c>
      <c r="B56" t="s">
        <v>222</v>
      </c>
      <c r="C56" t="s">
        <v>206</v>
      </c>
      <c r="D56" s="76">
        <v>654</v>
      </c>
    </row>
    <row r="57" spans="1:4" x14ac:dyDescent="0.25">
      <c r="A57" t="s">
        <v>843</v>
      </c>
      <c r="B57" t="s">
        <v>406</v>
      </c>
      <c r="C57" t="s">
        <v>450</v>
      </c>
      <c r="D57" s="76">
        <v>3515</v>
      </c>
    </row>
    <row r="58" spans="1:4" x14ac:dyDescent="0.25">
      <c r="A58" t="s">
        <v>859</v>
      </c>
      <c r="B58" t="s">
        <v>138</v>
      </c>
      <c r="C58" t="s">
        <v>135</v>
      </c>
      <c r="D58" s="76">
        <v>5380</v>
      </c>
    </row>
    <row r="59" spans="1:4" x14ac:dyDescent="0.25">
      <c r="A59" t="s">
        <v>881</v>
      </c>
      <c r="B59" t="s">
        <v>59</v>
      </c>
      <c r="C59" t="s">
        <v>64</v>
      </c>
      <c r="D59" s="76">
        <v>4689</v>
      </c>
    </row>
    <row r="60" spans="1:4" x14ac:dyDescent="0.25">
      <c r="A60" t="s">
        <v>884</v>
      </c>
      <c r="B60" t="s">
        <v>64</v>
      </c>
      <c r="C60" t="s">
        <v>885</v>
      </c>
      <c r="D60" s="76">
        <v>4005</v>
      </c>
    </row>
    <row r="61" spans="1:4" x14ac:dyDescent="0.25">
      <c r="A61" t="s">
        <v>891</v>
      </c>
      <c r="B61" t="s">
        <v>102</v>
      </c>
      <c r="C61" t="s">
        <v>4</v>
      </c>
      <c r="D61" s="76">
        <v>2790</v>
      </c>
    </row>
    <row r="62" spans="1:4" x14ac:dyDescent="0.25">
      <c r="A62" t="s">
        <v>907</v>
      </c>
      <c r="B62" t="s">
        <v>9</v>
      </c>
      <c r="C62" t="s">
        <v>213</v>
      </c>
      <c r="D62" s="76">
        <v>5371</v>
      </c>
    </row>
    <row r="63" spans="1:4" x14ac:dyDescent="0.25">
      <c r="A63" t="s">
        <v>914</v>
      </c>
      <c r="B63" t="s">
        <v>193</v>
      </c>
      <c r="C63" t="s">
        <v>206</v>
      </c>
      <c r="D63" s="76">
        <v>2400</v>
      </c>
    </row>
    <row r="64" spans="1:4" x14ac:dyDescent="0.25">
      <c r="A64" t="s">
        <v>928</v>
      </c>
      <c r="B64" t="s">
        <v>25</v>
      </c>
      <c r="C64" t="s">
        <v>28</v>
      </c>
      <c r="D64" s="76">
        <v>5330</v>
      </c>
    </row>
    <row r="65" spans="1:4" x14ac:dyDescent="0.25">
      <c r="A65" t="s">
        <v>938</v>
      </c>
      <c r="B65" t="s">
        <v>94</v>
      </c>
      <c r="C65" t="s">
        <v>149</v>
      </c>
      <c r="D65" s="76">
        <v>2700</v>
      </c>
    </row>
    <row r="66" spans="1:4" x14ac:dyDescent="0.25">
      <c r="A66" t="s">
        <v>941</v>
      </c>
      <c r="B66" t="s">
        <v>113</v>
      </c>
      <c r="C66" t="s">
        <v>149</v>
      </c>
      <c r="D66" s="76">
        <v>2740</v>
      </c>
    </row>
    <row r="67" spans="1:4" x14ac:dyDescent="0.25">
      <c r="A67" t="s">
        <v>949</v>
      </c>
      <c r="B67" t="s">
        <v>107</v>
      </c>
      <c r="C67" t="s">
        <v>104</v>
      </c>
      <c r="D67" s="76">
        <v>5340</v>
      </c>
    </row>
    <row r="68" spans="1:4" x14ac:dyDescent="0.25">
      <c r="A68" t="s">
        <v>951</v>
      </c>
      <c r="B68" t="s">
        <v>110</v>
      </c>
      <c r="C68" t="s">
        <v>107</v>
      </c>
      <c r="D68" s="76">
        <v>5310</v>
      </c>
    </row>
    <row r="69" spans="1:4" x14ac:dyDescent="0.25">
      <c r="A69" t="s">
        <v>968</v>
      </c>
      <c r="B69" t="s">
        <v>240</v>
      </c>
      <c r="C69" t="s">
        <v>119</v>
      </c>
      <c r="D69" s="76">
        <v>6784</v>
      </c>
    </row>
    <row r="70" spans="1:4" x14ac:dyDescent="0.25">
      <c r="A70" t="s">
        <v>972</v>
      </c>
      <c r="B70" t="s">
        <v>20</v>
      </c>
      <c r="C70" t="s">
        <v>38</v>
      </c>
      <c r="D70" s="76">
        <v>5280</v>
      </c>
    </row>
    <row r="71" spans="1:4" x14ac:dyDescent="0.25">
      <c r="A71" t="s">
        <v>980</v>
      </c>
      <c r="B71" t="s">
        <v>64</v>
      </c>
      <c r="C71" t="s">
        <v>59</v>
      </c>
      <c r="D71" s="76">
        <v>4665</v>
      </c>
    </row>
    <row r="72" spans="1:4" x14ac:dyDescent="0.25">
      <c r="A72" t="s">
        <v>982</v>
      </c>
      <c r="B72" t="s">
        <v>147</v>
      </c>
      <c r="C72" t="s">
        <v>297</v>
      </c>
      <c r="D72" s="76">
        <v>5362</v>
      </c>
    </row>
    <row r="73" spans="1:4" x14ac:dyDescent="0.25">
      <c r="A73" t="s">
        <v>987</v>
      </c>
      <c r="B73" t="s">
        <v>984</v>
      </c>
      <c r="C73" t="s">
        <v>209</v>
      </c>
      <c r="D73" s="76">
        <v>2008</v>
      </c>
    </row>
    <row r="74" spans="1:4" x14ac:dyDescent="0.25">
      <c r="A74" t="s">
        <v>1050</v>
      </c>
      <c r="B74" t="s">
        <v>149</v>
      </c>
      <c r="C74" t="s">
        <v>1051</v>
      </c>
      <c r="D74" s="76">
        <v>1235</v>
      </c>
    </row>
    <row r="75" spans="1:4" x14ac:dyDescent="0.25">
      <c r="A75" t="s">
        <v>1072</v>
      </c>
      <c r="B75" t="s">
        <v>99</v>
      </c>
      <c r="C75" t="s">
        <v>100</v>
      </c>
      <c r="D75" s="76">
        <v>5100</v>
      </c>
    </row>
    <row r="76" spans="1:4" x14ac:dyDescent="0.25">
      <c r="A76" t="s">
        <v>1093</v>
      </c>
      <c r="B76" t="s">
        <v>984</v>
      </c>
      <c r="C76" t="s">
        <v>210</v>
      </c>
      <c r="D76" s="76">
        <v>6270</v>
      </c>
    </row>
    <row r="77" spans="1:4" x14ac:dyDescent="0.25">
      <c r="A77" t="s">
        <v>1095</v>
      </c>
      <c r="B77" t="s">
        <v>100</v>
      </c>
      <c r="C77" t="s">
        <v>307</v>
      </c>
      <c r="D77" s="76">
        <v>2701</v>
      </c>
    </row>
    <row r="78" spans="1:4" x14ac:dyDescent="0.25">
      <c r="A78" t="s">
        <v>2423</v>
      </c>
      <c r="B78" t="s">
        <v>1533</v>
      </c>
      <c r="C78" t="s">
        <v>984</v>
      </c>
      <c r="D78" s="76">
        <v>2100</v>
      </c>
    </row>
    <row r="79" spans="1:4" x14ac:dyDescent="0.25">
      <c r="A79" t="s">
        <v>1110</v>
      </c>
      <c r="B79" t="s">
        <v>64</v>
      </c>
      <c r="C79" t="s">
        <v>59</v>
      </c>
      <c r="D79" s="76">
        <v>5360</v>
      </c>
    </row>
    <row r="80" spans="1:4" x14ac:dyDescent="0.25">
      <c r="A80" t="s">
        <v>1161</v>
      </c>
      <c r="B80" t="s">
        <v>197</v>
      </c>
      <c r="C80" t="s">
        <v>25</v>
      </c>
      <c r="D80" s="76">
        <v>5270</v>
      </c>
    </row>
    <row r="81" spans="1:4" x14ac:dyDescent="0.25">
      <c r="A81" t="s">
        <v>1201</v>
      </c>
      <c r="B81" t="s">
        <v>94</v>
      </c>
      <c r="C81" t="s">
        <v>297</v>
      </c>
      <c r="D81" s="76">
        <v>6738</v>
      </c>
    </row>
    <row r="82" spans="1:4" x14ac:dyDescent="0.25">
      <c r="A82" t="s">
        <v>1217</v>
      </c>
      <c r="B82" t="s">
        <v>119</v>
      </c>
      <c r="C82" t="s">
        <v>217</v>
      </c>
      <c r="D82" s="76">
        <v>2798</v>
      </c>
    </row>
    <row r="83" spans="1:4" x14ac:dyDescent="0.25">
      <c r="A83" t="s">
        <v>1219</v>
      </c>
      <c r="B83" t="s">
        <v>217</v>
      </c>
      <c r="C83" t="s">
        <v>193</v>
      </c>
      <c r="D83" s="76">
        <v>2006</v>
      </c>
    </row>
    <row r="84" spans="1:4" x14ac:dyDescent="0.25">
      <c r="A84" t="s">
        <v>1221</v>
      </c>
      <c r="B84" t="s">
        <v>99</v>
      </c>
      <c r="C84" t="s">
        <v>104</v>
      </c>
      <c r="D84" s="76">
        <v>5330</v>
      </c>
    </row>
    <row r="85" spans="1:4" x14ac:dyDescent="0.25">
      <c r="A85" t="s">
        <v>1227</v>
      </c>
      <c r="B85" t="s">
        <v>197</v>
      </c>
      <c r="C85" t="s">
        <v>24</v>
      </c>
      <c r="D85" s="76">
        <v>2587</v>
      </c>
    </row>
    <row r="86" spans="1:4" x14ac:dyDescent="0.25">
      <c r="A86" t="s">
        <v>1229</v>
      </c>
      <c r="B86" t="s">
        <v>24</v>
      </c>
      <c r="C86" t="s">
        <v>25</v>
      </c>
      <c r="D86" s="76">
        <v>2745</v>
      </c>
    </row>
    <row r="87" spans="1:4" x14ac:dyDescent="0.25">
      <c r="A87" t="s">
        <v>1231</v>
      </c>
      <c r="B87" t="s">
        <v>1232</v>
      </c>
      <c r="C87" t="s">
        <v>28</v>
      </c>
      <c r="D87" s="76">
        <v>4537</v>
      </c>
    </row>
    <row r="88" spans="1:4" x14ac:dyDescent="0.25">
      <c r="A88" t="s">
        <v>1236</v>
      </c>
      <c r="B88" t="s">
        <v>25</v>
      </c>
      <c r="C88" t="s">
        <v>1232</v>
      </c>
      <c r="D88" s="76">
        <v>800</v>
      </c>
    </row>
    <row r="89" spans="1:4" x14ac:dyDescent="0.25">
      <c r="A89" t="s">
        <v>1242</v>
      </c>
      <c r="B89" t="s">
        <v>39</v>
      </c>
      <c r="C89" t="s">
        <v>35</v>
      </c>
      <c r="D89" s="76">
        <v>7925</v>
      </c>
    </row>
    <row r="90" spans="1:4" x14ac:dyDescent="0.25">
      <c r="A90" t="s">
        <v>1258</v>
      </c>
      <c r="B90" t="s">
        <v>940</v>
      </c>
      <c r="C90" t="s">
        <v>100</v>
      </c>
      <c r="D90" s="76">
        <v>3848</v>
      </c>
    </row>
    <row r="91" spans="1:4" x14ac:dyDescent="0.25">
      <c r="A91" t="s">
        <v>1274</v>
      </c>
      <c r="B91" t="s">
        <v>206</v>
      </c>
      <c r="C91" t="s">
        <v>197</v>
      </c>
      <c r="D91" s="76">
        <v>1133</v>
      </c>
    </row>
    <row r="92" spans="1:4" x14ac:dyDescent="0.25">
      <c r="A92" t="s">
        <v>1282</v>
      </c>
      <c r="B92" t="s">
        <v>110</v>
      </c>
      <c r="C92" t="s">
        <v>785</v>
      </c>
      <c r="D92" s="76">
        <v>2590</v>
      </c>
    </row>
    <row r="93" spans="1:4" x14ac:dyDescent="0.25">
      <c r="A93" t="s">
        <v>1286</v>
      </c>
      <c r="B93" t="s">
        <v>817</v>
      </c>
      <c r="C93" t="s">
        <v>110</v>
      </c>
      <c r="D93" s="76">
        <v>2650</v>
      </c>
    </row>
    <row r="94" spans="1:4" x14ac:dyDescent="0.25">
      <c r="A94" t="s">
        <v>1294</v>
      </c>
      <c r="B94" t="s">
        <v>107</v>
      </c>
      <c r="C94" t="s">
        <v>1276</v>
      </c>
      <c r="D94" s="76">
        <v>1880</v>
      </c>
    </row>
    <row r="95" spans="1:4" x14ac:dyDescent="0.25">
      <c r="A95" t="s">
        <v>1309</v>
      </c>
      <c r="B95" t="s">
        <v>9</v>
      </c>
      <c r="C95" t="s">
        <v>28</v>
      </c>
      <c r="D95" s="76">
        <v>5010</v>
      </c>
    </row>
    <row r="96" spans="1:4" x14ac:dyDescent="0.25">
      <c r="A96" t="s">
        <v>1313</v>
      </c>
      <c r="B96" t="s">
        <v>240</v>
      </c>
      <c r="C96" t="s">
        <v>307</v>
      </c>
      <c r="D96" s="76">
        <v>1468</v>
      </c>
    </row>
    <row r="97" spans="1:4" x14ac:dyDescent="0.25">
      <c r="A97" t="s">
        <v>1315</v>
      </c>
      <c r="B97" t="s">
        <v>406</v>
      </c>
      <c r="C97" t="s">
        <v>67</v>
      </c>
      <c r="D97" s="76">
        <v>5036</v>
      </c>
    </row>
    <row r="98" spans="1:4" x14ac:dyDescent="0.25">
      <c r="A98" t="s">
        <v>1318</v>
      </c>
      <c r="B98" t="s">
        <v>9</v>
      </c>
      <c r="C98" t="s">
        <v>35</v>
      </c>
      <c r="D98" s="76">
        <v>2689</v>
      </c>
    </row>
    <row r="99" spans="1:4" x14ac:dyDescent="0.25">
      <c r="A99" t="s">
        <v>1320</v>
      </c>
      <c r="B99" t="s">
        <v>99</v>
      </c>
      <c r="C99" t="s">
        <v>299</v>
      </c>
      <c r="D99" s="76">
        <v>2550</v>
      </c>
    </row>
    <row r="100" spans="1:4" x14ac:dyDescent="0.25">
      <c r="A100" t="s">
        <v>1358</v>
      </c>
      <c r="B100" t="s">
        <v>64</v>
      </c>
      <c r="C100" t="s">
        <v>59</v>
      </c>
      <c r="D100" s="76">
        <v>5280</v>
      </c>
    </row>
    <row r="101" spans="1:4" x14ac:dyDescent="0.25">
      <c r="A101" t="s">
        <v>1362</v>
      </c>
      <c r="B101" t="s">
        <v>67</v>
      </c>
      <c r="C101" t="s">
        <v>406</v>
      </c>
      <c r="D101" s="76">
        <v>6310</v>
      </c>
    </row>
    <row r="102" spans="1:4" x14ac:dyDescent="0.25">
      <c r="A102" t="s">
        <v>1375</v>
      </c>
      <c r="B102" t="s">
        <v>60</v>
      </c>
      <c r="C102" t="s">
        <v>86</v>
      </c>
      <c r="D102" s="76">
        <v>3643</v>
      </c>
    </row>
    <row r="103" spans="1:4" x14ac:dyDescent="0.25">
      <c r="A103" t="s">
        <v>1380</v>
      </c>
      <c r="B103" t="s">
        <v>83</v>
      </c>
      <c r="C103" t="s">
        <v>67</v>
      </c>
      <c r="D103" s="76">
        <v>2644</v>
      </c>
    </row>
    <row r="104" spans="1:4" x14ac:dyDescent="0.25">
      <c r="A104" t="s">
        <v>1384</v>
      </c>
      <c r="B104" t="s">
        <v>1373</v>
      </c>
      <c r="C104" t="s">
        <v>83</v>
      </c>
      <c r="D104" s="76">
        <v>1312</v>
      </c>
    </row>
    <row r="105" spans="1:4" x14ac:dyDescent="0.25">
      <c r="A105" t="s">
        <v>1395</v>
      </c>
      <c r="B105" t="s">
        <v>121</v>
      </c>
      <c r="C105" t="s">
        <v>124</v>
      </c>
      <c r="D105" s="76">
        <v>5245</v>
      </c>
    </row>
    <row r="106" spans="1:4" x14ac:dyDescent="0.25">
      <c r="A106" t="s">
        <v>1397</v>
      </c>
      <c r="B106" t="s">
        <v>55</v>
      </c>
      <c r="C106" t="s">
        <v>406</v>
      </c>
      <c r="D106" s="76">
        <v>3568</v>
      </c>
    </row>
    <row r="107" spans="1:4" x14ac:dyDescent="0.25">
      <c r="A107" t="s">
        <v>1399</v>
      </c>
      <c r="B107" t="s">
        <v>67</v>
      </c>
      <c r="C107" t="s">
        <v>55</v>
      </c>
      <c r="D107" s="76">
        <v>4002</v>
      </c>
    </row>
    <row r="108" spans="1:4" x14ac:dyDescent="0.25">
      <c r="A108" t="s">
        <v>1401</v>
      </c>
      <c r="B108" t="s">
        <v>79</v>
      </c>
      <c r="C108" t="s">
        <v>94</v>
      </c>
      <c r="D108" s="76">
        <v>4830</v>
      </c>
    </row>
    <row r="109" spans="1:4" x14ac:dyDescent="0.25">
      <c r="A109" t="s">
        <v>1409</v>
      </c>
      <c r="B109" t="s">
        <v>20</v>
      </c>
      <c r="C109" t="s">
        <v>38</v>
      </c>
      <c r="D109" s="76">
        <v>5720</v>
      </c>
    </row>
    <row r="110" spans="1:4" x14ac:dyDescent="0.25">
      <c r="A110" t="s">
        <v>1411</v>
      </c>
      <c r="B110" t="s">
        <v>21</v>
      </c>
      <c r="C110" t="s">
        <v>20</v>
      </c>
      <c r="D110" s="76">
        <v>5340</v>
      </c>
    </row>
    <row r="111" spans="1:4" x14ac:dyDescent="0.25">
      <c r="A111" t="s">
        <v>1564</v>
      </c>
      <c r="B111" t="s">
        <v>1433</v>
      </c>
      <c r="C111" t="s">
        <v>116</v>
      </c>
      <c r="D111" s="76">
        <v>898</v>
      </c>
    </row>
    <row r="112" spans="1:4" x14ac:dyDescent="0.25">
      <c r="A112" t="s">
        <v>1565</v>
      </c>
      <c r="B112" t="s">
        <v>1566</v>
      </c>
      <c r="C112" t="s">
        <v>1440</v>
      </c>
      <c r="D112" s="76">
        <v>720</v>
      </c>
    </row>
    <row r="113" spans="1:4" x14ac:dyDescent="0.25">
      <c r="A113" t="s">
        <v>1617</v>
      </c>
      <c r="B113" t="s">
        <v>28</v>
      </c>
      <c r="C113" t="s">
        <v>10</v>
      </c>
      <c r="D113" s="76">
        <v>874</v>
      </c>
    </row>
    <row r="114" spans="1:4" x14ac:dyDescent="0.25">
      <c r="A114" t="s">
        <v>1622</v>
      </c>
      <c r="B114" t="s">
        <v>418</v>
      </c>
      <c r="C114" t="s">
        <v>1185</v>
      </c>
      <c r="D114" s="76">
        <v>4646</v>
      </c>
    </row>
    <row r="115" spans="1:4" x14ac:dyDescent="0.25">
      <c r="A115" t="s">
        <v>1633</v>
      </c>
      <c r="B115" t="s">
        <v>129</v>
      </c>
      <c r="C115" t="s">
        <v>124</v>
      </c>
      <c r="D115" s="76">
        <v>6591</v>
      </c>
    </row>
    <row r="116" spans="1:4" x14ac:dyDescent="0.25">
      <c r="A116" t="s">
        <v>1674</v>
      </c>
      <c r="B116" t="s">
        <v>24</v>
      </c>
      <c r="C116" t="s">
        <v>197</v>
      </c>
      <c r="D116" s="76">
        <v>2624</v>
      </c>
    </row>
    <row r="117" spans="1:4" x14ac:dyDescent="0.25">
      <c r="A117" t="s">
        <v>1684</v>
      </c>
      <c r="B117" t="s">
        <v>209</v>
      </c>
      <c r="C117" t="s">
        <v>116</v>
      </c>
      <c r="D117" s="76">
        <v>1426</v>
      </c>
    </row>
    <row r="118" spans="1:4" x14ac:dyDescent="0.25">
      <c r="A118" t="s">
        <v>1726</v>
      </c>
      <c r="B118" t="s">
        <v>100</v>
      </c>
      <c r="C118" t="s">
        <v>99</v>
      </c>
      <c r="D118" s="76">
        <v>6640</v>
      </c>
    </row>
    <row r="119" spans="1:4" x14ac:dyDescent="0.25">
      <c r="A119" t="s">
        <v>1768</v>
      </c>
      <c r="B119" t="s">
        <v>307</v>
      </c>
      <c r="C119" t="s">
        <v>216</v>
      </c>
      <c r="D119" s="76">
        <v>1077</v>
      </c>
    </row>
    <row r="120" spans="1:4" x14ac:dyDescent="0.25">
      <c r="A120" t="s">
        <v>1769</v>
      </c>
      <c r="B120" t="s">
        <v>209</v>
      </c>
      <c r="C120" t="s">
        <v>1433</v>
      </c>
      <c r="D120" s="76">
        <v>634</v>
      </c>
    </row>
    <row r="121" spans="1:4" x14ac:dyDescent="0.25">
      <c r="A121" t="s">
        <v>1790</v>
      </c>
      <c r="B121" t="s">
        <v>104</v>
      </c>
      <c r="C121" t="s">
        <v>99</v>
      </c>
      <c r="D121" s="76">
        <v>5330</v>
      </c>
    </row>
    <row r="122" spans="1:4" x14ac:dyDescent="0.25">
      <c r="A122" t="s">
        <v>1796</v>
      </c>
      <c r="B122" t="s">
        <v>203</v>
      </c>
      <c r="C122" t="s">
        <v>110</v>
      </c>
      <c r="D122" s="76">
        <v>5185</v>
      </c>
    </row>
    <row r="123" spans="1:4" x14ac:dyDescent="0.25">
      <c r="A123" t="s">
        <v>1800</v>
      </c>
      <c r="B123" t="s">
        <v>39</v>
      </c>
      <c r="C123" t="s">
        <v>213</v>
      </c>
      <c r="D123" s="76">
        <v>5160</v>
      </c>
    </row>
    <row r="124" spans="1:4" x14ac:dyDescent="0.25">
      <c r="A124" t="s">
        <v>1823</v>
      </c>
      <c r="B124" t="s">
        <v>99</v>
      </c>
      <c r="C124" t="s">
        <v>104</v>
      </c>
      <c r="D124" s="76">
        <v>5830</v>
      </c>
    </row>
    <row r="125" spans="1:4" x14ac:dyDescent="0.25">
      <c r="A125" t="s">
        <v>1825</v>
      </c>
      <c r="B125" t="s">
        <v>104</v>
      </c>
      <c r="C125" t="s">
        <v>107</v>
      </c>
      <c r="D125" s="76">
        <v>5934</v>
      </c>
    </row>
    <row r="126" spans="1:4" x14ac:dyDescent="0.25">
      <c r="A126" t="s">
        <v>1827</v>
      </c>
      <c r="B126" t="s">
        <v>107</v>
      </c>
      <c r="C126" t="s">
        <v>110</v>
      </c>
      <c r="D126" s="76">
        <v>5960</v>
      </c>
    </row>
    <row r="127" spans="1:4" x14ac:dyDescent="0.25">
      <c r="A127" t="s">
        <v>1860</v>
      </c>
      <c r="B127" t="s">
        <v>1861</v>
      </c>
      <c r="C127" t="s">
        <v>1861</v>
      </c>
      <c r="D127" s="76">
        <v>1645</v>
      </c>
    </row>
    <row r="128" spans="1:4" x14ac:dyDescent="0.25">
      <c r="A128" t="s">
        <v>1944</v>
      </c>
      <c r="B128" t="s">
        <v>1945</v>
      </c>
      <c r="C128" t="s">
        <v>10</v>
      </c>
      <c r="D128" s="76">
        <v>451</v>
      </c>
    </row>
    <row r="129" spans="1:4" x14ac:dyDescent="0.25">
      <c r="A129" t="s">
        <v>1947</v>
      </c>
      <c r="B129" t="s">
        <v>197</v>
      </c>
      <c r="C129" t="s">
        <v>10</v>
      </c>
      <c r="D129" s="76">
        <v>2160</v>
      </c>
    </row>
    <row r="130" spans="1:4" x14ac:dyDescent="0.25">
      <c r="A130" t="s">
        <v>2009</v>
      </c>
      <c r="B130" t="s">
        <v>422</v>
      </c>
      <c r="C130" t="s">
        <v>38</v>
      </c>
      <c r="D130" s="76">
        <v>5332</v>
      </c>
    </row>
    <row r="131" spans="1:4" x14ac:dyDescent="0.25">
      <c r="A131" t="s">
        <v>2030</v>
      </c>
      <c r="B131" t="s">
        <v>86</v>
      </c>
      <c r="C131" t="s">
        <v>1418</v>
      </c>
      <c r="D131" s="76">
        <v>614</v>
      </c>
    </row>
    <row r="132" spans="1:4" x14ac:dyDescent="0.25">
      <c r="A132" t="s">
        <v>2038</v>
      </c>
      <c r="B132" t="s">
        <v>209</v>
      </c>
      <c r="C132" t="s">
        <v>1433</v>
      </c>
      <c r="D132" s="76">
        <v>396</v>
      </c>
    </row>
    <row r="133" spans="1:4" x14ac:dyDescent="0.25">
      <c r="A133" t="s">
        <v>2501</v>
      </c>
      <c r="B133" t="s">
        <v>640</v>
      </c>
      <c r="C133" t="s">
        <v>25</v>
      </c>
      <c r="D133" s="76">
        <v>1160</v>
      </c>
    </row>
    <row r="134" spans="1:4" x14ac:dyDescent="0.25">
      <c r="A134" t="s">
        <v>2367</v>
      </c>
      <c r="D134" s="76">
        <v>493048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rgb="FF92D050"/>
  </sheetPr>
  <dimension ref="A1:N2311"/>
  <sheetViews>
    <sheetView topLeftCell="A457" workbookViewId="0">
      <selection activeCell="M110" sqref="M110"/>
    </sheetView>
  </sheetViews>
  <sheetFormatPr defaultRowHeight="15" x14ac:dyDescent="0.25"/>
  <cols>
    <col min="1" max="1" width="33.42578125" style="1" bestFit="1" customWidth="1"/>
    <col min="2" max="2" width="20.42578125" style="1" bestFit="1" customWidth="1"/>
    <col min="3" max="3" width="20.7109375" style="1" bestFit="1" customWidth="1"/>
    <col min="4" max="4" width="16.28515625" style="1" bestFit="1" customWidth="1"/>
    <col min="5" max="5" width="10.140625" style="1" bestFit="1" customWidth="1"/>
    <col min="6" max="6" width="8.5703125" style="1" bestFit="1" customWidth="1"/>
    <col min="7" max="9" width="7.5703125" style="1" bestFit="1" customWidth="1"/>
    <col min="10" max="10" width="11.28515625" style="1" bestFit="1" customWidth="1"/>
    <col min="11" max="11" width="10.140625" style="1" bestFit="1" customWidth="1"/>
    <col min="12" max="12" width="8.5703125" style="1" bestFit="1" customWidth="1"/>
    <col min="13" max="13" width="7.5703125" bestFit="1" customWidth="1"/>
    <col min="14" max="14" width="11.28515625" bestFit="1" customWidth="1"/>
  </cols>
  <sheetData>
    <row r="1" spans="1:14" x14ac:dyDescent="0.25">
      <c r="A1" s="24" t="s">
        <v>2067</v>
      </c>
      <c r="B1" t="s">
        <v>2610</v>
      </c>
      <c r="C1"/>
    </row>
    <row r="2" spans="1:14" x14ac:dyDescent="0.25">
      <c r="A2"/>
      <c r="B2"/>
      <c r="C2"/>
    </row>
    <row r="3" spans="1:14" x14ac:dyDescent="0.25">
      <c r="A3" s="24" t="s">
        <v>2368</v>
      </c>
      <c r="B3"/>
      <c r="C3"/>
      <c r="D3" s="24" t="s">
        <v>2429</v>
      </c>
      <c r="E3"/>
      <c r="F3"/>
      <c r="G3"/>
      <c r="H3"/>
      <c r="I3"/>
      <c r="J3"/>
      <c r="K3"/>
      <c r="L3"/>
    </row>
    <row r="4" spans="1:14" x14ac:dyDescent="0.25">
      <c r="A4" s="24" t="s">
        <v>2402</v>
      </c>
      <c r="B4" s="24" t="s">
        <v>2094</v>
      </c>
      <c r="C4" s="24" t="s">
        <v>2095</v>
      </c>
      <c r="D4" t="s">
        <v>2075</v>
      </c>
      <c r="E4" t="s">
        <v>13</v>
      </c>
      <c r="F4" t="s">
        <v>2073</v>
      </c>
      <c r="G4" t="s">
        <v>2086</v>
      </c>
      <c r="H4" t="s">
        <v>2076</v>
      </c>
      <c r="I4" t="s">
        <v>2371</v>
      </c>
      <c r="J4" t="s">
        <v>2425</v>
      </c>
      <c r="K4" t="s">
        <v>751</v>
      </c>
      <c r="L4" t="s">
        <v>2072</v>
      </c>
      <c r="M4" t="s">
        <v>2312</v>
      </c>
      <c r="N4" t="s">
        <v>2367</v>
      </c>
    </row>
    <row r="5" spans="1:14" x14ac:dyDescent="0.25">
      <c r="A5" t="s">
        <v>19</v>
      </c>
      <c r="B5" t="s">
        <v>20</v>
      </c>
      <c r="C5" t="s">
        <v>21</v>
      </c>
      <c r="D5" s="25"/>
      <c r="E5" s="25">
        <v>21258.522727272728</v>
      </c>
      <c r="F5" s="25"/>
      <c r="G5" s="25"/>
      <c r="H5" s="25"/>
      <c r="I5" s="25"/>
      <c r="J5" s="25"/>
      <c r="K5" s="25"/>
      <c r="L5" s="25"/>
      <c r="M5" s="25"/>
      <c r="N5" s="25">
        <v>21258.522727272728</v>
      </c>
    </row>
    <row r="6" spans="1:14" x14ac:dyDescent="0.25">
      <c r="A6" t="s">
        <v>30</v>
      </c>
      <c r="B6" t="s">
        <v>28</v>
      </c>
      <c r="C6" t="s">
        <v>31</v>
      </c>
      <c r="D6" s="25"/>
      <c r="E6" s="25"/>
      <c r="F6" s="25">
        <v>16321.212121212122</v>
      </c>
      <c r="G6" s="25"/>
      <c r="H6" s="25"/>
      <c r="I6" s="25"/>
      <c r="J6" s="25"/>
      <c r="K6" s="25"/>
      <c r="L6" s="25"/>
      <c r="M6" s="25"/>
      <c r="N6" s="25">
        <v>16321.212121212122</v>
      </c>
    </row>
    <row r="7" spans="1:14" x14ac:dyDescent="0.25">
      <c r="A7" t="s">
        <v>41</v>
      </c>
      <c r="B7" t="s">
        <v>31</v>
      </c>
      <c r="C7" t="s">
        <v>42</v>
      </c>
      <c r="D7" s="25"/>
      <c r="E7" s="25"/>
      <c r="F7" s="25">
        <v>16000</v>
      </c>
      <c r="G7" s="25"/>
      <c r="H7" s="25"/>
      <c r="I7" s="25"/>
      <c r="J7" s="25"/>
      <c r="K7" s="25"/>
      <c r="L7" s="25"/>
      <c r="M7" s="25"/>
      <c r="N7" s="25">
        <v>16000</v>
      </c>
    </row>
    <row r="8" spans="1:14" x14ac:dyDescent="0.25">
      <c r="A8" t="s">
        <v>43</v>
      </c>
      <c r="B8" t="s">
        <v>39</v>
      </c>
      <c r="C8" t="s">
        <v>44</v>
      </c>
      <c r="D8" s="25"/>
      <c r="E8" s="25">
        <v>15328.40909090909</v>
      </c>
      <c r="F8" s="25"/>
      <c r="G8" s="25"/>
      <c r="H8" s="25"/>
      <c r="I8" s="25"/>
      <c r="J8" s="25"/>
      <c r="K8" s="25"/>
      <c r="L8" s="25"/>
      <c r="M8" s="25"/>
      <c r="N8" s="25">
        <v>15328.40909090909</v>
      </c>
    </row>
    <row r="9" spans="1:14" x14ac:dyDescent="0.25">
      <c r="A9" t="s">
        <v>51</v>
      </c>
      <c r="B9" t="s">
        <v>49</v>
      </c>
      <c r="C9" t="s">
        <v>52</v>
      </c>
      <c r="D9" s="25"/>
      <c r="E9" s="25">
        <v>21815.340909090908</v>
      </c>
      <c r="F9" s="25"/>
      <c r="G9" s="25"/>
      <c r="H9" s="25"/>
      <c r="I9" s="25"/>
      <c r="J9" s="25"/>
      <c r="K9" s="25"/>
      <c r="L9" s="25"/>
      <c r="M9" s="25"/>
      <c r="N9" s="25">
        <v>21815.340909090908</v>
      </c>
    </row>
    <row r="10" spans="1:14" x14ac:dyDescent="0.25">
      <c r="A10" t="s">
        <v>54</v>
      </c>
      <c r="B10" t="s">
        <v>55</v>
      </c>
      <c r="C10" t="s">
        <v>56</v>
      </c>
      <c r="D10" s="25"/>
      <c r="E10" s="25"/>
      <c r="F10" s="25">
        <v>16060.60606060606</v>
      </c>
      <c r="G10" s="25"/>
      <c r="H10" s="25"/>
      <c r="I10" s="25"/>
      <c r="J10" s="25"/>
      <c r="K10" s="25"/>
      <c r="L10" s="25"/>
      <c r="M10" s="25"/>
      <c r="N10" s="25">
        <v>16060.60606060606</v>
      </c>
    </row>
    <row r="11" spans="1:14" x14ac:dyDescent="0.25">
      <c r="A11" t="s">
        <v>58</v>
      </c>
      <c r="B11" t="s">
        <v>59</v>
      </c>
      <c r="C11" t="s">
        <v>60</v>
      </c>
      <c r="D11" s="25"/>
      <c r="E11" s="25">
        <v>26635.795454545456</v>
      </c>
      <c r="F11" s="25"/>
      <c r="G11" s="25"/>
      <c r="H11" s="25"/>
      <c r="I11" s="25"/>
      <c r="J11" s="25"/>
      <c r="K11" s="25"/>
      <c r="L11" s="25"/>
      <c r="M11" s="25"/>
      <c r="N11" s="25">
        <v>26635.795454545456</v>
      </c>
    </row>
    <row r="12" spans="1:14" x14ac:dyDescent="0.25">
      <c r="A12" t="s">
        <v>63</v>
      </c>
      <c r="B12" t="s">
        <v>64</v>
      </c>
      <c r="C12" t="s">
        <v>59</v>
      </c>
      <c r="D12" s="25"/>
      <c r="E12" s="25"/>
      <c r="F12" s="25"/>
      <c r="G12" s="25"/>
      <c r="H12" s="25"/>
      <c r="I12" s="25"/>
      <c r="J12" s="25"/>
      <c r="K12" s="25"/>
      <c r="L12" s="25">
        <v>47376.515151515152</v>
      </c>
      <c r="M12" s="25"/>
      <c r="N12" s="25">
        <v>47376.515151515152</v>
      </c>
    </row>
    <row r="13" spans="1:14" x14ac:dyDescent="0.25">
      <c r="A13" t="s">
        <v>66</v>
      </c>
      <c r="B13" t="s">
        <v>67</v>
      </c>
      <c r="C13" t="s">
        <v>55</v>
      </c>
      <c r="D13" s="25"/>
      <c r="E13" s="25"/>
      <c r="F13" s="25">
        <v>24321.21212121212</v>
      </c>
      <c r="G13" s="25"/>
      <c r="H13" s="25"/>
      <c r="I13" s="25"/>
      <c r="J13" s="25"/>
      <c r="K13" s="25"/>
      <c r="L13" s="25"/>
      <c r="M13" s="25"/>
      <c r="N13" s="25">
        <v>24321.21212121212</v>
      </c>
    </row>
    <row r="14" spans="1:14" x14ac:dyDescent="0.25">
      <c r="A14" t="s">
        <v>72</v>
      </c>
      <c r="B14" t="s">
        <v>73</v>
      </c>
      <c r="C14" t="s">
        <v>70</v>
      </c>
      <c r="D14" s="25"/>
      <c r="E14" s="25"/>
      <c r="F14" s="25">
        <v>15987.878787878788</v>
      </c>
      <c r="G14" s="25"/>
      <c r="H14" s="25"/>
      <c r="I14" s="25"/>
      <c r="J14" s="25"/>
      <c r="K14" s="25"/>
      <c r="L14" s="25"/>
      <c r="M14" s="25"/>
      <c r="N14" s="25">
        <v>15987.878787878788</v>
      </c>
    </row>
    <row r="15" spans="1:14" x14ac:dyDescent="0.25">
      <c r="A15" t="s">
        <v>75</v>
      </c>
      <c r="B15" t="s">
        <v>73</v>
      </c>
      <c r="C15" t="s">
        <v>76</v>
      </c>
      <c r="D15" s="25"/>
      <c r="E15" s="25">
        <v>5313.636363636364</v>
      </c>
      <c r="F15" s="25"/>
      <c r="G15" s="25"/>
      <c r="H15" s="25"/>
      <c r="I15" s="25"/>
      <c r="J15" s="25"/>
      <c r="K15" s="25"/>
      <c r="L15" s="25"/>
      <c r="M15" s="25"/>
      <c r="N15" s="25">
        <v>5313.636363636364</v>
      </c>
    </row>
    <row r="16" spans="1:14" x14ac:dyDescent="0.25">
      <c r="A16" t="s">
        <v>78</v>
      </c>
      <c r="B16" t="s">
        <v>76</v>
      </c>
      <c r="C16" t="s">
        <v>79</v>
      </c>
      <c r="D16" s="25"/>
      <c r="E16" s="25"/>
      <c r="F16" s="25"/>
      <c r="G16" s="25"/>
      <c r="H16" s="25"/>
      <c r="I16" s="25"/>
      <c r="J16" s="25"/>
      <c r="K16" s="25"/>
      <c r="L16" s="25">
        <v>24376.515151515152</v>
      </c>
      <c r="M16" s="25"/>
      <c r="N16" s="25">
        <v>24376.515151515152</v>
      </c>
    </row>
    <row r="17" spans="1:14" x14ac:dyDescent="0.25">
      <c r="A17" t="s">
        <v>81</v>
      </c>
      <c r="B17" t="s">
        <v>82</v>
      </c>
      <c r="C17" t="s">
        <v>83</v>
      </c>
      <c r="D17" s="25"/>
      <c r="E17" s="25">
        <v>26878.409090909092</v>
      </c>
      <c r="F17" s="25"/>
      <c r="G17" s="25"/>
      <c r="H17" s="25"/>
      <c r="I17" s="25"/>
      <c r="J17" s="25"/>
      <c r="K17" s="25"/>
      <c r="L17" s="25"/>
      <c r="M17" s="25"/>
      <c r="N17" s="25">
        <v>26878.409090909092</v>
      </c>
    </row>
    <row r="18" spans="1:14" x14ac:dyDescent="0.25">
      <c r="A18" t="s">
        <v>85</v>
      </c>
      <c r="B18" t="s">
        <v>60</v>
      </c>
      <c r="C18" t="s">
        <v>86</v>
      </c>
      <c r="D18" s="25"/>
      <c r="E18" s="25"/>
      <c r="F18" s="25">
        <v>30078.78787878788</v>
      </c>
      <c r="G18" s="25"/>
      <c r="H18" s="25"/>
      <c r="I18" s="25"/>
      <c r="J18" s="25"/>
      <c r="K18" s="25"/>
      <c r="L18" s="25"/>
      <c r="M18" s="25"/>
      <c r="N18" s="25">
        <v>30078.78787878788</v>
      </c>
    </row>
    <row r="19" spans="1:14" x14ac:dyDescent="0.25">
      <c r="A19" t="s">
        <v>88</v>
      </c>
      <c r="B19" t="s">
        <v>83</v>
      </c>
      <c r="C19" t="s">
        <v>67</v>
      </c>
      <c r="D19" s="25"/>
      <c r="E19" s="25"/>
      <c r="F19" s="25">
        <v>16321.212121212122</v>
      </c>
      <c r="G19" s="25"/>
      <c r="H19" s="25"/>
      <c r="I19" s="25"/>
      <c r="J19" s="25"/>
      <c r="K19" s="25"/>
      <c r="L19" s="25"/>
      <c r="M19" s="25"/>
      <c r="N19" s="25">
        <v>16321.212121212122</v>
      </c>
    </row>
    <row r="20" spans="1:14" x14ac:dyDescent="0.25">
      <c r="A20" t="s">
        <v>93</v>
      </c>
      <c r="B20" t="s">
        <v>44</v>
      </c>
      <c r="C20" t="s">
        <v>94</v>
      </c>
      <c r="D20" s="25"/>
      <c r="E20" s="25"/>
      <c r="F20" s="25">
        <v>42575.757575757576</v>
      </c>
      <c r="G20" s="25"/>
      <c r="H20" s="25"/>
      <c r="I20" s="25"/>
      <c r="J20" s="25"/>
      <c r="K20" s="25"/>
      <c r="L20" s="25"/>
      <c r="M20" s="25"/>
      <c r="N20" s="25">
        <v>42575.757575757576</v>
      </c>
    </row>
    <row r="21" spans="1:14" x14ac:dyDescent="0.25">
      <c r="A21" t="s">
        <v>98</v>
      </c>
      <c r="B21" t="s">
        <v>99</v>
      </c>
      <c r="C21" t="s">
        <v>100</v>
      </c>
      <c r="D21" s="25"/>
      <c r="E21" s="25">
        <v>21198.863636363636</v>
      </c>
      <c r="F21" s="25"/>
      <c r="G21" s="25"/>
      <c r="H21" s="25"/>
      <c r="I21" s="25"/>
      <c r="J21" s="25"/>
      <c r="K21" s="25"/>
      <c r="L21" s="25"/>
      <c r="M21" s="25"/>
      <c r="N21" s="25">
        <v>21198.863636363636</v>
      </c>
    </row>
    <row r="22" spans="1:14" x14ac:dyDescent="0.25">
      <c r="A22" t="s">
        <v>103</v>
      </c>
      <c r="B22" t="s">
        <v>104</v>
      </c>
      <c r="C22" t="s">
        <v>99</v>
      </c>
      <c r="D22" s="25"/>
      <c r="E22" s="25">
        <v>21178.977272727272</v>
      </c>
      <c r="F22" s="25"/>
      <c r="G22" s="25"/>
      <c r="H22" s="25"/>
      <c r="I22" s="25"/>
      <c r="J22" s="25"/>
      <c r="K22" s="25"/>
      <c r="L22" s="25"/>
      <c r="M22" s="25"/>
      <c r="N22" s="25">
        <v>21178.977272727272</v>
      </c>
    </row>
    <row r="23" spans="1:14" x14ac:dyDescent="0.25">
      <c r="A23" t="s">
        <v>106</v>
      </c>
      <c r="B23" t="s">
        <v>107</v>
      </c>
      <c r="C23" t="s">
        <v>104</v>
      </c>
      <c r="D23" s="25"/>
      <c r="E23" s="25">
        <v>21278.409090909092</v>
      </c>
      <c r="F23" s="25"/>
      <c r="G23" s="25"/>
      <c r="H23" s="25"/>
      <c r="I23" s="25"/>
      <c r="J23" s="25"/>
      <c r="K23" s="25"/>
      <c r="L23" s="25"/>
      <c r="M23" s="25"/>
      <c r="N23" s="25">
        <v>21278.409090909092</v>
      </c>
    </row>
    <row r="24" spans="1:14" x14ac:dyDescent="0.25">
      <c r="A24" t="s">
        <v>112</v>
      </c>
      <c r="B24" t="s">
        <v>113</v>
      </c>
      <c r="C24" t="s">
        <v>110</v>
      </c>
      <c r="D24" s="25"/>
      <c r="E24" s="25">
        <v>22451.704545454544</v>
      </c>
      <c r="F24" s="25"/>
      <c r="G24" s="25"/>
      <c r="H24" s="25"/>
      <c r="I24" s="25"/>
      <c r="J24" s="25"/>
      <c r="K24" s="25"/>
      <c r="L24" s="25"/>
      <c r="M24" s="25"/>
      <c r="N24" s="25">
        <v>22451.704545454544</v>
      </c>
    </row>
    <row r="25" spans="1:14" x14ac:dyDescent="0.25">
      <c r="A25" t="s">
        <v>134</v>
      </c>
      <c r="B25" t="s">
        <v>131</v>
      </c>
      <c r="C25" t="s">
        <v>135</v>
      </c>
      <c r="D25" s="25"/>
      <c r="E25" s="25"/>
      <c r="F25" s="25">
        <v>22054.545454545456</v>
      </c>
      <c r="G25" s="25"/>
      <c r="H25" s="25"/>
      <c r="I25" s="25"/>
      <c r="J25" s="25"/>
      <c r="K25" s="25"/>
      <c r="L25" s="25"/>
      <c r="M25" s="25"/>
      <c r="N25" s="25">
        <v>22054.545454545456</v>
      </c>
    </row>
    <row r="26" spans="1:14" x14ac:dyDescent="0.25">
      <c r="A26" t="s">
        <v>139</v>
      </c>
      <c r="B26" t="s">
        <v>140</v>
      </c>
      <c r="C26" t="s">
        <v>73</v>
      </c>
      <c r="D26" s="25"/>
      <c r="E26" s="25">
        <v>17340.909090909092</v>
      </c>
      <c r="F26" s="25"/>
      <c r="G26" s="25"/>
      <c r="H26" s="25"/>
      <c r="I26" s="25"/>
      <c r="J26" s="25"/>
      <c r="K26" s="25"/>
      <c r="L26" s="25"/>
      <c r="M26" s="25"/>
      <c r="N26" s="25">
        <v>17340.909090909092</v>
      </c>
    </row>
    <row r="27" spans="1:14" x14ac:dyDescent="0.25">
      <c r="A27" t="s">
        <v>141</v>
      </c>
      <c r="B27" t="s">
        <v>138</v>
      </c>
      <c r="C27" t="s">
        <v>142</v>
      </c>
      <c r="D27" s="25"/>
      <c r="E27" s="25">
        <v>10511.931818181818</v>
      </c>
      <c r="F27" s="25"/>
      <c r="G27" s="25"/>
      <c r="H27" s="25"/>
      <c r="I27" s="25"/>
      <c r="J27" s="25"/>
      <c r="K27" s="25"/>
      <c r="L27" s="25"/>
      <c r="M27" s="25"/>
      <c r="N27" s="25">
        <v>10511.931818181818</v>
      </c>
    </row>
    <row r="28" spans="1:14" x14ac:dyDescent="0.25">
      <c r="A28" t="s">
        <v>148</v>
      </c>
      <c r="B28" t="s">
        <v>147</v>
      </c>
      <c r="C28" t="s">
        <v>149</v>
      </c>
      <c r="D28" s="25"/>
      <c r="E28" s="25"/>
      <c r="F28" s="25">
        <v>15345.454545454546</v>
      </c>
      <c r="G28" s="25"/>
      <c r="H28" s="25"/>
      <c r="I28" s="25"/>
      <c r="J28" s="25"/>
      <c r="K28" s="25"/>
      <c r="L28" s="25"/>
      <c r="M28" s="25"/>
      <c r="N28" s="25">
        <v>15345.454545454546</v>
      </c>
    </row>
    <row r="29" spans="1:14" x14ac:dyDescent="0.25">
      <c r="A29" t="s">
        <v>164</v>
      </c>
      <c r="B29" t="s">
        <v>59</v>
      </c>
      <c r="C29" t="s">
        <v>165</v>
      </c>
      <c r="D29" s="25"/>
      <c r="E29" s="25">
        <v>28696.022727272728</v>
      </c>
      <c r="F29" s="25"/>
      <c r="G29" s="25"/>
      <c r="H29" s="25"/>
      <c r="I29" s="25"/>
      <c r="J29" s="25"/>
      <c r="K29" s="25"/>
      <c r="L29" s="25"/>
      <c r="M29" s="25"/>
      <c r="N29" s="25">
        <v>28696.022727272728</v>
      </c>
    </row>
    <row r="30" spans="1:14" x14ac:dyDescent="0.25">
      <c r="A30" t="s">
        <v>170</v>
      </c>
      <c r="B30" t="s">
        <v>64</v>
      </c>
      <c r="C30" t="s">
        <v>59</v>
      </c>
      <c r="D30" s="25"/>
      <c r="E30" s="25"/>
      <c r="F30" s="25">
        <v>32272.727272727272</v>
      </c>
      <c r="G30" s="25"/>
      <c r="H30" s="25"/>
      <c r="I30" s="25"/>
      <c r="J30" s="25"/>
      <c r="K30" s="25"/>
      <c r="L30" s="25"/>
      <c r="M30" s="25"/>
      <c r="N30" s="25">
        <v>32272.727272727272</v>
      </c>
    </row>
    <row r="31" spans="1:14" x14ac:dyDescent="0.25">
      <c r="A31" t="s">
        <v>177</v>
      </c>
      <c r="B31" t="s">
        <v>79</v>
      </c>
      <c r="C31" t="s">
        <v>73</v>
      </c>
      <c r="D31" s="25"/>
      <c r="E31" s="25">
        <v>13562.5</v>
      </c>
      <c r="F31" s="25"/>
      <c r="G31" s="25"/>
      <c r="H31" s="25"/>
      <c r="I31" s="25"/>
      <c r="J31" s="25"/>
      <c r="K31" s="25"/>
      <c r="L31" s="25"/>
      <c r="M31" s="25"/>
      <c r="N31" s="25">
        <v>13562.5</v>
      </c>
    </row>
    <row r="32" spans="1:14" x14ac:dyDescent="0.25">
      <c r="A32" t="s">
        <v>195</v>
      </c>
      <c r="B32" t="s">
        <v>206</v>
      </c>
      <c r="C32" t="s">
        <v>197</v>
      </c>
      <c r="D32" s="25"/>
      <c r="E32" s="25">
        <v>10181.818181818182</v>
      </c>
      <c r="F32" s="25"/>
      <c r="G32" s="25"/>
      <c r="H32" s="25"/>
      <c r="I32" s="25"/>
      <c r="J32" s="25"/>
      <c r="K32" s="25"/>
      <c r="L32" s="25"/>
      <c r="M32" s="25"/>
      <c r="N32" s="25">
        <v>10181.818181818182</v>
      </c>
    </row>
    <row r="33" spans="1:14" x14ac:dyDescent="0.25">
      <c r="A33" t="s">
        <v>199</v>
      </c>
      <c r="B33" t="s">
        <v>197</v>
      </c>
      <c r="C33" t="s">
        <v>25</v>
      </c>
      <c r="D33" s="25"/>
      <c r="E33" s="25">
        <v>21000</v>
      </c>
      <c r="F33" s="25"/>
      <c r="G33" s="25"/>
      <c r="H33" s="25"/>
      <c r="I33" s="25"/>
      <c r="J33" s="25"/>
      <c r="K33" s="25"/>
      <c r="L33" s="25"/>
      <c r="M33" s="25"/>
      <c r="N33" s="25">
        <v>21000</v>
      </c>
    </row>
    <row r="34" spans="1:14" x14ac:dyDescent="0.25">
      <c r="A34" t="s">
        <v>200</v>
      </c>
      <c r="B34" t="s">
        <v>107</v>
      </c>
      <c r="C34" t="s">
        <v>110</v>
      </c>
      <c r="D34" s="25"/>
      <c r="E34" s="25"/>
      <c r="F34" s="25"/>
      <c r="G34" s="25"/>
      <c r="H34" s="25"/>
      <c r="I34" s="25"/>
      <c r="J34" s="25"/>
      <c r="K34" s="25"/>
      <c r="L34" s="25">
        <v>46609.848484848488</v>
      </c>
      <c r="M34" s="25"/>
      <c r="N34" s="25">
        <v>46609.848484848488</v>
      </c>
    </row>
    <row r="35" spans="1:14" x14ac:dyDescent="0.25">
      <c r="A35" t="s">
        <v>208</v>
      </c>
      <c r="B35" t="s">
        <v>209</v>
      </c>
      <c r="C35" t="s">
        <v>210</v>
      </c>
      <c r="D35" s="25"/>
      <c r="E35" s="25"/>
      <c r="F35" s="25"/>
      <c r="G35" s="25"/>
      <c r="H35" s="25"/>
      <c r="I35" s="25"/>
      <c r="J35" s="25"/>
      <c r="K35" s="25"/>
      <c r="L35" s="25">
        <v>16465.909090909092</v>
      </c>
      <c r="M35" s="25"/>
      <c r="N35" s="25">
        <v>16465.909090909092</v>
      </c>
    </row>
    <row r="36" spans="1:14" x14ac:dyDescent="0.25">
      <c r="A36" t="s">
        <v>212</v>
      </c>
      <c r="B36" t="s">
        <v>44</v>
      </c>
      <c r="C36" t="s">
        <v>35</v>
      </c>
      <c r="D36" s="25"/>
      <c r="E36" s="25">
        <v>10340.90909090909</v>
      </c>
      <c r="F36" s="25"/>
      <c r="G36" s="25"/>
      <c r="H36" s="25"/>
      <c r="I36" s="25"/>
      <c r="J36" s="25"/>
      <c r="K36" s="25"/>
      <c r="L36" s="25"/>
      <c r="M36" s="25"/>
      <c r="N36" s="25">
        <v>10340.90909090909</v>
      </c>
    </row>
    <row r="37" spans="1:14" x14ac:dyDescent="0.25">
      <c r="A37" t="s">
        <v>247</v>
      </c>
      <c r="B37" t="s">
        <v>248</v>
      </c>
      <c r="C37" t="s">
        <v>249</v>
      </c>
      <c r="D37" s="25"/>
      <c r="E37" s="25">
        <v>9450</v>
      </c>
      <c r="F37" s="25"/>
      <c r="G37" s="25"/>
      <c r="H37" s="25"/>
      <c r="I37" s="25"/>
      <c r="J37" s="25"/>
      <c r="K37" s="25"/>
      <c r="L37" s="25"/>
      <c r="M37" s="25"/>
      <c r="N37" s="25">
        <v>9450</v>
      </c>
    </row>
    <row r="38" spans="1:14" x14ac:dyDescent="0.25">
      <c r="A38" t="s">
        <v>252</v>
      </c>
      <c r="B38" t="s">
        <v>20</v>
      </c>
      <c r="C38" t="s">
        <v>21</v>
      </c>
      <c r="D38" s="25"/>
      <c r="E38" s="25">
        <v>21039.772727272728</v>
      </c>
      <c r="F38" s="25"/>
      <c r="G38" s="25"/>
      <c r="H38" s="25"/>
      <c r="I38" s="25"/>
      <c r="J38" s="25"/>
      <c r="K38" s="25"/>
      <c r="L38" s="25"/>
      <c r="M38" s="25"/>
      <c r="N38" s="25">
        <v>21039.772727272728</v>
      </c>
    </row>
    <row r="39" spans="1:14" x14ac:dyDescent="0.25">
      <c r="A39" t="s">
        <v>258</v>
      </c>
      <c r="B39" t="s">
        <v>35</v>
      </c>
      <c r="C39" t="s">
        <v>213</v>
      </c>
      <c r="D39" s="25"/>
      <c r="E39" s="25">
        <v>10559.65909090909</v>
      </c>
      <c r="F39" s="25"/>
      <c r="G39" s="25"/>
      <c r="H39" s="25"/>
      <c r="I39" s="25"/>
      <c r="J39" s="25"/>
      <c r="K39" s="25"/>
      <c r="L39" s="25"/>
      <c r="M39" s="25"/>
      <c r="N39" s="25">
        <v>10559.65909090909</v>
      </c>
    </row>
    <row r="40" spans="1:14" x14ac:dyDescent="0.25">
      <c r="A40" t="s">
        <v>260</v>
      </c>
      <c r="B40" t="s">
        <v>39</v>
      </c>
      <c r="C40" t="s">
        <v>38</v>
      </c>
      <c r="D40" s="25"/>
      <c r="E40" s="25">
        <v>20801.136363636364</v>
      </c>
      <c r="F40" s="25"/>
      <c r="G40" s="25"/>
      <c r="H40" s="25"/>
      <c r="I40" s="25"/>
      <c r="J40" s="25"/>
      <c r="K40" s="25"/>
      <c r="L40" s="25"/>
      <c r="M40" s="25"/>
      <c r="N40" s="25">
        <v>20801.136363636364</v>
      </c>
    </row>
    <row r="41" spans="1:14" x14ac:dyDescent="0.25">
      <c r="A41" t="s">
        <v>262</v>
      </c>
      <c r="B41" t="s">
        <v>213</v>
      </c>
      <c r="C41" t="s">
        <v>39</v>
      </c>
      <c r="D41" s="25"/>
      <c r="E41" s="25">
        <v>20980.113636363636</v>
      </c>
      <c r="F41" s="25"/>
      <c r="G41" s="25"/>
      <c r="H41" s="25"/>
      <c r="I41" s="25"/>
      <c r="J41" s="25"/>
      <c r="K41" s="25"/>
      <c r="L41" s="25"/>
      <c r="M41" s="25"/>
      <c r="N41" s="25">
        <v>20980.113636363636</v>
      </c>
    </row>
    <row r="42" spans="1:14" x14ac:dyDescent="0.25">
      <c r="A42" t="s">
        <v>269</v>
      </c>
      <c r="B42" t="s">
        <v>20</v>
      </c>
      <c r="C42" t="s">
        <v>21</v>
      </c>
      <c r="D42" s="25"/>
      <c r="E42" s="25">
        <v>20880.68181818182</v>
      </c>
      <c r="F42" s="25"/>
      <c r="G42" s="25"/>
      <c r="H42" s="25"/>
      <c r="I42" s="25"/>
      <c r="J42" s="25"/>
      <c r="K42" s="25"/>
      <c r="L42" s="25"/>
      <c r="M42" s="25"/>
      <c r="N42" s="25">
        <v>20880.68181818182</v>
      </c>
    </row>
    <row r="43" spans="1:14" x14ac:dyDescent="0.25">
      <c r="A43" t="s">
        <v>271</v>
      </c>
      <c r="B43" t="s">
        <v>272</v>
      </c>
      <c r="C43" t="s">
        <v>35</v>
      </c>
      <c r="D43" s="25"/>
      <c r="E43" s="25"/>
      <c r="F43" s="25">
        <v>16818.18181818182</v>
      </c>
      <c r="G43" s="25"/>
      <c r="H43" s="25"/>
      <c r="I43" s="25"/>
      <c r="J43" s="25"/>
      <c r="K43" s="25"/>
      <c r="L43" s="25"/>
      <c r="M43" s="25"/>
      <c r="N43" s="25">
        <v>16818.18181818182</v>
      </c>
    </row>
    <row r="44" spans="1:14" x14ac:dyDescent="0.25">
      <c r="A44" t="s">
        <v>274</v>
      </c>
      <c r="B44" t="s">
        <v>35</v>
      </c>
      <c r="C44" t="s">
        <v>213</v>
      </c>
      <c r="D44" s="25"/>
      <c r="E44" s="25"/>
      <c r="F44" s="25">
        <v>16000</v>
      </c>
      <c r="G44" s="25"/>
      <c r="H44" s="25"/>
      <c r="I44" s="25"/>
      <c r="J44" s="25"/>
      <c r="K44" s="25"/>
      <c r="L44" s="25"/>
      <c r="M44" s="25"/>
      <c r="N44" s="25">
        <v>16000</v>
      </c>
    </row>
    <row r="45" spans="1:14" x14ac:dyDescent="0.25">
      <c r="A45" t="s">
        <v>276</v>
      </c>
      <c r="B45" t="s">
        <v>39</v>
      </c>
      <c r="C45" t="s">
        <v>38</v>
      </c>
      <c r="D45" s="25"/>
      <c r="E45" s="25">
        <v>21835.227272727272</v>
      </c>
      <c r="F45" s="25"/>
      <c r="G45" s="25"/>
      <c r="H45" s="25"/>
      <c r="I45" s="25"/>
      <c r="J45" s="25"/>
      <c r="K45" s="25"/>
      <c r="L45" s="25"/>
      <c r="M45" s="25"/>
      <c r="N45" s="25">
        <v>21835.227272727272</v>
      </c>
    </row>
    <row r="46" spans="1:14" x14ac:dyDescent="0.25">
      <c r="A46" t="s">
        <v>283</v>
      </c>
      <c r="B46" t="s">
        <v>197</v>
      </c>
      <c r="C46" t="s">
        <v>206</v>
      </c>
      <c r="D46" s="25"/>
      <c r="E46" s="25">
        <v>8909.0909090909099</v>
      </c>
      <c r="F46" s="25"/>
      <c r="G46" s="25"/>
      <c r="H46" s="25"/>
      <c r="I46" s="25"/>
      <c r="J46" s="25"/>
      <c r="K46" s="25"/>
      <c r="L46" s="25"/>
      <c r="M46" s="25"/>
      <c r="N46" s="25">
        <v>8909.0909090909099</v>
      </c>
    </row>
    <row r="47" spans="1:14" x14ac:dyDescent="0.25">
      <c r="A47" t="s">
        <v>289</v>
      </c>
      <c r="B47" t="s">
        <v>131</v>
      </c>
      <c r="C47" t="s">
        <v>129</v>
      </c>
      <c r="D47" s="25"/>
      <c r="E47" s="25">
        <v>26607.954545454544</v>
      </c>
      <c r="F47" s="25"/>
      <c r="G47" s="25"/>
      <c r="H47" s="25"/>
      <c r="I47" s="25"/>
      <c r="J47" s="25"/>
      <c r="K47" s="25"/>
      <c r="L47" s="25"/>
      <c r="M47" s="25"/>
      <c r="N47" s="25">
        <v>26607.954545454544</v>
      </c>
    </row>
    <row r="48" spans="1:14" x14ac:dyDescent="0.25">
      <c r="A48" t="s">
        <v>311</v>
      </c>
      <c r="B48" t="s">
        <v>110</v>
      </c>
      <c r="C48" t="s">
        <v>210</v>
      </c>
      <c r="D48" s="25"/>
      <c r="E48" s="25">
        <v>21238.636363636364</v>
      </c>
      <c r="F48" s="25"/>
      <c r="G48" s="25"/>
      <c r="H48" s="25"/>
      <c r="I48" s="25"/>
      <c r="J48" s="25"/>
      <c r="K48" s="25"/>
      <c r="L48" s="25"/>
      <c r="M48" s="25"/>
      <c r="N48" s="25">
        <v>21238.636363636364</v>
      </c>
    </row>
    <row r="49" spans="1:14" x14ac:dyDescent="0.25">
      <c r="A49" t="s">
        <v>322</v>
      </c>
      <c r="B49" t="s">
        <v>323</v>
      </c>
      <c r="C49" t="s">
        <v>59</v>
      </c>
      <c r="D49" s="25"/>
      <c r="E49" s="25">
        <v>15921.022727272728</v>
      </c>
      <c r="F49" s="25"/>
      <c r="G49" s="25"/>
      <c r="H49" s="25"/>
      <c r="I49" s="25"/>
      <c r="J49" s="25"/>
      <c r="K49" s="25"/>
      <c r="L49" s="25"/>
      <c r="M49" s="25"/>
      <c r="N49" s="25">
        <v>15921.022727272728</v>
      </c>
    </row>
    <row r="50" spans="1:14" x14ac:dyDescent="0.25">
      <c r="A50" t="s">
        <v>333</v>
      </c>
      <c r="B50" t="s">
        <v>135</v>
      </c>
      <c r="C50" t="s">
        <v>138</v>
      </c>
      <c r="D50" s="25"/>
      <c r="E50" s="25">
        <v>22336.363636363636</v>
      </c>
      <c r="F50" s="25"/>
      <c r="G50" s="25"/>
      <c r="H50" s="25"/>
      <c r="I50" s="25"/>
      <c r="J50" s="25"/>
      <c r="K50" s="25"/>
      <c r="L50" s="25"/>
      <c r="M50" s="25"/>
      <c r="N50" s="25">
        <v>22336.363636363636</v>
      </c>
    </row>
    <row r="51" spans="1:14" x14ac:dyDescent="0.25">
      <c r="A51" t="s">
        <v>335</v>
      </c>
      <c r="B51" t="s">
        <v>140</v>
      </c>
      <c r="C51" t="s">
        <v>73</v>
      </c>
      <c r="D51" s="25"/>
      <c r="E51" s="25">
        <v>17360.795454545456</v>
      </c>
      <c r="F51" s="25"/>
      <c r="G51" s="25"/>
      <c r="H51" s="25"/>
      <c r="I51" s="25"/>
      <c r="J51" s="25"/>
      <c r="K51" s="25"/>
      <c r="L51" s="25"/>
      <c r="M51" s="25"/>
      <c r="N51" s="25">
        <v>17360.795454545456</v>
      </c>
    </row>
    <row r="52" spans="1:14" x14ac:dyDescent="0.25">
      <c r="A52" t="s">
        <v>337</v>
      </c>
      <c r="B52" t="s">
        <v>138</v>
      </c>
      <c r="C52" t="s">
        <v>142</v>
      </c>
      <c r="D52" s="25"/>
      <c r="E52" s="25">
        <v>14612.5</v>
      </c>
      <c r="F52" s="25"/>
      <c r="G52" s="25"/>
      <c r="H52" s="25"/>
      <c r="I52" s="25"/>
      <c r="J52" s="25"/>
      <c r="K52" s="25"/>
      <c r="L52" s="25"/>
      <c r="M52" s="25"/>
      <c r="N52" s="25">
        <v>14612.5</v>
      </c>
    </row>
    <row r="53" spans="1:14" x14ac:dyDescent="0.25">
      <c r="A53" t="s">
        <v>342</v>
      </c>
      <c r="B53" t="s">
        <v>288</v>
      </c>
      <c r="C53" t="s">
        <v>295</v>
      </c>
      <c r="D53" s="25"/>
      <c r="E53" s="25">
        <v>10778.40909090909</v>
      </c>
      <c r="F53" s="25"/>
      <c r="G53" s="25"/>
      <c r="H53" s="25"/>
      <c r="I53" s="25"/>
      <c r="J53" s="25"/>
      <c r="K53" s="25"/>
      <c r="L53" s="25"/>
      <c r="M53" s="25"/>
      <c r="N53" s="25">
        <v>10778.40909090909</v>
      </c>
    </row>
    <row r="54" spans="1:14" x14ac:dyDescent="0.25">
      <c r="A54" t="s">
        <v>344</v>
      </c>
      <c r="B54" t="s">
        <v>155</v>
      </c>
      <c r="C54" t="s">
        <v>102</v>
      </c>
      <c r="D54" s="25"/>
      <c r="E54" s="25">
        <v>20069.31818181818</v>
      </c>
      <c r="F54" s="25"/>
      <c r="G54" s="25"/>
      <c r="H54" s="25"/>
      <c r="I54" s="25"/>
      <c r="J54" s="25"/>
      <c r="K54" s="25"/>
      <c r="L54" s="25"/>
      <c r="M54" s="25"/>
      <c r="N54" s="25">
        <v>20069.31818181818</v>
      </c>
    </row>
    <row r="55" spans="1:14" x14ac:dyDescent="0.25">
      <c r="A55" t="s">
        <v>345</v>
      </c>
      <c r="B55" t="s">
        <v>121</v>
      </c>
      <c r="C55" t="s">
        <v>117</v>
      </c>
      <c r="D55" s="25"/>
      <c r="E55" s="25">
        <v>12926.136363636364</v>
      </c>
      <c r="F55" s="25"/>
      <c r="G55" s="25"/>
      <c r="H55" s="25"/>
      <c r="I55" s="25"/>
      <c r="J55" s="25"/>
      <c r="K55" s="25"/>
      <c r="L55" s="25"/>
      <c r="M55" s="25"/>
      <c r="N55" s="25">
        <v>12926.136363636364</v>
      </c>
    </row>
    <row r="56" spans="1:14" x14ac:dyDescent="0.25">
      <c r="A56" t="s">
        <v>346</v>
      </c>
      <c r="B56" t="s">
        <v>158</v>
      </c>
      <c r="C56" t="s">
        <v>121</v>
      </c>
      <c r="D56" s="25"/>
      <c r="E56" s="25">
        <v>10500</v>
      </c>
      <c r="F56" s="25"/>
      <c r="G56" s="25"/>
      <c r="H56" s="25"/>
      <c r="I56" s="25"/>
      <c r="J56" s="25"/>
      <c r="K56" s="25"/>
      <c r="L56" s="25"/>
      <c r="M56" s="25"/>
      <c r="N56" s="25">
        <v>10500</v>
      </c>
    </row>
    <row r="57" spans="1:14" x14ac:dyDescent="0.25">
      <c r="A57" t="s">
        <v>348</v>
      </c>
      <c r="B57" t="s">
        <v>158</v>
      </c>
      <c r="C57" t="s">
        <v>124</v>
      </c>
      <c r="D57" s="25"/>
      <c r="E57" s="25">
        <v>10710.795454545454</v>
      </c>
      <c r="F57" s="25"/>
      <c r="G57" s="25"/>
      <c r="H57" s="25"/>
      <c r="I57" s="25"/>
      <c r="J57" s="25"/>
      <c r="K57" s="25"/>
      <c r="L57" s="25"/>
      <c r="M57" s="25"/>
      <c r="N57" s="25">
        <v>10710.795454545454</v>
      </c>
    </row>
    <row r="58" spans="1:14" x14ac:dyDescent="0.25">
      <c r="A58" t="s">
        <v>350</v>
      </c>
      <c r="B58" t="s">
        <v>162</v>
      </c>
      <c r="C58" t="s">
        <v>124</v>
      </c>
      <c r="D58" s="25"/>
      <c r="E58" s="25">
        <v>5460.795454545455</v>
      </c>
      <c r="F58" s="25"/>
      <c r="G58" s="25"/>
      <c r="H58" s="25"/>
      <c r="I58" s="25"/>
      <c r="J58" s="25"/>
      <c r="K58" s="25"/>
      <c r="L58" s="25"/>
      <c r="M58" s="25"/>
      <c r="N58" s="25">
        <v>5460.795454545455</v>
      </c>
    </row>
    <row r="59" spans="1:14" x14ac:dyDescent="0.25">
      <c r="A59" t="s">
        <v>353</v>
      </c>
      <c r="B59" t="s">
        <v>129</v>
      </c>
      <c r="C59" t="s">
        <v>354</v>
      </c>
      <c r="D59" s="25"/>
      <c r="E59" s="25">
        <v>5273.863636363636</v>
      </c>
      <c r="F59" s="25"/>
      <c r="G59" s="25"/>
      <c r="H59" s="25"/>
      <c r="I59" s="25"/>
      <c r="J59" s="25"/>
      <c r="K59" s="25"/>
      <c r="L59" s="25"/>
      <c r="M59" s="25"/>
      <c r="N59" s="25">
        <v>5273.863636363636</v>
      </c>
    </row>
    <row r="60" spans="1:14" x14ac:dyDescent="0.25">
      <c r="A60" t="s">
        <v>358</v>
      </c>
      <c r="B60" t="s">
        <v>59</v>
      </c>
      <c r="C60" t="s">
        <v>64</v>
      </c>
      <c r="D60" s="25"/>
      <c r="E60" s="25">
        <v>21318.18181818182</v>
      </c>
      <c r="F60" s="25"/>
      <c r="G60" s="25"/>
      <c r="H60" s="25"/>
      <c r="I60" s="25"/>
      <c r="J60" s="25"/>
      <c r="K60" s="25"/>
      <c r="L60" s="25"/>
      <c r="M60" s="25"/>
      <c r="N60" s="25">
        <v>21318.18181818182</v>
      </c>
    </row>
    <row r="61" spans="1:14" x14ac:dyDescent="0.25">
      <c r="A61" t="s">
        <v>364</v>
      </c>
      <c r="B61" t="s">
        <v>138</v>
      </c>
      <c r="C61" t="s">
        <v>135</v>
      </c>
      <c r="D61" s="25"/>
      <c r="E61" s="25">
        <v>21238.636363636364</v>
      </c>
      <c r="F61" s="25"/>
      <c r="G61" s="25"/>
      <c r="H61" s="25"/>
      <c r="I61" s="25"/>
      <c r="J61" s="25"/>
      <c r="K61" s="25"/>
      <c r="L61" s="25"/>
      <c r="M61" s="25"/>
      <c r="N61" s="25">
        <v>21238.636363636364</v>
      </c>
    </row>
    <row r="62" spans="1:14" x14ac:dyDescent="0.25">
      <c r="A62" t="s">
        <v>370</v>
      </c>
      <c r="B62" t="s">
        <v>340</v>
      </c>
      <c r="C62" t="s">
        <v>138</v>
      </c>
      <c r="D62" s="25"/>
      <c r="E62" s="25">
        <v>21377.840909090908</v>
      </c>
      <c r="F62" s="25"/>
      <c r="G62" s="25"/>
      <c r="H62" s="25"/>
      <c r="I62" s="25"/>
      <c r="J62" s="25"/>
      <c r="K62" s="25"/>
      <c r="L62" s="25"/>
      <c r="M62" s="25"/>
      <c r="N62" s="25">
        <v>21377.840909090908</v>
      </c>
    </row>
    <row r="63" spans="1:14" x14ac:dyDescent="0.25">
      <c r="A63" t="s">
        <v>378</v>
      </c>
      <c r="B63" t="s">
        <v>129</v>
      </c>
      <c r="C63" t="s">
        <v>162</v>
      </c>
      <c r="D63" s="25"/>
      <c r="E63" s="25">
        <v>15948.863636363636</v>
      </c>
      <c r="F63" s="25"/>
      <c r="G63" s="25"/>
      <c r="H63" s="25"/>
      <c r="I63" s="25"/>
      <c r="J63" s="25"/>
      <c r="K63" s="25"/>
      <c r="L63" s="25"/>
      <c r="M63" s="25"/>
      <c r="N63" s="25">
        <v>15948.863636363636</v>
      </c>
    </row>
    <row r="64" spans="1:14" x14ac:dyDescent="0.25">
      <c r="A64" t="s">
        <v>380</v>
      </c>
      <c r="B64" t="s">
        <v>117</v>
      </c>
      <c r="C64" t="s">
        <v>155</v>
      </c>
      <c r="D64" s="25"/>
      <c r="E64" s="25">
        <v>29173.295454545456</v>
      </c>
      <c r="F64" s="25"/>
      <c r="G64" s="25"/>
      <c r="H64" s="25"/>
      <c r="I64" s="25"/>
      <c r="J64" s="25"/>
      <c r="K64" s="25"/>
      <c r="L64" s="25"/>
      <c r="M64" s="25"/>
      <c r="N64" s="25">
        <v>29173.295454545456</v>
      </c>
    </row>
    <row r="65" spans="1:14" x14ac:dyDescent="0.25">
      <c r="A65" t="s">
        <v>386</v>
      </c>
      <c r="B65" t="s">
        <v>193</v>
      </c>
      <c r="C65" t="s">
        <v>119</v>
      </c>
      <c r="D65" s="25"/>
      <c r="E65" s="25">
        <v>21079.545454545456</v>
      </c>
      <c r="F65" s="25"/>
      <c r="G65" s="25"/>
      <c r="H65" s="25"/>
      <c r="I65" s="25"/>
      <c r="J65" s="25"/>
      <c r="K65" s="25"/>
      <c r="L65" s="25"/>
      <c r="M65" s="25"/>
      <c r="N65" s="25">
        <v>21079.545454545456</v>
      </c>
    </row>
    <row r="66" spans="1:14" x14ac:dyDescent="0.25">
      <c r="A66" t="s">
        <v>390</v>
      </c>
      <c r="B66" t="s">
        <v>197</v>
      </c>
      <c r="C66" t="s">
        <v>193</v>
      </c>
      <c r="D66" s="25"/>
      <c r="E66" s="25">
        <v>21079.545454545456</v>
      </c>
      <c r="F66" s="25"/>
      <c r="G66" s="25"/>
      <c r="H66" s="25"/>
      <c r="I66" s="25"/>
      <c r="J66" s="25"/>
      <c r="K66" s="25"/>
      <c r="L66" s="25"/>
      <c r="M66" s="25"/>
      <c r="N66" s="25">
        <v>21079.545454545456</v>
      </c>
    </row>
    <row r="67" spans="1:14" x14ac:dyDescent="0.25">
      <c r="A67" t="s">
        <v>394</v>
      </c>
      <c r="B67" t="s">
        <v>25</v>
      </c>
      <c r="C67" t="s">
        <v>197</v>
      </c>
      <c r="D67" s="25"/>
      <c r="E67" s="25">
        <v>21079.545454545456</v>
      </c>
      <c r="F67" s="25"/>
      <c r="G67" s="25"/>
      <c r="H67" s="25"/>
      <c r="I67" s="25"/>
      <c r="J67" s="25"/>
      <c r="K67" s="25"/>
      <c r="L67" s="25"/>
      <c r="M67" s="25"/>
      <c r="N67" s="25">
        <v>21079.545454545456</v>
      </c>
    </row>
    <row r="68" spans="1:14" x14ac:dyDescent="0.25">
      <c r="A68" t="s">
        <v>426</v>
      </c>
      <c r="B68" t="s">
        <v>153</v>
      </c>
      <c r="C68" t="s">
        <v>288</v>
      </c>
      <c r="D68" s="25"/>
      <c r="E68" s="25">
        <v>21556.81818181818</v>
      </c>
      <c r="F68" s="25"/>
      <c r="G68" s="25"/>
      <c r="H68" s="25"/>
      <c r="I68" s="25"/>
      <c r="J68" s="25"/>
      <c r="K68" s="25"/>
      <c r="L68" s="25"/>
      <c r="M68" s="25"/>
      <c r="N68" s="25">
        <v>21556.81818181818</v>
      </c>
    </row>
    <row r="69" spans="1:14" x14ac:dyDescent="0.25">
      <c r="A69" t="s">
        <v>428</v>
      </c>
      <c r="B69" t="s">
        <v>64</v>
      </c>
      <c r="C69" t="s">
        <v>73</v>
      </c>
      <c r="D69" s="25"/>
      <c r="E69" s="25">
        <v>21556.81818181818</v>
      </c>
      <c r="F69" s="25"/>
      <c r="G69" s="25"/>
      <c r="H69" s="25"/>
      <c r="I69" s="25"/>
      <c r="J69" s="25"/>
      <c r="K69" s="25"/>
      <c r="L69" s="25"/>
      <c r="M69" s="25"/>
      <c r="N69" s="25">
        <v>21556.81818181818</v>
      </c>
    </row>
    <row r="70" spans="1:14" x14ac:dyDescent="0.25">
      <c r="A70" t="s">
        <v>430</v>
      </c>
      <c r="B70" t="s">
        <v>73</v>
      </c>
      <c r="C70" t="s">
        <v>140</v>
      </c>
      <c r="D70" s="25"/>
      <c r="E70" s="25">
        <v>17500</v>
      </c>
      <c r="F70" s="25"/>
      <c r="G70" s="25"/>
      <c r="H70" s="25"/>
      <c r="I70" s="25"/>
      <c r="J70" s="25"/>
      <c r="K70" s="25"/>
      <c r="L70" s="25"/>
      <c r="M70" s="25"/>
      <c r="N70" s="25">
        <v>17500</v>
      </c>
    </row>
    <row r="71" spans="1:14" x14ac:dyDescent="0.25">
      <c r="A71" t="s">
        <v>432</v>
      </c>
      <c r="B71" t="s">
        <v>140</v>
      </c>
      <c r="C71" t="s">
        <v>147</v>
      </c>
      <c r="D71" s="25"/>
      <c r="E71" s="25">
        <v>21628.409090909092</v>
      </c>
      <c r="F71" s="25"/>
      <c r="G71" s="25"/>
      <c r="H71" s="25"/>
      <c r="I71" s="25"/>
      <c r="J71" s="25"/>
      <c r="K71" s="25"/>
      <c r="L71" s="25"/>
      <c r="M71" s="25"/>
      <c r="N71" s="25">
        <v>21628.409090909092</v>
      </c>
    </row>
    <row r="72" spans="1:14" x14ac:dyDescent="0.25">
      <c r="A72" t="s">
        <v>434</v>
      </c>
      <c r="B72" t="s">
        <v>147</v>
      </c>
      <c r="C72" t="s">
        <v>149</v>
      </c>
      <c r="D72" s="25"/>
      <c r="E72" s="25">
        <v>10921.59090909091</v>
      </c>
      <c r="F72" s="25"/>
      <c r="G72" s="25"/>
      <c r="H72" s="25"/>
      <c r="I72" s="25"/>
      <c r="J72" s="25"/>
      <c r="K72" s="25"/>
      <c r="L72" s="25"/>
      <c r="M72" s="25"/>
      <c r="N72" s="25">
        <v>10921.59090909091</v>
      </c>
    </row>
    <row r="73" spans="1:14" x14ac:dyDescent="0.25">
      <c r="A73" t="s">
        <v>436</v>
      </c>
      <c r="B73" t="s">
        <v>149</v>
      </c>
      <c r="C73" t="s">
        <v>153</v>
      </c>
      <c r="D73" s="25"/>
      <c r="E73" s="25">
        <v>21397.727272727272</v>
      </c>
      <c r="F73" s="25"/>
      <c r="G73" s="25"/>
      <c r="H73" s="25"/>
      <c r="I73" s="25"/>
      <c r="J73" s="25"/>
      <c r="K73" s="25"/>
      <c r="L73" s="25"/>
      <c r="M73" s="25"/>
      <c r="N73" s="25">
        <v>21397.727272727272</v>
      </c>
    </row>
    <row r="74" spans="1:14" x14ac:dyDescent="0.25">
      <c r="A74" t="s">
        <v>443</v>
      </c>
      <c r="B74" t="s">
        <v>104</v>
      </c>
      <c r="C74" t="s">
        <v>99</v>
      </c>
      <c r="D74" s="25"/>
      <c r="E74" s="25">
        <v>21278.409090909092</v>
      </c>
      <c r="F74" s="25"/>
      <c r="G74" s="25"/>
      <c r="H74" s="25"/>
      <c r="I74" s="25"/>
      <c r="J74" s="25"/>
      <c r="K74" s="25"/>
      <c r="L74" s="25"/>
      <c r="M74" s="25"/>
      <c r="N74" s="25">
        <v>21278.409090909092</v>
      </c>
    </row>
    <row r="75" spans="1:14" x14ac:dyDescent="0.25">
      <c r="A75" t="s">
        <v>445</v>
      </c>
      <c r="B75" t="s">
        <v>100</v>
      </c>
      <c r="C75" t="s">
        <v>307</v>
      </c>
      <c r="D75" s="25"/>
      <c r="E75" s="25">
        <v>15909.09090909091</v>
      </c>
      <c r="F75" s="25"/>
      <c r="G75" s="25"/>
      <c r="H75" s="25"/>
      <c r="I75" s="25"/>
      <c r="J75" s="25"/>
      <c r="K75" s="25"/>
      <c r="L75" s="25"/>
      <c r="M75" s="25"/>
      <c r="N75" s="25">
        <v>15909.09090909091</v>
      </c>
    </row>
    <row r="76" spans="1:14" x14ac:dyDescent="0.25">
      <c r="A76" t="s">
        <v>448</v>
      </c>
      <c r="B76" t="s">
        <v>28</v>
      </c>
      <c r="C76" t="s">
        <v>406</v>
      </c>
      <c r="D76" s="25"/>
      <c r="E76" s="25"/>
      <c r="F76" s="25"/>
      <c r="G76" s="25"/>
      <c r="H76" s="25"/>
      <c r="I76" s="25"/>
      <c r="J76" s="25"/>
      <c r="K76" s="25"/>
      <c r="L76" s="25">
        <v>48787.878787878784</v>
      </c>
      <c r="M76" s="25"/>
      <c r="N76" s="25">
        <v>48787.878787878784</v>
      </c>
    </row>
    <row r="77" spans="1:14" x14ac:dyDescent="0.25">
      <c r="A77" t="s">
        <v>451</v>
      </c>
      <c r="B77" t="s">
        <v>9</v>
      </c>
      <c r="C77" t="s">
        <v>28</v>
      </c>
      <c r="D77" s="25"/>
      <c r="E77" s="25">
        <v>21357.954545454544</v>
      </c>
      <c r="F77" s="25"/>
      <c r="G77" s="25"/>
      <c r="H77" s="25"/>
      <c r="I77" s="25"/>
      <c r="J77" s="25"/>
      <c r="K77" s="25"/>
      <c r="L77" s="25"/>
      <c r="M77" s="25"/>
      <c r="N77" s="25">
        <v>21357.954545454544</v>
      </c>
    </row>
    <row r="78" spans="1:14" x14ac:dyDescent="0.25">
      <c r="A78" t="s">
        <v>464</v>
      </c>
      <c r="B78" t="s">
        <v>25</v>
      </c>
      <c r="C78" t="s">
        <v>197</v>
      </c>
      <c r="D78" s="25"/>
      <c r="E78" s="25">
        <v>21079.545454545456</v>
      </c>
      <c r="F78" s="25"/>
      <c r="G78" s="25"/>
      <c r="H78" s="25"/>
      <c r="I78" s="25"/>
      <c r="J78" s="25"/>
      <c r="K78" s="25"/>
      <c r="L78" s="25"/>
      <c r="M78" s="25"/>
      <c r="N78" s="25">
        <v>21079.545454545456</v>
      </c>
    </row>
    <row r="79" spans="1:14" x14ac:dyDescent="0.25">
      <c r="A79" t="s">
        <v>472</v>
      </c>
      <c r="B79" t="s">
        <v>9</v>
      </c>
      <c r="C79" t="s">
        <v>28</v>
      </c>
      <c r="D79" s="25"/>
      <c r="E79" s="25">
        <v>20323.863636363636</v>
      </c>
      <c r="F79" s="25"/>
      <c r="G79" s="25"/>
      <c r="H79" s="25"/>
      <c r="I79" s="25"/>
      <c r="J79" s="25"/>
      <c r="K79" s="25"/>
      <c r="L79" s="25"/>
      <c r="M79" s="25"/>
      <c r="N79" s="25">
        <v>20323.863636363636</v>
      </c>
    </row>
    <row r="80" spans="1:14" x14ac:dyDescent="0.25">
      <c r="A80" t="s">
        <v>477</v>
      </c>
      <c r="B80" t="s">
        <v>193</v>
      </c>
      <c r="C80" t="s">
        <v>206</v>
      </c>
      <c r="D80" s="25"/>
      <c r="E80" s="25">
        <v>9545.454545454546</v>
      </c>
      <c r="F80" s="25"/>
      <c r="G80" s="25"/>
      <c r="H80" s="25"/>
      <c r="I80" s="25"/>
      <c r="J80" s="25"/>
      <c r="K80" s="25"/>
      <c r="L80" s="25"/>
      <c r="M80" s="25"/>
      <c r="N80" s="25">
        <v>9545.454545454546</v>
      </c>
    </row>
    <row r="81" spans="1:14" x14ac:dyDescent="0.25">
      <c r="A81" t="s">
        <v>479</v>
      </c>
      <c r="B81" t="s">
        <v>116</v>
      </c>
      <c r="C81" t="s">
        <v>55</v>
      </c>
      <c r="D81" s="25"/>
      <c r="E81" s="25">
        <v>5297.727272727273</v>
      </c>
      <c r="F81" s="25"/>
      <c r="G81" s="25"/>
      <c r="H81" s="25"/>
      <c r="I81" s="25"/>
      <c r="J81" s="25"/>
      <c r="K81" s="25"/>
      <c r="L81" s="25"/>
      <c r="M81" s="25"/>
      <c r="N81" s="25">
        <v>5297.727272727273</v>
      </c>
    </row>
    <row r="82" spans="1:14" x14ac:dyDescent="0.25">
      <c r="A82" t="s">
        <v>496</v>
      </c>
      <c r="B82" t="s">
        <v>129</v>
      </c>
      <c r="C82" t="s">
        <v>168</v>
      </c>
      <c r="D82" s="25"/>
      <c r="E82" s="25"/>
      <c r="F82" s="25"/>
      <c r="G82" s="25"/>
      <c r="H82" s="25"/>
      <c r="I82" s="25"/>
      <c r="J82" s="25"/>
      <c r="K82" s="25"/>
      <c r="L82" s="25">
        <v>46932.196969696968</v>
      </c>
      <c r="M82" s="25"/>
      <c r="N82" s="25">
        <v>46932.196969696968</v>
      </c>
    </row>
    <row r="83" spans="1:14" x14ac:dyDescent="0.25">
      <c r="A83" t="s">
        <v>498</v>
      </c>
      <c r="B83" t="s">
        <v>59</v>
      </c>
      <c r="C83" t="s">
        <v>499</v>
      </c>
      <c r="D83" s="25"/>
      <c r="E83" s="25">
        <v>10659.09090909091</v>
      </c>
      <c r="F83" s="25"/>
      <c r="G83" s="25"/>
      <c r="H83" s="25"/>
      <c r="I83" s="25"/>
      <c r="J83" s="25"/>
      <c r="K83" s="25"/>
      <c r="L83" s="25"/>
      <c r="M83" s="25"/>
      <c r="N83" s="25">
        <v>10659.09090909091</v>
      </c>
    </row>
    <row r="84" spans="1:14" x14ac:dyDescent="0.25">
      <c r="A84" t="s">
        <v>501</v>
      </c>
      <c r="B84" t="s">
        <v>168</v>
      </c>
      <c r="C84" t="s">
        <v>135</v>
      </c>
      <c r="D84" s="25"/>
      <c r="E84" s="25"/>
      <c r="F84" s="25"/>
      <c r="G84" s="25"/>
      <c r="H84" s="25"/>
      <c r="I84" s="25"/>
      <c r="J84" s="25"/>
      <c r="K84" s="25">
        <v>103583.33333333333</v>
      </c>
      <c r="L84" s="25"/>
      <c r="M84" s="25"/>
      <c r="N84" s="25">
        <v>103583.33333333333</v>
      </c>
    </row>
    <row r="85" spans="1:14" x14ac:dyDescent="0.25">
      <c r="A85" t="s">
        <v>503</v>
      </c>
      <c r="B85" t="s">
        <v>504</v>
      </c>
      <c r="C85" t="s">
        <v>406</v>
      </c>
      <c r="D85" s="25"/>
      <c r="E85" s="25">
        <v>1988.6363636363637</v>
      </c>
      <c r="F85" s="25"/>
      <c r="G85" s="25"/>
      <c r="H85" s="25"/>
      <c r="I85" s="25"/>
      <c r="J85" s="25"/>
      <c r="K85" s="25"/>
      <c r="L85" s="25"/>
      <c r="M85" s="25"/>
      <c r="N85" s="25">
        <v>1988.6363636363637</v>
      </c>
    </row>
    <row r="86" spans="1:14" x14ac:dyDescent="0.25">
      <c r="A86" t="s">
        <v>506</v>
      </c>
      <c r="B86" t="s">
        <v>499</v>
      </c>
      <c r="C86" t="s">
        <v>507</v>
      </c>
      <c r="D86" s="25"/>
      <c r="E86" s="25"/>
      <c r="F86" s="25"/>
      <c r="G86" s="25"/>
      <c r="H86" s="25"/>
      <c r="I86" s="25"/>
      <c r="J86" s="25"/>
      <c r="K86" s="25">
        <v>84291.666666666672</v>
      </c>
      <c r="L86" s="25"/>
      <c r="M86" s="25"/>
      <c r="N86" s="25">
        <v>84291.666666666672</v>
      </c>
    </row>
    <row r="87" spans="1:14" x14ac:dyDescent="0.25">
      <c r="A87" t="s">
        <v>515</v>
      </c>
      <c r="B87" t="s">
        <v>138</v>
      </c>
      <c r="C87" t="s">
        <v>340</v>
      </c>
      <c r="D87" s="25"/>
      <c r="E87" s="25">
        <v>21159.090909090908</v>
      </c>
      <c r="F87" s="25"/>
      <c r="G87" s="25"/>
      <c r="H87" s="25"/>
      <c r="I87" s="25"/>
      <c r="J87" s="25"/>
      <c r="K87" s="25"/>
      <c r="L87" s="25"/>
      <c r="M87" s="25"/>
      <c r="N87" s="25">
        <v>21159.090909090908</v>
      </c>
    </row>
    <row r="88" spans="1:14" x14ac:dyDescent="0.25">
      <c r="A88" t="s">
        <v>525</v>
      </c>
      <c r="B88" t="s">
        <v>86</v>
      </c>
      <c r="C88" t="s">
        <v>504</v>
      </c>
      <c r="D88" s="25"/>
      <c r="E88" s="25">
        <v>23963.06818181818</v>
      </c>
      <c r="F88" s="25"/>
      <c r="G88" s="25"/>
      <c r="H88" s="25"/>
      <c r="I88" s="25"/>
      <c r="J88" s="25"/>
      <c r="K88" s="25"/>
      <c r="L88" s="25"/>
      <c r="M88" s="25"/>
      <c r="N88" s="25">
        <v>23963.06818181818</v>
      </c>
    </row>
    <row r="89" spans="1:14" x14ac:dyDescent="0.25">
      <c r="A89" t="s">
        <v>537</v>
      </c>
      <c r="B89" t="s">
        <v>4</v>
      </c>
      <c r="C89" t="s">
        <v>455</v>
      </c>
      <c r="D89" s="25"/>
      <c r="E89" s="25">
        <v>15909.09090909091</v>
      </c>
      <c r="F89" s="25"/>
      <c r="G89" s="25"/>
      <c r="H89" s="25"/>
      <c r="I89" s="25"/>
      <c r="J89" s="25"/>
      <c r="K89" s="25"/>
      <c r="L89" s="25"/>
      <c r="M89" s="25"/>
      <c r="N89" s="25">
        <v>15909.09090909091</v>
      </c>
    </row>
    <row r="90" spans="1:14" x14ac:dyDescent="0.25">
      <c r="A90" t="s">
        <v>541</v>
      </c>
      <c r="B90" t="s">
        <v>165</v>
      </c>
      <c r="C90" t="s">
        <v>59</v>
      </c>
      <c r="D90" s="25"/>
      <c r="E90" s="25">
        <v>6960.227272727273</v>
      </c>
      <c r="F90" s="25"/>
      <c r="G90" s="25"/>
      <c r="H90" s="25"/>
      <c r="I90" s="25"/>
      <c r="J90" s="25"/>
      <c r="K90" s="25"/>
      <c r="L90" s="25"/>
      <c r="M90" s="25"/>
      <c r="N90" s="25">
        <v>6960.227272727273</v>
      </c>
    </row>
    <row r="91" spans="1:14" x14ac:dyDescent="0.25">
      <c r="A91" t="s">
        <v>543</v>
      </c>
      <c r="B91" t="s">
        <v>354</v>
      </c>
      <c r="C91" t="s">
        <v>129</v>
      </c>
      <c r="D91" s="25"/>
      <c r="E91" s="25">
        <v>5488.636363636364</v>
      </c>
      <c r="F91" s="25"/>
      <c r="G91" s="25"/>
      <c r="H91" s="25"/>
      <c r="I91" s="25"/>
      <c r="J91" s="25"/>
      <c r="K91" s="25"/>
      <c r="L91" s="25"/>
      <c r="M91" s="25"/>
      <c r="N91" s="25">
        <v>5488.636363636364</v>
      </c>
    </row>
    <row r="92" spans="1:14" x14ac:dyDescent="0.25">
      <c r="A92" t="s">
        <v>545</v>
      </c>
      <c r="B92" t="s">
        <v>354</v>
      </c>
      <c r="C92" t="s">
        <v>546</v>
      </c>
      <c r="D92" s="25"/>
      <c r="E92" s="25">
        <v>3150</v>
      </c>
      <c r="F92" s="25"/>
      <c r="G92" s="25"/>
      <c r="H92" s="25"/>
      <c r="I92" s="25"/>
      <c r="J92" s="25"/>
      <c r="K92" s="25"/>
      <c r="L92" s="25"/>
      <c r="M92" s="25"/>
      <c r="N92" s="25">
        <v>3150</v>
      </c>
    </row>
    <row r="93" spans="1:14" x14ac:dyDescent="0.25">
      <c r="A93" t="s">
        <v>550</v>
      </c>
      <c r="B93" t="s">
        <v>59</v>
      </c>
      <c r="C93" t="s">
        <v>64</v>
      </c>
      <c r="D93" s="25"/>
      <c r="E93" s="25">
        <v>21278.409090909092</v>
      </c>
      <c r="F93" s="25"/>
      <c r="G93" s="25"/>
      <c r="H93" s="25"/>
      <c r="I93" s="25"/>
      <c r="J93" s="25"/>
      <c r="K93" s="25"/>
      <c r="L93" s="25"/>
      <c r="M93" s="25"/>
      <c r="N93" s="25">
        <v>21278.409090909092</v>
      </c>
    </row>
    <row r="94" spans="1:14" x14ac:dyDescent="0.25">
      <c r="A94" t="s">
        <v>556</v>
      </c>
      <c r="B94" t="s">
        <v>64</v>
      </c>
      <c r="C94" t="s">
        <v>73</v>
      </c>
      <c r="D94" s="25"/>
      <c r="E94" s="25">
        <v>21159.090909090908</v>
      </c>
      <c r="F94" s="25"/>
      <c r="G94" s="25"/>
      <c r="H94" s="25"/>
      <c r="I94" s="25"/>
      <c r="J94" s="25"/>
      <c r="K94" s="25"/>
      <c r="L94" s="25"/>
      <c r="M94" s="25"/>
      <c r="N94" s="25">
        <v>21159.090909090908</v>
      </c>
    </row>
    <row r="95" spans="1:14" x14ac:dyDescent="0.25">
      <c r="A95" t="s">
        <v>562</v>
      </c>
      <c r="B95" t="s">
        <v>340</v>
      </c>
      <c r="C95" t="s">
        <v>138</v>
      </c>
      <c r="D95" s="25"/>
      <c r="E95" s="25"/>
      <c r="F95" s="25"/>
      <c r="G95" s="25"/>
      <c r="H95" s="25"/>
      <c r="I95" s="25"/>
      <c r="J95" s="25"/>
      <c r="K95" s="25">
        <v>111875</v>
      </c>
      <c r="L95" s="25"/>
      <c r="M95" s="25"/>
      <c r="N95" s="25">
        <v>111875</v>
      </c>
    </row>
    <row r="96" spans="1:14" x14ac:dyDescent="0.25">
      <c r="A96" t="s">
        <v>564</v>
      </c>
      <c r="B96" t="s">
        <v>565</v>
      </c>
      <c r="C96" t="s">
        <v>147</v>
      </c>
      <c r="D96" s="25"/>
      <c r="E96" s="25">
        <v>17659.090909090908</v>
      </c>
      <c r="F96" s="25"/>
      <c r="G96" s="25"/>
      <c r="H96" s="25"/>
      <c r="I96" s="25"/>
      <c r="J96" s="25"/>
      <c r="K96" s="25"/>
      <c r="L96" s="25"/>
      <c r="M96" s="25"/>
      <c r="N96" s="25">
        <v>17659.090909090908</v>
      </c>
    </row>
    <row r="97" spans="1:14" x14ac:dyDescent="0.25">
      <c r="A97" t="s">
        <v>571</v>
      </c>
      <c r="B97" t="s">
        <v>129</v>
      </c>
      <c r="C97" t="s">
        <v>162</v>
      </c>
      <c r="D97" s="25"/>
      <c r="E97" s="25"/>
      <c r="F97" s="25"/>
      <c r="G97" s="25"/>
      <c r="H97" s="25"/>
      <c r="I97" s="25"/>
      <c r="J97" s="25"/>
      <c r="K97" s="25"/>
      <c r="L97" s="25">
        <v>23304.924242424244</v>
      </c>
      <c r="M97" s="25"/>
      <c r="N97" s="25">
        <v>23304.924242424244</v>
      </c>
    </row>
    <row r="98" spans="1:14" x14ac:dyDescent="0.25">
      <c r="A98" t="s">
        <v>575</v>
      </c>
      <c r="B98" t="s">
        <v>455</v>
      </c>
      <c r="C98" t="s">
        <v>165</v>
      </c>
      <c r="D98" s="25"/>
      <c r="E98" s="25">
        <v>19448.863636363636</v>
      </c>
      <c r="F98" s="25"/>
      <c r="G98" s="25"/>
      <c r="H98" s="25"/>
      <c r="I98" s="25"/>
      <c r="J98" s="25"/>
      <c r="K98" s="25"/>
      <c r="L98" s="25"/>
      <c r="M98" s="25"/>
      <c r="N98" s="25">
        <v>19448.863636363636</v>
      </c>
    </row>
    <row r="99" spans="1:14" x14ac:dyDescent="0.25">
      <c r="A99" t="s">
        <v>577</v>
      </c>
      <c r="B99" t="s">
        <v>102</v>
      </c>
      <c r="C99" t="s">
        <v>4</v>
      </c>
      <c r="D99" s="25"/>
      <c r="E99" s="25"/>
      <c r="F99" s="25"/>
      <c r="G99" s="25"/>
      <c r="H99" s="25"/>
      <c r="I99" s="25"/>
      <c r="J99" s="25"/>
      <c r="K99" s="25"/>
      <c r="L99" s="25">
        <v>46609.848484848488</v>
      </c>
      <c r="M99" s="25"/>
      <c r="N99" s="25">
        <v>46609.848484848488</v>
      </c>
    </row>
    <row r="100" spans="1:14" x14ac:dyDescent="0.25">
      <c r="A100" t="s">
        <v>583</v>
      </c>
      <c r="B100" t="s">
        <v>99</v>
      </c>
      <c r="C100" t="s">
        <v>104</v>
      </c>
      <c r="D100" s="25"/>
      <c r="E100" s="25">
        <v>21226.704545454544</v>
      </c>
      <c r="F100" s="25"/>
      <c r="G100" s="25"/>
      <c r="H100" s="25"/>
      <c r="I100" s="25"/>
      <c r="J100" s="25"/>
      <c r="K100" s="25"/>
      <c r="L100" s="25"/>
      <c r="M100" s="25"/>
      <c r="N100" s="25">
        <v>21226.704545454544</v>
      </c>
    </row>
    <row r="101" spans="1:14" x14ac:dyDescent="0.25">
      <c r="A101" t="s">
        <v>585</v>
      </c>
      <c r="B101" t="s">
        <v>197</v>
      </c>
      <c r="C101" t="s">
        <v>206</v>
      </c>
      <c r="D101" s="25"/>
      <c r="E101" s="25">
        <v>10436.363636363636</v>
      </c>
      <c r="F101" s="25"/>
      <c r="G101" s="25"/>
      <c r="H101" s="25"/>
      <c r="I101" s="25"/>
      <c r="J101" s="25"/>
      <c r="K101" s="25"/>
      <c r="L101" s="25"/>
      <c r="M101" s="25"/>
      <c r="N101" s="25">
        <v>10436.363636363636</v>
      </c>
    </row>
    <row r="102" spans="1:14" x14ac:dyDescent="0.25">
      <c r="A102" t="s">
        <v>592</v>
      </c>
      <c r="B102" t="s">
        <v>9</v>
      </c>
      <c r="C102" t="s">
        <v>28</v>
      </c>
      <c r="D102" s="25"/>
      <c r="E102" s="25">
        <v>20164.772727272728</v>
      </c>
      <c r="F102" s="25"/>
      <c r="G102" s="25"/>
      <c r="H102" s="25"/>
      <c r="I102" s="25"/>
      <c r="J102" s="25"/>
      <c r="K102" s="25"/>
      <c r="L102" s="25"/>
      <c r="M102" s="25"/>
      <c r="N102" s="25">
        <v>20164.772727272728</v>
      </c>
    </row>
    <row r="103" spans="1:14" x14ac:dyDescent="0.25">
      <c r="A103" t="s">
        <v>594</v>
      </c>
      <c r="B103" t="s">
        <v>9</v>
      </c>
      <c r="C103" t="s">
        <v>213</v>
      </c>
      <c r="D103" s="25"/>
      <c r="E103" s="25">
        <v>21182.954545454544</v>
      </c>
      <c r="F103" s="25"/>
      <c r="G103" s="25"/>
      <c r="H103" s="25"/>
      <c r="I103" s="25"/>
      <c r="J103" s="25"/>
      <c r="K103" s="25"/>
      <c r="L103" s="25"/>
      <c r="M103" s="25"/>
      <c r="N103" s="25">
        <v>21182.954545454544</v>
      </c>
    </row>
    <row r="104" spans="1:14" x14ac:dyDescent="0.25">
      <c r="A104" t="s">
        <v>596</v>
      </c>
      <c r="B104" t="s">
        <v>39</v>
      </c>
      <c r="C104" t="s">
        <v>38</v>
      </c>
      <c r="D104" s="25"/>
      <c r="E104" s="25">
        <v>21035.795454545456</v>
      </c>
      <c r="F104" s="25"/>
      <c r="G104" s="25"/>
      <c r="H104" s="25"/>
      <c r="I104" s="25"/>
      <c r="J104" s="25"/>
      <c r="K104" s="25"/>
      <c r="L104" s="25"/>
      <c r="M104" s="25"/>
      <c r="N104" s="25">
        <v>21035.795454545456</v>
      </c>
    </row>
    <row r="105" spans="1:14" x14ac:dyDescent="0.25">
      <c r="A105" t="s">
        <v>603</v>
      </c>
      <c r="B105" t="s">
        <v>193</v>
      </c>
      <c r="C105" t="s">
        <v>10</v>
      </c>
      <c r="D105" s="25"/>
      <c r="E105" s="25">
        <v>6920.454545454545</v>
      </c>
      <c r="F105" s="25"/>
      <c r="G105" s="25"/>
      <c r="H105" s="25"/>
      <c r="I105" s="25"/>
      <c r="J105" s="25"/>
      <c r="K105" s="25"/>
      <c r="L105" s="25"/>
      <c r="M105" s="25"/>
      <c r="N105" s="25">
        <v>6920.454545454545</v>
      </c>
    </row>
    <row r="106" spans="1:14" x14ac:dyDescent="0.25">
      <c r="A106" t="s">
        <v>610</v>
      </c>
      <c r="B106" t="s">
        <v>307</v>
      </c>
      <c r="C106" t="s">
        <v>10</v>
      </c>
      <c r="D106" s="25">
        <v>5113.636363636364</v>
      </c>
      <c r="E106" s="25"/>
      <c r="F106" s="25"/>
      <c r="G106" s="25"/>
      <c r="H106" s="25"/>
      <c r="I106" s="25"/>
      <c r="J106" s="25"/>
      <c r="K106" s="25"/>
      <c r="L106" s="25"/>
      <c r="M106" s="25"/>
      <c r="N106" s="25">
        <v>5113.636363636364</v>
      </c>
    </row>
    <row r="107" spans="1:14" x14ac:dyDescent="0.25">
      <c r="A107" t="s">
        <v>613</v>
      </c>
      <c r="B107" t="s">
        <v>288</v>
      </c>
      <c r="C107" t="s">
        <v>295</v>
      </c>
      <c r="D107" s="25"/>
      <c r="E107" s="25">
        <v>10818.181818181818</v>
      </c>
      <c r="F107" s="25"/>
      <c r="G107" s="25"/>
      <c r="H107" s="25"/>
      <c r="I107" s="25"/>
      <c r="J107" s="25"/>
      <c r="K107" s="25"/>
      <c r="L107" s="25"/>
      <c r="M107" s="25"/>
      <c r="N107" s="25">
        <v>10818.181818181818</v>
      </c>
    </row>
    <row r="108" spans="1:14" x14ac:dyDescent="0.25">
      <c r="A108" t="s">
        <v>621</v>
      </c>
      <c r="B108" t="s">
        <v>138</v>
      </c>
      <c r="C108" t="s">
        <v>340</v>
      </c>
      <c r="D108" s="25"/>
      <c r="E108" s="25">
        <v>21000</v>
      </c>
      <c r="F108" s="25"/>
      <c r="G108" s="25"/>
      <c r="H108" s="25"/>
      <c r="I108" s="25"/>
      <c r="J108" s="25"/>
      <c r="K108" s="25"/>
      <c r="L108" s="25"/>
      <c r="M108" s="25"/>
      <c r="N108" s="25">
        <v>21000</v>
      </c>
    </row>
    <row r="109" spans="1:14" x14ac:dyDescent="0.25">
      <c r="A109" t="s">
        <v>630</v>
      </c>
      <c r="B109" t="s">
        <v>193</v>
      </c>
      <c r="C109" t="s">
        <v>119</v>
      </c>
      <c r="D109" s="25"/>
      <c r="E109" s="25">
        <v>21198.863636363636</v>
      </c>
      <c r="F109" s="25"/>
      <c r="G109" s="25"/>
      <c r="H109" s="25"/>
      <c r="I109" s="25"/>
      <c r="J109" s="25"/>
      <c r="K109" s="25"/>
      <c r="L109" s="25"/>
      <c r="M109" s="25"/>
      <c r="N109" s="25">
        <v>21198.863636363636</v>
      </c>
    </row>
    <row r="110" spans="1:14" x14ac:dyDescent="0.25">
      <c r="A110" t="s">
        <v>634</v>
      </c>
      <c r="B110" t="s">
        <v>307</v>
      </c>
      <c r="C110" t="s">
        <v>10</v>
      </c>
      <c r="D110" s="25">
        <v>1403.1818181818182</v>
      </c>
      <c r="E110" s="25"/>
      <c r="F110" s="25"/>
      <c r="G110" s="25"/>
      <c r="H110" s="25"/>
      <c r="I110" s="25"/>
      <c r="J110" s="25"/>
      <c r="K110" s="25"/>
      <c r="L110" s="25"/>
      <c r="M110" s="25"/>
      <c r="N110" s="25">
        <v>1403.1818181818182</v>
      </c>
    </row>
    <row r="111" spans="1:14" x14ac:dyDescent="0.25">
      <c r="A111" t="s">
        <v>635</v>
      </c>
      <c r="B111" t="s">
        <v>197</v>
      </c>
      <c r="C111" t="s">
        <v>25</v>
      </c>
      <c r="D111" s="25"/>
      <c r="E111" s="25"/>
      <c r="F111" s="25">
        <v>32121.21212121212</v>
      </c>
      <c r="G111" s="25"/>
      <c r="H111" s="25"/>
      <c r="I111" s="25"/>
      <c r="J111" s="25"/>
      <c r="K111" s="25"/>
      <c r="L111" s="25"/>
      <c r="M111" s="25"/>
      <c r="N111" s="25">
        <v>32121.21212121212</v>
      </c>
    </row>
    <row r="112" spans="1:14" x14ac:dyDescent="0.25">
      <c r="A112" t="s">
        <v>642</v>
      </c>
      <c r="B112" t="s">
        <v>100</v>
      </c>
      <c r="C112" t="s">
        <v>99</v>
      </c>
      <c r="D112" s="25"/>
      <c r="E112" s="25">
        <v>21159.090909090908</v>
      </c>
      <c r="F112" s="25"/>
      <c r="G112" s="25"/>
      <c r="H112" s="25"/>
      <c r="I112" s="25"/>
      <c r="J112" s="25"/>
      <c r="K112" s="25"/>
      <c r="L112" s="25"/>
      <c r="M112" s="25"/>
      <c r="N112" s="25">
        <v>21159.090909090908</v>
      </c>
    </row>
    <row r="113" spans="1:14" x14ac:dyDescent="0.25">
      <c r="A113" t="s">
        <v>646</v>
      </c>
      <c r="B113" t="s">
        <v>119</v>
      </c>
      <c r="C113" t="s">
        <v>193</v>
      </c>
      <c r="D113" s="25"/>
      <c r="E113" s="25">
        <v>21198.863636363636</v>
      </c>
      <c r="F113" s="25"/>
      <c r="G113" s="25"/>
      <c r="H113" s="25"/>
      <c r="I113" s="25"/>
      <c r="J113" s="25"/>
      <c r="K113" s="25"/>
      <c r="L113" s="25"/>
      <c r="M113" s="25"/>
      <c r="N113" s="25">
        <v>21198.863636363636</v>
      </c>
    </row>
    <row r="114" spans="1:14" x14ac:dyDescent="0.25">
      <c r="A114" t="s">
        <v>648</v>
      </c>
      <c r="B114" t="s">
        <v>99</v>
      </c>
      <c r="C114" t="s">
        <v>104</v>
      </c>
      <c r="D114" s="25"/>
      <c r="E114" s="25"/>
      <c r="F114" s="25">
        <v>32236.363636363636</v>
      </c>
      <c r="G114" s="25"/>
      <c r="H114" s="25"/>
      <c r="I114" s="25"/>
      <c r="J114" s="25"/>
      <c r="K114" s="25"/>
      <c r="L114" s="25"/>
      <c r="M114" s="25"/>
      <c r="N114" s="25">
        <v>32236.363636363636</v>
      </c>
    </row>
    <row r="115" spans="1:14" x14ac:dyDescent="0.25">
      <c r="A115" t="s">
        <v>658</v>
      </c>
      <c r="B115" t="s">
        <v>28</v>
      </c>
      <c r="C115" t="s">
        <v>9</v>
      </c>
      <c r="D115" s="25"/>
      <c r="E115" s="25">
        <v>20085.227272727272</v>
      </c>
      <c r="F115" s="25"/>
      <c r="G115" s="25"/>
      <c r="H115" s="25"/>
      <c r="I115" s="25"/>
      <c r="J115" s="25"/>
      <c r="K115" s="25"/>
      <c r="L115" s="25"/>
      <c r="M115" s="25"/>
      <c r="N115" s="25">
        <v>20085.227272727272</v>
      </c>
    </row>
    <row r="116" spans="1:14" x14ac:dyDescent="0.25">
      <c r="A116" t="s">
        <v>661</v>
      </c>
      <c r="B116" t="s">
        <v>35</v>
      </c>
      <c r="C116" t="s">
        <v>213</v>
      </c>
      <c r="D116" s="25"/>
      <c r="E116" s="25">
        <v>10575.568181818182</v>
      </c>
      <c r="F116" s="25"/>
      <c r="G116" s="25"/>
      <c r="H116" s="25"/>
      <c r="I116" s="25"/>
      <c r="J116" s="25"/>
      <c r="K116" s="25"/>
      <c r="L116" s="25"/>
      <c r="M116" s="25"/>
      <c r="N116" s="25">
        <v>10575.568181818182</v>
      </c>
    </row>
    <row r="117" spans="1:14" x14ac:dyDescent="0.25">
      <c r="A117" t="s">
        <v>665</v>
      </c>
      <c r="B117" t="s">
        <v>213</v>
      </c>
      <c r="C117" t="s">
        <v>39</v>
      </c>
      <c r="D117" s="25"/>
      <c r="E117" s="25">
        <v>22050</v>
      </c>
      <c r="F117" s="25"/>
      <c r="G117" s="25"/>
      <c r="H117" s="25"/>
      <c r="I117" s="25"/>
      <c r="J117" s="25"/>
      <c r="K117" s="25"/>
      <c r="L117" s="25"/>
      <c r="M117" s="25"/>
      <c r="N117" s="25">
        <v>22050</v>
      </c>
    </row>
    <row r="118" spans="1:14" x14ac:dyDescent="0.25">
      <c r="A118" t="s">
        <v>667</v>
      </c>
      <c r="B118" t="s">
        <v>100</v>
      </c>
      <c r="C118" t="s">
        <v>307</v>
      </c>
      <c r="D118" s="25"/>
      <c r="E118" s="25">
        <v>18128.409090909092</v>
      </c>
      <c r="F118" s="25"/>
      <c r="G118" s="25"/>
      <c r="H118" s="25"/>
      <c r="I118" s="25"/>
      <c r="J118" s="25"/>
      <c r="K118" s="25"/>
      <c r="L118" s="25"/>
      <c r="M118" s="25"/>
      <c r="N118" s="25">
        <v>18128.409090909092</v>
      </c>
    </row>
    <row r="119" spans="1:14" x14ac:dyDescent="0.25">
      <c r="A119" t="s">
        <v>677</v>
      </c>
      <c r="B119" t="s">
        <v>129</v>
      </c>
      <c r="C119" t="s">
        <v>124</v>
      </c>
      <c r="D119" s="25"/>
      <c r="E119" s="25">
        <v>21047.727272727272</v>
      </c>
      <c r="F119" s="25"/>
      <c r="G119" s="25"/>
      <c r="H119" s="25"/>
      <c r="I119" s="25"/>
      <c r="J119" s="25"/>
      <c r="K119" s="25"/>
      <c r="L119" s="25"/>
      <c r="M119" s="25"/>
      <c r="N119" s="25">
        <v>21047.727272727272</v>
      </c>
    </row>
    <row r="120" spans="1:14" x14ac:dyDescent="0.25">
      <c r="A120" t="s">
        <v>679</v>
      </c>
      <c r="B120" t="s">
        <v>461</v>
      </c>
      <c r="C120" t="s">
        <v>492</v>
      </c>
      <c r="D120" s="25"/>
      <c r="E120" s="25">
        <v>18056.81818181818</v>
      </c>
      <c r="F120" s="25"/>
      <c r="G120" s="25"/>
      <c r="H120" s="25"/>
      <c r="I120" s="25"/>
      <c r="J120" s="25"/>
      <c r="K120" s="25"/>
      <c r="L120" s="25"/>
      <c r="M120" s="25"/>
      <c r="N120" s="25">
        <v>18056.81818181818</v>
      </c>
    </row>
    <row r="121" spans="1:14" x14ac:dyDescent="0.25">
      <c r="A121" t="s">
        <v>681</v>
      </c>
      <c r="B121" t="s">
        <v>492</v>
      </c>
      <c r="C121" t="s">
        <v>59</v>
      </c>
      <c r="D121" s="25"/>
      <c r="E121" s="25">
        <v>5460.795454545455</v>
      </c>
      <c r="F121" s="25"/>
      <c r="G121" s="25"/>
      <c r="H121" s="25"/>
      <c r="I121" s="25"/>
      <c r="J121" s="25"/>
      <c r="K121" s="25"/>
      <c r="L121" s="25"/>
      <c r="M121" s="25"/>
      <c r="N121" s="25">
        <v>5460.795454545455</v>
      </c>
    </row>
    <row r="122" spans="1:14" x14ac:dyDescent="0.25">
      <c r="A122" t="s">
        <v>692</v>
      </c>
      <c r="B122" t="s">
        <v>138</v>
      </c>
      <c r="C122" t="s">
        <v>135</v>
      </c>
      <c r="D122" s="25"/>
      <c r="E122" s="25"/>
      <c r="F122" s="25"/>
      <c r="G122" s="25"/>
      <c r="H122" s="25"/>
      <c r="I122" s="25"/>
      <c r="J122" s="25"/>
      <c r="K122" s="25"/>
      <c r="L122" s="25">
        <v>46958.333333333336</v>
      </c>
      <c r="M122" s="25"/>
      <c r="N122" s="25">
        <v>46958.333333333336</v>
      </c>
    </row>
    <row r="123" spans="1:14" x14ac:dyDescent="0.25">
      <c r="A123" t="s">
        <v>705</v>
      </c>
      <c r="B123" t="s">
        <v>86</v>
      </c>
      <c r="C123" t="s">
        <v>504</v>
      </c>
      <c r="D123" s="25"/>
      <c r="E123" s="25"/>
      <c r="F123" s="25"/>
      <c r="G123" s="25"/>
      <c r="H123" s="25"/>
      <c r="I123" s="25"/>
      <c r="J123" s="25"/>
      <c r="K123" s="25"/>
      <c r="L123" s="25">
        <v>50443.181818181816</v>
      </c>
      <c r="M123" s="25"/>
      <c r="N123" s="25">
        <v>50443.181818181816</v>
      </c>
    </row>
    <row r="124" spans="1:14" x14ac:dyDescent="0.25">
      <c r="A124" t="s">
        <v>707</v>
      </c>
      <c r="B124" t="s">
        <v>102</v>
      </c>
      <c r="C124" t="s">
        <v>155</v>
      </c>
      <c r="D124" s="25"/>
      <c r="E124" s="25"/>
      <c r="F124" s="25"/>
      <c r="G124" s="25"/>
      <c r="H124" s="25"/>
      <c r="I124" s="25"/>
      <c r="J124" s="25"/>
      <c r="K124" s="25">
        <v>106562.5</v>
      </c>
      <c r="L124" s="25"/>
      <c r="M124" s="25"/>
      <c r="N124" s="25">
        <v>106562.5</v>
      </c>
    </row>
    <row r="125" spans="1:14" x14ac:dyDescent="0.25">
      <c r="A125" t="s">
        <v>709</v>
      </c>
      <c r="B125" t="s">
        <v>116</v>
      </c>
      <c r="C125" t="s">
        <v>121</v>
      </c>
      <c r="D125" s="25"/>
      <c r="E125" s="25"/>
      <c r="F125" s="25">
        <v>32000</v>
      </c>
      <c r="G125" s="25"/>
      <c r="H125" s="25"/>
      <c r="I125" s="25"/>
      <c r="J125" s="25"/>
      <c r="K125" s="25"/>
      <c r="L125" s="25"/>
      <c r="M125" s="25"/>
      <c r="N125" s="25">
        <v>32000</v>
      </c>
    </row>
    <row r="126" spans="1:14" x14ac:dyDescent="0.25">
      <c r="A126" t="s">
        <v>711</v>
      </c>
      <c r="B126" t="s">
        <v>121</v>
      </c>
      <c r="C126" t="s">
        <v>124</v>
      </c>
      <c r="D126" s="25"/>
      <c r="E126" s="25">
        <v>21039.772727272728</v>
      </c>
      <c r="F126" s="25"/>
      <c r="G126" s="25"/>
      <c r="H126" s="25"/>
      <c r="I126" s="25"/>
      <c r="J126" s="25"/>
      <c r="K126" s="25"/>
      <c r="L126" s="25"/>
      <c r="M126" s="25"/>
      <c r="N126" s="25">
        <v>21039.772727272728</v>
      </c>
    </row>
    <row r="127" spans="1:14" x14ac:dyDescent="0.25">
      <c r="A127" t="s">
        <v>715</v>
      </c>
      <c r="B127" t="s">
        <v>124</v>
      </c>
      <c r="C127" t="s">
        <v>129</v>
      </c>
      <c r="D127" s="25"/>
      <c r="E127" s="25">
        <v>21278.409090909092</v>
      </c>
      <c r="F127" s="25"/>
      <c r="G127" s="25"/>
      <c r="H127" s="25"/>
      <c r="I127" s="25"/>
      <c r="J127" s="25"/>
      <c r="K127" s="25"/>
      <c r="L127" s="25"/>
      <c r="M127" s="25"/>
      <c r="N127" s="25">
        <v>21278.409090909092</v>
      </c>
    </row>
    <row r="128" spans="1:14" x14ac:dyDescent="0.25">
      <c r="A128" t="s">
        <v>717</v>
      </c>
      <c r="B128" t="s">
        <v>129</v>
      </c>
      <c r="C128" t="s">
        <v>546</v>
      </c>
      <c r="D128" s="25">
        <v>2776.7045454545455</v>
      </c>
      <c r="E128" s="25"/>
      <c r="F128" s="25"/>
      <c r="G128" s="25"/>
      <c r="H128" s="25"/>
      <c r="I128" s="25"/>
      <c r="J128" s="25"/>
      <c r="K128" s="25"/>
      <c r="L128" s="25"/>
      <c r="M128" s="25"/>
      <c r="N128" s="25">
        <v>2776.7045454545455</v>
      </c>
    </row>
    <row r="129" spans="1:14" x14ac:dyDescent="0.25">
      <c r="A129" t="s">
        <v>721</v>
      </c>
      <c r="B129" t="s">
        <v>67</v>
      </c>
      <c r="C129" t="s">
        <v>116</v>
      </c>
      <c r="D129" s="25"/>
      <c r="E129" s="25"/>
      <c r="F129" s="25">
        <v>16272.727272727272</v>
      </c>
      <c r="G129" s="25"/>
      <c r="H129" s="25"/>
      <c r="I129" s="25"/>
      <c r="J129" s="25"/>
      <c r="K129" s="25"/>
      <c r="L129" s="25"/>
      <c r="M129" s="25"/>
      <c r="N129" s="25">
        <v>16272.727272727272</v>
      </c>
    </row>
    <row r="130" spans="1:14" x14ac:dyDescent="0.25">
      <c r="A130" t="s">
        <v>733</v>
      </c>
      <c r="B130" t="s">
        <v>155</v>
      </c>
      <c r="C130" t="s">
        <v>67</v>
      </c>
      <c r="D130" s="25"/>
      <c r="E130" s="25">
        <v>10639.204545454546</v>
      </c>
      <c r="F130" s="25"/>
      <c r="G130" s="25"/>
      <c r="H130" s="25"/>
      <c r="I130" s="25"/>
      <c r="J130" s="25"/>
      <c r="K130" s="25"/>
      <c r="L130" s="25"/>
      <c r="M130" s="25"/>
      <c r="N130" s="25">
        <v>10639.204545454546</v>
      </c>
    </row>
    <row r="131" spans="1:14" x14ac:dyDescent="0.25">
      <c r="A131" t="s">
        <v>737</v>
      </c>
      <c r="B131" t="s">
        <v>4</v>
      </c>
      <c r="C131" t="s">
        <v>102</v>
      </c>
      <c r="D131" s="25"/>
      <c r="E131" s="25">
        <v>18414.772727272728</v>
      </c>
      <c r="F131" s="25"/>
      <c r="G131" s="25"/>
      <c r="H131" s="25"/>
      <c r="I131" s="25"/>
      <c r="J131" s="25"/>
      <c r="K131" s="25"/>
      <c r="L131" s="25"/>
      <c r="M131" s="25"/>
      <c r="N131" s="25">
        <v>18414.772727272728</v>
      </c>
    </row>
    <row r="132" spans="1:14" x14ac:dyDescent="0.25">
      <c r="A132" t="s">
        <v>739</v>
      </c>
      <c r="B132" t="s">
        <v>608</v>
      </c>
      <c r="C132" t="s">
        <v>20</v>
      </c>
      <c r="D132" s="25"/>
      <c r="E132" s="25">
        <v>17261.363636363636</v>
      </c>
      <c r="F132" s="25"/>
      <c r="G132" s="25"/>
      <c r="H132" s="25"/>
      <c r="I132" s="25"/>
      <c r="J132" s="25"/>
      <c r="K132" s="25"/>
      <c r="L132" s="25"/>
      <c r="M132" s="25"/>
      <c r="N132" s="25">
        <v>17261.363636363636</v>
      </c>
    </row>
    <row r="133" spans="1:14" x14ac:dyDescent="0.25">
      <c r="A133" t="s">
        <v>741</v>
      </c>
      <c r="B133" t="s">
        <v>119</v>
      </c>
      <c r="C133" t="s">
        <v>742</v>
      </c>
      <c r="D133" s="25"/>
      <c r="E133" s="25"/>
      <c r="F133" s="25"/>
      <c r="G133" s="25"/>
      <c r="H133" s="25"/>
      <c r="I133" s="25"/>
      <c r="J133" s="25"/>
      <c r="K133" s="25">
        <v>137916.66666666666</v>
      </c>
      <c r="L133" s="25"/>
      <c r="M133" s="25"/>
      <c r="N133" s="25">
        <v>137916.66666666666</v>
      </c>
    </row>
    <row r="134" spans="1:14" x14ac:dyDescent="0.25">
      <c r="A134" t="s">
        <v>744</v>
      </c>
      <c r="B134" t="s">
        <v>99</v>
      </c>
      <c r="C134" t="s">
        <v>100</v>
      </c>
      <c r="D134" s="25"/>
      <c r="E134" s="25"/>
      <c r="F134" s="25"/>
      <c r="G134" s="25"/>
      <c r="H134" s="25"/>
      <c r="I134" s="25"/>
      <c r="J134" s="25"/>
      <c r="K134" s="25"/>
      <c r="L134" s="25">
        <v>46522.727272727272</v>
      </c>
      <c r="M134" s="25"/>
      <c r="N134" s="25">
        <v>46522.727272727272</v>
      </c>
    </row>
    <row r="135" spans="1:14" x14ac:dyDescent="0.25">
      <c r="A135" t="s">
        <v>750</v>
      </c>
      <c r="B135" t="s">
        <v>193</v>
      </c>
      <c r="C135" t="s">
        <v>197</v>
      </c>
      <c r="D135" s="25"/>
      <c r="E135" s="25">
        <v>21421.590909090908</v>
      </c>
      <c r="F135" s="25"/>
      <c r="G135" s="25"/>
      <c r="H135" s="25"/>
      <c r="I135" s="25"/>
      <c r="J135" s="25"/>
      <c r="K135" s="25"/>
      <c r="L135" s="25"/>
      <c r="M135" s="25"/>
      <c r="N135" s="25">
        <v>21421.590909090908</v>
      </c>
    </row>
    <row r="136" spans="1:14" x14ac:dyDescent="0.25">
      <c r="A136" t="s">
        <v>755</v>
      </c>
      <c r="B136" t="s">
        <v>25</v>
      </c>
      <c r="C136" t="s">
        <v>197</v>
      </c>
      <c r="D136" s="25"/>
      <c r="E136" s="25">
        <v>21159.090909090908</v>
      </c>
      <c r="F136" s="25"/>
      <c r="G136" s="25"/>
      <c r="H136" s="25"/>
      <c r="I136" s="25"/>
      <c r="J136" s="25"/>
      <c r="K136" s="25"/>
      <c r="L136" s="25"/>
      <c r="M136" s="25"/>
      <c r="N136" s="25">
        <v>21159.090909090908</v>
      </c>
    </row>
    <row r="137" spans="1:14" x14ac:dyDescent="0.25">
      <c r="A137" t="s">
        <v>759</v>
      </c>
      <c r="B137" t="s">
        <v>25</v>
      </c>
      <c r="C137" t="s">
        <v>28</v>
      </c>
      <c r="D137" s="25">
        <v>5410.227272727273</v>
      </c>
      <c r="E137" s="25"/>
      <c r="F137" s="25"/>
      <c r="G137" s="25"/>
      <c r="H137" s="25"/>
      <c r="I137" s="25"/>
      <c r="J137" s="25"/>
      <c r="K137" s="25"/>
      <c r="L137" s="25"/>
      <c r="M137" s="25"/>
      <c r="N137" s="25">
        <v>5410.227272727273</v>
      </c>
    </row>
    <row r="138" spans="1:14" x14ac:dyDescent="0.25">
      <c r="A138" t="s">
        <v>767</v>
      </c>
      <c r="B138" t="s">
        <v>601</v>
      </c>
      <c r="C138" t="s">
        <v>210</v>
      </c>
      <c r="D138" s="25"/>
      <c r="E138" s="25">
        <v>10515.90909090909</v>
      </c>
      <c r="F138" s="25"/>
      <c r="G138" s="25"/>
      <c r="H138" s="25"/>
      <c r="I138" s="25"/>
      <c r="J138" s="25"/>
      <c r="K138" s="25"/>
      <c r="L138" s="25"/>
      <c r="M138" s="25"/>
      <c r="N138" s="25">
        <v>10515.90909090909</v>
      </c>
    </row>
    <row r="139" spans="1:14" x14ac:dyDescent="0.25">
      <c r="A139" t="s">
        <v>773</v>
      </c>
      <c r="B139" t="s">
        <v>100</v>
      </c>
      <c r="C139" t="s">
        <v>307</v>
      </c>
      <c r="D139" s="25"/>
      <c r="E139" s="25">
        <v>12369.318181818182</v>
      </c>
      <c r="F139" s="25"/>
      <c r="G139" s="25"/>
      <c r="H139" s="25"/>
      <c r="I139" s="25"/>
      <c r="J139" s="25"/>
      <c r="K139" s="25"/>
      <c r="L139" s="25"/>
      <c r="M139" s="25"/>
      <c r="N139" s="25">
        <v>12369.318181818182</v>
      </c>
    </row>
    <row r="140" spans="1:14" x14ac:dyDescent="0.25">
      <c r="A140" t="s">
        <v>775</v>
      </c>
      <c r="B140" t="s">
        <v>209</v>
      </c>
      <c r="C140" t="s">
        <v>601</v>
      </c>
      <c r="D140" s="25"/>
      <c r="E140" s="25">
        <v>17770.454545454544</v>
      </c>
      <c r="F140" s="25"/>
      <c r="G140" s="25"/>
      <c r="H140" s="25"/>
      <c r="I140" s="25"/>
      <c r="J140" s="25"/>
      <c r="K140" s="25"/>
      <c r="L140" s="25"/>
      <c r="M140" s="25"/>
      <c r="N140" s="25">
        <v>17770.454545454544</v>
      </c>
    </row>
    <row r="141" spans="1:14" x14ac:dyDescent="0.25">
      <c r="A141" t="s">
        <v>788</v>
      </c>
      <c r="B141" t="s">
        <v>107</v>
      </c>
      <c r="C141" t="s">
        <v>104</v>
      </c>
      <c r="D141" s="25">
        <v>1697.7272727272727</v>
      </c>
      <c r="E141" s="25"/>
      <c r="F141" s="25"/>
      <c r="G141" s="25"/>
      <c r="H141" s="25"/>
      <c r="I141" s="25"/>
      <c r="J141" s="25"/>
      <c r="K141" s="25"/>
      <c r="L141" s="25"/>
      <c r="M141" s="25"/>
      <c r="N141" s="25">
        <v>1697.7272727272727</v>
      </c>
    </row>
    <row r="142" spans="1:14" x14ac:dyDescent="0.25">
      <c r="A142" t="s">
        <v>798</v>
      </c>
      <c r="B142" t="s">
        <v>307</v>
      </c>
      <c r="C142" t="s">
        <v>119</v>
      </c>
      <c r="D142" s="25"/>
      <c r="E142" s="25">
        <v>17500</v>
      </c>
      <c r="F142" s="25"/>
      <c r="G142" s="25"/>
      <c r="H142" s="25"/>
      <c r="I142" s="25"/>
      <c r="J142" s="25"/>
      <c r="K142" s="25"/>
      <c r="L142" s="25"/>
      <c r="M142" s="25"/>
      <c r="N142" s="25">
        <v>17500</v>
      </c>
    </row>
    <row r="143" spans="1:14" x14ac:dyDescent="0.25">
      <c r="A143" t="s">
        <v>804</v>
      </c>
      <c r="B143" t="s">
        <v>119</v>
      </c>
      <c r="C143" t="s">
        <v>193</v>
      </c>
      <c r="D143" s="25"/>
      <c r="E143" s="25">
        <v>21095.454545454544</v>
      </c>
      <c r="F143" s="25"/>
      <c r="G143" s="25"/>
      <c r="H143" s="25"/>
      <c r="I143" s="25"/>
      <c r="J143" s="25"/>
      <c r="K143" s="25"/>
      <c r="L143" s="25"/>
      <c r="M143" s="25"/>
      <c r="N143" s="25">
        <v>21095.454545454544</v>
      </c>
    </row>
    <row r="144" spans="1:14" x14ac:dyDescent="0.25">
      <c r="A144" t="s">
        <v>806</v>
      </c>
      <c r="B144" t="s">
        <v>104</v>
      </c>
      <c r="C144" t="s">
        <v>99</v>
      </c>
      <c r="D144" s="25"/>
      <c r="E144" s="25">
        <v>21079.545454545456</v>
      </c>
      <c r="F144" s="25"/>
      <c r="G144" s="25"/>
      <c r="H144" s="25"/>
      <c r="I144" s="25"/>
      <c r="J144" s="25"/>
      <c r="K144" s="25"/>
      <c r="L144" s="25"/>
      <c r="M144" s="25"/>
      <c r="N144" s="25">
        <v>21079.545454545456</v>
      </c>
    </row>
    <row r="145" spans="1:14" x14ac:dyDescent="0.25">
      <c r="A145" t="s">
        <v>808</v>
      </c>
      <c r="B145" t="s">
        <v>193</v>
      </c>
      <c r="C145" t="s">
        <v>222</v>
      </c>
      <c r="D145" s="25"/>
      <c r="E145" s="25">
        <v>5615.909090909091</v>
      </c>
      <c r="F145" s="25"/>
      <c r="G145" s="25"/>
      <c r="H145" s="25"/>
      <c r="I145" s="25"/>
      <c r="J145" s="25"/>
      <c r="K145" s="25"/>
      <c r="L145" s="25"/>
      <c r="M145" s="25"/>
      <c r="N145" s="25">
        <v>5615.909090909091</v>
      </c>
    </row>
    <row r="146" spans="1:14" x14ac:dyDescent="0.25">
      <c r="A146" t="s">
        <v>812</v>
      </c>
      <c r="B146" t="s">
        <v>107</v>
      </c>
      <c r="C146" t="s">
        <v>104</v>
      </c>
      <c r="D146" s="25"/>
      <c r="E146" s="25">
        <v>21230.68181818182</v>
      </c>
      <c r="F146" s="25"/>
      <c r="G146" s="25"/>
      <c r="H146" s="25"/>
      <c r="I146" s="25"/>
      <c r="J146" s="25"/>
      <c r="K146" s="25"/>
      <c r="L146" s="25"/>
      <c r="M146" s="25"/>
      <c r="N146" s="25">
        <v>21230.68181818182</v>
      </c>
    </row>
    <row r="147" spans="1:14" x14ac:dyDescent="0.25">
      <c r="A147" t="s">
        <v>814</v>
      </c>
      <c r="B147" t="s">
        <v>110</v>
      </c>
      <c r="C147" t="s">
        <v>107</v>
      </c>
      <c r="D147" s="25"/>
      <c r="E147" s="25">
        <v>21171.022727272728</v>
      </c>
      <c r="F147" s="25"/>
      <c r="G147" s="25"/>
      <c r="H147" s="25"/>
      <c r="I147" s="25"/>
      <c r="J147" s="25"/>
      <c r="K147" s="25"/>
      <c r="L147" s="25"/>
      <c r="M147" s="25"/>
      <c r="N147" s="25">
        <v>21171.022727272728</v>
      </c>
    </row>
    <row r="148" spans="1:14" x14ac:dyDescent="0.25">
      <c r="A148" t="s">
        <v>837</v>
      </c>
      <c r="B148" t="s">
        <v>297</v>
      </c>
      <c r="C148" t="s">
        <v>18</v>
      </c>
      <c r="D148" s="25"/>
      <c r="E148" s="25">
        <v>21656.25</v>
      </c>
      <c r="F148" s="25"/>
      <c r="G148" s="25"/>
      <c r="H148" s="25"/>
      <c r="I148" s="25"/>
      <c r="J148" s="25"/>
      <c r="K148" s="25"/>
      <c r="L148" s="25"/>
      <c r="M148" s="25"/>
      <c r="N148" s="25">
        <v>21656.25</v>
      </c>
    </row>
    <row r="149" spans="1:14" x14ac:dyDescent="0.25">
      <c r="A149" t="s">
        <v>847</v>
      </c>
      <c r="B149" t="s">
        <v>124</v>
      </c>
      <c r="C149" t="s">
        <v>129</v>
      </c>
      <c r="D149" s="25"/>
      <c r="E149" s="25">
        <v>21417.613636363636</v>
      </c>
      <c r="F149" s="25"/>
      <c r="G149" s="25"/>
      <c r="H149" s="25"/>
      <c r="I149" s="25"/>
      <c r="J149" s="25"/>
      <c r="K149" s="25"/>
      <c r="L149" s="25"/>
      <c r="M149" s="25"/>
      <c r="N149" s="25">
        <v>21417.613636363636</v>
      </c>
    </row>
    <row r="150" spans="1:14" x14ac:dyDescent="0.25">
      <c r="A150" t="s">
        <v>851</v>
      </c>
      <c r="B150" t="s">
        <v>129</v>
      </c>
      <c r="C150" t="s">
        <v>168</v>
      </c>
      <c r="D150" s="25"/>
      <c r="E150" s="25">
        <v>10778.40909090909</v>
      </c>
      <c r="F150" s="25"/>
      <c r="G150" s="25"/>
      <c r="H150" s="25"/>
      <c r="I150" s="25"/>
      <c r="J150" s="25"/>
      <c r="K150" s="25"/>
      <c r="L150" s="25"/>
      <c r="M150" s="25"/>
      <c r="N150" s="25">
        <v>10778.40909090909</v>
      </c>
    </row>
    <row r="151" spans="1:14" x14ac:dyDescent="0.25">
      <c r="A151" t="s">
        <v>853</v>
      </c>
      <c r="B151" t="s">
        <v>135</v>
      </c>
      <c r="C151" t="s">
        <v>168</v>
      </c>
      <c r="D151" s="25"/>
      <c r="E151" s="25">
        <v>19727.272727272728</v>
      </c>
      <c r="F151" s="25"/>
      <c r="G151" s="25"/>
      <c r="H151" s="25"/>
      <c r="I151" s="25"/>
      <c r="J151" s="25"/>
      <c r="K151" s="25"/>
      <c r="L151" s="25"/>
      <c r="M151" s="25"/>
      <c r="N151" s="25">
        <v>19727.272727272728</v>
      </c>
    </row>
    <row r="152" spans="1:14" x14ac:dyDescent="0.25">
      <c r="A152" t="s">
        <v>867</v>
      </c>
      <c r="B152" t="s">
        <v>147</v>
      </c>
      <c r="C152" t="s">
        <v>149</v>
      </c>
      <c r="D152" s="25"/>
      <c r="E152" s="25">
        <v>10778.40909090909</v>
      </c>
      <c r="F152" s="25"/>
      <c r="G152" s="25"/>
      <c r="H152" s="25"/>
      <c r="I152" s="25"/>
      <c r="J152" s="25"/>
      <c r="K152" s="25"/>
      <c r="L152" s="25"/>
      <c r="M152" s="25"/>
      <c r="N152" s="25">
        <v>10778.40909090909</v>
      </c>
    </row>
    <row r="153" spans="1:14" x14ac:dyDescent="0.25">
      <c r="A153" t="s">
        <v>869</v>
      </c>
      <c r="B153" t="s">
        <v>149</v>
      </c>
      <c r="C153" t="s">
        <v>297</v>
      </c>
      <c r="D153" s="25"/>
      <c r="E153" s="25">
        <v>10917.613636363636</v>
      </c>
      <c r="F153" s="25"/>
      <c r="G153" s="25"/>
      <c r="H153" s="25"/>
      <c r="I153" s="25"/>
      <c r="J153" s="25"/>
      <c r="K153" s="25"/>
      <c r="L153" s="25"/>
      <c r="M153" s="25"/>
      <c r="N153" s="25">
        <v>10917.613636363636</v>
      </c>
    </row>
    <row r="154" spans="1:14" x14ac:dyDescent="0.25">
      <c r="A154" t="s">
        <v>871</v>
      </c>
      <c r="B154" t="s">
        <v>121</v>
      </c>
      <c r="C154" t="s">
        <v>406</v>
      </c>
      <c r="D154" s="25"/>
      <c r="E154" s="25">
        <v>18017.045454545456</v>
      </c>
      <c r="F154" s="25"/>
      <c r="G154" s="25"/>
      <c r="H154" s="25"/>
      <c r="I154" s="25"/>
      <c r="J154" s="25"/>
      <c r="K154" s="25"/>
      <c r="L154" s="25"/>
      <c r="M154" s="25"/>
      <c r="N154" s="25">
        <v>18017.045454545456</v>
      </c>
    </row>
    <row r="155" spans="1:14" x14ac:dyDescent="0.25">
      <c r="A155" t="s">
        <v>876</v>
      </c>
      <c r="B155" t="s">
        <v>4</v>
      </c>
      <c r="C155" t="s">
        <v>313</v>
      </c>
      <c r="D155" s="25"/>
      <c r="E155" s="25">
        <v>9823.863636363636</v>
      </c>
      <c r="F155" s="25"/>
      <c r="G155" s="25"/>
      <c r="H155" s="25"/>
      <c r="I155" s="25"/>
      <c r="J155" s="25"/>
      <c r="K155" s="25"/>
      <c r="L155" s="25"/>
      <c r="M155" s="25"/>
      <c r="N155" s="25">
        <v>9823.863636363636</v>
      </c>
    </row>
    <row r="156" spans="1:14" x14ac:dyDescent="0.25">
      <c r="A156" t="s">
        <v>877</v>
      </c>
      <c r="B156" t="s">
        <v>313</v>
      </c>
      <c r="C156" t="s">
        <v>461</v>
      </c>
      <c r="D156" s="25"/>
      <c r="E156" s="25">
        <v>21178.977272727272</v>
      </c>
      <c r="F156" s="25"/>
      <c r="G156" s="25"/>
      <c r="H156" s="25"/>
      <c r="I156" s="25"/>
      <c r="J156" s="25"/>
      <c r="K156" s="25"/>
      <c r="L156" s="25"/>
      <c r="M156" s="25"/>
      <c r="N156" s="25">
        <v>21178.977272727272</v>
      </c>
    </row>
    <row r="157" spans="1:14" x14ac:dyDescent="0.25">
      <c r="A157" t="s">
        <v>879</v>
      </c>
      <c r="B157" t="s">
        <v>461</v>
      </c>
      <c r="C157" t="s">
        <v>59</v>
      </c>
      <c r="D157" s="25"/>
      <c r="E157" s="25">
        <v>21278.409090909092</v>
      </c>
      <c r="F157" s="25"/>
      <c r="G157" s="25"/>
      <c r="H157" s="25"/>
      <c r="I157" s="25"/>
      <c r="J157" s="25"/>
      <c r="K157" s="25"/>
      <c r="L157" s="25"/>
      <c r="M157" s="25"/>
      <c r="N157" s="25">
        <v>21278.409090909092</v>
      </c>
    </row>
    <row r="158" spans="1:14" x14ac:dyDescent="0.25">
      <c r="A158" t="s">
        <v>882</v>
      </c>
      <c r="B158" t="s">
        <v>165</v>
      </c>
      <c r="C158" t="s">
        <v>64</v>
      </c>
      <c r="D158" s="25"/>
      <c r="E158" s="25">
        <v>7517.045454545455</v>
      </c>
      <c r="F158" s="25"/>
      <c r="G158" s="25"/>
      <c r="H158" s="25"/>
      <c r="I158" s="25"/>
      <c r="J158" s="25"/>
      <c r="K158" s="25"/>
      <c r="L158" s="25"/>
      <c r="M158" s="25"/>
      <c r="N158" s="25">
        <v>7517.045454545455</v>
      </c>
    </row>
    <row r="159" spans="1:14" x14ac:dyDescent="0.25">
      <c r="A159" t="s">
        <v>883</v>
      </c>
      <c r="B159" t="s">
        <v>116</v>
      </c>
      <c r="C159" t="s">
        <v>67</v>
      </c>
      <c r="D159" s="25"/>
      <c r="E159" s="25">
        <v>10619.318181818182</v>
      </c>
      <c r="F159" s="25"/>
      <c r="G159" s="25"/>
      <c r="H159" s="25"/>
      <c r="I159" s="25"/>
      <c r="J159" s="25"/>
      <c r="K159" s="25"/>
      <c r="L159" s="25"/>
      <c r="M159" s="25"/>
      <c r="N159" s="25">
        <v>10619.318181818182</v>
      </c>
    </row>
    <row r="160" spans="1:14" x14ac:dyDescent="0.25">
      <c r="A160" t="s">
        <v>886</v>
      </c>
      <c r="B160" t="s">
        <v>885</v>
      </c>
      <c r="C160" t="s">
        <v>73</v>
      </c>
      <c r="D160" s="25"/>
      <c r="E160" s="25">
        <v>5337.5</v>
      </c>
      <c r="F160" s="25"/>
      <c r="G160" s="25"/>
      <c r="H160" s="25"/>
      <c r="I160" s="25"/>
      <c r="J160" s="25"/>
      <c r="K160" s="25"/>
      <c r="L160" s="25"/>
      <c r="M160" s="25"/>
      <c r="N160" s="25">
        <v>5337.5</v>
      </c>
    </row>
    <row r="161" spans="1:14" x14ac:dyDescent="0.25">
      <c r="A161" t="s">
        <v>890</v>
      </c>
      <c r="B161" t="s">
        <v>67</v>
      </c>
      <c r="C161" t="s">
        <v>155</v>
      </c>
      <c r="D161" s="25"/>
      <c r="E161" s="25">
        <v>10639.204545454546</v>
      </c>
      <c r="F161" s="25"/>
      <c r="G161" s="25"/>
      <c r="H161" s="25"/>
      <c r="I161" s="25"/>
      <c r="J161" s="25"/>
      <c r="K161" s="25"/>
      <c r="L161" s="25"/>
      <c r="M161" s="25"/>
      <c r="N161" s="25">
        <v>10639.204545454546</v>
      </c>
    </row>
    <row r="162" spans="1:14" x14ac:dyDescent="0.25">
      <c r="A162" t="s">
        <v>901</v>
      </c>
      <c r="B162" t="s">
        <v>197</v>
      </c>
      <c r="C162" t="s">
        <v>206</v>
      </c>
      <c r="D162" s="25"/>
      <c r="E162" s="25">
        <v>10460.227272727272</v>
      </c>
      <c r="F162" s="25"/>
      <c r="G162" s="25"/>
      <c r="H162" s="25"/>
      <c r="I162" s="25"/>
      <c r="J162" s="25"/>
      <c r="K162" s="25"/>
      <c r="L162" s="25"/>
      <c r="M162" s="25"/>
      <c r="N162" s="25">
        <v>10460.227272727272</v>
      </c>
    </row>
    <row r="163" spans="1:14" x14ac:dyDescent="0.25">
      <c r="A163" t="s">
        <v>912</v>
      </c>
      <c r="B163" t="s">
        <v>608</v>
      </c>
      <c r="C163" t="s">
        <v>38</v>
      </c>
      <c r="D163" s="25"/>
      <c r="E163" s="25">
        <v>24571.590909090908</v>
      </c>
      <c r="F163" s="25"/>
      <c r="G163" s="25"/>
      <c r="H163" s="25"/>
      <c r="I163" s="25"/>
      <c r="J163" s="25"/>
      <c r="K163" s="25"/>
      <c r="L163" s="25"/>
      <c r="M163" s="25"/>
      <c r="N163" s="25">
        <v>24571.590909090908</v>
      </c>
    </row>
    <row r="164" spans="1:14" x14ac:dyDescent="0.25">
      <c r="A164" t="s">
        <v>916</v>
      </c>
      <c r="B164" t="s">
        <v>38</v>
      </c>
      <c r="C164" t="s">
        <v>895</v>
      </c>
      <c r="D164" s="25"/>
      <c r="E164" s="25">
        <v>15117.613636363636</v>
      </c>
      <c r="F164" s="25"/>
      <c r="G164" s="25"/>
      <c r="H164" s="25"/>
      <c r="I164" s="25"/>
      <c r="J164" s="25"/>
      <c r="K164" s="25"/>
      <c r="L164" s="25"/>
      <c r="M164" s="25"/>
      <c r="N164" s="25">
        <v>15117.613636363636</v>
      </c>
    </row>
    <row r="165" spans="1:14" x14ac:dyDescent="0.25">
      <c r="A165" t="s">
        <v>918</v>
      </c>
      <c r="B165" t="s">
        <v>791</v>
      </c>
      <c r="C165" t="s">
        <v>210</v>
      </c>
      <c r="D165" s="25"/>
      <c r="E165" s="25">
        <v>22769.886363636364</v>
      </c>
      <c r="F165" s="25"/>
      <c r="G165" s="25"/>
      <c r="H165" s="25"/>
      <c r="I165" s="25"/>
      <c r="J165" s="25"/>
      <c r="K165" s="25"/>
      <c r="L165" s="25"/>
      <c r="M165" s="25"/>
      <c r="N165" s="25">
        <v>22769.886363636364</v>
      </c>
    </row>
    <row r="166" spans="1:14" x14ac:dyDescent="0.25">
      <c r="A166" t="s">
        <v>926</v>
      </c>
      <c r="B166" t="s">
        <v>25</v>
      </c>
      <c r="C166" t="s">
        <v>197</v>
      </c>
      <c r="D166" s="25"/>
      <c r="E166" s="25">
        <v>21119.31818181818</v>
      </c>
      <c r="F166" s="25"/>
      <c r="G166" s="25"/>
      <c r="H166" s="25"/>
      <c r="I166" s="25"/>
      <c r="J166" s="25"/>
      <c r="K166" s="25"/>
      <c r="L166" s="25"/>
      <c r="M166" s="25"/>
      <c r="N166" s="25">
        <v>21119.31818181818</v>
      </c>
    </row>
    <row r="167" spans="1:14" x14ac:dyDescent="0.25">
      <c r="A167" t="s">
        <v>936</v>
      </c>
      <c r="B167" t="s">
        <v>910</v>
      </c>
      <c r="C167" t="s">
        <v>39</v>
      </c>
      <c r="D167" s="25"/>
      <c r="E167" s="25">
        <v>10539.772727272728</v>
      </c>
      <c r="F167" s="25"/>
      <c r="G167" s="25"/>
      <c r="H167" s="25"/>
      <c r="I167" s="25"/>
      <c r="J167" s="25"/>
      <c r="K167" s="25"/>
      <c r="L167" s="25"/>
      <c r="M167" s="25"/>
      <c r="N167" s="25">
        <v>10539.772727272728</v>
      </c>
    </row>
    <row r="168" spans="1:14" x14ac:dyDescent="0.25">
      <c r="A168" t="s">
        <v>943</v>
      </c>
      <c r="B168" t="s">
        <v>281</v>
      </c>
      <c r="C168" t="s">
        <v>20</v>
      </c>
      <c r="D168" s="25"/>
      <c r="E168" s="25">
        <v>11128.40909090909</v>
      </c>
      <c r="F168" s="25"/>
      <c r="G168" s="25"/>
      <c r="H168" s="25"/>
      <c r="I168" s="25"/>
      <c r="J168" s="25"/>
      <c r="K168" s="25"/>
      <c r="L168" s="25"/>
      <c r="M168" s="25"/>
      <c r="N168" s="25">
        <v>11128.40909090909</v>
      </c>
    </row>
    <row r="169" spans="1:14" x14ac:dyDescent="0.25">
      <c r="A169" t="s">
        <v>947</v>
      </c>
      <c r="B169" t="s">
        <v>246</v>
      </c>
      <c r="C169" t="s">
        <v>21</v>
      </c>
      <c r="D169" s="25"/>
      <c r="E169" s="25">
        <v>10710.795454545454</v>
      </c>
      <c r="F169" s="25"/>
      <c r="G169" s="25"/>
      <c r="H169" s="25"/>
      <c r="I169" s="25"/>
      <c r="J169" s="25"/>
      <c r="K169" s="25"/>
      <c r="L169" s="25"/>
      <c r="M169" s="25"/>
      <c r="N169" s="25">
        <v>10710.795454545454</v>
      </c>
    </row>
    <row r="170" spans="1:14" x14ac:dyDescent="0.25">
      <c r="A170" t="s">
        <v>955</v>
      </c>
      <c r="B170" t="s">
        <v>213</v>
      </c>
      <c r="C170" t="s">
        <v>9</v>
      </c>
      <c r="D170" s="25"/>
      <c r="E170" s="25">
        <v>21159.090909090908</v>
      </c>
      <c r="F170" s="25"/>
      <c r="G170" s="25"/>
      <c r="H170" s="25"/>
      <c r="I170" s="25"/>
      <c r="J170" s="25"/>
      <c r="K170" s="25"/>
      <c r="L170" s="25"/>
      <c r="M170" s="25"/>
      <c r="N170" s="25">
        <v>21159.090909090908</v>
      </c>
    </row>
    <row r="171" spans="1:14" x14ac:dyDescent="0.25">
      <c r="A171" t="s">
        <v>957</v>
      </c>
      <c r="B171" t="s">
        <v>39</v>
      </c>
      <c r="C171" t="s">
        <v>958</v>
      </c>
      <c r="D171" s="25"/>
      <c r="E171" s="25">
        <v>10507.954545454546</v>
      </c>
      <c r="F171" s="25"/>
      <c r="G171" s="25"/>
      <c r="H171" s="25"/>
      <c r="I171" s="25"/>
      <c r="J171" s="25"/>
      <c r="K171" s="25"/>
      <c r="L171" s="25"/>
      <c r="M171" s="25"/>
      <c r="N171" s="25">
        <v>10507.954545454546</v>
      </c>
    </row>
    <row r="172" spans="1:14" x14ac:dyDescent="0.25">
      <c r="A172" t="s">
        <v>960</v>
      </c>
      <c r="B172" t="s">
        <v>958</v>
      </c>
      <c r="C172" t="s">
        <v>38</v>
      </c>
      <c r="D172" s="25"/>
      <c r="E172" s="25">
        <v>10500</v>
      </c>
      <c r="F172" s="25"/>
      <c r="G172" s="25"/>
      <c r="H172" s="25"/>
      <c r="I172" s="25"/>
      <c r="J172" s="25"/>
      <c r="K172" s="25"/>
      <c r="L172" s="25"/>
      <c r="M172" s="25"/>
      <c r="N172" s="25">
        <v>10500</v>
      </c>
    </row>
    <row r="173" spans="1:14" x14ac:dyDescent="0.25">
      <c r="A173" t="s">
        <v>962</v>
      </c>
      <c r="B173" t="s">
        <v>38</v>
      </c>
      <c r="C173" t="s">
        <v>281</v>
      </c>
      <c r="D173" s="25"/>
      <c r="E173" s="25">
        <v>10531.818181818182</v>
      </c>
      <c r="F173" s="25"/>
      <c r="G173" s="25"/>
      <c r="H173" s="25"/>
      <c r="I173" s="25"/>
      <c r="J173" s="25"/>
      <c r="K173" s="25"/>
      <c r="L173" s="25"/>
      <c r="M173" s="25"/>
      <c r="N173" s="25">
        <v>10531.818181818182</v>
      </c>
    </row>
    <row r="174" spans="1:14" x14ac:dyDescent="0.25">
      <c r="A174" t="s">
        <v>964</v>
      </c>
      <c r="B174" t="s">
        <v>39</v>
      </c>
      <c r="C174" t="s">
        <v>213</v>
      </c>
      <c r="D174" s="25"/>
      <c r="E174" s="25"/>
      <c r="F174" s="25">
        <v>32303.030303030304</v>
      </c>
      <c r="G174" s="25"/>
      <c r="H174" s="25"/>
      <c r="I174" s="25"/>
      <c r="J174" s="25"/>
      <c r="K174" s="25"/>
      <c r="L174" s="25"/>
      <c r="M174" s="25"/>
      <c r="N174" s="25">
        <v>32303.030303030304</v>
      </c>
    </row>
    <row r="175" spans="1:14" x14ac:dyDescent="0.25">
      <c r="A175" t="s">
        <v>966</v>
      </c>
      <c r="B175" t="s">
        <v>197</v>
      </c>
      <c r="C175" t="s">
        <v>25</v>
      </c>
      <c r="D175" s="25"/>
      <c r="E175" s="25">
        <v>21357.954545454544</v>
      </c>
      <c r="F175" s="25"/>
      <c r="G175" s="25"/>
      <c r="H175" s="25"/>
      <c r="I175" s="25"/>
      <c r="J175" s="25"/>
      <c r="K175" s="25"/>
      <c r="L175" s="25"/>
      <c r="M175" s="25"/>
      <c r="N175" s="25">
        <v>21357.954545454544</v>
      </c>
    </row>
    <row r="176" spans="1:14" x14ac:dyDescent="0.25">
      <c r="A176" t="s">
        <v>970</v>
      </c>
      <c r="B176" t="s">
        <v>119</v>
      </c>
      <c r="C176" t="s">
        <v>193</v>
      </c>
      <c r="D176" s="25"/>
      <c r="E176" s="25">
        <v>21119.31818181818</v>
      </c>
      <c r="F176" s="25"/>
      <c r="G176" s="25"/>
      <c r="H176" s="25"/>
      <c r="I176" s="25"/>
      <c r="J176" s="25"/>
      <c r="K176" s="25"/>
      <c r="L176" s="25"/>
      <c r="M176" s="25"/>
      <c r="N176" s="25">
        <v>21119.31818181818</v>
      </c>
    </row>
    <row r="177" spans="1:14" x14ac:dyDescent="0.25">
      <c r="A177" t="s">
        <v>989</v>
      </c>
      <c r="B177" t="s">
        <v>110</v>
      </c>
      <c r="C177" t="s">
        <v>817</v>
      </c>
      <c r="D177" s="25"/>
      <c r="E177" s="25">
        <v>15539.204545454546</v>
      </c>
      <c r="F177" s="25"/>
      <c r="G177" s="25"/>
      <c r="H177" s="25"/>
      <c r="I177" s="25"/>
      <c r="J177" s="25"/>
      <c r="K177" s="25"/>
      <c r="L177" s="25"/>
      <c r="M177" s="25"/>
      <c r="N177" s="25">
        <v>15539.204545454546</v>
      </c>
    </row>
    <row r="178" spans="1:14" x14ac:dyDescent="0.25">
      <c r="A178" t="s">
        <v>991</v>
      </c>
      <c r="B178" t="s">
        <v>817</v>
      </c>
      <c r="C178" t="s">
        <v>210</v>
      </c>
      <c r="D178" s="25"/>
      <c r="E178" s="25">
        <v>11128.40909090909</v>
      </c>
      <c r="F178" s="25"/>
      <c r="G178" s="25"/>
      <c r="H178" s="25"/>
      <c r="I178" s="25"/>
      <c r="J178" s="25"/>
      <c r="K178" s="25"/>
      <c r="L178" s="25"/>
      <c r="M178" s="25"/>
      <c r="N178" s="25">
        <v>11128.40909090909</v>
      </c>
    </row>
    <row r="179" spans="1:14" x14ac:dyDescent="0.25">
      <c r="A179" t="s">
        <v>997</v>
      </c>
      <c r="B179" t="s">
        <v>99</v>
      </c>
      <c r="C179" t="s">
        <v>100</v>
      </c>
      <c r="D179" s="25"/>
      <c r="E179" s="25">
        <v>23227.272727272728</v>
      </c>
      <c r="F179" s="25"/>
      <c r="G179" s="25"/>
      <c r="H179" s="25"/>
      <c r="I179" s="25"/>
      <c r="J179" s="25"/>
      <c r="K179" s="25"/>
      <c r="L179" s="25"/>
      <c r="M179" s="25"/>
      <c r="N179" s="25">
        <v>23227.272727272728</v>
      </c>
    </row>
    <row r="180" spans="1:14" x14ac:dyDescent="0.25">
      <c r="A180" t="s">
        <v>1001</v>
      </c>
      <c r="B180" t="s">
        <v>99</v>
      </c>
      <c r="C180" t="s">
        <v>440</v>
      </c>
      <c r="D180" s="25"/>
      <c r="E180" s="25"/>
      <c r="F180" s="25"/>
      <c r="G180" s="25"/>
      <c r="H180" s="25"/>
      <c r="I180" s="25"/>
      <c r="J180" s="25"/>
      <c r="K180" s="25">
        <v>45083.333333333336</v>
      </c>
      <c r="L180" s="25"/>
      <c r="M180" s="25"/>
      <c r="N180" s="25">
        <v>45083.333333333336</v>
      </c>
    </row>
    <row r="181" spans="1:14" x14ac:dyDescent="0.25">
      <c r="A181" t="s">
        <v>1005</v>
      </c>
      <c r="B181" t="s">
        <v>440</v>
      </c>
      <c r="C181" t="s">
        <v>104</v>
      </c>
      <c r="D181" s="25"/>
      <c r="E181" s="25"/>
      <c r="F181" s="25"/>
      <c r="G181" s="25"/>
      <c r="H181" s="25"/>
      <c r="I181" s="25"/>
      <c r="J181" s="25"/>
      <c r="K181" s="25">
        <v>56083.333333333336</v>
      </c>
      <c r="L181" s="25"/>
      <c r="M181" s="25"/>
      <c r="N181" s="25">
        <v>56083.333333333336</v>
      </c>
    </row>
    <row r="182" spans="1:14" x14ac:dyDescent="0.25">
      <c r="A182" t="s">
        <v>1009</v>
      </c>
      <c r="B182" t="s">
        <v>107</v>
      </c>
      <c r="C182" t="s">
        <v>104</v>
      </c>
      <c r="D182" s="25"/>
      <c r="E182" s="25">
        <v>21338.06818181818</v>
      </c>
      <c r="F182" s="25"/>
      <c r="G182" s="25"/>
      <c r="H182" s="25"/>
      <c r="I182" s="25"/>
      <c r="J182" s="25"/>
      <c r="K182" s="25"/>
      <c r="L182" s="25"/>
      <c r="M182" s="25"/>
      <c r="N182" s="25">
        <v>21338.06818181818</v>
      </c>
    </row>
    <row r="183" spans="1:14" x14ac:dyDescent="0.25">
      <c r="A183" t="s">
        <v>1013</v>
      </c>
      <c r="B183" t="s">
        <v>110</v>
      </c>
      <c r="C183" t="s">
        <v>107</v>
      </c>
      <c r="D183" s="25"/>
      <c r="E183" s="25"/>
      <c r="F183" s="25"/>
      <c r="G183" s="25"/>
      <c r="H183" s="25"/>
      <c r="I183" s="25"/>
      <c r="J183" s="25"/>
      <c r="K183" s="25"/>
      <c r="L183" s="25">
        <v>46174.242424242424</v>
      </c>
      <c r="M183" s="25"/>
      <c r="N183" s="25">
        <v>46174.242424242424</v>
      </c>
    </row>
    <row r="184" spans="1:14" x14ac:dyDescent="0.25">
      <c r="A184" t="s">
        <v>1046</v>
      </c>
      <c r="B184" t="s">
        <v>1047</v>
      </c>
      <c r="C184" t="s">
        <v>140</v>
      </c>
      <c r="D184" s="25"/>
      <c r="E184" s="25">
        <v>14767.613636363636</v>
      </c>
      <c r="F184" s="25"/>
      <c r="G184" s="25"/>
      <c r="H184" s="25"/>
      <c r="I184" s="25"/>
      <c r="J184" s="25"/>
      <c r="K184" s="25"/>
      <c r="L184" s="25"/>
      <c r="M184" s="25"/>
      <c r="N184" s="25">
        <v>14767.613636363636</v>
      </c>
    </row>
    <row r="185" spans="1:14" x14ac:dyDescent="0.25">
      <c r="A185" t="s">
        <v>1049</v>
      </c>
      <c r="B185" t="s">
        <v>147</v>
      </c>
      <c r="C185" t="s">
        <v>149</v>
      </c>
      <c r="D185" s="25"/>
      <c r="E185" s="25">
        <v>10838.068181818182</v>
      </c>
      <c r="F185" s="25"/>
      <c r="G185" s="25"/>
      <c r="H185" s="25"/>
      <c r="I185" s="25"/>
      <c r="J185" s="25"/>
      <c r="K185" s="25"/>
      <c r="L185" s="25"/>
      <c r="M185" s="25"/>
      <c r="N185" s="25">
        <v>10838.068181818182</v>
      </c>
    </row>
    <row r="186" spans="1:14" x14ac:dyDescent="0.25">
      <c r="A186" t="s">
        <v>1053</v>
      </c>
      <c r="B186" t="s">
        <v>73</v>
      </c>
      <c r="C186" t="s">
        <v>1047</v>
      </c>
      <c r="D186" s="25">
        <v>1656.8181818181818</v>
      </c>
      <c r="E186" s="25"/>
      <c r="F186" s="25"/>
      <c r="G186" s="25"/>
      <c r="H186" s="25"/>
      <c r="I186" s="25"/>
      <c r="J186" s="25"/>
      <c r="K186" s="25"/>
      <c r="L186" s="25"/>
      <c r="M186" s="25"/>
      <c r="N186" s="25">
        <v>1656.8181818181818</v>
      </c>
    </row>
    <row r="187" spans="1:14" x14ac:dyDescent="0.25">
      <c r="A187" t="s">
        <v>1055</v>
      </c>
      <c r="B187" t="s">
        <v>117</v>
      </c>
      <c r="C187" t="s">
        <v>116</v>
      </c>
      <c r="D187" s="25"/>
      <c r="E187" s="25">
        <v>11864.204545454546</v>
      </c>
      <c r="F187" s="25"/>
      <c r="G187" s="25"/>
      <c r="H187" s="25"/>
      <c r="I187" s="25"/>
      <c r="J187" s="25"/>
      <c r="K187" s="25"/>
      <c r="L187" s="25"/>
      <c r="M187" s="25"/>
      <c r="N187" s="25">
        <v>11864.204545454546</v>
      </c>
    </row>
    <row r="188" spans="1:14" x14ac:dyDescent="0.25">
      <c r="A188" t="s">
        <v>1057</v>
      </c>
      <c r="B188" t="s">
        <v>313</v>
      </c>
      <c r="C188" t="s">
        <v>461</v>
      </c>
      <c r="D188" s="25"/>
      <c r="E188" s="25"/>
      <c r="F188" s="25"/>
      <c r="G188" s="25"/>
      <c r="H188" s="25"/>
      <c r="I188" s="25"/>
      <c r="J188" s="25"/>
      <c r="K188" s="25"/>
      <c r="L188" s="25">
        <v>46740.530303030304</v>
      </c>
      <c r="M188" s="25"/>
      <c r="N188" s="25">
        <v>46740.530303030304</v>
      </c>
    </row>
    <row r="189" spans="1:14" x14ac:dyDescent="0.25">
      <c r="A189" t="s">
        <v>1062</v>
      </c>
      <c r="B189" t="s">
        <v>59</v>
      </c>
      <c r="C189" t="s">
        <v>64</v>
      </c>
      <c r="D189" s="25"/>
      <c r="E189" s="25"/>
      <c r="F189" s="25">
        <v>32242.424242424244</v>
      </c>
      <c r="G189" s="25"/>
      <c r="H189" s="25"/>
      <c r="I189" s="25"/>
      <c r="J189" s="25"/>
      <c r="K189" s="25"/>
      <c r="L189" s="25"/>
      <c r="M189" s="25"/>
      <c r="N189" s="25">
        <v>32242.424242424244</v>
      </c>
    </row>
    <row r="190" spans="1:14" x14ac:dyDescent="0.25">
      <c r="A190" t="s">
        <v>1068</v>
      </c>
      <c r="B190" t="s">
        <v>147</v>
      </c>
      <c r="C190" t="s">
        <v>885</v>
      </c>
      <c r="D190" s="25"/>
      <c r="E190" s="25"/>
      <c r="F190" s="25">
        <v>73860.606060606064</v>
      </c>
      <c r="G190" s="25"/>
      <c r="H190" s="25"/>
      <c r="I190" s="25"/>
      <c r="J190" s="25"/>
      <c r="K190" s="25"/>
      <c r="L190" s="25"/>
      <c r="M190" s="25"/>
      <c r="N190" s="25">
        <v>73860.606060606064</v>
      </c>
    </row>
    <row r="191" spans="1:14" x14ac:dyDescent="0.25">
      <c r="A191" t="s">
        <v>1069</v>
      </c>
      <c r="B191" t="s">
        <v>297</v>
      </c>
      <c r="C191" t="s">
        <v>147</v>
      </c>
      <c r="D191" s="25"/>
      <c r="E191" s="25">
        <v>21258.522727272728</v>
      </c>
      <c r="F191" s="25"/>
      <c r="G191" s="25"/>
      <c r="H191" s="25"/>
      <c r="I191" s="25"/>
      <c r="J191" s="25"/>
      <c r="K191" s="25"/>
      <c r="L191" s="25"/>
      <c r="M191" s="25"/>
      <c r="N191" s="25">
        <v>21258.522727272728</v>
      </c>
    </row>
    <row r="192" spans="1:14" x14ac:dyDescent="0.25">
      <c r="A192" t="s">
        <v>1070</v>
      </c>
      <c r="B192" t="s">
        <v>742</v>
      </c>
      <c r="C192" t="s">
        <v>119</v>
      </c>
      <c r="D192" s="25"/>
      <c r="E192" s="25"/>
      <c r="F192" s="25"/>
      <c r="G192" s="25"/>
      <c r="H192" s="25"/>
      <c r="I192" s="25"/>
      <c r="J192" s="25">
        <v>169900.56818181818</v>
      </c>
      <c r="K192" s="25"/>
      <c r="L192" s="25"/>
      <c r="M192" s="25"/>
      <c r="N192" s="25">
        <v>169900.56818181818</v>
      </c>
    </row>
    <row r="193" spans="1:14" x14ac:dyDescent="0.25">
      <c r="A193" t="s">
        <v>1074</v>
      </c>
      <c r="B193" t="s">
        <v>119</v>
      </c>
      <c r="C193" t="s">
        <v>193</v>
      </c>
      <c r="D193" s="25"/>
      <c r="E193" s="25"/>
      <c r="F193" s="25"/>
      <c r="G193" s="25"/>
      <c r="H193" s="25"/>
      <c r="I193" s="25"/>
      <c r="J193" s="25">
        <v>169389.20454545456</v>
      </c>
      <c r="K193" s="25"/>
      <c r="L193" s="25"/>
      <c r="M193" s="25"/>
      <c r="N193" s="25">
        <v>169389.20454545456</v>
      </c>
    </row>
    <row r="194" spans="1:14" x14ac:dyDescent="0.25">
      <c r="A194" t="s">
        <v>1078</v>
      </c>
      <c r="B194" t="s">
        <v>193</v>
      </c>
      <c r="C194" t="s">
        <v>414</v>
      </c>
      <c r="D194" s="25"/>
      <c r="E194" s="25"/>
      <c r="F194" s="25"/>
      <c r="G194" s="25"/>
      <c r="H194" s="25"/>
      <c r="I194" s="25"/>
      <c r="J194" s="25">
        <v>35156.25</v>
      </c>
      <c r="K194" s="25"/>
      <c r="L194" s="25"/>
      <c r="M194" s="25"/>
      <c r="N194" s="25">
        <v>35156.25</v>
      </c>
    </row>
    <row r="195" spans="1:14" x14ac:dyDescent="0.25">
      <c r="A195" t="s">
        <v>1080</v>
      </c>
      <c r="B195" t="s">
        <v>414</v>
      </c>
      <c r="C195" t="s">
        <v>197</v>
      </c>
      <c r="D195" s="25"/>
      <c r="E195" s="25"/>
      <c r="F195" s="25"/>
      <c r="G195" s="25"/>
      <c r="H195" s="25"/>
      <c r="I195" s="25"/>
      <c r="J195" s="25">
        <v>25568.18181818182</v>
      </c>
      <c r="K195" s="25"/>
      <c r="L195" s="25"/>
      <c r="M195" s="25"/>
      <c r="N195" s="25">
        <v>25568.18181818182</v>
      </c>
    </row>
    <row r="196" spans="1:14" x14ac:dyDescent="0.25">
      <c r="A196" t="s">
        <v>1100</v>
      </c>
      <c r="B196" t="s">
        <v>461</v>
      </c>
      <c r="C196" t="s">
        <v>418</v>
      </c>
      <c r="D196" s="25"/>
      <c r="E196" s="25">
        <v>10062.5</v>
      </c>
      <c r="F196" s="25"/>
      <c r="G196" s="25"/>
      <c r="H196" s="25"/>
      <c r="I196" s="25"/>
      <c r="J196" s="25"/>
      <c r="K196" s="25"/>
      <c r="L196" s="25"/>
      <c r="M196" s="25"/>
      <c r="N196" s="25">
        <v>10062.5</v>
      </c>
    </row>
    <row r="197" spans="1:14" x14ac:dyDescent="0.25">
      <c r="A197" t="s">
        <v>1107</v>
      </c>
      <c r="B197" t="s">
        <v>257</v>
      </c>
      <c r="C197" t="s">
        <v>52</v>
      </c>
      <c r="D197" s="25"/>
      <c r="E197" s="25">
        <v>16191.477272727272</v>
      </c>
      <c r="F197" s="25"/>
      <c r="G197" s="25"/>
      <c r="H197" s="25"/>
      <c r="I197" s="25"/>
      <c r="J197" s="25"/>
      <c r="K197" s="25"/>
      <c r="L197" s="25"/>
      <c r="M197" s="25"/>
      <c r="N197" s="25">
        <v>16191.477272727272</v>
      </c>
    </row>
    <row r="198" spans="1:14" x14ac:dyDescent="0.25">
      <c r="A198" t="s">
        <v>1114</v>
      </c>
      <c r="B198" t="s">
        <v>1132</v>
      </c>
      <c r="C198" t="s">
        <v>138</v>
      </c>
      <c r="D198" s="25"/>
      <c r="E198" s="25">
        <v>10738.636363636364</v>
      </c>
      <c r="F198" s="25"/>
      <c r="G198" s="25"/>
      <c r="H198" s="25"/>
      <c r="I198" s="25"/>
      <c r="J198" s="25"/>
      <c r="K198" s="25"/>
      <c r="L198" s="25"/>
      <c r="M198" s="25"/>
      <c r="N198" s="25">
        <v>10738.636363636364</v>
      </c>
    </row>
    <row r="199" spans="1:14" x14ac:dyDescent="0.25">
      <c r="A199" t="s">
        <v>1130</v>
      </c>
      <c r="B199" t="s">
        <v>984</v>
      </c>
      <c r="C199" t="s">
        <v>209</v>
      </c>
      <c r="D199" s="25"/>
      <c r="E199" s="25">
        <v>7159.090909090909</v>
      </c>
      <c r="F199" s="25"/>
      <c r="G199" s="25"/>
      <c r="H199" s="25"/>
      <c r="I199" s="25"/>
      <c r="J199" s="25"/>
      <c r="K199" s="25"/>
      <c r="L199" s="25"/>
      <c r="M199" s="25"/>
      <c r="N199" s="25">
        <v>7159.090909090909</v>
      </c>
    </row>
    <row r="200" spans="1:14" x14ac:dyDescent="0.25">
      <c r="A200" t="s">
        <v>1135</v>
      </c>
      <c r="B200" t="s">
        <v>100</v>
      </c>
      <c r="C200" t="s">
        <v>99</v>
      </c>
      <c r="D200" s="25"/>
      <c r="E200" s="25">
        <v>21079.545454545456</v>
      </c>
      <c r="F200" s="25"/>
      <c r="G200" s="25"/>
      <c r="H200" s="25"/>
      <c r="I200" s="25"/>
      <c r="J200" s="25"/>
      <c r="K200" s="25"/>
      <c r="L200" s="25"/>
      <c r="M200" s="25"/>
      <c r="N200" s="25">
        <v>21079.545454545456</v>
      </c>
    </row>
    <row r="201" spans="1:14" x14ac:dyDescent="0.25">
      <c r="A201" t="s">
        <v>1165</v>
      </c>
      <c r="B201" t="s">
        <v>25</v>
      </c>
      <c r="C201" t="s">
        <v>28</v>
      </c>
      <c r="D201" s="25"/>
      <c r="E201" s="25"/>
      <c r="F201" s="25">
        <v>31903.030303030304</v>
      </c>
      <c r="G201" s="25"/>
      <c r="H201" s="25"/>
      <c r="I201" s="25"/>
      <c r="J201" s="25"/>
      <c r="K201" s="25"/>
      <c r="L201" s="25"/>
      <c r="M201" s="25"/>
      <c r="N201" s="25">
        <v>31903.030303030304</v>
      </c>
    </row>
    <row r="202" spans="1:14" x14ac:dyDescent="0.25">
      <c r="A202" t="s">
        <v>1167</v>
      </c>
      <c r="B202" t="s">
        <v>9</v>
      </c>
      <c r="C202" t="s">
        <v>28</v>
      </c>
      <c r="D202" s="25"/>
      <c r="E202" s="25">
        <v>20005.68181818182</v>
      </c>
      <c r="F202" s="25"/>
      <c r="G202" s="25"/>
      <c r="H202" s="25"/>
      <c r="I202" s="25"/>
      <c r="J202" s="25"/>
      <c r="K202" s="25"/>
      <c r="L202" s="25"/>
      <c r="M202" s="25"/>
      <c r="N202" s="25">
        <v>20005.68181818182</v>
      </c>
    </row>
    <row r="203" spans="1:14" x14ac:dyDescent="0.25">
      <c r="A203" t="s">
        <v>1178</v>
      </c>
      <c r="B203" t="s">
        <v>461</v>
      </c>
      <c r="C203" t="s">
        <v>418</v>
      </c>
      <c r="D203" s="25"/>
      <c r="E203" s="25">
        <v>10710.795454545454</v>
      </c>
      <c r="F203" s="25"/>
      <c r="G203" s="25"/>
      <c r="H203" s="25"/>
      <c r="I203" s="25"/>
      <c r="J203" s="25"/>
      <c r="K203" s="25"/>
      <c r="L203" s="25"/>
      <c r="M203" s="25"/>
      <c r="N203" s="25">
        <v>10710.795454545454</v>
      </c>
    </row>
    <row r="204" spans="1:14" x14ac:dyDescent="0.25">
      <c r="A204" t="s">
        <v>1189</v>
      </c>
      <c r="B204" t="s">
        <v>795</v>
      </c>
      <c r="C204" t="s">
        <v>168</v>
      </c>
      <c r="D204" s="25"/>
      <c r="E204" s="25">
        <v>5456.818181818182</v>
      </c>
      <c r="F204" s="25"/>
      <c r="G204" s="25"/>
      <c r="H204" s="25"/>
      <c r="I204" s="25"/>
      <c r="J204" s="25"/>
      <c r="K204" s="25"/>
      <c r="L204" s="25"/>
      <c r="M204" s="25"/>
      <c r="N204" s="25">
        <v>5456.818181818182</v>
      </c>
    </row>
    <row r="205" spans="1:14" x14ac:dyDescent="0.25">
      <c r="A205" t="s">
        <v>1193</v>
      </c>
      <c r="B205" t="s">
        <v>135</v>
      </c>
      <c r="C205" t="s">
        <v>168</v>
      </c>
      <c r="D205" s="25"/>
      <c r="E205" s="25">
        <v>18438.636363636364</v>
      </c>
      <c r="F205" s="25"/>
      <c r="G205" s="25"/>
      <c r="H205" s="25"/>
      <c r="I205" s="25"/>
      <c r="J205" s="25"/>
      <c r="K205" s="25"/>
      <c r="L205" s="25"/>
      <c r="M205" s="25"/>
      <c r="N205" s="25">
        <v>18438.636363636364</v>
      </c>
    </row>
    <row r="206" spans="1:14" x14ac:dyDescent="0.25">
      <c r="A206" t="s">
        <v>1197</v>
      </c>
      <c r="B206" t="s">
        <v>67</v>
      </c>
      <c r="C206" t="s">
        <v>406</v>
      </c>
      <c r="D206" s="25"/>
      <c r="E206" s="25">
        <v>8817.613636363636</v>
      </c>
      <c r="F206" s="25"/>
      <c r="G206" s="25"/>
      <c r="H206" s="25"/>
      <c r="I206" s="25"/>
      <c r="J206" s="25"/>
      <c r="K206" s="25"/>
      <c r="L206" s="25"/>
      <c r="M206" s="25"/>
      <c r="N206" s="25">
        <v>8817.613636363636</v>
      </c>
    </row>
    <row r="207" spans="1:14" x14ac:dyDescent="0.25">
      <c r="A207" t="s">
        <v>1203</v>
      </c>
      <c r="B207" t="s">
        <v>406</v>
      </c>
      <c r="C207" t="s">
        <v>121</v>
      </c>
      <c r="D207" s="25"/>
      <c r="E207" s="25">
        <v>23032.386363636364</v>
      </c>
      <c r="F207" s="25"/>
      <c r="G207" s="25"/>
      <c r="H207" s="25"/>
      <c r="I207" s="25"/>
      <c r="J207" s="25"/>
      <c r="K207" s="25"/>
      <c r="L207" s="25"/>
      <c r="M207" s="25"/>
      <c r="N207" s="25">
        <v>23032.386363636364</v>
      </c>
    </row>
    <row r="208" spans="1:14" x14ac:dyDescent="0.25">
      <c r="A208" t="s">
        <v>1205</v>
      </c>
      <c r="B208" t="s">
        <v>83</v>
      </c>
      <c r="C208" t="s">
        <v>67</v>
      </c>
      <c r="D208" s="25"/>
      <c r="E208" s="25">
        <v>10607.386363636364</v>
      </c>
      <c r="F208" s="25"/>
      <c r="G208" s="25"/>
      <c r="H208" s="25"/>
      <c r="I208" s="25"/>
      <c r="J208" s="25"/>
      <c r="K208" s="25"/>
      <c r="L208" s="25"/>
      <c r="M208" s="25"/>
      <c r="N208" s="25">
        <v>10607.386363636364</v>
      </c>
    </row>
    <row r="209" spans="1:14" x14ac:dyDescent="0.25">
      <c r="A209" t="s">
        <v>1207</v>
      </c>
      <c r="B209" t="s">
        <v>297</v>
      </c>
      <c r="C209" t="s">
        <v>44</v>
      </c>
      <c r="D209" s="25"/>
      <c r="E209" s="25">
        <v>22471.590909090908</v>
      </c>
      <c r="F209" s="25"/>
      <c r="G209" s="25"/>
      <c r="H209" s="25"/>
      <c r="I209" s="25"/>
      <c r="J209" s="25"/>
      <c r="K209" s="25"/>
      <c r="L209" s="25"/>
      <c r="M209" s="25"/>
      <c r="N209" s="25">
        <v>22471.590909090908</v>
      </c>
    </row>
    <row r="210" spans="1:14" x14ac:dyDescent="0.25">
      <c r="A210" t="s">
        <v>1215</v>
      </c>
      <c r="B210" t="s">
        <v>100</v>
      </c>
      <c r="C210" t="s">
        <v>99</v>
      </c>
      <c r="D210" s="25"/>
      <c r="E210" s="25">
        <v>21198.863636363636</v>
      </c>
      <c r="F210" s="25"/>
      <c r="G210" s="25"/>
      <c r="H210" s="25"/>
      <c r="I210" s="25"/>
      <c r="J210" s="25"/>
      <c r="K210" s="25"/>
      <c r="L210" s="25"/>
      <c r="M210" s="25"/>
      <c r="N210" s="25">
        <v>21198.863636363636</v>
      </c>
    </row>
    <row r="211" spans="1:14" x14ac:dyDescent="0.25">
      <c r="A211" t="s">
        <v>1223</v>
      </c>
      <c r="B211" t="s">
        <v>193</v>
      </c>
      <c r="C211" t="s">
        <v>197</v>
      </c>
      <c r="D211" s="25"/>
      <c r="E211" s="25">
        <v>21540.909090909092</v>
      </c>
      <c r="F211" s="25"/>
      <c r="G211" s="25"/>
      <c r="H211" s="25"/>
      <c r="I211" s="25"/>
      <c r="J211" s="25"/>
      <c r="K211" s="25"/>
      <c r="L211" s="25"/>
      <c r="M211" s="25"/>
      <c r="N211" s="25">
        <v>21540.909090909092</v>
      </c>
    </row>
    <row r="212" spans="1:14" x14ac:dyDescent="0.25">
      <c r="A212" t="s">
        <v>1234</v>
      </c>
      <c r="B212" t="s">
        <v>28</v>
      </c>
      <c r="C212" t="s">
        <v>9</v>
      </c>
      <c r="D212" s="25"/>
      <c r="E212" s="25"/>
      <c r="F212" s="25"/>
      <c r="G212" s="25"/>
      <c r="H212" s="25"/>
      <c r="I212" s="25"/>
      <c r="J212" s="25"/>
      <c r="K212" s="25">
        <v>103395.83333333333</v>
      </c>
      <c r="L212" s="25"/>
      <c r="M212" s="25"/>
      <c r="N212" s="25">
        <v>103395.83333333333</v>
      </c>
    </row>
    <row r="213" spans="1:14" x14ac:dyDescent="0.25">
      <c r="A213" t="s">
        <v>1238</v>
      </c>
      <c r="B213" t="s">
        <v>307</v>
      </c>
      <c r="C213" t="s">
        <v>100</v>
      </c>
      <c r="D213" s="25"/>
      <c r="E213" s="25">
        <v>9625</v>
      </c>
      <c r="F213" s="25"/>
      <c r="G213" s="25"/>
      <c r="H213" s="25"/>
      <c r="I213" s="25"/>
      <c r="J213" s="25"/>
      <c r="K213" s="25"/>
      <c r="L213" s="25"/>
      <c r="M213" s="25"/>
      <c r="N213" s="25">
        <v>9625</v>
      </c>
    </row>
    <row r="214" spans="1:14" x14ac:dyDescent="0.25">
      <c r="A214" t="s">
        <v>1240</v>
      </c>
      <c r="B214" t="s">
        <v>209</v>
      </c>
      <c r="C214" t="s">
        <v>984</v>
      </c>
      <c r="D214" s="25"/>
      <c r="E214" s="25">
        <v>20284.090909090908</v>
      </c>
      <c r="F214" s="25"/>
      <c r="G214" s="25"/>
      <c r="H214" s="25"/>
      <c r="I214" s="25"/>
      <c r="J214" s="25"/>
      <c r="K214" s="25"/>
      <c r="L214" s="25"/>
      <c r="M214" s="25"/>
      <c r="N214" s="25">
        <v>20284.090909090908</v>
      </c>
    </row>
    <row r="215" spans="1:14" x14ac:dyDescent="0.25">
      <c r="A215" t="s">
        <v>1250</v>
      </c>
      <c r="B215" t="s">
        <v>504</v>
      </c>
      <c r="C215" t="s">
        <v>504</v>
      </c>
      <c r="D215" s="25"/>
      <c r="E215" s="25">
        <v>3555.681818181818</v>
      </c>
      <c r="F215" s="25"/>
      <c r="G215" s="25"/>
      <c r="H215" s="25"/>
      <c r="I215" s="25"/>
      <c r="J215" s="25"/>
      <c r="K215" s="25"/>
      <c r="L215" s="25"/>
      <c r="M215" s="25"/>
      <c r="N215" s="25">
        <v>3555.681818181818</v>
      </c>
    </row>
    <row r="216" spans="1:14" x14ac:dyDescent="0.25">
      <c r="A216" t="s">
        <v>1252</v>
      </c>
      <c r="B216" t="s">
        <v>86</v>
      </c>
      <c r="C216" t="s">
        <v>504</v>
      </c>
      <c r="D216" s="25"/>
      <c r="E216" s="25"/>
      <c r="F216" s="25"/>
      <c r="G216" s="25"/>
      <c r="H216" s="25">
        <v>17553.030303030304</v>
      </c>
      <c r="I216" s="25"/>
      <c r="J216" s="25"/>
      <c r="K216" s="25"/>
      <c r="L216" s="25"/>
      <c r="M216" s="25"/>
      <c r="N216" s="25">
        <v>17553.030303030304</v>
      </c>
    </row>
    <row r="217" spans="1:14" x14ac:dyDescent="0.25">
      <c r="A217" t="s">
        <v>1260</v>
      </c>
      <c r="B217" t="s">
        <v>213</v>
      </c>
      <c r="C217" t="s">
        <v>35</v>
      </c>
      <c r="D217" s="25"/>
      <c r="E217" s="25">
        <v>10706.818181818182</v>
      </c>
      <c r="F217" s="25"/>
      <c r="G217" s="25"/>
      <c r="H217" s="25"/>
      <c r="I217" s="25"/>
      <c r="J217" s="25"/>
      <c r="K217" s="25"/>
      <c r="L217" s="25"/>
      <c r="M217" s="25"/>
      <c r="N217" s="25">
        <v>10706.818181818182</v>
      </c>
    </row>
    <row r="218" spans="1:14" x14ac:dyDescent="0.25">
      <c r="A218" t="s">
        <v>1266</v>
      </c>
      <c r="B218" t="s">
        <v>307</v>
      </c>
      <c r="C218" t="s">
        <v>119</v>
      </c>
      <c r="D218" s="25"/>
      <c r="E218" s="25"/>
      <c r="F218" s="25"/>
      <c r="G218" s="25"/>
      <c r="H218" s="25"/>
      <c r="I218" s="25"/>
      <c r="J218" s="25"/>
      <c r="K218" s="25">
        <v>79791.666666666672</v>
      </c>
      <c r="L218" s="25"/>
      <c r="M218" s="25"/>
      <c r="N218" s="25">
        <v>79791.666666666672</v>
      </c>
    </row>
    <row r="219" spans="1:14" x14ac:dyDescent="0.25">
      <c r="A219" t="s">
        <v>1278</v>
      </c>
      <c r="B219" t="s">
        <v>197</v>
      </c>
      <c r="C219" t="s">
        <v>25</v>
      </c>
      <c r="D219" s="25"/>
      <c r="E219" s="25">
        <v>16442.045454545456</v>
      </c>
      <c r="F219" s="25"/>
      <c r="G219" s="25"/>
      <c r="H219" s="25"/>
      <c r="I219" s="25"/>
      <c r="J219" s="25"/>
      <c r="K219" s="25"/>
      <c r="L219" s="25"/>
      <c r="M219" s="25"/>
      <c r="N219" s="25">
        <v>16442.045454545456</v>
      </c>
    </row>
    <row r="220" spans="1:14" x14ac:dyDescent="0.25">
      <c r="A220" t="s">
        <v>1288</v>
      </c>
      <c r="B220" t="s">
        <v>210</v>
      </c>
      <c r="C220" t="s">
        <v>817</v>
      </c>
      <c r="D220" s="25"/>
      <c r="E220" s="25">
        <v>10420.454545454546</v>
      </c>
      <c r="F220" s="25"/>
      <c r="G220" s="25"/>
      <c r="H220" s="25"/>
      <c r="I220" s="25"/>
      <c r="J220" s="25"/>
      <c r="K220" s="25"/>
      <c r="L220" s="25"/>
      <c r="M220" s="25"/>
      <c r="N220" s="25">
        <v>10420.454545454546</v>
      </c>
    </row>
    <row r="221" spans="1:14" x14ac:dyDescent="0.25">
      <c r="A221" t="s">
        <v>1298</v>
      </c>
      <c r="B221" t="s">
        <v>119</v>
      </c>
      <c r="C221" t="s">
        <v>222</v>
      </c>
      <c r="D221" s="25"/>
      <c r="E221" s="25">
        <v>46315.340909090912</v>
      </c>
      <c r="F221" s="25"/>
      <c r="G221" s="25"/>
      <c r="H221" s="25"/>
      <c r="I221" s="25"/>
      <c r="J221" s="25"/>
      <c r="K221" s="25"/>
      <c r="L221" s="25"/>
      <c r="M221" s="25"/>
      <c r="N221" s="25">
        <v>46315.340909090912</v>
      </c>
    </row>
    <row r="222" spans="1:14" x14ac:dyDescent="0.25">
      <c r="A222" t="s">
        <v>1300</v>
      </c>
      <c r="B222" t="s">
        <v>222</v>
      </c>
      <c r="C222" t="s">
        <v>197</v>
      </c>
      <c r="D222" s="25"/>
      <c r="E222" s="25">
        <v>9497.7272727272721</v>
      </c>
      <c r="F222" s="25"/>
      <c r="G222" s="25"/>
      <c r="H222" s="25"/>
      <c r="I222" s="25"/>
      <c r="J222" s="25"/>
      <c r="K222" s="25"/>
      <c r="L222" s="25"/>
      <c r="M222" s="25"/>
      <c r="N222" s="25">
        <v>9497.7272727272721</v>
      </c>
    </row>
    <row r="223" spans="1:14" x14ac:dyDescent="0.25">
      <c r="A223" t="s">
        <v>1311</v>
      </c>
      <c r="B223" t="s">
        <v>940</v>
      </c>
      <c r="C223" t="s">
        <v>240</v>
      </c>
      <c r="D223" s="25"/>
      <c r="E223" s="25"/>
      <c r="F223" s="25">
        <v>24242.424242424244</v>
      </c>
      <c r="G223" s="25"/>
      <c r="H223" s="25"/>
      <c r="I223" s="25"/>
      <c r="J223" s="25"/>
      <c r="K223" s="25"/>
      <c r="L223" s="25"/>
      <c r="M223" s="25"/>
      <c r="N223" s="25">
        <v>24242.424242424244</v>
      </c>
    </row>
    <row r="224" spans="1:14" x14ac:dyDescent="0.25">
      <c r="A224" t="s">
        <v>1317</v>
      </c>
      <c r="B224" t="s">
        <v>168</v>
      </c>
      <c r="C224" t="s">
        <v>10</v>
      </c>
      <c r="D224" s="25"/>
      <c r="E224" s="25">
        <v>1165.340909090909</v>
      </c>
      <c r="F224" s="25"/>
      <c r="G224" s="25"/>
      <c r="H224" s="25"/>
      <c r="I224" s="25"/>
      <c r="J224" s="25"/>
      <c r="K224" s="25"/>
      <c r="L224" s="25"/>
      <c r="M224" s="25"/>
      <c r="N224" s="25">
        <v>1165.340909090909</v>
      </c>
    </row>
    <row r="225" spans="1:14" x14ac:dyDescent="0.25">
      <c r="A225" t="s">
        <v>1324</v>
      </c>
      <c r="B225" t="s">
        <v>107</v>
      </c>
      <c r="C225" t="s">
        <v>104</v>
      </c>
      <c r="D225" s="25"/>
      <c r="E225" s="25">
        <v>20980.113636363636</v>
      </c>
      <c r="F225" s="25"/>
      <c r="G225" s="25"/>
      <c r="H225" s="25"/>
      <c r="I225" s="25"/>
      <c r="J225" s="25"/>
      <c r="K225" s="25"/>
      <c r="L225" s="25"/>
      <c r="M225" s="25"/>
      <c r="N225" s="25">
        <v>20980.113636363636</v>
      </c>
    </row>
    <row r="226" spans="1:14" x14ac:dyDescent="0.25">
      <c r="A226" t="s">
        <v>1328</v>
      </c>
      <c r="B226" t="s">
        <v>110</v>
      </c>
      <c r="C226" t="s">
        <v>785</v>
      </c>
      <c r="D226" s="25"/>
      <c r="E226" s="25">
        <v>12071.022727272728</v>
      </c>
      <c r="F226" s="25"/>
      <c r="G226" s="25"/>
      <c r="H226" s="25"/>
      <c r="I226" s="25"/>
      <c r="J226" s="25"/>
      <c r="K226" s="25"/>
      <c r="L226" s="25"/>
      <c r="M226" s="25"/>
      <c r="N226" s="25">
        <v>12071.022727272728</v>
      </c>
    </row>
    <row r="227" spans="1:14" x14ac:dyDescent="0.25">
      <c r="A227" t="s">
        <v>1332</v>
      </c>
      <c r="B227" t="s">
        <v>817</v>
      </c>
      <c r="C227" t="s">
        <v>110</v>
      </c>
      <c r="D227" s="25"/>
      <c r="E227" s="25">
        <v>10539.772727272728</v>
      </c>
      <c r="F227" s="25"/>
      <c r="G227" s="25"/>
      <c r="H227" s="25"/>
      <c r="I227" s="25"/>
      <c r="J227" s="25"/>
      <c r="K227" s="25"/>
      <c r="L227" s="25"/>
      <c r="M227" s="25"/>
      <c r="N227" s="25">
        <v>10539.772727272728</v>
      </c>
    </row>
    <row r="228" spans="1:14" x14ac:dyDescent="0.25">
      <c r="A228" t="s">
        <v>1334</v>
      </c>
      <c r="B228" t="s">
        <v>210</v>
      </c>
      <c r="C228" t="s">
        <v>817</v>
      </c>
      <c r="D228" s="25"/>
      <c r="E228" s="25">
        <v>10500</v>
      </c>
      <c r="F228" s="25"/>
      <c r="G228" s="25"/>
      <c r="H228" s="25"/>
      <c r="I228" s="25"/>
      <c r="J228" s="25"/>
      <c r="K228" s="25"/>
      <c r="L228" s="25"/>
      <c r="M228" s="25"/>
      <c r="N228" s="25">
        <v>10500</v>
      </c>
    </row>
    <row r="229" spans="1:14" x14ac:dyDescent="0.25">
      <c r="A229" t="s">
        <v>1336</v>
      </c>
      <c r="B229" t="s">
        <v>35</v>
      </c>
      <c r="C229" t="s">
        <v>213</v>
      </c>
      <c r="D229" s="25"/>
      <c r="E229" s="25">
        <v>8817.613636363636</v>
      </c>
      <c r="F229" s="25"/>
      <c r="G229" s="25"/>
      <c r="H229" s="25"/>
      <c r="I229" s="25"/>
      <c r="J229" s="25"/>
      <c r="K229" s="25"/>
      <c r="L229" s="25"/>
      <c r="M229" s="25"/>
      <c r="N229" s="25">
        <v>8817.613636363636</v>
      </c>
    </row>
    <row r="230" spans="1:14" x14ac:dyDescent="0.25">
      <c r="A230" t="s">
        <v>1340</v>
      </c>
      <c r="B230" t="s">
        <v>213</v>
      </c>
      <c r="C230" t="s">
        <v>39</v>
      </c>
      <c r="D230" s="25"/>
      <c r="E230" s="25">
        <v>21206.81818181818</v>
      </c>
      <c r="F230" s="25"/>
      <c r="G230" s="25"/>
      <c r="H230" s="25"/>
      <c r="I230" s="25"/>
      <c r="J230" s="25"/>
      <c r="K230" s="25"/>
      <c r="L230" s="25"/>
      <c r="M230" s="25"/>
      <c r="N230" s="25">
        <v>21206.81818181818</v>
      </c>
    </row>
    <row r="231" spans="1:14" x14ac:dyDescent="0.25">
      <c r="A231" t="s">
        <v>1342</v>
      </c>
      <c r="B231" t="s">
        <v>44</v>
      </c>
      <c r="C231" t="s">
        <v>18</v>
      </c>
      <c r="D231" s="25"/>
      <c r="E231" s="25">
        <v>20840.909090909092</v>
      </c>
      <c r="F231" s="25"/>
      <c r="G231" s="25"/>
      <c r="H231" s="25"/>
      <c r="I231" s="25"/>
      <c r="J231" s="25"/>
      <c r="K231" s="25"/>
      <c r="L231" s="25"/>
      <c r="M231" s="25"/>
      <c r="N231" s="25">
        <v>20840.909090909092</v>
      </c>
    </row>
    <row r="232" spans="1:14" x14ac:dyDescent="0.25">
      <c r="A232" t="s">
        <v>1346</v>
      </c>
      <c r="B232" t="s">
        <v>257</v>
      </c>
      <c r="C232" t="s">
        <v>49</v>
      </c>
      <c r="D232" s="25"/>
      <c r="E232" s="25">
        <v>5409.090909090909</v>
      </c>
      <c r="F232" s="25"/>
      <c r="G232" s="25"/>
      <c r="H232" s="25"/>
      <c r="I232" s="25"/>
      <c r="J232" s="25"/>
      <c r="K232" s="25"/>
      <c r="L232" s="25"/>
      <c r="M232" s="25"/>
      <c r="N232" s="25">
        <v>5409.090909090909</v>
      </c>
    </row>
    <row r="233" spans="1:14" x14ac:dyDescent="0.25">
      <c r="A233" t="s">
        <v>1348</v>
      </c>
      <c r="B233" t="s">
        <v>52</v>
      </c>
      <c r="C233" t="s">
        <v>257</v>
      </c>
      <c r="D233" s="25"/>
      <c r="E233" s="25">
        <v>16621.022727272728</v>
      </c>
      <c r="F233" s="25"/>
      <c r="G233" s="25"/>
      <c r="H233" s="25"/>
      <c r="I233" s="25"/>
      <c r="J233" s="25"/>
      <c r="K233" s="25"/>
      <c r="L233" s="25"/>
      <c r="M233" s="25"/>
      <c r="N233" s="25">
        <v>16621.022727272728</v>
      </c>
    </row>
    <row r="234" spans="1:14" x14ac:dyDescent="0.25">
      <c r="A234" t="s">
        <v>1360</v>
      </c>
      <c r="B234" t="s">
        <v>168</v>
      </c>
      <c r="C234" t="s">
        <v>895</v>
      </c>
      <c r="D234" s="25"/>
      <c r="E234" s="25"/>
      <c r="F234" s="25"/>
      <c r="G234" s="25"/>
      <c r="H234" s="25"/>
      <c r="I234" s="25"/>
      <c r="J234" s="25"/>
      <c r="K234" s="25">
        <v>56312.5</v>
      </c>
      <c r="L234" s="25"/>
      <c r="M234" s="25"/>
      <c r="N234" s="25">
        <v>56312.5</v>
      </c>
    </row>
    <row r="235" spans="1:14" x14ac:dyDescent="0.25">
      <c r="A235" t="s">
        <v>1364</v>
      </c>
      <c r="B235" t="s">
        <v>70</v>
      </c>
      <c r="C235" t="s">
        <v>64</v>
      </c>
      <c r="D235" s="25"/>
      <c r="E235" s="25">
        <v>10706.818181818182</v>
      </c>
      <c r="F235" s="25"/>
      <c r="G235" s="25"/>
      <c r="H235" s="25"/>
      <c r="I235" s="25"/>
      <c r="J235" s="25"/>
      <c r="K235" s="25"/>
      <c r="L235" s="25"/>
      <c r="M235" s="25"/>
      <c r="N235" s="25">
        <v>10706.818181818182</v>
      </c>
    </row>
    <row r="236" spans="1:14" x14ac:dyDescent="0.25">
      <c r="A236" t="s">
        <v>1366</v>
      </c>
      <c r="B236" t="s">
        <v>73</v>
      </c>
      <c r="C236" t="s">
        <v>70</v>
      </c>
      <c r="D236" s="25"/>
      <c r="E236" s="25">
        <v>10591.477272727272</v>
      </c>
      <c r="F236" s="25"/>
      <c r="G236" s="25"/>
      <c r="H236" s="25"/>
      <c r="I236" s="25"/>
      <c r="J236" s="25"/>
      <c r="K236" s="25"/>
      <c r="L236" s="25"/>
      <c r="M236" s="25"/>
      <c r="N236" s="25">
        <v>10591.477272727272</v>
      </c>
    </row>
    <row r="237" spans="1:14" x14ac:dyDescent="0.25">
      <c r="A237" t="s">
        <v>1368</v>
      </c>
      <c r="B237" t="s">
        <v>79</v>
      </c>
      <c r="C237" t="s">
        <v>73</v>
      </c>
      <c r="D237" s="25">
        <v>4090.909090909091</v>
      </c>
      <c r="E237" s="25"/>
      <c r="F237" s="25"/>
      <c r="G237" s="25"/>
      <c r="H237" s="25"/>
      <c r="I237" s="25"/>
      <c r="J237" s="25"/>
      <c r="K237" s="25"/>
      <c r="L237" s="25"/>
      <c r="M237" s="25"/>
      <c r="N237" s="25">
        <v>4090.909090909091</v>
      </c>
    </row>
    <row r="238" spans="1:14" x14ac:dyDescent="0.25">
      <c r="A238" t="s">
        <v>1372</v>
      </c>
      <c r="B238" t="s">
        <v>82</v>
      </c>
      <c r="C238" t="s">
        <v>1373</v>
      </c>
      <c r="D238" s="25"/>
      <c r="E238" s="25"/>
      <c r="F238" s="25">
        <v>24363.636363636364</v>
      </c>
      <c r="G238" s="25"/>
      <c r="H238" s="25"/>
      <c r="I238" s="25"/>
      <c r="J238" s="25"/>
      <c r="K238" s="25"/>
      <c r="L238" s="25"/>
      <c r="M238" s="25"/>
      <c r="N238" s="25">
        <v>24363.636363636364</v>
      </c>
    </row>
    <row r="239" spans="1:14" x14ac:dyDescent="0.25">
      <c r="A239" t="s">
        <v>1390</v>
      </c>
      <c r="B239" t="s">
        <v>1185</v>
      </c>
      <c r="C239" t="s">
        <v>60</v>
      </c>
      <c r="D239" s="25"/>
      <c r="E239" s="25"/>
      <c r="F239" s="25">
        <v>32254.545454545456</v>
      </c>
      <c r="G239" s="25"/>
      <c r="H239" s="25"/>
      <c r="I239" s="25"/>
      <c r="J239" s="25"/>
      <c r="K239" s="25"/>
      <c r="L239" s="25"/>
      <c r="M239" s="25"/>
      <c r="N239" s="25">
        <v>32254.545454545456</v>
      </c>
    </row>
    <row r="240" spans="1:14" x14ac:dyDescent="0.25">
      <c r="A240" t="s">
        <v>2406</v>
      </c>
      <c r="B240" t="s">
        <v>138</v>
      </c>
      <c r="C240" t="s">
        <v>119</v>
      </c>
      <c r="D240" s="25"/>
      <c r="E240" s="25"/>
      <c r="F240" s="25"/>
      <c r="G240" s="25"/>
      <c r="H240" s="25"/>
      <c r="I240" s="25"/>
      <c r="J240" s="25">
        <v>487.68939393939394</v>
      </c>
      <c r="K240" s="25"/>
      <c r="L240" s="25"/>
      <c r="M240" s="25"/>
      <c r="N240" s="25">
        <v>487.68939393939394</v>
      </c>
    </row>
    <row r="241" spans="1:14" x14ac:dyDescent="0.25">
      <c r="A241" t="s">
        <v>2338</v>
      </c>
      <c r="B241" t="s">
        <v>1580</v>
      </c>
      <c r="C241" t="s">
        <v>1581</v>
      </c>
      <c r="D241" s="25"/>
      <c r="E241" s="25"/>
      <c r="F241" s="25"/>
      <c r="G241" s="25"/>
      <c r="H241" s="25"/>
      <c r="I241" s="25"/>
      <c r="J241" s="25">
        <v>1283.1439393939395</v>
      </c>
      <c r="K241" s="25"/>
      <c r="L241" s="25"/>
      <c r="M241" s="25"/>
      <c r="N241" s="25">
        <v>1283.1439393939395</v>
      </c>
    </row>
    <row r="242" spans="1:14" x14ac:dyDescent="0.25">
      <c r="A242" t="s">
        <v>1403</v>
      </c>
      <c r="B242" t="s">
        <v>135</v>
      </c>
      <c r="C242" t="s">
        <v>10</v>
      </c>
      <c r="D242" s="25"/>
      <c r="E242" s="25">
        <v>7978.409090909091</v>
      </c>
      <c r="F242" s="25"/>
      <c r="G242" s="25"/>
      <c r="H242" s="25"/>
      <c r="I242" s="25"/>
      <c r="J242" s="25"/>
      <c r="K242" s="25"/>
      <c r="L242" s="25"/>
      <c r="M242" s="25"/>
      <c r="N242" s="25">
        <v>7978.409090909091</v>
      </c>
    </row>
    <row r="243" spans="1:14" x14ac:dyDescent="0.25">
      <c r="A243" t="s">
        <v>1406</v>
      </c>
      <c r="B243" t="s">
        <v>1407</v>
      </c>
      <c r="C243" t="s">
        <v>1408</v>
      </c>
      <c r="D243" s="25"/>
      <c r="E243" s="25"/>
      <c r="F243" s="25"/>
      <c r="G243" s="25"/>
      <c r="H243" s="25"/>
      <c r="I243" s="25"/>
      <c r="J243" s="25"/>
      <c r="K243" s="25">
        <v>34104.166666666664</v>
      </c>
      <c r="L243" s="25"/>
      <c r="M243" s="25"/>
      <c r="N243" s="25">
        <v>34104.166666666664</v>
      </c>
    </row>
    <row r="244" spans="1:14" x14ac:dyDescent="0.25">
      <c r="A244" t="s">
        <v>1417</v>
      </c>
      <c r="B244" t="s">
        <v>1418</v>
      </c>
      <c r="C244" t="s">
        <v>288</v>
      </c>
      <c r="D244" s="25"/>
      <c r="E244" s="25"/>
      <c r="F244" s="25"/>
      <c r="G244" s="25"/>
      <c r="H244" s="25">
        <v>893.56060606060601</v>
      </c>
      <c r="I244" s="25"/>
      <c r="J244" s="25"/>
      <c r="K244" s="25"/>
      <c r="L244" s="25"/>
      <c r="M244" s="25"/>
      <c r="N244" s="25">
        <v>893.56060606060601</v>
      </c>
    </row>
    <row r="245" spans="1:14" x14ac:dyDescent="0.25">
      <c r="A245" t="s">
        <v>1419</v>
      </c>
      <c r="B245" t="s">
        <v>1420</v>
      </c>
      <c r="C245" t="s">
        <v>1421</v>
      </c>
      <c r="D245" s="25"/>
      <c r="E245" s="25"/>
      <c r="F245" s="25"/>
      <c r="G245" s="25"/>
      <c r="H245" s="25">
        <v>673.4848484848485</v>
      </c>
      <c r="I245" s="25"/>
      <c r="J245" s="25"/>
      <c r="K245" s="25"/>
      <c r="L245" s="25"/>
      <c r="M245" s="25"/>
      <c r="N245" s="25">
        <v>673.4848484848485</v>
      </c>
    </row>
    <row r="246" spans="1:14" x14ac:dyDescent="0.25">
      <c r="A246" t="s">
        <v>1422</v>
      </c>
      <c r="B246" t="s">
        <v>1421</v>
      </c>
      <c r="C246" t="s">
        <v>1423</v>
      </c>
      <c r="D246" s="25"/>
      <c r="E246" s="25"/>
      <c r="F246" s="25"/>
      <c r="G246" s="25"/>
      <c r="H246" s="25">
        <v>710.60606060606062</v>
      </c>
      <c r="I246" s="25"/>
      <c r="J246" s="25"/>
      <c r="K246" s="25"/>
      <c r="L246" s="25"/>
      <c r="M246" s="25"/>
      <c r="N246" s="25">
        <v>710.60606060606062</v>
      </c>
    </row>
    <row r="247" spans="1:14" x14ac:dyDescent="0.25">
      <c r="A247" t="s">
        <v>1442</v>
      </c>
      <c r="B247" t="s">
        <v>121</v>
      </c>
      <c r="C247" t="s">
        <v>1443</v>
      </c>
      <c r="D247" s="25"/>
      <c r="E247" s="25"/>
      <c r="F247" s="25"/>
      <c r="G247" s="25"/>
      <c r="H247" s="25">
        <v>779.5454545454545</v>
      </c>
      <c r="I247" s="25"/>
      <c r="J247" s="25"/>
      <c r="K247" s="25"/>
      <c r="L247" s="25"/>
      <c r="M247" s="25"/>
      <c r="N247" s="25">
        <v>779.5454545454545</v>
      </c>
    </row>
    <row r="248" spans="1:14" x14ac:dyDescent="0.25">
      <c r="A248" t="s">
        <v>2335</v>
      </c>
      <c r="B248" t="s">
        <v>138</v>
      </c>
      <c r="C248" t="s">
        <v>119</v>
      </c>
      <c r="D248" s="25"/>
      <c r="E248" s="25"/>
      <c r="F248" s="25"/>
      <c r="G248" s="25"/>
      <c r="H248" s="25"/>
      <c r="I248" s="25"/>
      <c r="J248" s="25">
        <v>419.93371212121212</v>
      </c>
      <c r="K248" s="25"/>
      <c r="L248" s="25"/>
      <c r="M248" s="25"/>
      <c r="N248" s="25">
        <v>419.93371212121212</v>
      </c>
    </row>
    <row r="249" spans="1:14" x14ac:dyDescent="0.25">
      <c r="A249" t="s">
        <v>1450</v>
      </c>
      <c r="B249" t="s">
        <v>1451</v>
      </c>
      <c r="C249" t="s">
        <v>1452</v>
      </c>
      <c r="D249" s="25"/>
      <c r="E249" s="25"/>
      <c r="F249" s="25"/>
      <c r="G249" s="25"/>
      <c r="H249" s="25"/>
      <c r="I249" s="25"/>
      <c r="J249" s="25">
        <v>5501.893939393939</v>
      </c>
      <c r="K249" s="25"/>
      <c r="L249" s="25"/>
      <c r="M249" s="25"/>
      <c r="N249" s="25">
        <v>5501.893939393939</v>
      </c>
    </row>
    <row r="250" spans="1:14" x14ac:dyDescent="0.25">
      <c r="A250" t="s">
        <v>1453</v>
      </c>
      <c r="B250" t="s">
        <v>1407</v>
      </c>
      <c r="C250" t="s">
        <v>1408</v>
      </c>
      <c r="D250" s="25"/>
      <c r="E250" s="25"/>
      <c r="F250" s="25"/>
      <c r="G250" s="25"/>
      <c r="H250" s="25"/>
      <c r="I250" s="25"/>
      <c r="J250" s="25"/>
      <c r="K250" s="25"/>
      <c r="L250" s="25"/>
      <c r="M250" s="25">
        <v>20994.31818181818</v>
      </c>
      <c r="N250" s="25">
        <v>20994.31818181818</v>
      </c>
    </row>
    <row r="251" spans="1:14" x14ac:dyDescent="0.25">
      <c r="A251" t="s">
        <v>1454</v>
      </c>
      <c r="B251" t="s">
        <v>1451</v>
      </c>
      <c r="C251" t="s">
        <v>1452</v>
      </c>
      <c r="D251" s="25"/>
      <c r="E251" s="25"/>
      <c r="F251" s="25"/>
      <c r="G251" s="25"/>
      <c r="H251" s="25"/>
      <c r="I251" s="25"/>
      <c r="J251" s="25">
        <v>13001.89393939394</v>
      </c>
      <c r="K251" s="25"/>
      <c r="L251" s="25"/>
      <c r="M251" s="25"/>
      <c r="N251" s="25">
        <v>13001.89393939394</v>
      </c>
    </row>
    <row r="252" spans="1:14" x14ac:dyDescent="0.25">
      <c r="A252" t="s">
        <v>2424</v>
      </c>
      <c r="B252" t="s">
        <v>1456</v>
      </c>
      <c r="C252" t="s">
        <v>1452</v>
      </c>
      <c r="D252" s="25"/>
      <c r="E252" s="25"/>
      <c r="F252" s="25"/>
      <c r="G252" s="25"/>
      <c r="H252" s="25"/>
      <c r="I252" s="25"/>
      <c r="J252" s="25">
        <v>1325.7575757575758</v>
      </c>
      <c r="K252" s="25"/>
      <c r="L252" s="25"/>
      <c r="M252" s="25"/>
      <c r="N252" s="25">
        <v>1325.7575757575758</v>
      </c>
    </row>
    <row r="253" spans="1:14" x14ac:dyDescent="0.25">
      <c r="A253" t="s">
        <v>2324</v>
      </c>
      <c r="B253" t="s">
        <v>1548</v>
      </c>
      <c r="C253" t="s">
        <v>1533</v>
      </c>
      <c r="D253" s="25"/>
      <c r="E253" s="25"/>
      <c r="F253" s="25"/>
      <c r="G253" s="25"/>
      <c r="H253" s="25"/>
      <c r="I253" s="25"/>
      <c r="J253" s="25">
        <v>2088.068181818182</v>
      </c>
      <c r="K253" s="25"/>
      <c r="L253" s="25"/>
      <c r="M253" s="25"/>
      <c r="N253" s="25">
        <v>2088.068181818182</v>
      </c>
    </row>
    <row r="254" spans="1:14" x14ac:dyDescent="0.25">
      <c r="A254" t="s">
        <v>1460</v>
      </c>
      <c r="B254" t="s">
        <v>1461</v>
      </c>
      <c r="C254" t="s">
        <v>1462</v>
      </c>
      <c r="D254" s="25"/>
      <c r="E254" s="25"/>
      <c r="F254" s="25"/>
      <c r="G254" s="25"/>
      <c r="H254" s="25"/>
      <c r="I254" s="25"/>
      <c r="J254" s="25">
        <v>6841.856060606061</v>
      </c>
      <c r="K254" s="25"/>
      <c r="L254" s="25"/>
      <c r="M254" s="25"/>
      <c r="N254" s="25">
        <v>6841.856060606061</v>
      </c>
    </row>
    <row r="255" spans="1:14" x14ac:dyDescent="0.25">
      <c r="A255" t="s">
        <v>1463</v>
      </c>
      <c r="B255" t="s">
        <v>1461</v>
      </c>
      <c r="C255" t="s">
        <v>1462</v>
      </c>
      <c r="D255" s="25"/>
      <c r="E255" s="25"/>
      <c r="F255" s="25"/>
      <c r="G255" s="25"/>
      <c r="H255" s="25"/>
      <c r="I255" s="25"/>
      <c r="J255" s="25">
        <v>12410.037878787878</v>
      </c>
      <c r="K255" s="25"/>
      <c r="L255" s="25"/>
      <c r="M255" s="25"/>
      <c r="N255" s="25">
        <v>12410.037878787878</v>
      </c>
    </row>
    <row r="256" spans="1:14" x14ac:dyDescent="0.25">
      <c r="A256" t="s">
        <v>1464</v>
      </c>
      <c r="B256" t="s">
        <v>4</v>
      </c>
      <c r="C256" t="s">
        <v>1465</v>
      </c>
      <c r="D256" s="25"/>
      <c r="E256" s="25"/>
      <c r="F256" s="25"/>
      <c r="G256" s="25"/>
      <c r="H256" s="25"/>
      <c r="I256" s="25"/>
      <c r="J256" s="25"/>
      <c r="K256" s="25">
        <v>11000</v>
      </c>
      <c r="L256" s="25"/>
      <c r="M256" s="25"/>
      <c r="N256" s="25">
        <v>11000</v>
      </c>
    </row>
    <row r="257" spans="1:14" x14ac:dyDescent="0.25">
      <c r="A257" t="s">
        <v>1466</v>
      </c>
      <c r="B257" t="s">
        <v>1467</v>
      </c>
      <c r="C257" t="s">
        <v>1462</v>
      </c>
      <c r="D257" s="25"/>
      <c r="E257" s="25"/>
      <c r="F257" s="25"/>
      <c r="G257" s="25">
        <v>1050.189393939394</v>
      </c>
      <c r="H257" s="25"/>
      <c r="I257" s="25"/>
      <c r="J257" s="25"/>
      <c r="K257" s="25"/>
      <c r="L257" s="25"/>
      <c r="M257" s="25"/>
      <c r="N257" s="25">
        <v>1050.189393939394</v>
      </c>
    </row>
    <row r="258" spans="1:14" x14ac:dyDescent="0.25">
      <c r="A258" t="s">
        <v>1474</v>
      </c>
      <c r="B258" t="s">
        <v>38</v>
      </c>
      <c r="C258" t="s">
        <v>20</v>
      </c>
      <c r="D258" s="25"/>
      <c r="E258" s="25"/>
      <c r="F258" s="25">
        <v>39957.57575757576</v>
      </c>
      <c r="G258" s="25"/>
      <c r="H258" s="25"/>
      <c r="I258" s="25"/>
      <c r="J258" s="25"/>
      <c r="K258" s="25"/>
      <c r="L258" s="25"/>
      <c r="M258" s="25"/>
      <c r="N258" s="25">
        <v>39957.57575757576</v>
      </c>
    </row>
    <row r="259" spans="1:14" x14ac:dyDescent="0.25">
      <c r="A259" t="s">
        <v>1476</v>
      </c>
      <c r="B259" t="s">
        <v>20</v>
      </c>
      <c r="C259" t="s">
        <v>21</v>
      </c>
      <c r="D259" s="25"/>
      <c r="E259" s="25">
        <v>22312.5</v>
      </c>
      <c r="F259" s="25"/>
      <c r="G259" s="25"/>
      <c r="H259" s="25"/>
      <c r="I259" s="25"/>
      <c r="J259" s="25"/>
      <c r="K259" s="25"/>
      <c r="L259" s="25"/>
      <c r="M259" s="25"/>
      <c r="N259" s="25">
        <v>22312.5</v>
      </c>
    </row>
    <row r="260" spans="1:14" x14ac:dyDescent="0.25">
      <c r="A260" t="s">
        <v>1479</v>
      </c>
      <c r="B260" t="s">
        <v>1480</v>
      </c>
      <c r="C260" t="s">
        <v>1481</v>
      </c>
      <c r="D260" s="25"/>
      <c r="E260" s="25"/>
      <c r="F260" s="25"/>
      <c r="G260" s="25">
        <v>9152</v>
      </c>
      <c r="H260" s="25"/>
      <c r="I260" s="25"/>
      <c r="J260" s="25"/>
      <c r="K260" s="25"/>
      <c r="L260" s="25"/>
      <c r="M260" s="25"/>
      <c r="N260" s="25">
        <v>9152</v>
      </c>
    </row>
    <row r="261" spans="1:14" x14ac:dyDescent="0.25">
      <c r="A261" t="s">
        <v>1483</v>
      </c>
      <c r="B261" t="s">
        <v>1484</v>
      </c>
      <c r="C261" t="s">
        <v>1485</v>
      </c>
      <c r="D261" s="25"/>
      <c r="E261" s="25"/>
      <c r="F261" s="25"/>
      <c r="G261" s="25"/>
      <c r="H261" s="25"/>
      <c r="I261" s="25"/>
      <c r="J261" s="25">
        <v>5501.893939393939</v>
      </c>
      <c r="K261" s="25"/>
      <c r="L261" s="25"/>
      <c r="M261" s="25"/>
      <c r="N261" s="25">
        <v>5501.893939393939</v>
      </c>
    </row>
    <row r="262" spans="1:14" x14ac:dyDescent="0.25">
      <c r="A262" t="s">
        <v>1486</v>
      </c>
      <c r="B262" t="s">
        <v>1487</v>
      </c>
      <c r="C262" t="s">
        <v>1462</v>
      </c>
      <c r="D262" s="25"/>
      <c r="E262" s="25"/>
      <c r="F262" s="25"/>
      <c r="G262" s="25"/>
      <c r="H262" s="25"/>
      <c r="I262" s="25"/>
      <c r="J262" s="25">
        <v>5298.295454545455</v>
      </c>
      <c r="K262" s="25"/>
      <c r="L262" s="25"/>
      <c r="M262" s="25"/>
      <c r="N262" s="25">
        <v>5298.295454545455</v>
      </c>
    </row>
    <row r="263" spans="1:14" x14ac:dyDescent="0.25">
      <c r="A263" t="s">
        <v>1488</v>
      </c>
      <c r="B263" t="s">
        <v>1484</v>
      </c>
      <c r="C263" t="s">
        <v>104</v>
      </c>
      <c r="D263" s="25"/>
      <c r="E263" s="25"/>
      <c r="F263" s="25"/>
      <c r="G263" s="25"/>
      <c r="H263" s="25"/>
      <c r="I263" s="25"/>
      <c r="J263" s="25">
        <v>4251.893939393939</v>
      </c>
      <c r="K263" s="25"/>
      <c r="L263" s="25"/>
      <c r="M263" s="25"/>
      <c r="N263" s="25">
        <v>4251.893939393939</v>
      </c>
    </row>
    <row r="264" spans="1:14" x14ac:dyDescent="0.25">
      <c r="A264" t="s">
        <v>1493</v>
      </c>
      <c r="B264" t="s">
        <v>1451</v>
      </c>
      <c r="C264" t="s">
        <v>1408</v>
      </c>
      <c r="D264" s="25"/>
      <c r="E264" s="25"/>
      <c r="F264" s="25"/>
      <c r="G264" s="25"/>
      <c r="H264" s="25"/>
      <c r="I264" s="25"/>
      <c r="J264" s="25">
        <v>501.89393939393938</v>
      </c>
      <c r="K264" s="25"/>
      <c r="L264" s="25"/>
      <c r="M264" s="25"/>
      <c r="N264" s="25">
        <v>501.89393939393938</v>
      </c>
    </row>
    <row r="265" spans="1:14" x14ac:dyDescent="0.25">
      <c r="A265" t="s">
        <v>1497</v>
      </c>
      <c r="B265" t="s">
        <v>1456</v>
      </c>
      <c r="C265" t="s">
        <v>1498</v>
      </c>
      <c r="D265" s="25"/>
      <c r="E265" s="25"/>
      <c r="F265" s="25"/>
      <c r="G265" s="25">
        <v>10990</v>
      </c>
      <c r="H265" s="25"/>
      <c r="I265" s="25"/>
      <c r="J265" s="25"/>
      <c r="K265" s="25"/>
      <c r="L265" s="25"/>
      <c r="M265" s="25"/>
      <c r="N265" s="25">
        <v>10990</v>
      </c>
    </row>
    <row r="266" spans="1:14" x14ac:dyDescent="0.25">
      <c r="A266" t="s">
        <v>1499</v>
      </c>
      <c r="B266" t="s">
        <v>1480</v>
      </c>
      <c r="C266" t="s">
        <v>1481</v>
      </c>
      <c r="D266" s="25"/>
      <c r="E266" s="25"/>
      <c r="F266" s="25"/>
      <c r="G266" s="25">
        <v>15557</v>
      </c>
      <c r="H266" s="25"/>
      <c r="I266" s="25"/>
      <c r="J266" s="25"/>
      <c r="K266" s="25"/>
      <c r="L266" s="25"/>
      <c r="M266" s="25"/>
      <c r="N266" s="25">
        <v>15557</v>
      </c>
    </row>
    <row r="267" spans="1:14" x14ac:dyDescent="0.25">
      <c r="A267" t="s">
        <v>1500</v>
      </c>
      <c r="B267" t="s">
        <v>1501</v>
      </c>
      <c r="C267" t="s">
        <v>1502</v>
      </c>
      <c r="D267" s="25"/>
      <c r="E267" s="25"/>
      <c r="F267" s="25"/>
      <c r="G267" s="25"/>
      <c r="H267" s="25"/>
      <c r="I267" s="25"/>
      <c r="J267" s="25">
        <v>1998.1060606060605</v>
      </c>
      <c r="K267" s="25"/>
      <c r="L267" s="25"/>
      <c r="M267" s="25"/>
      <c r="N267" s="25">
        <v>1998.1060606060605</v>
      </c>
    </row>
    <row r="268" spans="1:14" x14ac:dyDescent="0.25">
      <c r="A268" t="s">
        <v>1508</v>
      </c>
      <c r="B268" t="s">
        <v>4</v>
      </c>
      <c r="C268" t="s">
        <v>1465</v>
      </c>
      <c r="D268" s="25"/>
      <c r="E268" s="25"/>
      <c r="F268" s="25"/>
      <c r="G268" s="25"/>
      <c r="H268" s="25"/>
      <c r="I268" s="25"/>
      <c r="J268" s="25"/>
      <c r="K268" s="25">
        <v>35208.333333333336</v>
      </c>
      <c r="L268" s="25"/>
      <c r="M268" s="25"/>
      <c r="N268" s="25">
        <v>35208.333333333336</v>
      </c>
    </row>
    <row r="269" spans="1:14" x14ac:dyDescent="0.25">
      <c r="A269" t="s">
        <v>1509</v>
      </c>
      <c r="B269" t="s">
        <v>4</v>
      </c>
      <c r="C269" t="s">
        <v>1465</v>
      </c>
      <c r="D269" s="25"/>
      <c r="E269" s="25"/>
      <c r="F269" s="25"/>
      <c r="G269" s="25"/>
      <c r="H269" s="25"/>
      <c r="I269" s="25"/>
      <c r="J269" s="25"/>
      <c r="K269" s="25">
        <v>6604.166666666667</v>
      </c>
      <c r="L269" s="25"/>
      <c r="M269" s="25"/>
      <c r="N269" s="25">
        <v>6604.166666666667</v>
      </c>
    </row>
    <row r="270" spans="1:14" x14ac:dyDescent="0.25">
      <c r="A270" t="s">
        <v>1510</v>
      </c>
      <c r="B270" t="s">
        <v>4</v>
      </c>
      <c r="C270" t="s">
        <v>1465</v>
      </c>
      <c r="D270" s="25"/>
      <c r="E270" s="25"/>
      <c r="F270" s="25"/>
      <c r="G270" s="25"/>
      <c r="H270" s="25"/>
      <c r="I270" s="25"/>
      <c r="J270" s="25"/>
      <c r="K270" s="25">
        <v>33000</v>
      </c>
      <c r="L270" s="25"/>
      <c r="M270" s="25"/>
      <c r="N270" s="25">
        <v>33000</v>
      </c>
    </row>
    <row r="271" spans="1:14" x14ac:dyDescent="0.25">
      <c r="A271" t="s">
        <v>1511</v>
      </c>
      <c r="B271" t="s">
        <v>1512</v>
      </c>
      <c r="C271" t="s">
        <v>1416</v>
      </c>
      <c r="D271" s="25"/>
      <c r="E271" s="25"/>
      <c r="F271" s="25"/>
      <c r="G271" s="25"/>
      <c r="H271" s="25"/>
      <c r="I271" s="25"/>
      <c r="J271" s="25">
        <v>2249.0530303030305</v>
      </c>
      <c r="K271" s="25"/>
      <c r="L271" s="25"/>
      <c r="M271" s="25"/>
      <c r="N271" s="25">
        <v>2249.0530303030305</v>
      </c>
    </row>
    <row r="272" spans="1:14" x14ac:dyDescent="0.25">
      <c r="A272" t="s">
        <v>1513</v>
      </c>
      <c r="B272" t="s">
        <v>1512</v>
      </c>
      <c r="C272" t="s">
        <v>1416</v>
      </c>
      <c r="D272" s="25"/>
      <c r="E272" s="25"/>
      <c r="F272" s="25"/>
      <c r="G272" s="25"/>
      <c r="H272" s="25"/>
      <c r="I272" s="25"/>
      <c r="J272" s="25">
        <v>5748.106060606061</v>
      </c>
      <c r="K272" s="25"/>
      <c r="L272" s="25"/>
      <c r="M272" s="25"/>
      <c r="N272" s="25">
        <v>5748.106060606061</v>
      </c>
    </row>
    <row r="273" spans="1:14" x14ac:dyDescent="0.25">
      <c r="A273" t="s">
        <v>1514</v>
      </c>
      <c r="B273" t="s">
        <v>1512</v>
      </c>
      <c r="C273" t="s">
        <v>1416</v>
      </c>
      <c r="D273" s="25"/>
      <c r="E273" s="25"/>
      <c r="F273" s="25"/>
      <c r="G273" s="25"/>
      <c r="H273" s="25"/>
      <c r="I273" s="25"/>
      <c r="J273" s="25">
        <v>3499.0530303030305</v>
      </c>
      <c r="K273" s="25"/>
      <c r="L273" s="25"/>
      <c r="M273" s="25"/>
      <c r="N273" s="25">
        <v>3499.0530303030305</v>
      </c>
    </row>
    <row r="274" spans="1:14" x14ac:dyDescent="0.25">
      <c r="A274" t="s">
        <v>1515</v>
      </c>
      <c r="B274" t="s">
        <v>4</v>
      </c>
      <c r="C274" t="s">
        <v>1465</v>
      </c>
      <c r="D274" s="25"/>
      <c r="E274" s="25"/>
      <c r="F274" s="25"/>
      <c r="G274" s="25"/>
      <c r="H274" s="25"/>
      <c r="I274" s="25"/>
      <c r="J274" s="25"/>
      <c r="K274" s="25">
        <v>27500</v>
      </c>
      <c r="L274" s="25"/>
      <c r="M274" s="25"/>
      <c r="N274" s="25">
        <v>27500</v>
      </c>
    </row>
    <row r="275" spans="1:14" x14ac:dyDescent="0.25">
      <c r="A275" t="s">
        <v>1516</v>
      </c>
      <c r="B275" t="s">
        <v>4</v>
      </c>
      <c r="C275" t="s">
        <v>1465</v>
      </c>
      <c r="D275" s="25"/>
      <c r="E275" s="25"/>
      <c r="F275" s="25"/>
      <c r="G275" s="25"/>
      <c r="H275" s="25"/>
      <c r="I275" s="25"/>
      <c r="J275" s="25"/>
      <c r="K275" s="25">
        <v>49500</v>
      </c>
      <c r="L275" s="25"/>
      <c r="M275" s="25"/>
      <c r="N275" s="25">
        <v>49500</v>
      </c>
    </row>
    <row r="276" spans="1:14" x14ac:dyDescent="0.25">
      <c r="A276" t="s">
        <v>1518</v>
      </c>
      <c r="B276" t="s">
        <v>4</v>
      </c>
      <c r="C276" t="s">
        <v>1465</v>
      </c>
      <c r="D276" s="25"/>
      <c r="E276" s="25"/>
      <c r="F276" s="25"/>
      <c r="G276" s="25"/>
      <c r="H276" s="25"/>
      <c r="I276" s="25"/>
      <c r="J276" s="25"/>
      <c r="K276" s="25">
        <v>42895.833333333336</v>
      </c>
      <c r="L276" s="25"/>
      <c r="M276" s="25"/>
      <c r="N276" s="25">
        <v>42895.833333333336</v>
      </c>
    </row>
    <row r="277" spans="1:14" x14ac:dyDescent="0.25">
      <c r="A277" t="s">
        <v>1520</v>
      </c>
      <c r="B277" t="s">
        <v>4</v>
      </c>
      <c r="C277" t="s">
        <v>1465</v>
      </c>
      <c r="D277" s="25"/>
      <c r="E277" s="25"/>
      <c r="F277" s="25"/>
      <c r="G277" s="25"/>
      <c r="H277" s="25"/>
      <c r="I277" s="25"/>
      <c r="J277" s="25"/>
      <c r="K277" s="25">
        <v>42895.833333333336</v>
      </c>
      <c r="L277" s="25"/>
      <c r="M277" s="25"/>
      <c r="N277" s="25">
        <v>42895.833333333336</v>
      </c>
    </row>
    <row r="278" spans="1:14" x14ac:dyDescent="0.25">
      <c r="A278" t="s">
        <v>2325</v>
      </c>
      <c r="B278" t="s">
        <v>1451</v>
      </c>
      <c r="C278" t="s">
        <v>1502</v>
      </c>
      <c r="D278" s="25"/>
      <c r="E278" s="25"/>
      <c r="F278" s="25"/>
      <c r="G278" s="25"/>
      <c r="H278" s="25"/>
      <c r="I278" s="25"/>
      <c r="J278" s="25">
        <v>4251.893939393939</v>
      </c>
      <c r="K278" s="25"/>
      <c r="L278" s="25"/>
      <c r="M278" s="25"/>
      <c r="N278" s="25">
        <v>4251.893939393939</v>
      </c>
    </row>
    <row r="279" spans="1:14" x14ac:dyDescent="0.25">
      <c r="A279" t="s">
        <v>1525</v>
      </c>
      <c r="B279" t="s">
        <v>1451</v>
      </c>
      <c r="C279" t="s">
        <v>1502</v>
      </c>
      <c r="D279" s="25"/>
      <c r="E279" s="25"/>
      <c r="F279" s="25"/>
      <c r="G279" s="25"/>
      <c r="H279" s="25"/>
      <c r="I279" s="25"/>
      <c r="J279" s="25">
        <v>11998.10606060606</v>
      </c>
      <c r="K279" s="25"/>
      <c r="L279" s="25"/>
      <c r="M279" s="25"/>
      <c r="N279" s="25">
        <v>11998.10606060606</v>
      </c>
    </row>
    <row r="280" spans="1:14" x14ac:dyDescent="0.25">
      <c r="A280" t="s">
        <v>1526</v>
      </c>
      <c r="B280" t="s">
        <v>1527</v>
      </c>
      <c r="C280" t="s">
        <v>1465</v>
      </c>
      <c r="D280" s="25"/>
      <c r="E280" s="25"/>
      <c r="F280" s="25"/>
      <c r="G280" s="25"/>
      <c r="H280" s="25"/>
      <c r="I280" s="25"/>
      <c r="J280" s="25">
        <v>5000</v>
      </c>
      <c r="K280" s="25"/>
      <c r="L280" s="25"/>
      <c r="M280" s="25"/>
      <c r="N280" s="25">
        <v>5000</v>
      </c>
    </row>
    <row r="281" spans="1:14" x14ac:dyDescent="0.25">
      <c r="A281" t="s">
        <v>1532</v>
      </c>
      <c r="B281" t="s">
        <v>1501</v>
      </c>
      <c r="C281" t="s">
        <v>1533</v>
      </c>
      <c r="D281" s="25"/>
      <c r="E281" s="25"/>
      <c r="F281" s="25"/>
      <c r="G281" s="25"/>
      <c r="H281" s="25"/>
      <c r="I281" s="25"/>
      <c r="J281" s="25">
        <v>9749.05303030303</v>
      </c>
      <c r="K281" s="25"/>
      <c r="L281" s="25"/>
      <c r="M281" s="25"/>
      <c r="N281" s="25">
        <v>9749.05303030303</v>
      </c>
    </row>
    <row r="282" spans="1:14" x14ac:dyDescent="0.25">
      <c r="A282" t="s">
        <v>1534</v>
      </c>
      <c r="B282" t="s">
        <v>1458</v>
      </c>
      <c r="C282" t="s">
        <v>1535</v>
      </c>
      <c r="D282" s="25"/>
      <c r="E282" s="25"/>
      <c r="F282" s="25"/>
      <c r="G282" s="25"/>
      <c r="H282" s="25"/>
      <c r="I282" s="25"/>
      <c r="J282" s="25">
        <v>1998.1060606060605</v>
      </c>
      <c r="K282" s="25"/>
      <c r="L282" s="25"/>
      <c r="M282" s="25"/>
      <c r="N282" s="25">
        <v>1998.1060606060605</v>
      </c>
    </row>
    <row r="283" spans="1:14" x14ac:dyDescent="0.25">
      <c r="A283" t="s">
        <v>1536</v>
      </c>
      <c r="B283" t="s">
        <v>1451</v>
      </c>
      <c r="C283" t="s">
        <v>1505</v>
      </c>
      <c r="D283" s="25"/>
      <c r="E283" s="25"/>
      <c r="F283" s="25"/>
      <c r="G283" s="25"/>
      <c r="H283" s="25"/>
      <c r="I283" s="25"/>
      <c r="J283" s="25">
        <v>748.10606060606062</v>
      </c>
      <c r="K283" s="25"/>
      <c r="L283" s="25"/>
      <c r="M283" s="25"/>
      <c r="N283" s="25">
        <v>748.10606060606062</v>
      </c>
    </row>
    <row r="284" spans="1:14" x14ac:dyDescent="0.25">
      <c r="A284" t="s">
        <v>1537</v>
      </c>
      <c r="B284" t="s">
        <v>119</v>
      </c>
      <c r="C284" t="s">
        <v>206</v>
      </c>
      <c r="D284" s="25"/>
      <c r="E284" s="25">
        <v>17420.454545454544</v>
      </c>
      <c r="F284" s="25"/>
      <c r="G284" s="25"/>
      <c r="H284" s="25"/>
      <c r="I284" s="25"/>
      <c r="J284" s="25"/>
      <c r="K284" s="25"/>
      <c r="L284" s="25"/>
      <c r="M284" s="25"/>
      <c r="N284" s="25">
        <v>17420.454545454544</v>
      </c>
    </row>
    <row r="285" spans="1:14" x14ac:dyDescent="0.25">
      <c r="A285" t="s">
        <v>1543</v>
      </c>
      <c r="B285" t="s">
        <v>197</v>
      </c>
      <c r="C285" t="s">
        <v>193</v>
      </c>
      <c r="D285" s="25"/>
      <c r="E285" s="25">
        <v>26448.863636363636</v>
      </c>
      <c r="F285" s="25"/>
      <c r="G285" s="25"/>
      <c r="H285" s="25"/>
      <c r="I285" s="25"/>
      <c r="J285" s="25"/>
      <c r="K285" s="25"/>
      <c r="L285" s="25"/>
      <c r="M285" s="25"/>
      <c r="N285" s="25">
        <v>26448.863636363636</v>
      </c>
    </row>
    <row r="286" spans="1:14" x14ac:dyDescent="0.25">
      <c r="A286" t="s">
        <v>1547</v>
      </c>
      <c r="B286" t="s">
        <v>1548</v>
      </c>
      <c r="C286" t="s">
        <v>1416</v>
      </c>
      <c r="D286" s="25"/>
      <c r="E286" s="25"/>
      <c r="F286" s="25"/>
      <c r="G286" s="25"/>
      <c r="H286" s="25"/>
      <c r="I286" s="25"/>
      <c r="J286" s="25">
        <v>1500.9469696969697</v>
      </c>
      <c r="K286" s="25"/>
      <c r="L286" s="25"/>
      <c r="M286" s="25"/>
      <c r="N286" s="25">
        <v>1500.9469696969697</v>
      </c>
    </row>
    <row r="287" spans="1:14" x14ac:dyDescent="0.25">
      <c r="A287" t="s">
        <v>1550</v>
      </c>
      <c r="B287" t="s">
        <v>1487</v>
      </c>
      <c r="C287" t="s">
        <v>1462</v>
      </c>
      <c r="D287" s="25"/>
      <c r="E287" s="25"/>
      <c r="F287" s="25"/>
      <c r="G287" s="25"/>
      <c r="H287" s="25"/>
      <c r="I287" s="25"/>
      <c r="J287" s="25">
        <v>4303.977272727273</v>
      </c>
      <c r="K287" s="25"/>
      <c r="L287" s="25"/>
      <c r="M287" s="25"/>
      <c r="N287" s="25">
        <v>4303.977272727273</v>
      </c>
    </row>
    <row r="288" spans="1:14" x14ac:dyDescent="0.25">
      <c r="A288" t="s">
        <v>1554</v>
      </c>
      <c r="B288" t="s">
        <v>1512</v>
      </c>
      <c r="C288" t="s">
        <v>1555</v>
      </c>
      <c r="D288" s="25"/>
      <c r="E288" s="25"/>
      <c r="F288" s="25"/>
      <c r="G288" s="25"/>
      <c r="H288" s="25"/>
      <c r="I288" s="25"/>
      <c r="J288" s="25">
        <v>1250</v>
      </c>
      <c r="K288" s="25"/>
      <c r="L288" s="25"/>
      <c r="M288" s="25"/>
      <c r="N288" s="25">
        <v>1250</v>
      </c>
    </row>
    <row r="289" spans="1:14" x14ac:dyDescent="0.25">
      <c r="A289" t="s">
        <v>1556</v>
      </c>
      <c r="B289" t="s">
        <v>1458</v>
      </c>
      <c r="C289" t="s">
        <v>1498</v>
      </c>
      <c r="D289" s="25"/>
      <c r="E289" s="25"/>
      <c r="F289" s="25"/>
      <c r="G289" s="25"/>
      <c r="H289" s="25"/>
      <c r="I289" s="25"/>
      <c r="J289" s="25">
        <v>1500.9469696969697</v>
      </c>
      <c r="K289" s="25"/>
      <c r="L289" s="25"/>
      <c r="M289" s="25"/>
      <c r="N289" s="25">
        <v>1500.9469696969697</v>
      </c>
    </row>
    <row r="290" spans="1:14" x14ac:dyDescent="0.25">
      <c r="A290" t="s">
        <v>1557</v>
      </c>
      <c r="B290" t="s">
        <v>1451</v>
      </c>
      <c r="C290" t="s">
        <v>1452</v>
      </c>
      <c r="D290" s="25"/>
      <c r="E290" s="25"/>
      <c r="F290" s="25"/>
      <c r="G290" s="25"/>
      <c r="H290" s="25"/>
      <c r="I290" s="25"/>
      <c r="J290" s="25">
        <v>13750</v>
      </c>
      <c r="K290" s="25"/>
      <c r="L290" s="25"/>
      <c r="M290" s="25"/>
      <c r="N290" s="25">
        <v>13750</v>
      </c>
    </row>
    <row r="291" spans="1:14" x14ac:dyDescent="0.25">
      <c r="A291" t="s">
        <v>1560</v>
      </c>
      <c r="B291" t="s">
        <v>1561</v>
      </c>
      <c r="C291" t="s">
        <v>1502</v>
      </c>
      <c r="D291" s="25"/>
      <c r="E291" s="25"/>
      <c r="F291" s="25"/>
      <c r="G291" s="25"/>
      <c r="H291" s="25"/>
      <c r="I291" s="25"/>
      <c r="J291" s="25">
        <v>3248.1060606060605</v>
      </c>
      <c r="K291" s="25"/>
      <c r="L291" s="25"/>
      <c r="M291" s="25"/>
      <c r="N291" s="25">
        <v>3248.1060606060605</v>
      </c>
    </row>
    <row r="292" spans="1:14" x14ac:dyDescent="0.25">
      <c r="A292" t="s">
        <v>1562</v>
      </c>
      <c r="B292" t="s">
        <v>1561</v>
      </c>
      <c r="C292" t="s">
        <v>1502</v>
      </c>
      <c r="D292" s="25"/>
      <c r="E292" s="25"/>
      <c r="F292" s="25"/>
      <c r="G292" s="25"/>
      <c r="H292" s="25"/>
      <c r="I292" s="25"/>
      <c r="J292" s="25">
        <v>3750</v>
      </c>
      <c r="K292" s="25"/>
      <c r="L292" s="25"/>
      <c r="M292" s="25"/>
      <c r="N292" s="25">
        <v>3750</v>
      </c>
    </row>
    <row r="293" spans="1:14" x14ac:dyDescent="0.25">
      <c r="A293" t="s">
        <v>1563</v>
      </c>
      <c r="B293" t="s">
        <v>1561</v>
      </c>
      <c r="C293" t="s">
        <v>1502</v>
      </c>
      <c r="D293" s="25"/>
      <c r="E293" s="25"/>
      <c r="F293" s="25"/>
      <c r="G293" s="25"/>
      <c r="H293" s="25"/>
      <c r="I293" s="25"/>
      <c r="J293" s="25">
        <v>2500</v>
      </c>
      <c r="K293" s="25"/>
      <c r="L293" s="25"/>
      <c r="M293" s="25"/>
      <c r="N293" s="25">
        <v>2500</v>
      </c>
    </row>
    <row r="294" spans="1:14" x14ac:dyDescent="0.25">
      <c r="A294" t="s">
        <v>1567</v>
      </c>
      <c r="B294" t="s">
        <v>1568</v>
      </c>
      <c r="C294" t="s">
        <v>1446</v>
      </c>
      <c r="D294" s="25"/>
      <c r="E294" s="25"/>
      <c r="F294" s="25"/>
      <c r="G294" s="25"/>
      <c r="H294" s="25"/>
      <c r="I294" s="25"/>
      <c r="J294" s="25"/>
      <c r="K294" s="25">
        <v>5500</v>
      </c>
      <c r="L294" s="25"/>
      <c r="M294" s="25"/>
      <c r="N294" s="25">
        <v>5500</v>
      </c>
    </row>
    <row r="295" spans="1:14" x14ac:dyDescent="0.25">
      <c r="A295" t="s">
        <v>1570</v>
      </c>
      <c r="B295" t="s">
        <v>1487</v>
      </c>
      <c r="C295" t="s">
        <v>1462</v>
      </c>
      <c r="D295" s="25"/>
      <c r="E295" s="25"/>
      <c r="F295" s="25"/>
      <c r="G295" s="25"/>
      <c r="H295" s="25"/>
      <c r="I295" s="25"/>
      <c r="J295" s="25">
        <v>3248.1060606060605</v>
      </c>
      <c r="K295" s="25"/>
      <c r="L295" s="25"/>
      <c r="M295" s="25"/>
      <c r="N295" s="25">
        <v>3248.1060606060605</v>
      </c>
    </row>
    <row r="296" spans="1:14" x14ac:dyDescent="0.25">
      <c r="A296" t="s">
        <v>1573</v>
      </c>
      <c r="B296" t="s">
        <v>1451</v>
      </c>
      <c r="C296" t="s">
        <v>1452</v>
      </c>
      <c r="D296" s="25"/>
      <c r="E296" s="25"/>
      <c r="F296" s="25"/>
      <c r="G296" s="25"/>
      <c r="H296" s="25"/>
      <c r="I296" s="25"/>
      <c r="J296" s="25">
        <v>7500</v>
      </c>
      <c r="K296" s="25"/>
      <c r="L296" s="25"/>
      <c r="M296" s="25"/>
      <c r="N296" s="25">
        <v>7500</v>
      </c>
    </row>
    <row r="297" spans="1:14" x14ac:dyDescent="0.25">
      <c r="A297" t="s">
        <v>1574</v>
      </c>
      <c r="B297" t="s">
        <v>1461</v>
      </c>
      <c r="C297" t="s">
        <v>1462</v>
      </c>
      <c r="D297" s="25"/>
      <c r="E297" s="25"/>
      <c r="F297" s="25"/>
      <c r="G297" s="25"/>
      <c r="H297" s="25"/>
      <c r="I297" s="25"/>
      <c r="J297" s="25">
        <v>3248.1060606060605</v>
      </c>
      <c r="K297" s="25"/>
      <c r="L297" s="25"/>
      <c r="M297" s="25"/>
      <c r="N297" s="25">
        <v>3248.1060606060605</v>
      </c>
    </row>
    <row r="298" spans="1:14" x14ac:dyDescent="0.25">
      <c r="A298" t="s">
        <v>1575</v>
      </c>
      <c r="B298" t="s">
        <v>1451</v>
      </c>
      <c r="C298" t="s">
        <v>1408</v>
      </c>
      <c r="D298" s="25"/>
      <c r="E298" s="25"/>
      <c r="F298" s="25"/>
      <c r="G298" s="25"/>
      <c r="H298" s="25"/>
      <c r="I298" s="25"/>
      <c r="J298" s="25">
        <v>7249.05303030303</v>
      </c>
      <c r="K298" s="25"/>
      <c r="L298" s="25"/>
      <c r="M298" s="25"/>
      <c r="N298" s="25">
        <v>7249.05303030303</v>
      </c>
    </row>
    <row r="299" spans="1:14" x14ac:dyDescent="0.25">
      <c r="A299" t="s">
        <v>2204</v>
      </c>
      <c r="B299" t="s">
        <v>2403</v>
      </c>
      <c r="C299" t="s">
        <v>2403</v>
      </c>
      <c r="D299" s="25"/>
      <c r="E299" s="25"/>
      <c r="F299" s="25"/>
      <c r="G299" s="25"/>
      <c r="H299" s="25"/>
      <c r="I299" s="25"/>
      <c r="J299" s="25">
        <v>752.84090909090912</v>
      </c>
      <c r="K299" s="25"/>
      <c r="L299" s="25"/>
      <c r="M299" s="25"/>
      <c r="N299" s="25">
        <v>752.84090909090912</v>
      </c>
    </row>
    <row r="300" spans="1:14" x14ac:dyDescent="0.25">
      <c r="A300" t="s">
        <v>2205</v>
      </c>
      <c r="B300" t="s">
        <v>2403</v>
      </c>
      <c r="C300" t="s">
        <v>2403</v>
      </c>
      <c r="D300" s="25"/>
      <c r="E300" s="25"/>
      <c r="F300" s="25"/>
      <c r="G300" s="25"/>
      <c r="H300" s="25"/>
      <c r="I300" s="25"/>
      <c r="J300" s="25">
        <v>5899.621212121212</v>
      </c>
      <c r="K300" s="25"/>
      <c r="L300" s="25"/>
      <c r="M300" s="25"/>
      <c r="N300" s="25">
        <v>5899.621212121212</v>
      </c>
    </row>
    <row r="301" spans="1:14" x14ac:dyDescent="0.25">
      <c r="A301" t="s">
        <v>1578</v>
      </c>
      <c r="B301" t="s">
        <v>1456</v>
      </c>
      <c r="C301" t="s">
        <v>1452</v>
      </c>
      <c r="D301" s="25"/>
      <c r="E301" s="25"/>
      <c r="F301" s="25"/>
      <c r="G301" s="25"/>
      <c r="H301" s="25"/>
      <c r="I301" s="25"/>
      <c r="J301" s="25">
        <v>4251.893939393939</v>
      </c>
      <c r="K301" s="25"/>
      <c r="L301" s="25"/>
      <c r="M301" s="25"/>
      <c r="N301" s="25">
        <v>4251.893939393939</v>
      </c>
    </row>
    <row r="302" spans="1:14" x14ac:dyDescent="0.25">
      <c r="A302" t="s">
        <v>2452</v>
      </c>
      <c r="B302" t="s">
        <v>1407</v>
      </c>
      <c r="C302" t="s">
        <v>628</v>
      </c>
      <c r="D302" s="25"/>
      <c r="E302" s="25"/>
      <c r="F302" s="25"/>
      <c r="G302" s="25"/>
      <c r="H302" s="25"/>
      <c r="I302" s="25"/>
      <c r="J302" s="25">
        <v>5999.05303030303</v>
      </c>
      <c r="K302" s="25"/>
      <c r="L302" s="25"/>
      <c r="M302" s="25"/>
      <c r="N302" s="25">
        <v>5999.05303030303</v>
      </c>
    </row>
    <row r="303" spans="1:14" x14ac:dyDescent="0.25">
      <c r="A303" t="s">
        <v>1582</v>
      </c>
      <c r="B303" t="s">
        <v>100</v>
      </c>
      <c r="C303" t="s">
        <v>129</v>
      </c>
      <c r="D303" s="25"/>
      <c r="E303" s="25"/>
      <c r="F303" s="25"/>
      <c r="G303" s="25"/>
      <c r="H303" s="25"/>
      <c r="I303" s="25"/>
      <c r="J303" s="25">
        <v>4786.931818181818</v>
      </c>
      <c r="K303" s="25"/>
      <c r="L303" s="25"/>
      <c r="M303" s="25"/>
      <c r="N303" s="25">
        <v>4786.931818181818</v>
      </c>
    </row>
    <row r="304" spans="1:14" x14ac:dyDescent="0.25">
      <c r="A304" t="s">
        <v>1586</v>
      </c>
      <c r="B304" t="s">
        <v>4</v>
      </c>
      <c r="C304" t="s">
        <v>1465</v>
      </c>
      <c r="D304" s="25"/>
      <c r="E304" s="25"/>
      <c r="F304" s="25"/>
      <c r="G304" s="25"/>
      <c r="H304" s="25"/>
      <c r="I304" s="25"/>
      <c r="J304" s="25"/>
      <c r="K304" s="25">
        <v>7687.5</v>
      </c>
      <c r="L304" s="25"/>
      <c r="M304" s="25"/>
      <c r="N304" s="25">
        <v>7687.5</v>
      </c>
    </row>
    <row r="305" spans="1:14" x14ac:dyDescent="0.25">
      <c r="A305" t="s">
        <v>1590</v>
      </c>
      <c r="B305" t="s">
        <v>1580</v>
      </c>
      <c r="C305" t="s">
        <v>1553</v>
      </c>
      <c r="D305" s="25"/>
      <c r="E305" s="25"/>
      <c r="F305" s="25"/>
      <c r="G305" s="25">
        <v>3375</v>
      </c>
      <c r="H305" s="25"/>
      <c r="I305" s="25"/>
      <c r="J305" s="25"/>
      <c r="K305" s="25"/>
      <c r="L305" s="25"/>
      <c r="M305" s="25"/>
      <c r="N305" s="25">
        <v>3375</v>
      </c>
    </row>
    <row r="306" spans="1:14" x14ac:dyDescent="0.25">
      <c r="A306" t="s">
        <v>2334</v>
      </c>
      <c r="B306" t="s">
        <v>1580</v>
      </c>
      <c r="C306" t="s">
        <v>1592</v>
      </c>
      <c r="D306" s="25"/>
      <c r="E306" s="25"/>
      <c r="F306" s="25"/>
      <c r="G306" s="25"/>
      <c r="H306" s="25"/>
      <c r="I306" s="25"/>
      <c r="J306" s="25">
        <v>4924.242424242424</v>
      </c>
      <c r="K306" s="25"/>
      <c r="L306" s="25"/>
      <c r="M306" s="25"/>
      <c r="N306" s="25">
        <v>4924.242424242424</v>
      </c>
    </row>
    <row r="307" spans="1:14" x14ac:dyDescent="0.25">
      <c r="A307" t="s">
        <v>1593</v>
      </c>
      <c r="B307" t="s">
        <v>1451</v>
      </c>
      <c r="C307" t="s">
        <v>1452</v>
      </c>
      <c r="D307" s="25"/>
      <c r="E307" s="25"/>
      <c r="F307" s="25"/>
      <c r="G307" s="25"/>
      <c r="H307" s="25"/>
      <c r="I307" s="25"/>
      <c r="J307" s="25">
        <v>1998.1060606060605</v>
      </c>
      <c r="K307" s="25"/>
      <c r="L307" s="25"/>
      <c r="M307" s="25"/>
      <c r="N307" s="25">
        <v>1998.1060606060605</v>
      </c>
    </row>
    <row r="308" spans="1:14" x14ac:dyDescent="0.25">
      <c r="A308" t="s">
        <v>1594</v>
      </c>
      <c r="B308" t="s">
        <v>1504</v>
      </c>
      <c r="C308" t="s">
        <v>1505</v>
      </c>
      <c r="D308" s="25"/>
      <c r="E308" s="25"/>
      <c r="F308" s="25"/>
      <c r="G308" s="25"/>
      <c r="H308" s="25"/>
      <c r="I308" s="25"/>
      <c r="J308" s="25">
        <v>1998.1060606060605</v>
      </c>
      <c r="K308" s="25"/>
      <c r="L308" s="25"/>
      <c r="M308" s="25"/>
      <c r="N308" s="25">
        <v>1998.1060606060605</v>
      </c>
    </row>
    <row r="309" spans="1:14" x14ac:dyDescent="0.25">
      <c r="A309" t="s">
        <v>1595</v>
      </c>
      <c r="B309" t="s">
        <v>1504</v>
      </c>
      <c r="C309" t="s">
        <v>1505</v>
      </c>
      <c r="D309" s="25"/>
      <c r="E309" s="25"/>
      <c r="F309" s="25"/>
      <c r="G309" s="25"/>
      <c r="H309" s="25"/>
      <c r="I309" s="25"/>
      <c r="J309" s="25">
        <v>9749.05303030303</v>
      </c>
      <c r="K309" s="25"/>
      <c r="L309" s="25"/>
      <c r="M309" s="25"/>
      <c r="N309" s="25">
        <v>9749.05303030303</v>
      </c>
    </row>
    <row r="310" spans="1:14" x14ac:dyDescent="0.25">
      <c r="A310" t="s">
        <v>1596</v>
      </c>
      <c r="B310" t="s">
        <v>1451</v>
      </c>
      <c r="C310" t="s">
        <v>1452</v>
      </c>
      <c r="D310" s="25"/>
      <c r="E310" s="25"/>
      <c r="F310" s="25"/>
      <c r="G310" s="25"/>
      <c r="H310" s="25"/>
      <c r="I310" s="25"/>
      <c r="J310" s="25">
        <v>26998.10606060606</v>
      </c>
      <c r="K310" s="25"/>
      <c r="L310" s="25"/>
      <c r="M310" s="25"/>
      <c r="N310" s="25">
        <v>26998.10606060606</v>
      </c>
    </row>
    <row r="311" spans="1:14" x14ac:dyDescent="0.25">
      <c r="A311" t="s">
        <v>1597</v>
      </c>
      <c r="B311" t="s">
        <v>1451</v>
      </c>
      <c r="C311" t="s">
        <v>1555</v>
      </c>
      <c r="D311" s="25"/>
      <c r="E311" s="25"/>
      <c r="F311" s="25"/>
      <c r="G311" s="25"/>
      <c r="H311" s="25"/>
      <c r="I311" s="25"/>
      <c r="J311" s="25">
        <v>2500</v>
      </c>
      <c r="K311" s="25"/>
      <c r="L311" s="25"/>
      <c r="M311" s="25"/>
      <c r="N311" s="25">
        <v>2500</v>
      </c>
    </row>
    <row r="312" spans="1:14" x14ac:dyDescent="0.25">
      <c r="A312" t="s">
        <v>1598</v>
      </c>
      <c r="B312" t="s">
        <v>1451</v>
      </c>
      <c r="C312" t="s">
        <v>1599</v>
      </c>
      <c r="D312" s="25"/>
      <c r="E312" s="25"/>
      <c r="F312" s="25"/>
      <c r="G312" s="25"/>
      <c r="H312" s="25"/>
      <c r="I312" s="25"/>
      <c r="J312" s="25">
        <v>5250.94696969697</v>
      </c>
      <c r="K312" s="25"/>
      <c r="L312" s="25"/>
      <c r="M312" s="25"/>
      <c r="N312" s="25">
        <v>5250.94696969697</v>
      </c>
    </row>
    <row r="313" spans="1:14" x14ac:dyDescent="0.25">
      <c r="A313" t="s">
        <v>1601</v>
      </c>
      <c r="B313" t="s">
        <v>1602</v>
      </c>
      <c r="C313" t="s">
        <v>1603</v>
      </c>
      <c r="D313" s="25"/>
      <c r="E313" s="25"/>
      <c r="F313" s="25"/>
      <c r="G313" s="25"/>
      <c r="H313" s="25"/>
      <c r="I313" s="25"/>
      <c r="J313" s="25">
        <v>4881.628787878788</v>
      </c>
      <c r="K313" s="25"/>
      <c r="L313" s="25"/>
      <c r="M313" s="25"/>
      <c r="N313" s="25">
        <v>4881.628787878788</v>
      </c>
    </row>
    <row r="314" spans="1:14" x14ac:dyDescent="0.25">
      <c r="A314" t="s">
        <v>1605</v>
      </c>
      <c r="B314" t="s">
        <v>1512</v>
      </c>
      <c r="C314" t="s">
        <v>1555</v>
      </c>
      <c r="D314" s="25"/>
      <c r="E314" s="25"/>
      <c r="F314" s="25"/>
      <c r="G314" s="25"/>
      <c r="H314" s="25"/>
      <c r="I314" s="25"/>
      <c r="J314" s="25">
        <v>6751.893939393939</v>
      </c>
      <c r="K314" s="25"/>
      <c r="L314" s="25"/>
      <c r="M314" s="25"/>
      <c r="N314" s="25">
        <v>6751.893939393939</v>
      </c>
    </row>
    <row r="315" spans="1:14" x14ac:dyDescent="0.25">
      <c r="A315" t="s">
        <v>1606</v>
      </c>
      <c r="B315" t="s">
        <v>1607</v>
      </c>
      <c r="C315" t="s">
        <v>1608</v>
      </c>
      <c r="D315" s="25"/>
      <c r="E315" s="25"/>
      <c r="F315" s="25"/>
      <c r="G315" s="25"/>
      <c r="H315" s="25"/>
      <c r="I315" s="25"/>
      <c r="J315" s="25">
        <v>11998.10606060606</v>
      </c>
      <c r="K315" s="25"/>
      <c r="L315" s="25"/>
      <c r="M315" s="25"/>
      <c r="N315" s="25">
        <v>11998.10606060606</v>
      </c>
    </row>
    <row r="316" spans="1:14" x14ac:dyDescent="0.25">
      <c r="A316" t="s">
        <v>1609</v>
      </c>
      <c r="B316" t="s">
        <v>1487</v>
      </c>
      <c r="C316" t="s">
        <v>1462</v>
      </c>
      <c r="D316" s="25"/>
      <c r="E316" s="25"/>
      <c r="F316" s="25"/>
      <c r="G316" s="25">
        <v>306.344696969697</v>
      </c>
      <c r="H316" s="25"/>
      <c r="I316" s="25"/>
      <c r="J316" s="25"/>
      <c r="K316" s="25"/>
      <c r="L316" s="25"/>
      <c r="M316" s="25"/>
      <c r="N316" s="25">
        <v>306.344696969697</v>
      </c>
    </row>
    <row r="317" spans="1:14" x14ac:dyDescent="0.25">
      <c r="A317" t="s">
        <v>1610</v>
      </c>
      <c r="B317" t="s">
        <v>1504</v>
      </c>
      <c r="C317" t="s">
        <v>1505</v>
      </c>
      <c r="D317" s="25"/>
      <c r="E317" s="25"/>
      <c r="F317" s="25"/>
      <c r="G317" s="25"/>
      <c r="H317" s="25"/>
      <c r="I317" s="25"/>
      <c r="J317" s="25">
        <v>1500.9469696969697</v>
      </c>
      <c r="K317" s="25"/>
      <c r="L317" s="25"/>
      <c r="M317" s="25"/>
      <c r="N317" s="25">
        <v>1500.9469696969697</v>
      </c>
    </row>
    <row r="318" spans="1:14" x14ac:dyDescent="0.25">
      <c r="A318" t="s">
        <v>1611</v>
      </c>
      <c r="B318" t="s">
        <v>1504</v>
      </c>
      <c r="C318" t="s">
        <v>1505</v>
      </c>
      <c r="D318" s="25"/>
      <c r="E318" s="25"/>
      <c r="F318" s="25"/>
      <c r="G318" s="25"/>
      <c r="H318" s="25"/>
      <c r="I318" s="25"/>
      <c r="J318" s="25">
        <v>2500</v>
      </c>
      <c r="K318" s="25"/>
      <c r="L318" s="25"/>
      <c r="M318" s="25"/>
      <c r="N318" s="25">
        <v>2500</v>
      </c>
    </row>
    <row r="319" spans="1:14" x14ac:dyDescent="0.25">
      <c r="A319" t="s">
        <v>1612</v>
      </c>
      <c r="B319" t="s">
        <v>1487</v>
      </c>
      <c r="C319" t="s">
        <v>1462</v>
      </c>
      <c r="D319" s="25"/>
      <c r="E319" s="25"/>
      <c r="F319" s="25"/>
      <c r="G319" s="25"/>
      <c r="H319" s="25"/>
      <c r="I319" s="25"/>
      <c r="J319" s="25">
        <v>4498.106060606061</v>
      </c>
      <c r="K319" s="25"/>
      <c r="L319" s="25"/>
      <c r="M319" s="25"/>
      <c r="N319" s="25">
        <v>4498.106060606061</v>
      </c>
    </row>
    <row r="320" spans="1:14" x14ac:dyDescent="0.25">
      <c r="A320" t="s">
        <v>2337</v>
      </c>
      <c r="B320" t="s">
        <v>1690</v>
      </c>
      <c r="C320" t="s">
        <v>1502</v>
      </c>
      <c r="D320" s="25"/>
      <c r="E320" s="25"/>
      <c r="F320" s="25"/>
      <c r="G320" s="25"/>
      <c r="H320" s="25"/>
      <c r="I320" s="25"/>
      <c r="J320" s="25">
        <v>7613.636363636364</v>
      </c>
      <c r="K320" s="25"/>
      <c r="L320" s="25"/>
      <c r="M320" s="25"/>
      <c r="N320" s="25">
        <v>7613.636363636364</v>
      </c>
    </row>
    <row r="321" spans="1:14" x14ac:dyDescent="0.25">
      <c r="A321" t="s">
        <v>1618</v>
      </c>
      <c r="B321" t="s">
        <v>1619</v>
      </c>
      <c r="C321" t="s">
        <v>1502</v>
      </c>
      <c r="D321" s="25"/>
      <c r="E321" s="25"/>
      <c r="F321" s="25"/>
      <c r="G321" s="25">
        <v>758.04924242424238</v>
      </c>
      <c r="H321" s="25"/>
      <c r="I321" s="25"/>
      <c r="J321" s="25"/>
      <c r="K321" s="25"/>
      <c r="L321" s="25"/>
      <c r="M321" s="25"/>
      <c r="N321" s="25">
        <v>758.04924242424238</v>
      </c>
    </row>
    <row r="322" spans="1:14" x14ac:dyDescent="0.25">
      <c r="A322" t="s">
        <v>1624</v>
      </c>
      <c r="B322" t="s">
        <v>1512</v>
      </c>
      <c r="C322" t="s">
        <v>1555</v>
      </c>
      <c r="D322" s="25"/>
      <c r="E322" s="25"/>
      <c r="F322" s="25"/>
      <c r="G322" s="25"/>
      <c r="H322" s="25"/>
      <c r="I322" s="25"/>
      <c r="J322" s="25">
        <v>11751.89393939394</v>
      </c>
      <c r="K322" s="25"/>
      <c r="L322" s="25"/>
      <c r="M322" s="25"/>
      <c r="N322" s="25">
        <v>11751.89393939394</v>
      </c>
    </row>
    <row r="323" spans="1:14" x14ac:dyDescent="0.25">
      <c r="A323" t="s">
        <v>1626</v>
      </c>
      <c r="B323" t="s">
        <v>1467</v>
      </c>
      <c r="C323" t="s">
        <v>1462</v>
      </c>
      <c r="D323" s="25"/>
      <c r="E323" s="25"/>
      <c r="F323" s="25"/>
      <c r="G323" s="25">
        <v>74.810606060606062</v>
      </c>
      <c r="H323" s="25"/>
      <c r="I323" s="25"/>
      <c r="J323" s="25"/>
      <c r="K323" s="25"/>
      <c r="L323" s="25"/>
      <c r="M323" s="25"/>
      <c r="N323" s="25">
        <v>74.810606060606062</v>
      </c>
    </row>
    <row r="324" spans="1:14" x14ac:dyDescent="0.25">
      <c r="A324" t="s">
        <v>1627</v>
      </c>
      <c r="B324" t="s">
        <v>165</v>
      </c>
      <c r="C324" t="s">
        <v>1502</v>
      </c>
      <c r="D324" s="25"/>
      <c r="E324" s="25"/>
      <c r="F324" s="25"/>
      <c r="G324" s="25"/>
      <c r="H324" s="25"/>
      <c r="I324" s="25"/>
      <c r="J324" s="25">
        <v>3499.0530303030305</v>
      </c>
      <c r="K324" s="25"/>
      <c r="L324" s="25"/>
      <c r="M324" s="25"/>
      <c r="N324" s="25">
        <v>3499.0530303030305</v>
      </c>
    </row>
    <row r="325" spans="1:14" x14ac:dyDescent="0.25">
      <c r="A325" t="s">
        <v>1628</v>
      </c>
      <c r="B325" t="s">
        <v>165</v>
      </c>
      <c r="C325" t="s">
        <v>1502</v>
      </c>
      <c r="D325" s="25"/>
      <c r="E325" s="25"/>
      <c r="F325" s="25"/>
      <c r="G325" s="25"/>
      <c r="H325" s="25"/>
      <c r="I325" s="25"/>
      <c r="J325" s="25">
        <v>1500.9469696969697</v>
      </c>
      <c r="K325" s="25"/>
      <c r="L325" s="25"/>
      <c r="M325" s="25"/>
      <c r="N325" s="25">
        <v>1500.9469696969697</v>
      </c>
    </row>
    <row r="326" spans="1:14" x14ac:dyDescent="0.25">
      <c r="A326" t="s">
        <v>1629</v>
      </c>
      <c r="B326" t="s">
        <v>165</v>
      </c>
      <c r="C326" t="s">
        <v>1502</v>
      </c>
      <c r="D326" s="25"/>
      <c r="E326" s="25"/>
      <c r="F326" s="25"/>
      <c r="G326" s="25"/>
      <c r="H326" s="25"/>
      <c r="I326" s="25"/>
      <c r="J326" s="25">
        <v>7500</v>
      </c>
      <c r="K326" s="25"/>
      <c r="L326" s="25"/>
      <c r="M326" s="25"/>
      <c r="N326" s="25">
        <v>7500</v>
      </c>
    </row>
    <row r="327" spans="1:14" x14ac:dyDescent="0.25">
      <c r="A327" t="s">
        <v>1631</v>
      </c>
      <c r="B327" t="s">
        <v>1512</v>
      </c>
      <c r="C327" t="s">
        <v>1555</v>
      </c>
      <c r="D327" s="25"/>
      <c r="E327" s="25"/>
      <c r="F327" s="25"/>
      <c r="G327" s="25"/>
      <c r="H327" s="25"/>
      <c r="I327" s="25"/>
      <c r="J327" s="25">
        <v>7500</v>
      </c>
      <c r="K327" s="25"/>
      <c r="L327" s="25"/>
      <c r="M327" s="25"/>
      <c r="N327" s="25">
        <v>7500</v>
      </c>
    </row>
    <row r="328" spans="1:14" x14ac:dyDescent="0.25">
      <c r="A328" t="s">
        <v>1635</v>
      </c>
      <c r="B328" t="s">
        <v>1484</v>
      </c>
      <c r="C328" t="s">
        <v>1416</v>
      </c>
      <c r="D328" s="25"/>
      <c r="E328" s="25"/>
      <c r="F328" s="25"/>
      <c r="G328" s="25"/>
      <c r="H328" s="25"/>
      <c r="I328" s="25"/>
      <c r="J328" s="25">
        <v>5250.94696969697</v>
      </c>
      <c r="K328" s="25"/>
      <c r="L328" s="25"/>
      <c r="M328" s="25"/>
      <c r="N328" s="25">
        <v>5250.94696969697</v>
      </c>
    </row>
    <row r="329" spans="1:14" x14ac:dyDescent="0.25">
      <c r="A329" t="s">
        <v>1636</v>
      </c>
      <c r="B329" t="s">
        <v>1580</v>
      </c>
      <c r="C329" t="s">
        <v>1553</v>
      </c>
      <c r="D329" s="25"/>
      <c r="E329" s="25"/>
      <c r="F329" s="25"/>
      <c r="G329" s="25"/>
      <c r="H329" s="25"/>
      <c r="I329" s="25"/>
      <c r="J329" s="25">
        <v>1500.9469696969697</v>
      </c>
      <c r="K329" s="25"/>
      <c r="L329" s="25"/>
      <c r="M329" s="25"/>
      <c r="N329" s="25">
        <v>1500.9469696969697</v>
      </c>
    </row>
    <row r="330" spans="1:14" x14ac:dyDescent="0.25">
      <c r="A330" t="s">
        <v>1660</v>
      </c>
      <c r="B330" t="s">
        <v>1472</v>
      </c>
      <c r="C330" t="s">
        <v>1473</v>
      </c>
      <c r="D330" s="25"/>
      <c r="E330" s="25"/>
      <c r="F330" s="25"/>
      <c r="G330" s="25"/>
      <c r="H330" s="25"/>
      <c r="I330" s="25"/>
      <c r="J330" s="25">
        <v>16998.10606060606</v>
      </c>
      <c r="K330" s="25"/>
      <c r="L330" s="25"/>
      <c r="M330" s="25"/>
      <c r="N330" s="25">
        <v>16998.10606060606</v>
      </c>
    </row>
    <row r="331" spans="1:14" x14ac:dyDescent="0.25">
      <c r="A331" t="s">
        <v>1662</v>
      </c>
      <c r="B331" t="s">
        <v>1472</v>
      </c>
      <c r="C331" t="s">
        <v>1473</v>
      </c>
      <c r="D331" s="25"/>
      <c r="E331" s="25"/>
      <c r="F331" s="25"/>
      <c r="G331" s="25"/>
      <c r="H331" s="25"/>
      <c r="I331" s="25"/>
      <c r="J331" s="25">
        <v>6751.893939393939</v>
      </c>
      <c r="K331" s="25"/>
      <c r="L331" s="25"/>
      <c r="M331" s="25"/>
      <c r="N331" s="25">
        <v>6751.893939393939</v>
      </c>
    </row>
    <row r="332" spans="1:14" x14ac:dyDescent="0.25">
      <c r="A332" t="s">
        <v>1663</v>
      </c>
      <c r="B332" t="s">
        <v>1607</v>
      </c>
      <c r="C332" t="s">
        <v>1608</v>
      </c>
      <c r="D332" s="25"/>
      <c r="E332" s="25"/>
      <c r="F332" s="25"/>
      <c r="G332" s="25"/>
      <c r="H332" s="25"/>
      <c r="I332" s="25"/>
      <c r="J332" s="25">
        <v>2750.9469696969695</v>
      </c>
      <c r="K332" s="25"/>
      <c r="L332" s="25"/>
      <c r="M332" s="25"/>
      <c r="N332" s="25">
        <v>2750.9469696969695</v>
      </c>
    </row>
    <row r="333" spans="1:14" x14ac:dyDescent="0.25">
      <c r="A333" t="s">
        <v>1664</v>
      </c>
      <c r="B333" t="s">
        <v>1451</v>
      </c>
      <c r="C333" t="s">
        <v>1599</v>
      </c>
      <c r="D333" s="25"/>
      <c r="E333" s="25"/>
      <c r="F333" s="25"/>
      <c r="G333" s="25"/>
      <c r="H333" s="25"/>
      <c r="I333" s="25"/>
      <c r="J333" s="25">
        <v>2750.9469696969695</v>
      </c>
      <c r="K333" s="25"/>
      <c r="L333" s="25"/>
      <c r="M333" s="25"/>
      <c r="N333" s="25">
        <v>2750.9469696969695</v>
      </c>
    </row>
    <row r="334" spans="1:14" x14ac:dyDescent="0.25">
      <c r="A334" t="s">
        <v>1665</v>
      </c>
      <c r="B334" t="s">
        <v>1451</v>
      </c>
      <c r="C334" t="s">
        <v>1502</v>
      </c>
      <c r="D334" s="25"/>
      <c r="E334" s="25"/>
      <c r="F334" s="25"/>
      <c r="G334" s="25"/>
      <c r="H334" s="25"/>
      <c r="I334" s="25"/>
      <c r="J334" s="25">
        <v>11751.89393939394</v>
      </c>
      <c r="K334" s="25"/>
      <c r="L334" s="25"/>
      <c r="M334" s="25"/>
      <c r="N334" s="25">
        <v>11751.89393939394</v>
      </c>
    </row>
    <row r="335" spans="1:14" x14ac:dyDescent="0.25">
      <c r="A335" t="s">
        <v>1666</v>
      </c>
      <c r="B335" t="s">
        <v>1451</v>
      </c>
      <c r="C335" t="s">
        <v>1599</v>
      </c>
      <c r="D335" s="25"/>
      <c r="E335" s="25"/>
      <c r="F335" s="25"/>
      <c r="G335" s="25"/>
      <c r="H335" s="25"/>
      <c r="I335" s="25"/>
      <c r="J335" s="25">
        <v>6500.94696969697</v>
      </c>
      <c r="K335" s="25"/>
      <c r="L335" s="25"/>
      <c r="M335" s="25"/>
      <c r="N335" s="25">
        <v>6500.94696969697</v>
      </c>
    </row>
    <row r="336" spans="1:14" x14ac:dyDescent="0.25">
      <c r="A336" t="s">
        <v>1667</v>
      </c>
      <c r="B336" t="s">
        <v>1668</v>
      </c>
      <c r="C336" t="s">
        <v>1495</v>
      </c>
      <c r="D336" s="25"/>
      <c r="E336" s="25"/>
      <c r="F336" s="25"/>
      <c r="G336" s="25"/>
      <c r="H336" s="25"/>
      <c r="I336" s="25"/>
      <c r="J336" s="25">
        <v>1500.9469696969697</v>
      </c>
      <c r="K336" s="25"/>
      <c r="L336" s="25"/>
      <c r="M336" s="25"/>
      <c r="N336" s="25">
        <v>1500.9469696969697</v>
      </c>
    </row>
    <row r="337" spans="1:14" x14ac:dyDescent="0.25">
      <c r="A337" t="s">
        <v>1669</v>
      </c>
      <c r="B337" t="s">
        <v>116</v>
      </c>
      <c r="C337" t="s">
        <v>121</v>
      </c>
      <c r="D337" s="25"/>
      <c r="E337" s="25"/>
      <c r="F337" s="25"/>
      <c r="G337" s="25">
        <v>2864.5833333333335</v>
      </c>
      <c r="H337" s="25"/>
      <c r="I337" s="25"/>
      <c r="J337" s="25"/>
      <c r="K337" s="25"/>
      <c r="L337" s="25"/>
      <c r="M337" s="25"/>
      <c r="N337" s="25">
        <v>2864.5833333333335</v>
      </c>
    </row>
    <row r="338" spans="1:14" x14ac:dyDescent="0.25">
      <c r="A338" t="s">
        <v>1671</v>
      </c>
      <c r="B338" t="s">
        <v>1451</v>
      </c>
      <c r="C338" t="s">
        <v>1505</v>
      </c>
      <c r="D338" s="25"/>
      <c r="E338" s="25"/>
      <c r="F338" s="25"/>
      <c r="G338" s="25"/>
      <c r="H338" s="25"/>
      <c r="I338" s="25"/>
      <c r="J338" s="25">
        <v>16500.946969696968</v>
      </c>
      <c r="K338" s="25"/>
      <c r="L338" s="25"/>
      <c r="M338" s="25"/>
      <c r="N338" s="25">
        <v>16500.946969696968</v>
      </c>
    </row>
    <row r="339" spans="1:14" x14ac:dyDescent="0.25">
      <c r="A339" t="s">
        <v>1678</v>
      </c>
      <c r="B339" t="s">
        <v>119</v>
      </c>
      <c r="C339" t="s">
        <v>217</v>
      </c>
      <c r="D339" s="25"/>
      <c r="E339" s="25">
        <v>13439.204545454546</v>
      </c>
      <c r="F339" s="25"/>
      <c r="G339" s="25"/>
      <c r="H339" s="25"/>
      <c r="I339" s="25"/>
      <c r="J339" s="25"/>
      <c r="K339" s="25"/>
      <c r="L339" s="25"/>
      <c r="M339" s="25"/>
      <c r="N339" s="25">
        <v>13439.204545454546</v>
      </c>
    </row>
    <row r="340" spans="1:14" x14ac:dyDescent="0.25">
      <c r="A340" t="s">
        <v>1680</v>
      </c>
      <c r="B340" t="s">
        <v>217</v>
      </c>
      <c r="C340" t="s">
        <v>222</v>
      </c>
      <c r="D340" s="25"/>
      <c r="E340" s="25">
        <v>21095.454545454544</v>
      </c>
      <c r="F340" s="25"/>
      <c r="G340" s="25"/>
      <c r="H340" s="25"/>
      <c r="I340" s="25"/>
      <c r="J340" s="25"/>
      <c r="K340" s="25"/>
      <c r="L340" s="25"/>
      <c r="M340" s="25"/>
      <c r="N340" s="25">
        <v>21095.454545454544</v>
      </c>
    </row>
    <row r="341" spans="1:14" x14ac:dyDescent="0.25">
      <c r="A341" t="s">
        <v>1683</v>
      </c>
      <c r="B341" t="s">
        <v>1480</v>
      </c>
      <c r="C341" t="s">
        <v>1481</v>
      </c>
      <c r="D341" s="25"/>
      <c r="E341" s="25"/>
      <c r="F341" s="25"/>
      <c r="G341" s="25">
        <v>11900</v>
      </c>
      <c r="H341" s="25"/>
      <c r="I341" s="25"/>
      <c r="J341" s="25"/>
      <c r="K341" s="25"/>
      <c r="L341" s="25"/>
      <c r="M341" s="25"/>
      <c r="N341" s="25">
        <v>11900</v>
      </c>
    </row>
    <row r="342" spans="1:14" x14ac:dyDescent="0.25">
      <c r="A342" t="s">
        <v>1687</v>
      </c>
      <c r="B342" t="s">
        <v>1480</v>
      </c>
      <c r="C342" t="s">
        <v>1481</v>
      </c>
      <c r="D342" s="25"/>
      <c r="E342" s="25"/>
      <c r="F342" s="25"/>
      <c r="G342" s="25">
        <v>8693</v>
      </c>
      <c r="H342" s="25"/>
      <c r="I342" s="25"/>
      <c r="J342" s="25"/>
      <c r="K342" s="25"/>
      <c r="L342" s="25"/>
      <c r="M342" s="25"/>
      <c r="N342" s="25">
        <v>8693</v>
      </c>
    </row>
    <row r="343" spans="1:14" x14ac:dyDescent="0.25">
      <c r="A343" t="s">
        <v>1689</v>
      </c>
      <c r="B343" t="s">
        <v>1690</v>
      </c>
      <c r="C343" t="s">
        <v>1502</v>
      </c>
      <c r="D343" s="25"/>
      <c r="E343" s="25"/>
      <c r="F343" s="25"/>
      <c r="G343" s="25"/>
      <c r="H343" s="25"/>
      <c r="I343" s="25"/>
      <c r="J343" s="25">
        <v>2750.9469696969695</v>
      </c>
      <c r="K343" s="25"/>
      <c r="L343" s="25"/>
      <c r="M343" s="25"/>
      <c r="N343" s="25">
        <v>2750.9469696969695</v>
      </c>
    </row>
    <row r="344" spans="1:14" x14ac:dyDescent="0.25">
      <c r="A344" t="s">
        <v>1691</v>
      </c>
      <c r="B344" t="s">
        <v>1619</v>
      </c>
      <c r="C344" t="s">
        <v>1502</v>
      </c>
      <c r="D344" s="25"/>
      <c r="E344" s="25"/>
      <c r="F344" s="25"/>
      <c r="G344" s="25">
        <v>875.94696969696975</v>
      </c>
      <c r="H344" s="25"/>
      <c r="I344" s="25"/>
      <c r="J344" s="25"/>
      <c r="K344" s="25"/>
      <c r="L344" s="25"/>
      <c r="M344" s="25"/>
      <c r="N344" s="25">
        <v>875.94696969696975</v>
      </c>
    </row>
    <row r="345" spans="1:14" x14ac:dyDescent="0.25">
      <c r="A345" t="s">
        <v>1693</v>
      </c>
      <c r="B345" t="s">
        <v>1451</v>
      </c>
      <c r="C345" t="s">
        <v>1452</v>
      </c>
      <c r="D345" s="25"/>
      <c r="E345" s="25"/>
      <c r="F345" s="25"/>
      <c r="G345" s="25"/>
      <c r="H345" s="25"/>
      <c r="I345" s="25"/>
      <c r="J345" s="25">
        <v>5250.94696969697</v>
      </c>
      <c r="K345" s="25"/>
      <c r="L345" s="25"/>
      <c r="M345" s="25"/>
      <c r="N345" s="25">
        <v>5250.94696969697</v>
      </c>
    </row>
    <row r="346" spans="1:14" x14ac:dyDescent="0.25">
      <c r="A346" t="s">
        <v>1694</v>
      </c>
      <c r="B346" t="s">
        <v>1451</v>
      </c>
      <c r="C346" t="s">
        <v>1452</v>
      </c>
      <c r="D346" s="25"/>
      <c r="E346" s="25"/>
      <c r="F346" s="25"/>
      <c r="G346" s="25"/>
      <c r="H346" s="25"/>
      <c r="I346" s="25"/>
      <c r="J346" s="25">
        <v>1998.1060606060605</v>
      </c>
      <c r="K346" s="25"/>
      <c r="L346" s="25"/>
      <c r="M346" s="25"/>
      <c r="N346" s="25">
        <v>1998.1060606060605</v>
      </c>
    </row>
    <row r="347" spans="1:14" x14ac:dyDescent="0.25">
      <c r="A347" t="s">
        <v>1695</v>
      </c>
      <c r="B347" t="s">
        <v>1580</v>
      </c>
      <c r="C347" t="s">
        <v>1696</v>
      </c>
      <c r="D347" s="25"/>
      <c r="E347" s="25"/>
      <c r="F347" s="25"/>
      <c r="G347" s="25"/>
      <c r="H347" s="25"/>
      <c r="I347" s="25"/>
      <c r="J347" s="25">
        <v>3750</v>
      </c>
      <c r="K347" s="25"/>
      <c r="L347" s="25"/>
      <c r="M347" s="25"/>
      <c r="N347" s="25">
        <v>3750</v>
      </c>
    </row>
    <row r="348" spans="1:14" x14ac:dyDescent="0.25">
      <c r="A348" t="s">
        <v>1697</v>
      </c>
      <c r="B348" t="s">
        <v>1580</v>
      </c>
      <c r="C348" t="s">
        <v>1696</v>
      </c>
      <c r="D348" s="25"/>
      <c r="E348" s="25"/>
      <c r="F348" s="25"/>
      <c r="G348" s="25"/>
      <c r="H348" s="25"/>
      <c r="I348" s="25"/>
      <c r="J348" s="25">
        <v>3001.8939393939395</v>
      </c>
      <c r="K348" s="25"/>
      <c r="L348" s="25"/>
      <c r="M348" s="25"/>
      <c r="N348" s="25">
        <v>3001.8939393939395</v>
      </c>
    </row>
    <row r="349" spans="1:14" x14ac:dyDescent="0.25">
      <c r="A349" t="s">
        <v>1698</v>
      </c>
      <c r="B349" t="s">
        <v>1580</v>
      </c>
      <c r="C349" t="s">
        <v>1696</v>
      </c>
      <c r="D349" s="25"/>
      <c r="E349" s="25"/>
      <c r="F349" s="25"/>
      <c r="G349" s="25"/>
      <c r="H349" s="25"/>
      <c r="I349" s="25"/>
      <c r="J349" s="25">
        <v>2750.9469696969695</v>
      </c>
      <c r="K349" s="25"/>
      <c r="L349" s="25"/>
      <c r="M349" s="25"/>
      <c r="N349" s="25">
        <v>2750.9469696969695</v>
      </c>
    </row>
    <row r="350" spans="1:14" x14ac:dyDescent="0.25">
      <c r="A350" t="s">
        <v>1699</v>
      </c>
      <c r="B350" t="s">
        <v>1580</v>
      </c>
      <c r="C350" t="s">
        <v>1696</v>
      </c>
      <c r="D350" s="25"/>
      <c r="E350" s="25"/>
      <c r="F350" s="25"/>
      <c r="G350" s="25"/>
      <c r="H350" s="25"/>
      <c r="I350" s="25"/>
      <c r="J350" s="25">
        <v>1998.1060606060605</v>
      </c>
      <c r="K350" s="25"/>
      <c r="L350" s="25"/>
      <c r="M350" s="25"/>
      <c r="N350" s="25">
        <v>1998.1060606060605</v>
      </c>
    </row>
    <row r="351" spans="1:14" x14ac:dyDescent="0.25">
      <c r="A351" t="s">
        <v>1700</v>
      </c>
      <c r="B351" t="s">
        <v>1458</v>
      </c>
      <c r="C351" t="s">
        <v>1701</v>
      </c>
      <c r="D351" s="25"/>
      <c r="E351" s="25"/>
      <c r="F351" s="25"/>
      <c r="G351" s="25"/>
      <c r="H351" s="25"/>
      <c r="I351" s="25"/>
      <c r="J351" s="25">
        <v>2750.9469696969695</v>
      </c>
      <c r="K351" s="25"/>
      <c r="L351" s="25"/>
      <c r="M351" s="25"/>
      <c r="N351" s="25">
        <v>2750.9469696969695</v>
      </c>
    </row>
    <row r="352" spans="1:14" x14ac:dyDescent="0.25">
      <c r="A352" t="s">
        <v>1702</v>
      </c>
      <c r="B352" t="s">
        <v>1458</v>
      </c>
      <c r="C352" t="s">
        <v>1701</v>
      </c>
      <c r="D352" s="25"/>
      <c r="E352" s="25"/>
      <c r="F352" s="25"/>
      <c r="G352" s="25"/>
      <c r="H352" s="25"/>
      <c r="I352" s="25"/>
      <c r="J352" s="25">
        <v>2750.9469696969695</v>
      </c>
      <c r="K352" s="25"/>
      <c r="L352" s="25"/>
      <c r="M352" s="25"/>
      <c r="N352" s="25">
        <v>2750.9469696969695</v>
      </c>
    </row>
    <row r="353" spans="1:14" x14ac:dyDescent="0.25">
      <c r="A353" t="s">
        <v>1703</v>
      </c>
      <c r="B353" t="s">
        <v>1458</v>
      </c>
      <c r="C353" t="s">
        <v>1701</v>
      </c>
      <c r="D353" s="25"/>
      <c r="E353" s="25"/>
      <c r="F353" s="25"/>
      <c r="G353" s="25"/>
      <c r="H353" s="25"/>
      <c r="I353" s="25"/>
      <c r="J353" s="25">
        <v>3499.0530303030305</v>
      </c>
      <c r="K353" s="25"/>
      <c r="L353" s="25"/>
      <c r="M353" s="25"/>
      <c r="N353" s="25">
        <v>3499.0530303030305</v>
      </c>
    </row>
    <row r="354" spans="1:14" x14ac:dyDescent="0.25">
      <c r="A354" t="s">
        <v>1704</v>
      </c>
      <c r="B354" t="s">
        <v>1458</v>
      </c>
      <c r="C354" t="s">
        <v>1701</v>
      </c>
      <c r="D354" s="25"/>
      <c r="E354" s="25"/>
      <c r="F354" s="25"/>
      <c r="G354" s="25"/>
      <c r="H354" s="25"/>
      <c r="I354" s="25"/>
      <c r="J354" s="25">
        <v>2750.9469696969695</v>
      </c>
      <c r="K354" s="25"/>
      <c r="L354" s="25"/>
      <c r="M354" s="25"/>
      <c r="N354" s="25">
        <v>2750.9469696969695</v>
      </c>
    </row>
    <row r="355" spans="1:14" x14ac:dyDescent="0.25">
      <c r="A355" t="s">
        <v>1705</v>
      </c>
      <c r="B355" t="s">
        <v>1706</v>
      </c>
      <c r="C355" t="s">
        <v>1707</v>
      </c>
      <c r="D355" s="25"/>
      <c r="E355" s="25"/>
      <c r="F355" s="25"/>
      <c r="G355" s="25"/>
      <c r="H355" s="25"/>
      <c r="I355" s="25"/>
      <c r="J355" s="25">
        <v>15999.05303030303</v>
      </c>
      <c r="K355" s="25"/>
      <c r="L355" s="25"/>
      <c r="M355" s="25"/>
      <c r="N355" s="25">
        <v>15999.05303030303</v>
      </c>
    </row>
    <row r="356" spans="1:14" x14ac:dyDescent="0.25">
      <c r="A356" t="s">
        <v>2328</v>
      </c>
      <c r="B356" t="s">
        <v>155</v>
      </c>
      <c r="C356" t="s">
        <v>1495</v>
      </c>
      <c r="D356" s="25"/>
      <c r="E356" s="25"/>
      <c r="F356" s="25"/>
      <c r="G356" s="25"/>
      <c r="H356" s="25"/>
      <c r="I356" s="25"/>
      <c r="J356" s="25">
        <v>4498.106060606061</v>
      </c>
      <c r="K356" s="25"/>
      <c r="L356" s="25"/>
      <c r="M356" s="25"/>
      <c r="N356" s="25">
        <v>4498.106060606061</v>
      </c>
    </row>
    <row r="357" spans="1:14" x14ac:dyDescent="0.25">
      <c r="A357" t="s">
        <v>2327</v>
      </c>
      <c r="B357" t="s">
        <v>1706</v>
      </c>
      <c r="C357" t="s">
        <v>1707</v>
      </c>
      <c r="D357" s="25"/>
      <c r="E357" s="25"/>
      <c r="F357" s="25"/>
      <c r="G357" s="25"/>
      <c r="H357" s="25"/>
      <c r="I357" s="25"/>
      <c r="J357" s="25">
        <v>6250</v>
      </c>
      <c r="K357" s="25"/>
      <c r="L357" s="25"/>
      <c r="M357" s="25"/>
      <c r="N357" s="25">
        <v>6250</v>
      </c>
    </row>
    <row r="358" spans="1:14" x14ac:dyDescent="0.25">
      <c r="A358" t="s">
        <v>2319</v>
      </c>
      <c r="B358" t="s">
        <v>1614</v>
      </c>
      <c r="C358" t="s">
        <v>1416</v>
      </c>
      <c r="D358" s="25"/>
      <c r="E358" s="25"/>
      <c r="F358" s="25"/>
      <c r="G358" s="25"/>
      <c r="H358" s="25"/>
      <c r="I358" s="25"/>
      <c r="J358" s="25">
        <v>5999.05303030303</v>
      </c>
      <c r="K358" s="25"/>
      <c r="L358" s="25"/>
      <c r="M358" s="25"/>
      <c r="N358" s="25">
        <v>5999.05303030303</v>
      </c>
    </row>
    <row r="359" spans="1:14" x14ac:dyDescent="0.25">
      <c r="A359" t="s">
        <v>2320</v>
      </c>
      <c r="B359" t="s">
        <v>1614</v>
      </c>
      <c r="C359" t="s">
        <v>1416</v>
      </c>
      <c r="D359" s="25"/>
      <c r="E359" s="25"/>
      <c r="F359" s="25"/>
      <c r="G359" s="25"/>
      <c r="H359" s="25"/>
      <c r="I359" s="25"/>
      <c r="J359" s="25">
        <v>1751.8939393939395</v>
      </c>
      <c r="K359" s="25"/>
      <c r="L359" s="25"/>
      <c r="M359" s="25"/>
      <c r="N359" s="25">
        <v>1751.8939393939395</v>
      </c>
    </row>
    <row r="360" spans="1:14" x14ac:dyDescent="0.25">
      <c r="A360" t="s">
        <v>2318</v>
      </c>
      <c r="B360" t="s">
        <v>1614</v>
      </c>
      <c r="C360" t="s">
        <v>1416</v>
      </c>
      <c r="D360" s="25"/>
      <c r="E360" s="25"/>
      <c r="F360" s="25"/>
      <c r="G360" s="25"/>
      <c r="H360" s="25"/>
      <c r="I360" s="25"/>
      <c r="J360" s="25">
        <v>1751.8939393939395</v>
      </c>
      <c r="K360" s="25"/>
      <c r="L360" s="25"/>
      <c r="M360" s="25"/>
      <c r="N360" s="25">
        <v>1751.8939393939395</v>
      </c>
    </row>
    <row r="361" spans="1:14" x14ac:dyDescent="0.25">
      <c r="A361" t="s">
        <v>2317</v>
      </c>
      <c r="B361" t="s">
        <v>1614</v>
      </c>
      <c r="C361" t="s">
        <v>1416</v>
      </c>
      <c r="D361" s="25"/>
      <c r="E361" s="25"/>
      <c r="F361" s="25"/>
      <c r="G361" s="25"/>
      <c r="H361" s="25"/>
      <c r="I361" s="25"/>
      <c r="J361" s="25">
        <v>1500.9469696969697</v>
      </c>
      <c r="K361" s="25"/>
      <c r="L361" s="25"/>
      <c r="M361" s="25"/>
      <c r="N361" s="25">
        <v>1500.9469696969697</v>
      </c>
    </row>
    <row r="362" spans="1:14" x14ac:dyDescent="0.25">
      <c r="A362" t="s">
        <v>2316</v>
      </c>
      <c r="B362" t="s">
        <v>1614</v>
      </c>
      <c r="C362" t="s">
        <v>1416</v>
      </c>
      <c r="D362" s="25"/>
      <c r="E362" s="25"/>
      <c r="F362" s="25"/>
      <c r="G362" s="25"/>
      <c r="H362" s="25"/>
      <c r="I362" s="25"/>
      <c r="J362" s="25">
        <v>5748.106060606061</v>
      </c>
      <c r="K362" s="25"/>
      <c r="L362" s="25"/>
      <c r="M362" s="25"/>
      <c r="N362" s="25">
        <v>5748.106060606061</v>
      </c>
    </row>
    <row r="363" spans="1:14" x14ac:dyDescent="0.25">
      <c r="A363" t="s">
        <v>1713</v>
      </c>
      <c r="B363" t="s">
        <v>1706</v>
      </c>
      <c r="C363" t="s">
        <v>1707</v>
      </c>
      <c r="D363" s="25"/>
      <c r="E363" s="25"/>
      <c r="F363" s="25"/>
      <c r="G363" s="25"/>
      <c r="H363" s="25"/>
      <c r="I363" s="25"/>
      <c r="J363" s="25">
        <v>2500</v>
      </c>
      <c r="K363" s="25"/>
      <c r="L363" s="25"/>
      <c r="M363" s="25"/>
      <c r="N363" s="25">
        <v>2500</v>
      </c>
    </row>
    <row r="364" spans="1:14" x14ac:dyDescent="0.25">
      <c r="A364" t="s">
        <v>1714</v>
      </c>
      <c r="B364" t="s">
        <v>1527</v>
      </c>
      <c r="C364" t="s">
        <v>1465</v>
      </c>
      <c r="D364" s="25"/>
      <c r="E364" s="25"/>
      <c r="F364" s="25"/>
      <c r="G364" s="25"/>
      <c r="H364" s="25"/>
      <c r="I364" s="25"/>
      <c r="J364" s="25">
        <v>3750</v>
      </c>
      <c r="K364" s="25"/>
      <c r="L364" s="25"/>
      <c r="M364" s="25"/>
      <c r="N364" s="25">
        <v>3750</v>
      </c>
    </row>
    <row r="365" spans="1:14" x14ac:dyDescent="0.25">
      <c r="A365" t="s">
        <v>1715</v>
      </c>
      <c r="B365" t="s">
        <v>1548</v>
      </c>
      <c r="C365" t="s">
        <v>1416</v>
      </c>
      <c r="D365" s="25"/>
      <c r="E365" s="25"/>
      <c r="F365" s="25"/>
      <c r="G365" s="25"/>
      <c r="H365" s="25"/>
      <c r="I365" s="25"/>
      <c r="J365" s="25">
        <v>1500.9469696969697</v>
      </c>
      <c r="K365" s="25"/>
      <c r="L365" s="25"/>
      <c r="M365" s="25"/>
      <c r="N365" s="25">
        <v>1500.9469696969697</v>
      </c>
    </row>
    <row r="366" spans="1:14" x14ac:dyDescent="0.25">
      <c r="A366" t="s">
        <v>1716</v>
      </c>
      <c r="B366" t="s">
        <v>1580</v>
      </c>
      <c r="C366" t="s">
        <v>1553</v>
      </c>
      <c r="D366" s="25"/>
      <c r="E366" s="25">
        <v>1678.409090909091</v>
      </c>
      <c r="F366" s="25"/>
      <c r="G366" s="25"/>
      <c r="H366" s="25"/>
      <c r="I366" s="25"/>
      <c r="J366" s="25"/>
      <c r="K366" s="25"/>
      <c r="L366" s="25"/>
      <c r="M366" s="25"/>
      <c r="N366" s="25">
        <v>1678.409090909091</v>
      </c>
    </row>
    <row r="367" spans="1:14" x14ac:dyDescent="0.25">
      <c r="A367" t="s">
        <v>1717</v>
      </c>
      <c r="B367" t="s">
        <v>1548</v>
      </c>
      <c r="C367" t="s">
        <v>1416</v>
      </c>
      <c r="D367" s="25"/>
      <c r="E367" s="25"/>
      <c r="F367" s="25"/>
      <c r="G367" s="25"/>
      <c r="H367" s="25"/>
      <c r="I367" s="25"/>
      <c r="J367" s="25">
        <v>1500.9469696969697</v>
      </c>
      <c r="K367" s="25"/>
      <c r="L367" s="25"/>
      <c r="M367" s="25"/>
      <c r="N367" s="25">
        <v>1500.9469696969697</v>
      </c>
    </row>
    <row r="368" spans="1:14" x14ac:dyDescent="0.25">
      <c r="A368" t="s">
        <v>1719</v>
      </c>
      <c r="B368" t="s">
        <v>1668</v>
      </c>
      <c r="C368" t="s">
        <v>1495</v>
      </c>
      <c r="D368" s="25"/>
      <c r="E368" s="25"/>
      <c r="F368" s="25"/>
      <c r="G368" s="25"/>
      <c r="H368" s="25"/>
      <c r="I368" s="25"/>
      <c r="J368" s="25">
        <v>1250</v>
      </c>
      <c r="K368" s="25"/>
      <c r="L368" s="25"/>
      <c r="M368" s="25"/>
      <c r="N368" s="25">
        <v>1250</v>
      </c>
    </row>
    <row r="369" spans="1:14" x14ac:dyDescent="0.25">
      <c r="A369" t="s">
        <v>1721</v>
      </c>
      <c r="B369" t="s">
        <v>1465</v>
      </c>
      <c r="C369" t="s">
        <v>1451</v>
      </c>
      <c r="D369" s="25"/>
      <c r="E369" s="25"/>
      <c r="F369" s="25"/>
      <c r="G369" s="25"/>
      <c r="H369" s="25"/>
      <c r="I369" s="25"/>
      <c r="J369" s="25">
        <v>7500</v>
      </c>
      <c r="K369" s="25"/>
      <c r="L369" s="25"/>
      <c r="M369" s="25"/>
      <c r="N369" s="25">
        <v>7500</v>
      </c>
    </row>
    <row r="370" spans="1:14" x14ac:dyDescent="0.25">
      <c r="A370" t="s">
        <v>1722</v>
      </c>
      <c r="B370" t="s">
        <v>1465</v>
      </c>
      <c r="C370" t="s">
        <v>1451</v>
      </c>
      <c r="D370" s="25"/>
      <c r="E370" s="25"/>
      <c r="F370" s="25"/>
      <c r="G370" s="25"/>
      <c r="H370" s="25"/>
      <c r="I370" s="25"/>
      <c r="J370" s="25">
        <v>14498.10606060606</v>
      </c>
      <c r="K370" s="25"/>
      <c r="L370" s="25"/>
      <c r="M370" s="25"/>
      <c r="N370" s="25">
        <v>14498.10606060606</v>
      </c>
    </row>
    <row r="371" spans="1:14" x14ac:dyDescent="0.25">
      <c r="A371" t="s">
        <v>1728</v>
      </c>
      <c r="B371" t="s">
        <v>99</v>
      </c>
      <c r="C371" t="s">
        <v>104</v>
      </c>
      <c r="D371" s="25"/>
      <c r="E371" s="25">
        <v>26540.340909090908</v>
      </c>
      <c r="F371" s="25"/>
      <c r="G371" s="25"/>
      <c r="H371" s="25"/>
      <c r="I371" s="25"/>
      <c r="J371" s="25"/>
      <c r="K371" s="25"/>
      <c r="L371" s="25"/>
      <c r="M371" s="25"/>
      <c r="N371" s="25">
        <v>26540.340909090908</v>
      </c>
    </row>
    <row r="372" spans="1:14" x14ac:dyDescent="0.25">
      <c r="A372" t="s">
        <v>1730</v>
      </c>
      <c r="B372" t="s">
        <v>1487</v>
      </c>
      <c r="C372" t="s">
        <v>1462</v>
      </c>
      <c r="D372" s="25"/>
      <c r="E372" s="25"/>
      <c r="F372" s="25"/>
      <c r="G372" s="25"/>
      <c r="H372" s="25"/>
      <c r="I372" s="25"/>
      <c r="J372" s="25">
        <v>4313.44696969697</v>
      </c>
      <c r="K372" s="25"/>
      <c r="L372" s="25"/>
      <c r="M372" s="25"/>
      <c r="N372" s="25">
        <v>4313.44696969697</v>
      </c>
    </row>
    <row r="373" spans="1:14" x14ac:dyDescent="0.25">
      <c r="A373" t="s">
        <v>1731</v>
      </c>
      <c r="B373" t="s">
        <v>1462</v>
      </c>
      <c r="C373" t="s">
        <v>1451</v>
      </c>
      <c r="D373" s="25"/>
      <c r="E373" s="25"/>
      <c r="F373" s="25"/>
      <c r="G373" s="25"/>
      <c r="H373" s="25"/>
      <c r="I373" s="25"/>
      <c r="J373" s="25">
        <v>2552.0833333333335</v>
      </c>
      <c r="K373" s="25"/>
      <c r="L373" s="25"/>
      <c r="M373" s="25"/>
      <c r="N373" s="25">
        <v>2552.0833333333335</v>
      </c>
    </row>
    <row r="374" spans="1:14" x14ac:dyDescent="0.25">
      <c r="A374" t="s">
        <v>1735</v>
      </c>
      <c r="B374" t="s">
        <v>1462</v>
      </c>
      <c r="C374" t="s">
        <v>1451</v>
      </c>
      <c r="D374" s="25"/>
      <c r="E374" s="25"/>
      <c r="F374" s="25"/>
      <c r="G374" s="25"/>
      <c r="H374" s="25"/>
      <c r="I374" s="25"/>
      <c r="J374" s="25">
        <v>1969.6969696969697</v>
      </c>
      <c r="K374" s="25"/>
      <c r="L374" s="25"/>
      <c r="M374" s="25"/>
      <c r="N374" s="25">
        <v>1969.6969696969697</v>
      </c>
    </row>
    <row r="375" spans="1:14" x14ac:dyDescent="0.25">
      <c r="A375" t="s">
        <v>1736</v>
      </c>
      <c r="B375" t="s">
        <v>1487</v>
      </c>
      <c r="C375" t="s">
        <v>1462</v>
      </c>
      <c r="D375" s="25"/>
      <c r="E375" s="25"/>
      <c r="F375" s="25"/>
      <c r="G375" s="25"/>
      <c r="H375" s="25"/>
      <c r="I375" s="25"/>
      <c r="J375" s="25">
        <v>2078.598484848485</v>
      </c>
      <c r="K375" s="25"/>
      <c r="L375" s="25"/>
      <c r="M375" s="25"/>
      <c r="N375" s="25">
        <v>2078.598484848485</v>
      </c>
    </row>
    <row r="376" spans="1:14" x14ac:dyDescent="0.25">
      <c r="A376" t="s">
        <v>1737</v>
      </c>
      <c r="B376" t="s">
        <v>1487</v>
      </c>
      <c r="C376" t="s">
        <v>1462</v>
      </c>
      <c r="D376" s="25"/>
      <c r="E376" s="25"/>
      <c r="F376" s="25"/>
      <c r="G376" s="25"/>
      <c r="H376" s="25"/>
      <c r="I376" s="25"/>
      <c r="J376" s="25">
        <v>5658.143939393939</v>
      </c>
      <c r="K376" s="25"/>
      <c r="L376" s="25"/>
      <c r="M376" s="25"/>
      <c r="N376" s="25">
        <v>5658.143939393939</v>
      </c>
    </row>
    <row r="377" spans="1:14" x14ac:dyDescent="0.25">
      <c r="A377" t="s">
        <v>1738</v>
      </c>
      <c r="B377" t="s">
        <v>1451</v>
      </c>
      <c r="C377" t="s">
        <v>1505</v>
      </c>
      <c r="D377" s="25"/>
      <c r="E377" s="25"/>
      <c r="F377" s="25"/>
      <c r="G377" s="25"/>
      <c r="H377" s="25"/>
      <c r="I377" s="25"/>
      <c r="J377" s="25">
        <v>999.05303030303025</v>
      </c>
      <c r="K377" s="25"/>
      <c r="L377" s="25"/>
      <c r="M377" s="25"/>
      <c r="N377" s="25">
        <v>999.05303030303025</v>
      </c>
    </row>
    <row r="378" spans="1:14" x14ac:dyDescent="0.25">
      <c r="A378" t="s">
        <v>1739</v>
      </c>
      <c r="B378" t="s">
        <v>1451</v>
      </c>
      <c r="C378" t="s">
        <v>1505</v>
      </c>
      <c r="D378" s="25"/>
      <c r="E378" s="25"/>
      <c r="F378" s="25"/>
      <c r="G378" s="25"/>
      <c r="H378" s="25"/>
      <c r="I378" s="25"/>
      <c r="J378" s="25">
        <v>10999.05303030303</v>
      </c>
      <c r="K378" s="25"/>
      <c r="L378" s="25"/>
      <c r="M378" s="25"/>
      <c r="N378" s="25">
        <v>10999.05303030303</v>
      </c>
    </row>
    <row r="379" spans="1:14" x14ac:dyDescent="0.25">
      <c r="A379" t="s">
        <v>1740</v>
      </c>
      <c r="B379" t="s">
        <v>1451</v>
      </c>
      <c r="C379" t="s">
        <v>1505</v>
      </c>
      <c r="D379" s="25"/>
      <c r="E379" s="25"/>
      <c r="F379" s="25"/>
      <c r="G379" s="25"/>
      <c r="H379" s="25"/>
      <c r="I379" s="25"/>
      <c r="J379" s="25">
        <v>1998.1060606060605</v>
      </c>
      <c r="K379" s="25"/>
      <c r="L379" s="25"/>
      <c r="M379" s="25"/>
      <c r="N379" s="25">
        <v>1998.1060606060605</v>
      </c>
    </row>
    <row r="380" spans="1:14" x14ac:dyDescent="0.25">
      <c r="A380" t="s">
        <v>2206</v>
      </c>
      <c r="B380" t="s">
        <v>135</v>
      </c>
      <c r="C380" t="s">
        <v>104</v>
      </c>
      <c r="D380" s="25"/>
      <c r="E380" s="25"/>
      <c r="F380" s="25"/>
      <c r="G380" s="25"/>
      <c r="H380" s="25"/>
      <c r="I380" s="25"/>
      <c r="J380" s="25">
        <v>795.4545454545455</v>
      </c>
      <c r="K380" s="25"/>
      <c r="L380" s="25"/>
      <c r="M380" s="25"/>
      <c r="N380" s="25">
        <v>795.4545454545455</v>
      </c>
    </row>
    <row r="381" spans="1:14" x14ac:dyDescent="0.25">
      <c r="A381" t="s">
        <v>2207</v>
      </c>
      <c r="B381" t="s">
        <v>135</v>
      </c>
      <c r="C381" t="s">
        <v>104</v>
      </c>
      <c r="D381" s="25"/>
      <c r="E381" s="25"/>
      <c r="F381" s="25"/>
      <c r="G381" s="25"/>
      <c r="H381" s="25"/>
      <c r="I381" s="25"/>
      <c r="J381" s="25">
        <v>2092.8030303030305</v>
      </c>
      <c r="K381" s="25"/>
      <c r="L381" s="25"/>
      <c r="M381" s="25"/>
      <c r="N381" s="25">
        <v>2092.8030303030305</v>
      </c>
    </row>
    <row r="382" spans="1:14" x14ac:dyDescent="0.25">
      <c r="A382" t="s">
        <v>1741</v>
      </c>
      <c r="B382" t="s">
        <v>1512</v>
      </c>
      <c r="C382" t="s">
        <v>1742</v>
      </c>
      <c r="D382" s="25"/>
      <c r="E382" s="25"/>
      <c r="F382" s="25"/>
      <c r="G382" s="25"/>
      <c r="H382" s="25"/>
      <c r="I382" s="25"/>
      <c r="J382" s="25">
        <v>4251.893939393939</v>
      </c>
      <c r="K382" s="25"/>
      <c r="L382" s="25"/>
      <c r="M382" s="25"/>
      <c r="N382" s="25">
        <v>4251.893939393939</v>
      </c>
    </row>
    <row r="383" spans="1:14" x14ac:dyDescent="0.25">
      <c r="A383" t="s">
        <v>1744</v>
      </c>
      <c r="B383" t="s">
        <v>1745</v>
      </c>
      <c r="C383" t="s">
        <v>1746</v>
      </c>
      <c r="D383" s="25"/>
      <c r="E383" s="25"/>
      <c r="F383" s="25"/>
      <c r="G383" s="25">
        <v>150.09469696969697</v>
      </c>
      <c r="H383" s="25"/>
      <c r="I383" s="25"/>
      <c r="J383" s="25"/>
      <c r="K383" s="25"/>
      <c r="L383" s="25"/>
      <c r="M383" s="25"/>
      <c r="N383" s="25">
        <v>150.09469696969697</v>
      </c>
    </row>
    <row r="384" spans="1:14" x14ac:dyDescent="0.25">
      <c r="A384" t="s">
        <v>1747</v>
      </c>
      <c r="B384" t="s">
        <v>155</v>
      </c>
      <c r="C384" t="s">
        <v>1748</v>
      </c>
      <c r="D384" s="25"/>
      <c r="E384" s="25"/>
      <c r="F384" s="25"/>
      <c r="G384" s="25"/>
      <c r="H384" s="25"/>
      <c r="I384" s="25"/>
      <c r="J384" s="25">
        <v>1998.1060606060605</v>
      </c>
      <c r="K384" s="25"/>
      <c r="L384" s="25"/>
      <c r="M384" s="25"/>
      <c r="N384" s="25">
        <v>1998.1060606060605</v>
      </c>
    </row>
    <row r="385" spans="1:14" x14ac:dyDescent="0.25">
      <c r="A385" t="s">
        <v>1749</v>
      </c>
      <c r="B385" t="s">
        <v>155</v>
      </c>
      <c r="C385" t="s">
        <v>1748</v>
      </c>
      <c r="D385" s="25"/>
      <c r="E385" s="25"/>
      <c r="F385" s="25"/>
      <c r="G385" s="25"/>
      <c r="H385" s="25"/>
      <c r="I385" s="25"/>
      <c r="J385" s="25">
        <v>5250.94696969697</v>
      </c>
      <c r="K385" s="25"/>
      <c r="L385" s="25"/>
      <c r="M385" s="25"/>
      <c r="N385" s="25">
        <v>5250.94696969697</v>
      </c>
    </row>
    <row r="386" spans="1:14" x14ac:dyDescent="0.25">
      <c r="A386" t="s">
        <v>1750</v>
      </c>
      <c r="B386" t="s">
        <v>1487</v>
      </c>
      <c r="C386" t="s">
        <v>1462</v>
      </c>
      <c r="D386" s="25"/>
      <c r="E386" s="25"/>
      <c r="F386" s="25"/>
      <c r="G386" s="25"/>
      <c r="H386" s="25"/>
      <c r="I386" s="25"/>
      <c r="J386" s="25">
        <v>4251.893939393939</v>
      </c>
      <c r="K386" s="25"/>
      <c r="L386" s="25"/>
      <c r="M386" s="25"/>
      <c r="N386" s="25">
        <v>4251.893939393939</v>
      </c>
    </row>
    <row r="387" spans="1:14" x14ac:dyDescent="0.25">
      <c r="A387" t="s">
        <v>2333</v>
      </c>
      <c r="B387" t="s">
        <v>1580</v>
      </c>
      <c r="C387" t="s">
        <v>1553</v>
      </c>
      <c r="D387" s="25"/>
      <c r="E387" s="25"/>
      <c r="F387" s="25"/>
      <c r="G387" s="25"/>
      <c r="H387" s="25"/>
      <c r="I387" s="25"/>
      <c r="J387" s="25">
        <v>1242.8977272727273</v>
      </c>
      <c r="K387" s="25"/>
      <c r="L387" s="25"/>
      <c r="M387" s="25"/>
      <c r="N387" s="25">
        <v>1242.8977272727273</v>
      </c>
    </row>
    <row r="388" spans="1:14" x14ac:dyDescent="0.25">
      <c r="A388" t="s">
        <v>1753</v>
      </c>
      <c r="B388" t="s">
        <v>1451</v>
      </c>
      <c r="C388" t="s">
        <v>1502</v>
      </c>
      <c r="D388" s="25"/>
      <c r="E388" s="25"/>
      <c r="F388" s="25"/>
      <c r="G388" s="25"/>
      <c r="H388" s="25"/>
      <c r="I388" s="25"/>
      <c r="J388" s="25">
        <v>2750.9469696969695</v>
      </c>
      <c r="K388" s="25"/>
      <c r="L388" s="25"/>
      <c r="M388" s="25"/>
      <c r="N388" s="25">
        <v>2750.9469696969695</v>
      </c>
    </row>
    <row r="389" spans="1:14" x14ac:dyDescent="0.25">
      <c r="A389" t="s">
        <v>1754</v>
      </c>
      <c r="B389" t="s">
        <v>1451</v>
      </c>
      <c r="C389" t="s">
        <v>1502</v>
      </c>
      <c r="D389" s="25"/>
      <c r="E389" s="25"/>
      <c r="F389" s="25"/>
      <c r="G389" s="25"/>
      <c r="H389" s="25"/>
      <c r="I389" s="25"/>
      <c r="J389" s="25">
        <v>2750.9469696969695</v>
      </c>
      <c r="K389" s="25"/>
      <c r="L389" s="25"/>
      <c r="M389" s="25"/>
      <c r="N389" s="25">
        <v>2750.9469696969695</v>
      </c>
    </row>
    <row r="390" spans="1:14" x14ac:dyDescent="0.25">
      <c r="A390" t="s">
        <v>1755</v>
      </c>
      <c r="B390" t="s">
        <v>340</v>
      </c>
      <c r="C390" t="s">
        <v>138</v>
      </c>
      <c r="D390" s="25"/>
      <c r="E390" s="25"/>
      <c r="F390" s="25"/>
      <c r="G390" s="25">
        <v>3364.1098484848485</v>
      </c>
      <c r="H390" s="25"/>
      <c r="I390" s="25"/>
      <c r="J390" s="25"/>
      <c r="K390" s="25"/>
      <c r="L390" s="25"/>
      <c r="M390" s="25"/>
      <c r="N390" s="25">
        <v>3364.1098484848485</v>
      </c>
    </row>
    <row r="391" spans="1:14" x14ac:dyDescent="0.25">
      <c r="A391" t="s">
        <v>1756</v>
      </c>
      <c r="B391" t="s">
        <v>1458</v>
      </c>
      <c r="C391" t="s">
        <v>1757</v>
      </c>
      <c r="D391" s="25"/>
      <c r="E391" s="25"/>
      <c r="F391" s="25"/>
      <c r="G391" s="25"/>
      <c r="H391" s="25"/>
      <c r="I391" s="25"/>
      <c r="J391" s="25">
        <v>1998.1060606060605</v>
      </c>
      <c r="K391" s="25"/>
      <c r="L391" s="25"/>
      <c r="M391" s="25"/>
      <c r="N391" s="25">
        <v>1998.1060606060605</v>
      </c>
    </row>
    <row r="392" spans="1:14" x14ac:dyDescent="0.25">
      <c r="A392" t="s">
        <v>1758</v>
      </c>
      <c r="B392" t="s">
        <v>1458</v>
      </c>
      <c r="C392" t="s">
        <v>1757</v>
      </c>
      <c r="D392" s="25"/>
      <c r="E392" s="25"/>
      <c r="F392" s="25"/>
      <c r="G392" s="25"/>
      <c r="H392" s="25"/>
      <c r="I392" s="25"/>
      <c r="J392" s="25">
        <v>7500</v>
      </c>
      <c r="K392" s="25"/>
      <c r="L392" s="25"/>
      <c r="M392" s="25"/>
      <c r="N392" s="25">
        <v>7500</v>
      </c>
    </row>
    <row r="393" spans="1:14" x14ac:dyDescent="0.25">
      <c r="A393" t="s">
        <v>1761</v>
      </c>
      <c r="B393" t="s">
        <v>1451</v>
      </c>
      <c r="C393" t="s">
        <v>1452</v>
      </c>
      <c r="D393" s="25"/>
      <c r="E393" s="25"/>
      <c r="F393" s="25"/>
      <c r="G393" s="25"/>
      <c r="H393" s="25"/>
      <c r="I393" s="25"/>
      <c r="J393" s="25">
        <v>1500.9469696969697</v>
      </c>
      <c r="K393" s="25"/>
      <c r="L393" s="25"/>
      <c r="M393" s="25"/>
      <c r="N393" s="25">
        <v>1500.9469696969697</v>
      </c>
    </row>
    <row r="394" spans="1:14" x14ac:dyDescent="0.25">
      <c r="A394" t="s">
        <v>1762</v>
      </c>
      <c r="B394" t="s">
        <v>1668</v>
      </c>
      <c r="C394" t="s">
        <v>1495</v>
      </c>
      <c r="D394" s="25"/>
      <c r="E394" s="25"/>
      <c r="F394" s="25"/>
      <c r="G394" s="25"/>
      <c r="H394" s="25"/>
      <c r="I394" s="25"/>
      <c r="J394" s="25">
        <v>999.05303030303025</v>
      </c>
      <c r="K394" s="25"/>
      <c r="L394" s="25"/>
      <c r="M394" s="25"/>
      <c r="N394" s="25">
        <v>999.05303030303025</v>
      </c>
    </row>
    <row r="395" spans="1:14" x14ac:dyDescent="0.25">
      <c r="A395" t="s">
        <v>1763</v>
      </c>
      <c r="B395" t="s">
        <v>1487</v>
      </c>
      <c r="C395" t="s">
        <v>1462</v>
      </c>
      <c r="D395" s="25"/>
      <c r="E395" s="25"/>
      <c r="F395" s="25"/>
      <c r="G395" s="25"/>
      <c r="H395" s="25"/>
      <c r="I395" s="25"/>
      <c r="J395" s="25">
        <v>6226.325757575758</v>
      </c>
      <c r="K395" s="25"/>
      <c r="L395" s="25"/>
      <c r="M395" s="25"/>
      <c r="N395" s="25">
        <v>6226.325757575758</v>
      </c>
    </row>
    <row r="396" spans="1:14" x14ac:dyDescent="0.25">
      <c r="A396" t="s">
        <v>2336</v>
      </c>
      <c r="B396" t="s">
        <v>138</v>
      </c>
      <c r="C396" t="s">
        <v>119</v>
      </c>
      <c r="D396" s="25"/>
      <c r="E396" s="25"/>
      <c r="F396" s="25"/>
      <c r="G396" s="25"/>
      <c r="H396" s="25"/>
      <c r="I396" s="25"/>
      <c r="J396" s="25">
        <v>394.12878787878782</v>
      </c>
      <c r="K396" s="25"/>
      <c r="L396" s="25"/>
      <c r="M396" s="25"/>
      <c r="N396" s="25">
        <v>394.12878787878782</v>
      </c>
    </row>
    <row r="397" spans="1:14" x14ac:dyDescent="0.25">
      <c r="A397" t="s">
        <v>1765</v>
      </c>
      <c r="B397" t="s">
        <v>1451</v>
      </c>
      <c r="C397" t="s">
        <v>1505</v>
      </c>
      <c r="D397" s="25"/>
      <c r="E397" s="25"/>
      <c r="F397" s="25"/>
      <c r="G397" s="25"/>
      <c r="H397" s="25"/>
      <c r="I397" s="25"/>
      <c r="J397" s="25">
        <v>9152.4621212121219</v>
      </c>
      <c r="K397" s="25"/>
      <c r="L397" s="25"/>
      <c r="M397" s="25"/>
      <c r="N397" s="25">
        <v>9152.4621212121219</v>
      </c>
    </row>
    <row r="398" spans="1:14" x14ac:dyDescent="0.25">
      <c r="A398" t="s">
        <v>1770</v>
      </c>
      <c r="B398" t="s">
        <v>35</v>
      </c>
      <c r="C398" t="s">
        <v>9</v>
      </c>
      <c r="D398" s="25"/>
      <c r="E398" s="25">
        <v>10420.454545454546</v>
      </c>
      <c r="F398" s="25"/>
      <c r="G398" s="25"/>
      <c r="H398" s="25"/>
      <c r="I398" s="25"/>
      <c r="J398" s="25"/>
      <c r="K398" s="25"/>
      <c r="L398" s="25"/>
      <c r="M398" s="25"/>
      <c r="N398" s="25">
        <v>10420.454545454546</v>
      </c>
    </row>
    <row r="399" spans="1:14" x14ac:dyDescent="0.25">
      <c r="A399" t="s">
        <v>1772</v>
      </c>
      <c r="B399" t="s">
        <v>168</v>
      </c>
      <c r="C399" t="s">
        <v>38</v>
      </c>
      <c r="D399" s="25"/>
      <c r="E399" s="25"/>
      <c r="F399" s="25"/>
      <c r="G399" s="25"/>
      <c r="H399" s="25"/>
      <c r="I399" s="25"/>
      <c r="J399" s="25"/>
      <c r="K399" s="25"/>
      <c r="L399" s="25">
        <v>21344.696969696968</v>
      </c>
      <c r="M399" s="25"/>
      <c r="N399" s="25">
        <v>21344.696969696968</v>
      </c>
    </row>
    <row r="400" spans="1:14" x14ac:dyDescent="0.25">
      <c r="A400" t="s">
        <v>1774</v>
      </c>
      <c r="B400" t="s">
        <v>1458</v>
      </c>
      <c r="C400" t="s">
        <v>1535</v>
      </c>
      <c r="D400" s="25"/>
      <c r="E400" s="25"/>
      <c r="F400" s="25"/>
      <c r="G400" s="25"/>
      <c r="H400" s="25"/>
      <c r="I400" s="25"/>
      <c r="J400" s="25">
        <v>8499.05303030303</v>
      </c>
      <c r="K400" s="25"/>
      <c r="L400" s="25"/>
      <c r="M400" s="25"/>
      <c r="N400" s="25">
        <v>8499.05303030303</v>
      </c>
    </row>
    <row r="401" spans="1:14" x14ac:dyDescent="0.25">
      <c r="A401" t="s">
        <v>1775</v>
      </c>
      <c r="B401" t="s">
        <v>1458</v>
      </c>
      <c r="C401" t="s">
        <v>1535</v>
      </c>
      <c r="D401" s="25"/>
      <c r="E401" s="25"/>
      <c r="F401" s="25"/>
      <c r="G401" s="25"/>
      <c r="H401" s="25"/>
      <c r="I401" s="25"/>
      <c r="J401" s="25">
        <v>3499.0530303030305</v>
      </c>
      <c r="K401" s="25"/>
      <c r="L401" s="25"/>
      <c r="M401" s="25"/>
      <c r="N401" s="25">
        <v>3499.0530303030305</v>
      </c>
    </row>
    <row r="402" spans="1:14" x14ac:dyDescent="0.25">
      <c r="A402" t="s">
        <v>1776</v>
      </c>
      <c r="B402" t="s">
        <v>1451</v>
      </c>
      <c r="C402" t="s">
        <v>1505</v>
      </c>
      <c r="D402" s="25"/>
      <c r="E402" s="25"/>
      <c r="F402" s="25"/>
      <c r="G402" s="25"/>
      <c r="H402" s="25"/>
      <c r="I402" s="25"/>
      <c r="J402" s="25">
        <v>3499.0530303030305</v>
      </c>
      <c r="K402" s="25"/>
      <c r="L402" s="25"/>
      <c r="M402" s="25"/>
      <c r="N402" s="25">
        <v>3499.0530303030305</v>
      </c>
    </row>
    <row r="403" spans="1:14" x14ac:dyDescent="0.25">
      <c r="A403" t="s">
        <v>1777</v>
      </c>
      <c r="B403" t="s">
        <v>1451</v>
      </c>
      <c r="C403" t="s">
        <v>1505</v>
      </c>
      <c r="D403" s="25"/>
      <c r="E403" s="25"/>
      <c r="F403" s="25"/>
      <c r="G403" s="25"/>
      <c r="H403" s="25"/>
      <c r="I403" s="25"/>
      <c r="J403" s="25">
        <v>9749.05303030303</v>
      </c>
      <c r="K403" s="25"/>
      <c r="L403" s="25"/>
      <c r="M403" s="25"/>
      <c r="N403" s="25">
        <v>9749.05303030303</v>
      </c>
    </row>
    <row r="404" spans="1:14" x14ac:dyDescent="0.25">
      <c r="A404" t="s">
        <v>2208</v>
      </c>
      <c r="B404" t="s">
        <v>1467</v>
      </c>
      <c r="C404" t="s">
        <v>1462</v>
      </c>
      <c r="D404" s="25"/>
      <c r="E404" s="25"/>
      <c r="F404" s="25"/>
      <c r="G404" s="25"/>
      <c r="H404" s="25"/>
      <c r="I404" s="25"/>
      <c r="J404" s="25">
        <v>748.10606060606062</v>
      </c>
      <c r="K404" s="25"/>
      <c r="L404" s="25"/>
      <c r="M404" s="25"/>
      <c r="N404" s="25">
        <v>748.10606060606062</v>
      </c>
    </row>
    <row r="405" spans="1:14" x14ac:dyDescent="0.25">
      <c r="A405" t="s">
        <v>1779</v>
      </c>
      <c r="B405" t="s">
        <v>1407</v>
      </c>
      <c r="C405" t="s">
        <v>1408</v>
      </c>
      <c r="D405" s="25"/>
      <c r="E405" s="25"/>
      <c r="F405" s="25"/>
      <c r="G405" s="25"/>
      <c r="H405" s="25"/>
      <c r="I405" s="25"/>
      <c r="J405" s="25"/>
      <c r="K405" s="25"/>
      <c r="L405" s="25"/>
      <c r="M405" s="25">
        <v>14247.15909090909</v>
      </c>
      <c r="N405" s="25">
        <v>14247.15909090909</v>
      </c>
    </row>
    <row r="406" spans="1:14" x14ac:dyDescent="0.25">
      <c r="A406" t="s">
        <v>1780</v>
      </c>
      <c r="B406" t="s">
        <v>1512</v>
      </c>
      <c r="C406" t="s">
        <v>1781</v>
      </c>
      <c r="D406" s="25"/>
      <c r="E406" s="25"/>
      <c r="F406" s="25"/>
      <c r="G406" s="25"/>
      <c r="H406" s="25"/>
      <c r="I406" s="25"/>
      <c r="J406" s="25">
        <v>3001.8939393939395</v>
      </c>
      <c r="K406" s="25"/>
      <c r="L406" s="25"/>
      <c r="M406" s="25"/>
      <c r="N406" s="25">
        <v>3001.8939393939395</v>
      </c>
    </row>
    <row r="407" spans="1:14" x14ac:dyDescent="0.25">
      <c r="A407" t="s">
        <v>1784</v>
      </c>
      <c r="B407" t="s">
        <v>119</v>
      </c>
      <c r="C407" t="s">
        <v>486</v>
      </c>
      <c r="D407" s="25"/>
      <c r="E407" s="25"/>
      <c r="F407" s="25"/>
      <c r="G407" s="25"/>
      <c r="H407" s="25"/>
      <c r="I407" s="25"/>
      <c r="J407" s="25"/>
      <c r="K407" s="25">
        <v>54583.333333333336</v>
      </c>
      <c r="L407" s="25"/>
      <c r="M407" s="25"/>
      <c r="N407" s="25">
        <v>54583.333333333336</v>
      </c>
    </row>
    <row r="408" spans="1:14" x14ac:dyDescent="0.25">
      <c r="A408" t="s">
        <v>1792</v>
      </c>
      <c r="B408" t="s">
        <v>107</v>
      </c>
      <c r="C408" t="s">
        <v>104</v>
      </c>
      <c r="D408" s="25"/>
      <c r="E408" s="25">
        <v>21318.18181818182</v>
      </c>
      <c r="F408" s="25"/>
      <c r="G408" s="25"/>
      <c r="H408" s="25"/>
      <c r="I408" s="25"/>
      <c r="J408" s="25"/>
      <c r="K408" s="25"/>
      <c r="L408" s="25"/>
      <c r="M408" s="25"/>
      <c r="N408" s="25">
        <v>21318.18181818182</v>
      </c>
    </row>
    <row r="409" spans="1:14" x14ac:dyDescent="0.25">
      <c r="A409" t="s">
        <v>1794</v>
      </c>
      <c r="B409" t="s">
        <v>110</v>
      </c>
      <c r="C409" t="s">
        <v>107</v>
      </c>
      <c r="D409" s="25"/>
      <c r="E409" s="25">
        <v>21238.636363636364</v>
      </c>
      <c r="F409" s="25"/>
      <c r="G409" s="25"/>
      <c r="H409" s="25"/>
      <c r="I409" s="25"/>
      <c r="J409" s="25"/>
      <c r="K409" s="25"/>
      <c r="L409" s="25"/>
      <c r="M409" s="25"/>
      <c r="N409" s="25">
        <v>21238.636363636364</v>
      </c>
    </row>
    <row r="410" spans="1:14" x14ac:dyDescent="0.25">
      <c r="A410" t="s">
        <v>1809</v>
      </c>
      <c r="B410" t="s">
        <v>1451</v>
      </c>
      <c r="C410" t="s">
        <v>1522</v>
      </c>
      <c r="D410" s="25"/>
      <c r="E410" s="25"/>
      <c r="F410" s="25"/>
      <c r="G410" s="25"/>
      <c r="H410" s="25"/>
      <c r="I410" s="25"/>
      <c r="J410" s="25">
        <v>3141.5719696969695</v>
      </c>
      <c r="K410" s="25"/>
      <c r="L410" s="25"/>
      <c r="M410" s="25"/>
      <c r="N410" s="25">
        <v>3141.5719696969695</v>
      </c>
    </row>
    <row r="411" spans="1:14" x14ac:dyDescent="0.25">
      <c r="A411" t="s">
        <v>2323</v>
      </c>
      <c r="B411" t="s">
        <v>1804</v>
      </c>
      <c r="C411" t="s">
        <v>1805</v>
      </c>
      <c r="D411" s="25"/>
      <c r="E411" s="25"/>
      <c r="F411" s="25"/>
      <c r="G411" s="25"/>
      <c r="H411" s="25"/>
      <c r="I411" s="25"/>
      <c r="J411" s="25">
        <v>6250</v>
      </c>
      <c r="K411" s="25"/>
      <c r="L411" s="25"/>
      <c r="M411" s="25"/>
      <c r="N411" s="25">
        <v>6250</v>
      </c>
    </row>
    <row r="412" spans="1:14" x14ac:dyDescent="0.25">
      <c r="A412" t="s">
        <v>2322</v>
      </c>
      <c r="B412" t="s">
        <v>1804</v>
      </c>
      <c r="C412" t="s">
        <v>1805</v>
      </c>
      <c r="D412" s="25"/>
      <c r="E412" s="25"/>
      <c r="F412" s="25"/>
      <c r="G412" s="25"/>
      <c r="H412" s="25"/>
      <c r="I412" s="25"/>
      <c r="J412" s="25">
        <v>5999.05303030303</v>
      </c>
      <c r="K412" s="25"/>
      <c r="L412" s="25"/>
      <c r="M412" s="25"/>
      <c r="N412" s="25">
        <v>5999.05303030303</v>
      </c>
    </row>
    <row r="413" spans="1:14" x14ac:dyDescent="0.25">
      <c r="A413" t="s">
        <v>1817</v>
      </c>
      <c r="B413" t="s">
        <v>1668</v>
      </c>
      <c r="C413" t="s">
        <v>1495</v>
      </c>
      <c r="D413" s="25"/>
      <c r="E413" s="25"/>
      <c r="F413" s="25"/>
      <c r="G413" s="25"/>
      <c r="H413" s="25"/>
      <c r="I413" s="25"/>
      <c r="J413" s="25">
        <v>1751.8939393939395</v>
      </c>
      <c r="K413" s="25"/>
      <c r="L413" s="25"/>
      <c r="M413" s="25"/>
      <c r="N413" s="25">
        <v>1751.8939393939395</v>
      </c>
    </row>
    <row r="414" spans="1:14" x14ac:dyDescent="0.25">
      <c r="A414" t="s">
        <v>1818</v>
      </c>
      <c r="B414" t="s">
        <v>1668</v>
      </c>
      <c r="C414" t="s">
        <v>1495</v>
      </c>
      <c r="D414" s="25"/>
      <c r="E414" s="25"/>
      <c r="F414" s="25"/>
      <c r="G414" s="25"/>
      <c r="H414" s="25"/>
      <c r="I414" s="25"/>
      <c r="J414" s="25">
        <v>13750</v>
      </c>
      <c r="K414" s="25"/>
      <c r="L414" s="25"/>
      <c r="M414" s="25"/>
      <c r="N414" s="25">
        <v>13750</v>
      </c>
    </row>
    <row r="415" spans="1:14" x14ac:dyDescent="0.25">
      <c r="A415" t="s">
        <v>1819</v>
      </c>
      <c r="B415" t="s">
        <v>457</v>
      </c>
      <c r="C415" t="s">
        <v>99</v>
      </c>
      <c r="D415" s="25"/>
      <c r="E415" s="25">
        <v>7119.318181818182</v>
      </c>
      <c r="F415" s="25"/>
      <c r="G415" s="25"/>
      <c r="H415" s="25"/>
      <c r="I415" s="25"/>
      <c r="J415" s="25"/>
      <c r="K415" s="25"/>
      <c r="L415" s="25"/>
      <c r="M415" s="25"/>
      <c r="N415" s="25">
        <v>7119.318181818182</v>
      </c>
    </row>
    <row r="416" spans="1:14" x14ac:dyDescent="0.25">
      <c r="A416" t="s">
        <v>1835</v>
      </c>
      <c r="B416" t="s">
        <v>1480</v>
      </c>
      <c r="C416" t="s">
        <v>1481</v>
      </c>
      <c r="D416" s="25"/>
      <c r="E416" s="25"/>
      <c r="F416" s="25"/>
      <c r="G416" s="25">
        <v>8234</v>
      </c>
      <c r="H416" s="25"/>
      <c r="I416" s="25"/>
      <c r="J416" s="25"/>
      <c r="K416" s="25"/>
      <c r="L416" s="25"/>
      <c r="M416" s="25"/>
      <c r="N416" s="25">
        <v>8234</v>
      </c>
    </row>
    <row r="417" spans="1:14" x14ac:dyDescent="0.25">
      <c r="A417" t="s">
        <v>1854</v>
      </c>
      <c r="B417" t="s">
        <v>1458</v>
      </c>
      <c r="C417" t="s">
        <v>1495</v>
      </c>
      <c r="D417" s="25"/>
      <c r="E417" s="25"/>
      <c r="F417" s="25"/>
      <c r="G417" s="25"/>
      <c r="H417" s="25"/>
      <c r="I417" s="25"/>
      <c r="J417" s="25">
        <v>5999.05303030303</v>
      </c>
      <c r="K417" s="25"/>
      <c r="L417" s="25"/>
      <c r="M417" s="25"/>
      <c r="N417" s="25">
        <v>5999.05303030303</v>
      </c>
    </row>
    <row r="418" spans="1:14" x14ac:dyDescent="0.25">
      <c r="A418" t="s">
        <v>1855</v>
      </c>
      <c r="B418" t="s">
        <v>1504</v>
      </c>
      <c r="C418" t="s">
        <v>1502</v>
      </c>
      <c r="D418" s="25"/>
      <c r="E418" s="25"/>
      <c r="F418" s="25"/>
      <c r="G418" s="25"/>
      <c r="H418" s="25"/>
      <c r="I418" s="25"/>
      <c r="J418" s="25">
        <v>3750</v>
      </c>
      <c r="K418" s="25"/>
      <c r="L418" s="25"/>
      <c r="M418" s="25"/>
      <c r="N418" s="25">
        <v>3750</v>
      </c>
    </row>
    <row r="419" spans="1:14" x14ac:dyDescent="0.25">
      <c r="A419" t="s">
        <v>1856</v>
      </c>
      <c r="B419" t="s">
        <v>1473</v>
      </c>
      <c r="C419" t="s">
        <v>1857</v>
      </c>
      <c r="D419" s="25"/>
      <c r="E419" s="25"/>
      <c r="F419" s="25"/>
      <c r="G419" s="25"/>
      <c r="H419" s="25"/>
      <c r="I419" s="25"/>
      <c r="J419" s="25">
        <v>2750.9469696969695</v>
      </c>
      <c r="K419" s="25"/>
      <c r="L419" s="25"/>
      <c r="M419" s="25"/>
      <c r="N419" s="25">
        <v>2750.9469696969695</v>
      </c>
    </row>
    <row r="420" spans="1:14" x14ac:dyDescent="0.25">
      <c r="A420" t="s">
        <v>1858</v>
      </c>
      <c r="B420" t="s">
        <v>1473</v>
      </c>
      <c r="C420" t="s">
        <v>1857</v>
      </c>
      <c r="D420" s="25"/>
      <c r="E420" s="25"/>
      <c r="F420" s="25"/>
      <c r="G420" s="25"/>
      <c r="H420" s="25"/>
      <c r="I420" s="25"/>
      <c r="J420" s="25">
        <v>10250.94696969697</v>
      </c>
      <c r="K420" s="25"/>
      <c r="L420" s="25"/>
      <c r="M420" s="25"/>
      <c r="N420" s="25">
        <v>10250.94696969697</v>
      </c>
    </row>
    <row r="421" spans="1:14" x14ac:dyDescent="0.25">
      <c r="A421" t="s">
        <v>1865</v>
      </c>
      <c r="B421" t="s">
        <v>38</v>
      </c>
      <c r="C421" t="s">
        <v>83</v>
      </c>
      <c r="D421" s="25"/>
      <c r="E421" s="25">
        <v>15833.522727272728</v>
      </c>
      <c r="F421" s="25"/>
      <c r="G421" s="25"/>
      <c r="H421" s="25"/>
      <c r="I421" s="25"/>
      <c r="J421" s="25"/>
      <c r="K421" s="25"/>
      <c r="L421" s="25"/>
      <c r="M421" s="25"/>
      <c r="N421" s="25">
        <v>15833.522727272728</v>
      </c>
    </row>
    <row r="422" spans="1:14" x14ac:dyDescent="0.25">
      <c r="A422" t="s">
        <v>1867</v>
      </c>
      <c r="B422" t="s">
        <v>14</v>
      </c>
      <c r="C422" t="s">
        <v>1407</v>
      </c>
      <c r="D422" s="25"/>
      <c r="E422" s="25"/>
      <c r="F422" s="25"/>
      <c r="G422" s="25"/>
      <c r="H422" s="25"/>
      <c r="I422" s="25"/>
      <c r="J422" s="25">
        <v>5000</v>
      </c>
      <c r="K422" s="25"/>
      <c r="L422" s="25"/>
      <c r="M422" s="25"/>
      <c r="N422" s="25">
        <v>5000</v>
      </c>
    </row>
    <row r="423" spans="1:14" x14ac:dyDescent="0.25">
      <c r="A423" t="s">
        <v>1868</v>
      </c>
      <c r="B423" t="s">
        <v>1407</v>
      </c>
      <c r="C423" t="s">
        <v>1408</v>
      </c>
      <c r="D423" s="25"/>
      <c r="E423" s="25"/>
      <c r="F423" s="25"/>
      <c r="G423" s="25"/>
      <c r="H423" s="25"/>
      <c r="I423" s="25"/>
      <c r="J423" s="25"/>
      <c r="K423" s="25"/>
      <c r="L423" s="25">
        <v>17023.484848484848</v>
      </c>
      <c r="M423" s="25"/>
      <c r="N423" s="25">
        <v>17023.484848484848</v>
      </c>
    </row>
    <row r="424" spans="1:14" x14ac:dyDescent="0.25">
      <c r="A424" t="s">
        <v>2326</v>
      </c>
      <c r="B424" t="s">
        <v>1527</v>
      </c>
      <c r="C424" t="s">
        <v>1465</v>
      </c>
      <c r="D424" s="25"/>
      <c r="E424" s="25"/>
      <c r="F424" s="25"/>
      <c r="G424" s="25"/>
      <c r="H424" s="25"/>
      <c r="I424" s="25"/>
      <c r="J424" s="25">
        <v>4571.022727272727</v>
      </c>
      <c r="K424" s="25"/>
      <c r="L424" s="25"/>
      <c r="M424" s="25"/>
      <c r="N424" s="25">
        <v>4571.022727272727</v>
      </c>
    </row>
    <row r="425" spans="1:14" x14ac:dyDescent="0.25">
      <c r="A425" t="s">
        <v>1871</v>
      </c>
      <c r="B425" t="s">
        <v>1619</v>
      </c>
      <c r="C425" t="s">
        <v>1502</v>
      </c>
      <c r="D425" s="25"/>
      <c r="E425" s="25"/>
      <c r="F425" s="25"/>
      <c r="G425" s="25">
        <v>246.21212121212122</v>
      </c>
      <c r="H425" s="25"/>
      <c r="I425" s="25"/>
      <c r="J425" s="25"/>
      <c r="K425" s="25"/>
      <c r="L425" s="25"/>
      <c r="M425" s="25"/>
      <c r="N425" s="25">
        <v>246.21212121212122</v>
      </c>
    </row>
    <row r="426" spans="1:14" x14ac:dyDescent="0.25">
      <c r="A426" t="s">
        <v>2342</v>
      </c>
      <c r="B426" t="s">
        <v>1619</v>
      </c>
      <c r="C426" t="s">
        <v>1502</v>
      </c>
      <c r="D426" s="25"/>
      <c r="E426" s="25"/>
      <c r="F426" s="25"/>
      <c r="G426" s="25">
        <v>244.98106060606059</v>
      </c>
      <c r="H426" s="25"/>
      <c r="I426" s="25"/>
      <c r="J426" s="25"/>
      <c r="K426" s="25"/>
      <c r="L426" s="25"/>
      <c r="M426" s="25"/>
      <c r="N426" s="25">
        <v>244.98106060606059</v>
      </c>
    </row>
    <row r="427" spans="1:14" x14ac:dyDescent="0.25">
      <c r="A427" t="s">
        <v>1874</v>
      </c>
      <c r="B427" t="s">
        <v>1487</v>
      </c>
      <c r="C427" t="s">
        <v>1462</v>
      </c>
      <c r="D427" s="25"/>
      <c r="E427" s="25"/>
      <c r="F427" s="25"/>
      <c r="G427" s="25"/>
      <c r="H427" s="25"/>
      <c r="I427" s="25"/>
      <c r="J427" s="25">
        <v>8248.1060606060601</v>
      </c>
      <c r="K427" s="25"/>
      <c r="L427" s="25"/>
      <c r="M427" s="25"/>
      <c r="N427" s="25">
        <v>8248.1060606060601</v>
      </c>
    </row>
    <row r="428" spans="1:14" x14ac:dyDescent="0.25">
      <c r="A428" t="s">
        <v>2210</v>
      </c>
      <c r="B428" t="s">
        <v>1487</v>
      </c>
      <c r="C428" t="s">
        <v>1462</v>
      </c>
      <c r="D428" s="25"/>
      <c r="E428" s="25"/>
      <c r="F428" s="25"/>
      <c r="G428" s="25"/>
      <c r="H428" s="25"/>
      <c r="I428" s="25"/>
      <c r="J428" s="25">
        <v>10052.083333333334</v>
      </c>
      <c r="K428" s="25"/>
      <c r="L428" s="25"/>
      <c r="M428" s="25"/>
      <c r="N428" s="25">
        <v>10052.083333333334</v>
      </c>
    </row>
    <row r="429" spans="1:14" x14ac:dyDescent="0.25">
      <c r="A429" t="s">
        <v>1877</v>
      </c>
      <c r="B429" t="s">
        <v>1451</v>
      </c>
      <c r="C429" t="s">
        <v>1408</v>
      </c>
      <c r="D429" s="25"/>
      <c r="E429" s="25"/>
      <c r="F429" s="25"/>
      <c r="G429" s="25"/>
      <c r="H429" s="25"/>
      <c r="I429" s="25"/>
      <c r="J429" s="25">
        <v>1500.9469696969697</v>
      </c>
      <c r="K429" s="25"/>
      <c r="L429" s="25"/>
      <c r="M429" s="25"/>
      <c r="N429" s="25">
        <v>1500.9469696969697</v>
      </c>
    </row>
    <row r="430" spans="1:14" x14ac:dyDescent="0.25">
      <c r="A430" t="s">
        <v>1879</v>
      </c>
      <c r="B430" t="s">
        <v>1407</v>
      </c>
      <c r="C430" t="s">
        <v>1880</v>
      </c>
      <c r="D430" s="25"/>
      <c r="E430" s="25"/>
      <c r="F430" s="25"/>
      <c r="G430" s="25"/>
      <c r="H430" s="25"/>
      <c r="I430" s="25"/>
      <c r="J430" s="25">
        <v>5000</v>
      </c>
      <c r="K430" s="25"/>
      <c r="L430" s="25"/>
      <c r="M430" s="25"/>
      <c r="N430" s="25">
        <v>5000</v>
      </c>
    </row>
    <row r="431" spans="1:14" x14ac:dyDescent="0.25">
      <c r="A431" t="s">
        <v>1882</v>
      </c>
      <c r="B431" t="s">
        <v>1487</v>
      </c>
      <c r="C431" t="s">
        <v>1462</v>
      </c>
      <c r="D431" s="25"/>
      <c r="E431" s="25"/>
      <c r="F431" s="25"/>
      <c r="G431" s="25"/>
      <c r="H431" s="25"/>
      <c r="I431" s="25"/>
      <c r="J431" s="25">
        <v>3750</v>
      </c>
      <c r="K431" s="25"/>
      <c r="L431" s="25"/>
      <c r="M431" s="25"/>
      <c r="N431" s="25">
        <v>3750</v>
      </c>
    </row>
    <row r="432" spans="1:14" x14ac:dyDescent="0.25">
      <c r="A432" t="s">
        <v>1883</v>
      </c>
      <c r="B432" t="s">
        <v>1512</v>
      </c>
      <c r="C432" t="s">
        <v>1505</v>
      </c>
      <c r="D432" s="25"/>
      <c r="E432" s="25"/>
      <c r="F432" s="25"/>
      <c r="G432" s="25"/>
      <c r="H432" s="25"/>
      <c r="I432" s="25"/>
      <c r="J432" s="25">
        <v>6250</v>
      </c>
      <c r="K432" s="25"/>
      <c r="L432" s="25"/>
      <c r="M432" s="25"/>
      <c r="N432" s="25">
        <v>6250</v>
      </c>
    </row>
    <row r="433" spans="1:14" x14ac:dyDescent="0.25">
      <c r="A433" t="s">
        <v>1884</v>
      </c>
      <c r="B433" t="s">
        <v>1512</v>
      </c>
      <c r="C433" t="s">
        <v>1742</v>
      </c>
      <c r="D433" s="25"/>
      <c r="E433" s="25"/>
      <c r="F433" s="25"/>
      <c r="G433" s="25"/>
      <c r="H433" s="25"/>
      <c r="I433" s="25"/>
      <c r="J433" s="25">
        <v>3001.8939393939395</v>
      </c>
      <c r="K433" s="25"/>
      <c r="L433" s="25"/>
      <c r="M433" s="25"/>
      <c r="N433" s="25">
        <v>3001.8939393939395</v>
      </c>
    </row>
    <row r="434" spans="1:14" x14ac:dyDescent="0.25">
      <c r="A434" t="s">
        <v>1886</v>
      </c>
      <c r="B434" t="s">
        <v>1548</v>
      </c>
      <c r="C434" t="s">
        <v>1416</v>
      </c>
      <c r="D434" s="25"/>
      <c r="E434" s="25"/>
      <c r="F434" s="25"/>
      <c r="G434" s="25"/>
      <c r="H434" s="25"/>
      <c r="I434" s="25"/>
      <c r="J434" s="25">
        <v>1500.9469696969697</v>
      </c>
      <c r="K434" s="25"/>
      <c r="L434" s="25"/>
      <c r="M434" s="25"/>
      <c r="N434" s="25">
        <v>1500.9469696969697</v>
      </c>
    </row>
    <row r="435" spans="1:14" x14ac:dyDescent="0.25">
      <c r="A435" t="s">
        <v>1887</v>
      </c>
      <c r="B435" t="s">
        <v>1458</v>
      </c>
      <c r="C435" t="s">
        <v>1701</v>
      </c>
      <c r="D435" s="25"/>
      <c r="E435" s="25"/>
      <c r="F435" s="25"/>
      <c r="G435" s="25"/>
      <c r="H435" s="25"/>
      <c r="I435" s="25"/>
      <c r="J435" s="25">
        <v>2750.9469696969695</v>
      </c>
      <c r="K435" s="25"/>
      <c r="L435" s="25"/>
      <c r="M435" s="25"/>
      <c r="N435" s="25">
        <v>2750.9469696969695</v>
      </c>
    </row>
    <row r="436" spans="1:14" x14ac:dyDescent="0.25">
      <c r="A436" t="s">
        <v>1888</v>
      </c>
      <c r="B436" t="s">
        <v>1458</v>
      </c>
      <c r="C436" t="s">
        <v>1701</v>
      </c>
      <c r="D436" s="25"/>
      <c r="E436" s="25"/>
      <c r="F436" s="25"/>
      <c r="G436" s="25"/>
      <c r="H436" s="25"/>
      <c r="I436" s="25"/>
      <c r="J436" s="25">
        <v>11500.94696969697</v>
      </c>
      <c r="K436" s="25"/>
      <c r="L436" s="25"/>
      <c r="M436" s="25"/>
      <c r="N436" s="25">
        <v>11500.94696969697</v>
      </c>
    </row>
    <row r="437" spans="1:14" x14ac:dyDescent="0.25">
      <c r="A437" t="s">
        <v>1889</v>
      </c>
      <c r="B437" t="s">
        <v>1487</v>
      </c>
      <c r="C437" t="s">
        <v>1462</v>
      </c>
      <c r="D437" s="25"/>
      <c r="E437" s="25"/>
      <c r="F437" s="25"/>
      <c r="G437" s="25"/>
      <c r="H437" s="25"/>
      <c r="I437" s="25"/>
      <c r="J437" s="25">
        <v>3977.2727272727275</v>
      </c>
      <c r="K437" s="25"/>
      <c r="L437" s="25"/>
      <c r="M437" s="25"/>
      <c r="N437" s="25">
        <v>3977.2727272727275</v>
      </c>
    </row>
    <row r="438" spans="1:14" x14ac:dyDescent="0.25">
      <c r="A438" t="s">
        <v>1890</v>
      </c>
      <c r="B438" t="s">
        <v>1458</v>
      </c>
      <c r="C438" t="s">
        <v>1757</v>
      </c>
      <c r="D438" s="25">
        <v>1188.409090909091</v>
      </c>
      <c r="E438" s="25"/>
      <c r="F438" s="25"/>
      <c r="G438" s="25"/>
      <c r="H438" s="25"/>
      <c r="I438" s="25"/>
      <c r="J438" s="25"/>
      <c r="K438" s="25"/>
      <c r="L438" s="25"/>
      <c r="M438" s="25"/>
      <c r="N438" s="25">
        <v>1188.409090909091</v>
      </c>
    </row>
    <row r="439" spans="1:14" x14ac:dyDescent="0.25">
      <c r="A439" t="s">
        <v>1891</v>
      </c>
      <c r="B439" t="s">
        <v>1458</v>
      </c>
      <c r="C439" t="s">
        <v>1757</v>
      </c>
      <c r="D439" s="25">
        <v>594.2045454545455</v>
      </c>
      <c r="E439" s="25"/>
      <c r="F439" s="25"/>
      <c r="G439" s="25"/>
      <c r="H439" s="25"/>
      <c r="I439" s="25"/>
      <c r="J439" s="25"/>
      <c r="K439" s="25"/>
      <c r="L439" s="25"/>
      <c r="M439" s="25"/>
      <c r="N439" s="25">
        <v>594.2045454545455</v>
      </c>
    </row>
    <row r="440" spans="1:14" x14ac:dyDescent="0.25">
      <c r="A440" t="s">
        <v>1892</v>
      </c>
      <c r="B440" t="s">
        <v>1487</v>
      </c>
      <c r="C440" t="s">
        <v>1462</v>
      </c>
      <c r="D440" s="25"/>
      <c r="E440" s="25"/>
      <c r="F440" s="25"/>
      <c r="G440" s="25"/>
      <c r="H440" s="25"/>
      <c r="I440" s="25"/>
      <c r="J440" s="25">
        <v>3925.189393939394</v>
      </c>
      <c r="K440" s="25"/>
      <c r="L440" s="25"/>
      <c r="M440" s="25"/>
      <c r="N440" s="25">
        <v>3925.189393939394</v>
      </c>
    </row>
    <row r="441" spans="1:14" x14ac:dyDescent="0.25">
      <c r="A441" t="s">
        <v>1893</v>
      </c>
      <c r="B441" t="s">
        <v>1711</v>
      </c>
      <c r="C441" t="s">
        <v>1408</v>
      </c>
      <c r="D441" s="25"/>
      <c r="E441" s="25"/>
      <c r="F441" s="25"/>
      <c r="G441" s="25"/>
      <c r="H441" s="25"/>
      <c r="I441" s="25"/>
      <c r="J441" s="25">
        <v>5999.05303030303</v>
      </c>
      <c r="K441" s="25"/>
      <c r="L441" s="25"/>
      <c r="M441" s="25"/>
      <c r="N441" s="25">
        <v>5999.05303030303</v>
      </c>
    </row>
    <row r="442" spans="1:14" x14ac:dyDescent="0.25">
      <c r="A442" t="s">
        <v>2329</v>
      </c>
      <c r="B442" t="s">
        <v>1711</v>
      </c>
      <c r="C442" t="s">
        <v>1408</v>
      </c>
      <c r="D442" s="25"/>
      <c r="E442" s="25"/>
      <c r="F442" s="25"/>
      <c r="G442" s="25"/>
      <c r="H442" s="25"/>
      <c r="I442" s="25"/>
      <c r="J442" s="25">
        <v>3248.1060606060605</v>
      </c>
      <c r="K442" s="25"/>
      <c r="L442" s="25"/>
      <c r="M442" s="25"/>
      <c r="N442" s="25">
        <v>3248.1060606060605</v>
      </c>
    </row>
    <row r="443" spans="1:14" x14ac:dyDescent="0.25">
      <c r="A443" t="s">
        <v>1895</v>
      </c>
      <c r="B443" t="s">
        <v>1690</v>
      </c>
      <c r="C443" t="s">
        <v>1502</v>
      </c>
      <c r="D443" s="25"/>
      <c r="E443" s="25"/>
      <c r="F443" s="25"/>
      <c r="G443" s="25"/>
      <c r="H443" s="25"/>
      <c r="I443" s="25"/>
      <c r="J443" s="25">
        <v>8125</v>
      </c>
      <c r="K443" s="25"/>
      <c r="L443" s="25"/>
      <c r="M443" s="25"/>
      <c r="N443" s="25">
        <v>8125</v>
      </c>
    </row>
    <row r="444" spans="1:14" x14ac:dyDescent="0.25">
      <c r="A444" t="s">
        <v>1899</v>
      </c>
      <c r="B444" t="s">
        <v>1451</v>
      </c>
      <c r="C444" t="s">
        <v>1452</v>
      </c>
      <c r="D444" s="25"/>
      <c r="E444" s="25"/>
      <c r="F444" s="25"/>
      <c r="G444" s="25"/>
      <c r="H444" s="25"/>
      <c r="I444" s="25"/>
      <c r="J444" s="25">
        <v>748.10606060606062</v>
      </c>
      <c r="K444" s="25"/>
      <c r="L444" s="25"/>
      <c r="M444" s="25"/>
      <c r="N444" s="25">
        <v>748.10606060606062</v>
      </c>
    </row>
    <row r="445" spans="1:14" x14ac:dyDescent="0.25">
      <c r="A445" t="s">
        <v>1901</v>
      </c>
      <c r="B445" t="s">
        <v>1512</v>
      </c>
      <c r="C445" t="s">
        <v>1902</v>
      </c>
      <c r="D445" s="25"/>
      <c r="E445" s="25"/>
      <c r="F445" s="25"/>
      <c r="G445" s="25"/>
      <c r="H445" s="25"/>
      <c r="I445" s="25"/>
      <c r="J445" s="25">
        <v>1250</v>
      </c>
      <c r="K445" s="25"/>
      <c r="L445" s="25"/>
      <c r="M445" s="25"/>
      <c r="N445" s="25">
        <v>1250</v>
      </c>
    </row>
    <row r="446" spans="1:14" x14ac:dyDescent="0.25">
      <c r="A446" t="s">
        <v>2211</v>
      </c>
      <c r="B446" t="s">
        <v>2403</v>
      </c>
      <c r="C446" t="s">
        <v>2365</v>
      </c>
      <c r="D446" s="25"/>
      <c r="E446" s="25"/>
      <c r="F446" s="25"/>
      <c r="G446" s="25"/>
      <c r="H446" s="25"/>
      <c r="I446" s="25"/>
      <c r="J446" s="25">
        <v>1250</v>
      </c>
      <c r="K446" s="25"/>
      <c r="L446" s="25"/>
      <c r="M446" s="25"/>
      <c r="N446" s="25">
        <v>1250</v>
      </c>
    </row>
    <row r="447" spans="1:14" x14ac:dyDescent="0.25">
      <c r="A447" t="s">
        <v>1903</v>
      </c>
      <c r="B447" t="s">
        <v>1512</v>
      </c>
      <c r="C447" t="s">
        <v>1902</v>
      </c>
      <c r="D447" s="25"/>
      <c r="E447" s="25"/>
      <c r="F447" s="25"/>
      <c r="G447" s="25"/>
      <c r="H447" s="25"/>
      <c r="I447" s="25"/>
      <c r="J447" s="25">
        <v>1500.9469696969697</v>
      </c>
      <c r="K447" s="25"/>
      <c r="L447" s="25"/>
      <c r="M447" s="25"/>
      <c r="N447" s="25">
        <v>1500.9469696969697</v>
      </c>
    </row>
    <row r="448" spans="1:14" x14ac:dyDescent="0.25">
      <c r="A448" t="s">
        <v>1904</v>
      </c>
      <c r="B448" t="s">
        <v>1512</v>
      </c>
      <c r="C448" t="s">
        <v>1902</v>
      </c>
      <c r="D448" s="25"/>
      <c r="E448" s="25"/>
      <c r="F448" s="25"/>
      <c r="G448" s="25"/>
      <c r="H448" s="25"/>
      <c r="I448" s="25"/>
      <c r="J448" s="25">
        <v>4000.9469696969695</v>
      </c>
      <c r="K448" s="25"/>
      <c r="L448" s="25"/>
      <c r="M448" s="25"/>
      <c r="N448" s="25">
        <v>4000.9469696969695</v>
      </c>
    </row>
    <row r="449" spans="1:14" x14ac:dyDescent="0.25">
      <c r="A449" t="s">
        <v>1905</v>
      </c>
      <c r="B449" t="s">
        <v>1512</v>
      </c>
      <c r="C449" t="s">
        <v>1902</v>
      </c>
      <c r="D449" s="25"/>
      <c r="E449" s="25"/>
      <c r="F449" s="25"/>
      <c r="G449" s="25"/>
      <c r="H449" s="25"/>
      <c r="I449" s="25"/>
      <c r="J449" s="25">
        <v>5000</v>
      </c>
      <c r="K449" s="25"/>
      <c r="L449" s="25"/>
      <c r="M449" s="25"/>
      <c r="N449" s="25">
        <v>5000</v>
      </c>
    </row>
    <row r="450" spans="1:14" x14ac:dyDescent="0.25">
      <c r="A450" t="s">
        <v>1906</v>
      </c>
      <c r="B450" t="s">
        <v>1512</v>
      </c>
      <c r="C450" t="s">
        <v>1902</v>
      </c>
      <c r="D450" s="25"/>
      <c r="E450" s="25"/>
      <c r="F450" s="25"/>
      <c r="G450" s="25"/>
      <c r="H450" s="25"/>
      <c r="I450" s="25"/>
      <c r="J450" s="25">
        <v>7249.05303030303</v>
      </c>
      <c r="K450" s="25"/>
      <c r="L450" s="25"/>
      <c r="M450" s="25"/>
      <c r="N450" s="25">
        <v>7249.05303030303</v>
      </c>
    </row>
    <row r="451" spans="1:14" x14ac:dyDescent="0.25">
      <c r="A451" t="s">
        <v>1911</v>
      </c>
      <c r="B451" t="s">
        <v>1707</v>
      </c>
      <c r="C451" t="s">
        <v>1912</v>
      </c>
      <c r="D451" s="25"/>
      <c r="E451" s="25"/>
      <c r="F451" s="25"/>
      <c r="G451" s="25"/>
      <c r="H451" s="25"/>
      <c r="I451" s="25"/>
      <c r="J451" s="25">
        <v>6250</v>
      </c>
      <c r="K451" s="25"/>
      <c r="L451" s="25"/>
      <c r="M451" s="25"/>
      <c r="N451" s="25">
        <v>6250</v>
      </c>
    </row>
    <row r="452" spans="1:14" x14ac:dyDescent="0.25">
      <c r="A452" t="s">
        <v>1913</v>
      </c>
      <c r="B452" t="s">
        <v>1467</v>
      </c>
      <c r="C452" t="s">
        <v>1462</v>
      </c>
      <c r="D452" s="25"/>
      <c r="E452" s="25"/>
      <c r="F452" s="25"/>
      <c r="G452" s="25"/>
      <c r="H452" s="25"/>
      <c r="I452" s="25"/>
      <c r="J452" s="25">
        <v>11250</v>
      </c>
      <c r="K452" s="25"/>
      <c r="L452" s="25"/>
      <c r="M452" s="25"/>
      <c r="N452" s="25">
        <v>11250</v>
      </c>
    </row>
    <row r="453" spans="1:14" x14ac:dyDescent="0.25">
      <c r="A453" t="s">
        <v>1915</v>
      </c>
      <c r="B453" t="s">
        <v>1451</v>
      </c>
      <c r="C453" t="s">
        <v>1916</v>
      </c>
      <c r="D453" s="25"/>
      <c r="E453" s="25">
        <v>4621.590909090909</v>
      </c>
      <c r="F453" s="25"/>
      <c r="G453" s="25"/>
      <c r="H453" s="25"/>
      <c r="I453" s="25"/>
      <c r="J453" s="25"/>
      <c r="K453" s="25"/>
      <c r="L453" s="25"/>
      <c r="M453" s="25"/>
      <c r="N453" s="25">
        <v>4621.590909090909</v>
      </c>
    </row>
    <row r="454" spans="1:14" x14ac:dyDescent="0.25">
      <c r="A454" t="s">
        <v>1917</v>
      </c>
      <c r="B454" t="s">
        <v>1451</v>
      </c>
      <c r="C454" t="s">
        <v>1555</v>
      </c>
      <c r="D454" s="25"/>
      <c r="E454" s="25"/>
      <c r="F454" s="25"/>
      <c r="G454" s="25"/>
      <c r="H454" s="25"/>
      <c r="I454" s="25"/>
      <c r="J454" s="25">
        <v>6250</v>
      </c>
      <c r="K454" s="25"/>
      <c r="L454" s="25"/>
      <c r="M454" s="25"/>
      <c r="N454" s="25">
        <v>6250</v>
      </c>
    </row>
    <row r="455" spans="1:14" x14ac:dyDescent="0.25">
      <c r="A455" t="s">
        <v>1918</v>
      </c>
      <c r="B455" t="s">
        <v>1451</v>
      </c>
      <c r="C455" t="s">
        <v>1505</v>
      </c>
      <c r="D455" s="25"/>
      <c r="E455" s="25"/>
      <c r="F455" s="25"/>
      <c r="G455" s="25"/>
      <c r="H455" s="25"/>
      <c r="I455" s="25"/>
      <c r="J455" s="25">
        <v>12750.94696969697</v>
      </c>
      <c r="K455" s="25"/>
      <c r="L455" s="25"/>
      <c r="M455" s="25"/>
      <c r="N455" s="25">
        <v>12750.94696969697</v>
      </c>
    </row>
    <row r="456" spans="1:14" x14ac:dyDescent="0.25">
      <c r="A456" t="s">
        <v>1919</v>
      </c>
      <c r="B456" t="s">
        <v>1456</v>
      </c>
      <c r="C456" t="s">
        <v>1452</v>
      </c>
      <c r="D456" s="25"/>
      <c r="E456" s="25"/>
      <c r="F456" s="25"/>
      <c r="G456" s="25"/>
      <c r="H456" s="25"/>
      <c r="I456" s="25"/>
      <c r="J456" s="25">
        <v>1373.1060606060605</v>
      </c>
      <c r="K456" s="25"/>
      <c r="L456" s="25"/>
      <c r="M456" s="25"/>
      <c r="N456" s="25">
        <v>1373.1060606060605</v>
      </c>
    </row>
    <row r="457" spans="1:14" x14ac:dyDescent="0.25">
      <c r="A457" t="s">
        <v>1923</v>
      </c>
      <c r="B457" t="s">
        <v>1421</v>
      </c>
      <c r="C457" t="s">
        <v>1418</v>
      </c>
      <c r="D457" s="25"/>
      <c r="E457" s="25">
        <v>1431.8181818181818</v>
      </c>
      <c r="F457" s="25"/>
      <c r="G457" s="25"/>
      <c r="H457" s="25"/>
      <c r="I457" s="25"/>
      <c r="J457" s="25"/>
      <c r="K457" s="25"/>
      <c r="L457" s="25"/>
      <c r="M457" s="25"/>
      <c r="N457" s="25">
        <v>1431.8181818181818</v>
      </c>
    </row>
    <row r="458" spans="1:14" x14ac:dyDescent="0.25">
      <c r="A458" t="s">
        <v>1926</v>
      </c>
      <c r="B458" t="s">
        <v>1927</v>
      </c>
      <c r="C458" t="s">
        <v>1473</v>
      </c>
      <c r="D458" s="25"/>
      <c r="E458" s="25"/>
      <c r="F458" s="25"/>
      <c r="G458" s="25"/>
      <c r="H458" s="25"/>
      <c r="I458" s="25"/>
      <c r="J458" s="25">
        <v>2500</v>
      </c>
      <c r="K458" s="25"/>
      <c r="L458" s="25"/>
      <c r="M458" s="25"/>
      <c r="N458" s="25">
        <v>2500</v>
      </c>
    </row>
    <row r="459" spans="1:14" x14ac:dyDescent="0.25">
      <c r="A459" t="s">
        <v>1928</v>
      </c>
      <c r="B459" t="s">
        <v>1929</v>
      </c>
      <c r="C459" t="s">
        <v>1930</v>
      </c>
      <c r="D459" s="25"/>
      <c r="E459" s="25"/>
      <c r="F459" s="25"/>
      <c r="G459" s="25"/>
      <c r="H459" s="25"/>
      <c r="I459" s="25"/>
      <c r="J459" s="25"/>
      <c r="K459" s="25"/>
      <c r="L459" s="25">
        <v>7823.484848484848</v>
      </c>
      <c r="M459" s="25"/>
      <c r="N459" s="25">
        <v>7823.484848484848</v>
      </c>
    </row>
    <row r="460" spans="1:14" x14ac:dyDescent="0.25">
      <c r="A460" t="s">
        <v>1932</v>
      </c>
      <c r="B460" t="s">
        <v>1933</v>
      </c>
      <c r="C460" t="s">
        <v>1934</v>
      </c>
      <c r="D460" s="25"/>
      <c r="E460" s="25"/>
      <c r="F460" s="25"/>
      <c r="G460" s="25"/>
      <c r="H460" s="25"/>
      <c r="I460" s="25"/>
      <c r="J460" s="25">
        <v>6250</v>
      </c>
      <c r="K460" s="25"/>
      <c r="L460" s="25"/>
      <c r="M460" s="25"/>
      <c r="N460" s="25">
        <v>6250</v>
      </c>
    </row>
    <row r="461" spans="1:14" x14ac:dyDescent="0.25">
      <c r="A461" t="s">
        <v>1946</v>
      </c>
      <c r="B461" t="s">
        <v>1451</v>
      </c>
      <c r="C461" t="s">
        <v>1555</v>
      </c>
      <c r="D461" s="25"/>
      <c r="E461" s="25"/>
      <c r="F461" s="25"/>
      <c r="G461" s="25"/>
      <c r="H461" s="25"/>
      <c r="I461" s="25"/>
      <c r="J461" s="25">
        <v>9251.8939393939399</v>
      </c>
      <c r="K461" s="25"/>
      <c r="L461" s="25"/>
      <c r="M461" s="25"/>
      <c r="N461" s="25">
        <v>9251.8939393939399</v>
      </c>
    </row>
    <row r="462" spans="1:14" x14ac:dyDescent="0.25">
      <c r="A462" t="s">
        <v>2215</v>
      </c>
      <c r="B462" t="s">
        <v>1487</v>
      </c>
      <c r="C462" t="s">
        <v>1462</v>
      </c>
      <c r="D462" s="25"/>
      <c r="E462" s="25"/>
      <c r="F462" s="25"/>
      <c r="G462" s="25"/>
      <c r="H462" s="25"/>
      <c r="I462" s="25"/>
      <c r="J462" s="25">
        <v>18361.742424242424</v>
      </c>
      <c r="K462" s="25"/>
      <c r="L462" s="25"/>
      <c r="M462" s="25"/>
      <c r="N462" s="25">
        <v>18361.742424242424</v>
      </c>
    </row>
    <row r="463" spans="1:14" x14ac:dyDescent="0.25">
      <c r="A463" t="s">
        <v>1952</v>
      </c>
      <c r="B463" t="s">
        <v>1953</v>
      </c>
      <c r="C463" t="s">
        <v>2343</v>
      </c>
      <c r="D463" s="25"/>
      <c r="E463" s="25"/>
      <c r="F463" s="25"/>
      <c r="G463" s="25"/>
      <c r="H463" s="25"/>
      <c r="I463" s="25"/>
      <c r="J463" s="25">
        <v>1856.060606060606</v>
      </c>
      <c r="K463" s="25"/>
      <c r="L463" s="25"/>
      <c r="M463" s="25"/>
      <c r="N463" s="25">
        <v>1856.060606060606</v>
      </c>
    </row>
    <row r="464" spans="1:14" x14ac:dyDescent="0.25">
      <c r="A464" t="s">
        <v>1956</v>
      </c>
      <c r="B464" t="s">
        <v>1957</v>
      </c>
      <c r="C464" t="s">
        <v>165</v>
      </c>
      <c r="D464" s="25"/>
      <c r="E464" s="25">
        <v>9967.045454545454</v>
      </c>
      <c r="F464" s="25"/>
      <c r="G464" s="25"/>
      <c r="H464" s="25"/>
      <c r="I464" s="25"/>
      <c r="J464" s="25"/>
      <c r="K464" s="25"/>
      <c r="L464" s="25"/>
      <c r="M464" s="25"/>
      <c r="N464" s="25">
        <v>9967.045454545454</v>
      </c>
    </row>
    <row r="465" spans="1:14" x14ac:dyDescent="0.25">
      <c r="A465" t="s">
        <v>1959</v>
      </c>
      <c r="B465" t="s">
        <v>1480</v>
      </c>
      <c r="C465" t="s">
        <v>1481</v>
      </c>
      <c r="D465" s="25"/>
      <c r="E465" s="25"/>
      <c r="F465" s="25"/>
      <c r="G465" s="25">
        <v>4117</v>
      </c>
      <c r="H465" s="25"/>
      <c r="I465" s="25"/>
      <c r="J465" s="25"/>
      <c r="K465" s="25"/>
      <c r="L465" s="25"/>
      <c r="M465" s="25"/>
      <c r="N465" s="25">
        <v>4117</v>
      </c>
    </row>
    <row r="466" spans="1:14" x14ac:dyDescent="0.25">
      <c r="A466" t="s">
        <v>1960</v>
      </c>
      <c r="B466" t="s">
        <v>986</v>
      </c>
      <c r="C466" t="s">
        <v>135</v>
      </c>
      <c r="D466" s="25"/>
      <c r="E466" s="25">
        <v>10022.727272727272</v>
      </c>
      <c r="F466" s="25"/>
      <c r="G466" s="25"/>
      <c r="H466" s="25"/>
      <c r="I466" s="25"/>
      <c r="J466" s="25"/>
      <c r="K466" s="25"/>
      <c r="L466" s="25"/>
      <c r="M466" s="25"/>
      <c r="N466" s="25">
        <v>10022.727272727272</v>
      </c>
    </row>
    <row r="467" spans="1:14" x14ac:dyDescent="0.25">
      <c r="A467" t="s">
        <v>1965</v>
      </c>
      <c r="B467" t="s">
        <v>1132</v>
      </c>
      <c r="C467" t="s">
        <v>1066</v>
      </c>
      <c r="D467" s="25"/>
      <c r="E467" s="25">
        <v>5369.318181818182</v>
      </c>
      <c r="F467" s="25"/>
      <c r="G467" s="25"/>
      <c r="H467" s="25"/>
      <c r="I467" s="25"/>
      <c r="J467" s="25"/>
      <c r="K467" s="25"/>
      <c r="L467" s="25"/>
      <c r="M467" s="25"/>
      <c r="N467" s="25">
        <v>5369.318181818182</v>
      </c>
    </row>
    <row r="468" spans="1:14" x14ac:dyDescent="0.25">
      <c r="A468" t="s">
        <v>1967</v>
      </c>
      <c r="B468" t="s">
        <v>1066</v>
      </c>
      <c r="C468" t="s">
        <v>138</v>
      </c>
      <c r="D468" s="25"/>
      <c r="E468" s="25">
        <v>5349.431818181818</v>
      </c>
      <c r="F468" s="25"/>
      <c r="G468" s="25"/>
      <c r="H468" s="25"/>
      <c r="I468" s="25"/>
      <c r="J468" s="25"/>
      <c r="K468" s="25"/>
      <c r="L468" s="25"/>
      <c r="M468" s="25"/>
      <c r="N468" s="25">
        <v>5349.431818181818</v>
      </c>
    </row>
    <row r="469" spans="1:14" x14ac:dyDescent="0.25">
      <c r="A469" t="s">
        <v>2104</v>
      </c>
      <c r="B469" t="s">
        <v>138</v>
      </c>
      <c r="C469" t="s">
        <v>2354</v>
      </c>
      <c r="D469" s="25"/>
      <c r="E469" s="25">
        <v>21178.977272727272</v>
      </c>
      <c r="F469" s="25"/>
      <c r="G469" s="25"/>
      <c r="H469" s="25"/>
      <c r="I469" s="25"/>
      <c r="J469" s="25"/>
      <c r="K469" s="25"/>
      <c r="L469" s="25"/>
      <c r="M469" s="25"/>
      <c r="N469" s="25">
        <v>21178.977272727272</v>
      </c>
    </row>
    <row r="470" spans="1:14" x14ac:dyDescent="0.25">
      <c r="A470" t="s">
        <v>1977</v>
      </c>
      <c r="B470" t="s">
        <v>1668</v>
      </c>
      <c r="C470" t="s">
        <v>1706</v>
      </c>
      <c r="D470" s="25"/>
      <c r="E470" s="25"/>
      <c r="F470" s="25"/>
      <c r="G470" s="25"/>
      <c r="H470" s="25"/>
      <c r="I470" s="25"/>
      <c r="J470" s="25">
        <v>8001.893939393939</v>
      </c>
      <c r="K470" s="25"/>
      <c r="L470" s="25"/>
      <c r="M470" s="25"/>
      <c r="N470" s="25">
        <v>8001.893939393939</v>
      </c>
    </row>
    <row r="471" spans="1:14" x14ac:dyDescent="0.25">
      <c r="A471" t="s">
        <v>1978</v>
      </c>
      <c r="B471" t="s">
        <v>1469</v>
      </c>
      <c r="C471" t="s">
        <v>1979</v>
      </c>
      <c r="D471" s="25"/>
      <c r="E471" s="25"/>
      <c r="F471" s="25"/>
      <c r="G471" s="25"/>
      <c r="H471" s="25"/>
      <c r="I471" s="25"/>
      <c r="J471" s="25">
        <v>2249.0530303030305</v>
      </c>
      <c r="K471" s="25"/>
      <c r="L471" s="25"/>
      <c r="M471" s="25"/>
      <c r="N471" s="25">
        <v>2249.0530303030305</v>
      </c>
    </row>
    <row r="472" spans="1:14" x14ac:dyDescent="0.25">
      <c r="A472" t="s">
        <v>1980</v>
      </c>
      <c r="B472" t="s">
        <v>1469</v>
      </c>
      <c r="C472" t="s">
        <v>1979</v>
      </c>
      <c r="D472" s="25"/>
      <c r="E472" s="25"/>
      <c r="F472" s="25"/>
      <c r="G472" s="25"/>
      <c r="H472" s="25"/>
      <c r="I472" s="25"/>
      <c r="J472" s="25">
        <v>20000</v>
      </c>
      <c r="K472" s="25"/>
      <c r="L472" s="25"/>
      <c r="M472" s="25"/>
      <c r="N472" s="25">
        <v>20000</v>
      </c>
    </row>
    <row r="473" spans="1:14" x14ac:dyDescent="0.25">
      <c r="A473" t="s">
        <v>1982</v>
      </c>
      <c r="B473" t="s">
        <v>1619</v>
      </c>
      <c r="C473" t="s">
        <v>1502</v>
      </c>
      <c r="D473" s="25"/>
      <c r="E473" s="25"/>
      <c r="F473" s="25"/>
      <c r="G473" s="25"/>
      <c r="H473" s="25"/>
      <c r="I473" s="25"/>
      <c r="J473" s="25">
        <v>2500</v>
      </c>
      <c r="K473" s="25"/>
      <c r="L473" s="25"/>
      <c r="M473" s="25"/>
      <c r="N473" s="25">
        <v>2500</v>
      </c>
    </row>
    <row r="474" spans="1:14" x14ac:dyDescent="0.25">
      <c r="A474" t="s">
        <v>2212</v>
      </c>
      <c r="B474" t="s">
        <v>1619</v>
      </c>
      <c r="C474" t="s">
        <v>1502</v>
      </c>
      <c r="D474" s="25"/>
      <c r="E474" s="25"/>
      <c r="F474" s="25"/>
      <c r="G474" s="25"/>
      <c r="H474" s="25"/>
      <c r="I474" s="25"/>
      <c r="J474" s="25">
        <v>4749.05303030303</v>
      </c>
      <c r="K474" s="25"/>
      <c r="L474" s="25"/>
      <c r="M474" s="25"/>
      <c r="N474" s="25">
        <v>4749.05303030303</v>
      </c>
    </row>
    <row r="475" spans="1:14" x14ac:dyDescent="0.25">
      <c r="A475" t="s">
        <v>1984</v>
      </c>
      <c r="B475" t="s">
        <v>1416</v>
      </c>
      <c r="C475" t="s">
        <v>1608</v>
      </c>
      <c r="D475" s="25"/>
      <c r="E475" s="25"/>
      <c r="F475" s="25"/>
      <c r="G475" s="25"/>
      <c r="H475" s="25"/>
      <c r="I475" s="25"/>
      <c r="J475" s="25">
        <v>3499.0530303030305</v>
      </c>
      <c r="K475" s="25"/>
      <c r="L475" s="25"/>
      <c r="M475" s="25"/>
      <c r="N475" s="25">
        <v>3499.0530303030305</v>
      </c>
    </row>
    <row r="476" spans="1:14" x14ac:dyDescent="0.25">
      <c r="A476" t="s">
        <v>1985</v>
      </c>
      <c r="B476" t="s">
        <v>1416</v>
      </c>
      <c r="C476" t="s">
        <v>1608</v>
      </c>
      <c r="D476" s="25"/>
      <c r="E476" s="25"/>
      <c r="F476" s="25"/>
      <c r="G476" s="25"/>
      <c r="H476" s="25"/>
      <c r="I476" s="25"/>
      <c r="J476" s="25">
        <v>14000.94696969697</v>
      </c>
      <c r="K476" s="25"/>
      <c r="L476" s="25"/>
      <c r="M476" s="25"/>
      <c r="N476" s="25">
        <v>14000.94696969697</v>
      </c>
    </row>
    <row r="477" spans="1:14" x14ac:dyDescent="0.25">
      <c r="A477" t="s">
        <v>1989</v>
      </c>
      <c r="B477" t="s">
        <v>1407</v>
      </c>
      <c r="C477" t="s">
        <v>1934</v>
      </c>
      <c r="D477" s="25"/>
      <c r="E477" s="25"/>
      <c r="F477" s="25"/>
      <c r="G477" s="25"/>
      <c r="H477" s="25"/>
      <c r="I477" s="25"/>
      <c r="J477" s="25">
        <v>2500</v>
      </c>
      <c r="K477" s="25"/>
      <c r="L477" s="25"/>
      <c r="M477" s="25"/>
      <c r="N477" s="25">
        <v>2500</v>
      </c>
    </row>
    <row r="478" spans="1:14" x14ac:dyDescent="0.25">
      <c r="A478" t="s">
        <v>1992</v>
      </c>
      <c r="B478" t="s">
        <v>1576</v>
      </c>
      <c r="C478" t="s">
        <v>1993</v>
      </c>
      <c r="D478" s="25"/>
      <c r="E478" s="25"/>
      <c r="F478" s="25"/>
      <c r="G478" s="25"/>
      <c r="H478" s="25"/>
      <c r="I478" s="25"/>
      <c r="J478" s="25">
        <v>13001.89393939394</v>
      </c>
      <c r="K478" s="25"/>
      <c r="L478" s="25"/>
      <c r="M478" s="25"/>
      <c r="N478" s="25">
        <v>13001.89393939394</v>
      </c>
    </row>
    <row r="479" spans="1:14" x14ac:dyDescent="0.25">
      <c r="A479" t="s">
        <v>1994</v>
      </c>
      <c r="B479" t="s">
        <v>1933</v>
      </c>
      <c r="C479" t="s">
        <v>1408</v>
      </c>
      <c r="D479" s="25"/>
      <c r="E479" s="25"/>
      <c r="F479" s="25"/>
      <c r="G479" s="25"/>
      <c r="H479" s="25"/>
      <c r="I479" s="25"/>
      <c r="J479" s="25">
        <v>2500</v>
      </c>
      <c r="K479" s="25"/>
      <c r="L479" s="25"/>
      <c r="M479" s="25"/>
      <c r="N479" s="25">
        <v>2500</v>
      </c>
    </row>
    <row r="480" spans="1:14" x14ac:dyDescent="0.25">
      <c r="A480" t="s">
        <v>1995</v>
      </c>
      <c r="B480" t="s">
        <v>1504</v>
      </c>
      <c r="C480" t="s">
        <v>1502</v>
      </c>
      <c r="D480" s="25"/>
      <c r="E480" s="25"/>
      <c r="F480" s="25"/>
      <c r="G480" s="25"/>
      <c r="H480" s="25"/>
      <c r="I480" s="25"/>
      <c r="J480" s="25">
        <v>15250.94696969697</v>
      </c>
      <c r="K480" s="25"/>
      <c r="L480" s="25"/>
      <c r="M480" s="25"/>
      <c r="N480" s="25">
        <v>15250.94696969697</v>
      </c>
    </row>
    <row r="481" spans="1:14" x14ac:dyDescent="0.25">
      <c r="A481" t="s">
        <v>1996</v>
      </c>
      <c r="B481" t="s">
        <v>1997</v>
      </c>
      <c r="C481" t="s">
        <v>1416</v>
      </c>
      <c r="D481" s="25"/>
      <c r="E481" s="25"/>
      <c r="F481" s="25"/>
      <c r="G481" s="25">
        <v>224.90530303030303</v>
      </c>
      <c r="H481" s="25"/>
      <c r="I481" s="25"/>
      <c r="J481" s="25"/>
      <c r="K481" s="25"/>
      <c r="L481" s="25"/>
      <c r="M481" s="25"/>
      <c r="N481" s="25">
        <v>224.90530303030303</v>
      </c>
    </row>
    <row r="482" spans="1:14" x14ac:dyDescent="0.25">
      <c r="A482" t="s">
        <v>2000</v>
      </c>
      <c r="B482" t="s">
        <v>165</v>
      </c>
      <c r="C482" t="s">
        <v>1495</v>
      </c>
      <c r="D482" s="25"/>
      <c r="E482" s="25"/>
      <c r="F482" s="25"/>
      <c r="G482" s="25"/>
      <c r="H482" s="25"/>
      <c r="I482" s="25"/>
      <c r="J482" s="25">
        <v>1983.9015151515152</v>
      </c>
      <c r="K482" s="25"/>
      <c r="L482" s="25"/>
      <c r="M482" s="25"/>
      <c r="N482" s="25">
        <v>1983.9015151515152</v>
      </c>
    </row>
    <row r="483" spans="1:14" x14ac:dyDescent="0.25">
      <c r="A483" t="s">
        <v>2007</v>
      </c>
      <c r="B483" t="s">
        <v>1451</v>
      </c>
      <c r="C483" t="s">
        <v>1993</v>
      </c>
      <c r="D483" s="25"/>
      <c r="E483" s="25"/>
      <c r="F483" s="25"/>
      <c r="G483" s="25"/>
      <c r="H483" s="25"/>
      <c r="I483" s="25"/>
      <c r="J483" s="25">
        <v>5999.05303030303</v>
      </c>
      <c r="K483" s="25"/>
      <c r="L483" s="25"/>
      <c r="M483" s="25"/>
      <c r="N483" s="25">
        <v>5999.05303030303</v>
      </c>
    </row>
    <row r="484" spans="1:14" x14ac:dyDescent="0.25">
      <c r="A484" t="s">
        <v>2008</v>
      </c>
      <c r="B484" t="s">
        <v>1458</v>
      </c>
      <c r="C484" t="s">
        <v>1757</v>
      </c>
      <c r="D484" s="25"/>
      <c r="E484" s="25"/>
      <c r="F484" s="25"/>
      <c r="G484" s="25"/>
      <c r="H484" s="25"/>
      <c r="I484" s="25"/>
      <c r="J484" s="25">
        <v>1998.1060606060605</v>
      </c>
      <c r="K484" s="25"/>
      <c r="L484" s="25"/>
      <c r="M484" s="25"/>
      <c r="N484" s="25">
        <v>1998.1060606060605</v>
      </c>
    </row>
    <row r="485" spans="1:14" x14ac:dyDescent="0.25">
      <c r="A485" t="s">
        <v>2015</v>
      </c>
      <c r="B485" t="s">
        <v>1706</v>
      </c>
      <c r="C485" t="s">
        <v>1707</v>
      </c>
      <c r="D485" s="25"/>
      <c r="E485" s="25"/>
      <c r="F485" s="25"/>
      <c r="G485" s="25"/>
      <c r="H485" s="25"/>
      <c r="I485" s="25"/>
      <c r="J485" s="25">
        <v>6250</v>
      </c>
      <c r="K485" s="25"/>
      <c r="L485" s="25"/>
      <c r="M485" s="25"/>
      <c r="N485" s="25">
        <v>6250</v>
      </c>
    </row>
    <row r="486" spans="1:14" x14ac:dyDescent="0.25">
      <c r="A486" t="s">
        <v>2019</v>
      </c>
      <c r="B486" t="s">
        <v>1469</v>
      </c>
      <c r="C486" t="s">
        <v>1706</v>
      </c>
      <c r="D486" s="25"/>
      <c r="E486" s="25"/>
      <c r="F486" s="25"/>
      <c r="G486" s="25"/>
      <c r="H486" s="25"/>
      <c r="I486" s="25"/>
      <c r="J486" s="25">
        <v>2249.0530303030305</v>
      </c>
      <c r="K486" s="25"/>
      <c r="L486" s="25"/>
      <c r="M486" s="25"/>
      <c r="N486" s="25">
        <v>2249.0530303030305</v>
      </c>
    </row>
    <row r="487" spans="1:14" x14ac:dyDescent="0.25">
      <c r="A487" t="s">
        <v>2020</v>
      </c>
      <c r="B487" t="s">
        <v>1469</v>
      </c>
      <c r="C487" t="s">
        <v>1706</v>
      </c>
      <c r="D487" s="25"/>
      <c r="E487" s="25"/>
      <c r="F487" s="25"/>
      <c r="G487" s="25"/>
      <c r="H487" s="25"/>
      <c r="I487" s="25"/>
      <c r="J487" s="25">
        <v>4749.05303030303</v>
      </c>
      <c r="K487" s="25"/>
      <c r="L487" s="25"/>
      <c r="M487" s="25"/>
      <c r="N487" s="25">
        <v>4749.05303030303</v>
      </c>
    </row>
    <row r="488" spans="1:14" x14ac:dyDescent="0.25">
      <c r="A488" t="s">
        <v>2021</v>
      </c>
      <c r="B488" t="s">
        <v>1451</v>
      </c>
      <c r="C488" t="s">
        <v>1502</v>
      </c>
      <c r="D488" s="25"/>
      <c r="E488" s="25"/>
      <c r="F488" s="25"/>
      <c r="G488" s="25"/>
      <c r="H488" s="25"/>
      <c r="I488" s="25"/>
      <c r="J488" s="25">
        <v>5250.94696969697</v>
      </c>
      <c r="K488" s="25"/>
      <c r="L488" s="25"/>
      <c r="M488" s="25"/>
      <c r="N488" s="25">
        <v>5250.94696969697</v>
      </c>
    </row>
    <row r="489" spans="1:14" x14ac:dyDescent="0.25">
      <c r="A489" t="s">
        <v>2022</v>
      </c>
      <c r="B489" t="s">
        <v>14</v>
      </c>
      <c r="C489" t="s">
        <v>1407</v>
      </c>
      <c r="D489" s="25"/>
      <c r="E489" s="25"/>
      <c r="F489" s="25"/>
      <c r="G489" s="25"/>
      <c r="H489" s="25"/>
      <c r="I489" s="25"/>
      <c r="J489" s="25">
        <v>1751.8939393939395</v>
      </c>
      <c r="K489" s="25"/>
      <c r="L489" s="25"/>
      <c r="M489" s="25"/>
      <c r="N489" s="25">
        <v>1751.8939393939395</v>
      </c>
    </row>
    <row r="490" spans="1:14" x14ac:dyDescent="0.25">
      <c r="A490" t="s">
        <v>2350</v>
      </c>
      <c r="B490" t="s">
        <v>1451</v>
      </c>
      <c r="C490" t="s">
        <v>1452</v>
      </c>
      <c r="D490" s="25"/>
      <c r="E490" s="25"/>
      <c r="F490" s="25"/>
      <c r="G490" s="25"/>
      <c r="H490" s="25"/>
      <c r="I490" s="25">
        <v>27545.454545454544</v>
      </c>
      <c r="J490" s="25"/>
      <c r="K490" s="25"/>
      <c r="L490" s="25"/>
      <c r="M490" s="25"/>
      <c r="N490" s="25">
        <v>27545.454545454544</v>
      </c>
    </row>
    <row r="491" spans="1:14" x14ac:dyDescent="0.25">
      <c r="A491" t="s">
        <v>2026</v>
      </c>
      <c r="B491" t="s">
        <v>1933</v>
      </c>
      <c r="C491" t="s">
        <v>1408</v>
      </c>
      <c r="D491" s="25"/>
      <c r="E491" s="25"/>
      <c r="F491" s="25"/>
      <c r="G491" s="25"/>
      <c r="H491" s="25"/>
      <c r="I491" s="25"/>
      <c r="J491" s="25">
        <v>3499.0530303030305</v>
      </c>
      <c r="K491" s="25"/>
      <c r="L491" s="25"/>
      <c r="M491" s="25"/>
      <c r="N491" s="25">
        <v>3499.0530303030305</v>
      </c>
    </row>
    <row r="492" spans="1:14" x14ac:dyDescent="0.25">
      <c r="A492" t="s">
        <v>2027</v>
      </c>
      <c r="B492" t="s">
        <v>1504</v>
      </c>
      <c r="C492" t="s">
        <v>1502</v>
      </c>
      <c r="D492" s="25"/>
      <c r="E492" s="25"/>
      <c r="F492" s="25"/>
      <c r="G492" s="25"/>
      <c r="H492" s="25"/>
      <c r="I492" s="25"/>
      <c r="J492" s="25">
        <v>6250</v>
      </c>
      <c r="K492" s="25"/>
      <c r="L492" s="25"/>
      <c r="M492" s="25"/>
      <c r="N492" s="25">
        <v>6250</v>
      </c>
    </row>
    <row r="493" spans="1:14" x14ac:dyDescent="0.25">
      <c r="A493" t="s">
        <v>2029</v>
      </c>
      <c r="B493" t="s">
        <v>158</v>
      </c>
      <c r="C493" t="s">
        <v>307</v>
      </c>
      <c r="D493" s="25"/>
      <c r="E493" s="25"/>
      <c r="F493" s="25"/>
      <c r="G493" s="25"/>
      <c r="H493" s="25"/>
      <c r="I493" s="25"/>
      <c r="J493" s="25">
        <v>8508.5227272727279</v>
      </c>
      <c r="K493" s="25"/>
      <c r="L493" s="25"/>
      <c r="M493" s="25"/>
      <c r="N493" s="25">
        <v>8508.5227272727279</v>
      </c>
    </row>
    <row r="494" spans="1:14" x14ac:dyDescent="0.25">
      <c r="A494" t="s">
        <v>2033</v>
      </c>
      <c r="B494" t="s">
        <v>1458</v>
      </c>
      <c r="C494" t="s">
        <v>1535</v>
      </c>
      <c r="D494" s="25"/>
      <c r="E494" s="25"/>
      <c r="F494" s="25"/>
      <c r="G494" s="25"/>
      <c r="H494" s="25"/>
      <c r="I494" s="25"/>
      <c r="J494" s="25">
        <v>748.10606060606062</v>
      </c>
      <c r="K494" s="25"/>
      <c r="L494" s="25"/>
      <c r="M494" s="25"/>
      <c r="N494" s="25">
        <v>748.10606060606062</v>
      </c>
    </row>
    <row r="495" spans="1:14" x14ac:dyDescent="0.25">
      <c r="A495" t="s">
        <v>2035</v>
      </c>
      <c r="B495" t="s">
        <v>1933</v>
      </c>
      <c r="C495" t="s">
        <v>628</v>
      </c>
      <c r="D495" s="25"/>
      <c r="E495" s="25"/>
      <c r="F495" s="25"/>
      <c r="G495" s="25"/>
      <c r="H495" s="25"/>
      <c r="I495" s="25"/>
      <c r="J495" s="25">
        <v>5999.05303030303</v>
      </c>
      <c r="K495" s="25"/>
      <c r="L495" s="25"/>
      <c r="M495" s="25"/>
      <c r="N495" s="25">
        <v>5999.05303030303</v>
      </c>
    </row>
    <row r="496" spans="1:14" x14ac:dyDescent="0.25">
      <c r="A496" t="s">
        <v>2039</v>
      </c>
      <c r="B496" t="s">
        <v>1451</v>
      </c>
      <c r="C496" t="s">
        <v>1555</v>
      </c>
      <c r="D496" s="25"/>
      <c r="E496" s="25"/>
      <c r="F496" s="25"/>
      <c r="G496" s="25"/>
      <c r="H496" s="25"/>
      <c r="I496" s="25"/>
      <c r="J496" s="25">
        <v>2249.0530303030305</v>
      </c>
      <c r="K496" s="25"/>
      <c r="L496" s="25"/>
      <c r="M496" s="25"/>
      <c r="N496" s="25">
        <v>2249.0530303030305</v>
      </c>
    </row>
    <row r="497" spans="1:14" x14ac:dyDescent="0.25">
      <c r="A497" t="s">
        <v>2214</v>
      </c>
      <c r="B497" t="s">
        <v>1576</v>
      </c>
      <c r="C497" t="s">
        <v>1912</v>
      </c>
      <c r="D497" s="25"/>
      <c r="E497" s="25"/>
      <c r="F497" s="25"/>
      <c r="G497" s="25"/>
      <c r="H497" s="25"/>
      <c r="I497" s="25"/>
      <c r="J497" s="25">
        <v>1893.939393939394</v>
      </c>
      <c r="K497" s="25"/>
      <c r="L497" s="25"/>
      <c r="M497" s="25"/>
      <c r="N497" s="25">
        <v>1893.939393939394</v>
      </c>
    </row>
    <row r="498" spans="1:14" x14ac:dyDescent="0.25">
      <c r="A498" t="s">
        <v>2042</v>
      </c>
      <c r="B498" t="s">
        <v>1407</v>
      </c>
      <c r="C498" t="s">
        <v>1408</v>
      </c>
      <c r="D498" s="25"/>
      <c r="E498" s="25"/>
      <c r="F498" s="25"/>
      <c r="G498" s="25"/>
      <c r="H498" s="25"/>
      <c r="I498" s="25"/>
      <c r="J498" s="25"/>
      <c r="K498" s="25"/>
      <c r="L498" s="25"/>
      <c r="M498" s="25">
        <v>19502.840909090908</v>
      </c>
      <c r="N498" s="25">
        <v>19502.840909090908</v>
      </c>
    </row>
    <row r="499" spans="1:14" x14ac:dyDescent="0.25">
      <c r="A499" t="s">
        <v>2045</v>
      </c>
      <c r="B499" t="s">
        <v>1451</v>
      </c>
      <c r="C499" t="s">
        <v>1555</v>
      </c>
      <c r="D499" s="25"/>
      <c r="E499" s="25"/>
      <c r="F499" s="25"/>
      <c r="G499" s="25"/>
      <c r="H499" s="25"/>
      <c r="I499" s="25"/>
      <c r="J499" s="25">
        <v>9479.1666666666661</v>
      </c>
      <c r="K499" s="25"/>
      <c r="L499" s="25"/>
      <c r="M499" s="25"/>
      <c r="N499" s="25">
        <v>9479.1666666666661</v>
      </c>
    </row>
    <row r="500" spans="1:14" x14ac:dyDescent="0.25">
      <c r="A500" t="s">
        <v>2046</v>
      </c>
      <c r="B500" t="s">
        <v>1619</v>
      </c>
      <c r="C500" t="s">
        <v>1502</v>
      </c>
      <c r="D500" s="25"/>
      <c r="E500" s="25"/>
      <c r="F500" s="25"/>
      <c r="G500" s="25">
        <v>324.81060606060606</v>
      </c>
      <c r="H500" s="25"/>
      <c r="I500" s="25"/>
      <c r="J500" s="25"/>
      <c r="K500" s="25"/>
      <c r="L500" s="25"/>
      <c r="M500" s="25"/>
      <c r="N500" s="25">
        <v>324.81060606060606</v>
      </c>
    </row>
    <row r="501" spans="1:14" x14ac:dyDescent="0.25">
      <c r="A501" t="s">
        <v>2048</v>
      </c>
      <c r="B501" t="s">
        <v>1619</v>
      </c>
      <c r="C501" t="s">
        <v>1502</v>
      </c>
      <c r="D501" s="25"/>
      <c r="E501" s="25"/>
      <c r="F501" s="25"/>
      <c r="G501" s="25">
        <v>250</v>
      </c>
      <c r="H501" s="25"/>
      <c r="I501" s="25"/>
      <c r="J501" s="25"/>
      <c r="K501" s="25"/>
      <c r="L501" s="25"/>
      <c r="M501" s="25"/>
      <c r="N501" s="25">
        <v>250</v>
      </c>
    </row>
    <row r="502" spans="1:14" x14ac:dyDescent="0.25">
      <c r="A502" t="s">
        <v>2049</v>
      </c>
      <c r="B502" t="s">
        <v>1548</v>
      </c>
      <c r="C502" t="s">
        <v>1416</v>
      </c>
      <c r="D502" s="25"/>
      <c r="E502" s="25"/>
      <c r="F502" s="25"/>
      <c r="G502" s="25"/>
      <c r="H502" s="25"/>
      <c r="I502" s="25"/>
      <c r="J502" s="25">
        <v>10000</v>
      </c>
      <c r="K502" s="25"/>
      <c r="L502" s="25"/>
      <c r="M502" s="25"/>
      <c r="N502" s="25">
        <v>10000</v>
      </c>
    </row>
    <row r="503" spans="1:14" x14ac:dyDescent="0.25">
      <c r="A503" t="s">
        <v>2050</v>
      </c>
      <c r="B503" t="s">
        <v>1451</v>
      </c>
      <c r="C503" t="s">
        <v>1408</v>
      </c>
      <c r="D503" s="25"/>
      <c r="E503" s="25"/>
      <c r="F503" s="25"/>
      <c r="G503" s="25"/>
      <c r="H503" s="25"/>
      <c r="I503" s="25"/>
      <c r="J503" s="25">
        <v>5999.05303030303</v>
      </c>
      <c r="K503" s="25"/>
      <c r="L503" s="25"/>
      <c r="M503" s="25"/>
      <c r="N503" s="25">
        <v>5999.05303030303</v>
      </c>
    </row>
    <row r="504" spans="1:14" x14ac:dyDescent="0.25">
      <c r="A504" t="s">
        <v>2445</v>
      </c>
      <c r="B504" t="s">
        <v>168</v>
      </c>
      <c r="C504" t="s">
        <v>99</v>
      </c>
      <c r="D504" s="25"/>
      <c r="E504" s="25"/>
      <c r="F504" s="25"/>
      <c r="G504" s="25"/>
      <c r="H504" s="25"/>
      <c r="I504" s="25"/>
      <c r="J504" s="25">
        <v>2698.8636363636365</v>
      </c>
      <c r="K504" s="25"/>
      <c r="L504" s="25"/>
      <c r="M504" s="25"/>
      <c r="N504" s="25">
        <v>2698.8636363636365</v>
      </c>
    </row>
    <row r="505" spans="1:14" x14ac:dyDescent="0.25">
      <c r="A505" t="s">
        <v>2446</v>
      </c>
      <c r="B505" t="s">
        <v>168</v>
      </c>
      <c r="C505" t="s">
        <v>99</v>
      </c>
      <c r="D505" s="25"/>
      <c r="E505" s="25"/>
      <c r="F505" s="25"/>
      <c r="G505" s="25"/>
      <c r="H505" s="25"/>
      <c r="I505" s="25"/>
      <c r="J505" s="25">
        <v>1496.2121212121212</v>
      </c>
      <c r="K505" s="25"/>
      <c r="L505" s="25"/>
      <c r="M505" s="25"/>
      <c r="N505" s="25">
        <v>1496.2121212121212</v>
      </c>
    </row>
    <row r="506" spans="1:14" x14ac:dyDescent="0.25">
      <c r="A506" t="s">
        <v>2447</v>
      </c>
      <c r="B506" t="s">
        <v>168</v>
      </c>
      <c r="C506" t="s">
        <v>99</v>
      </c>
      <c r="D506" s="25"/>
      <c r="E506" s="25"/>
      <c r="F506" s="25"/>
      <c r="G506" s="25"/>
      <c r="H506" s="25"/>
      <c r="I506" s="25"/>
      <c r="J506" s="25">
        <v>520.83333333333337</v>
      </c>
      <c r="K506" s="25"/>
      <c r="L506" s="25"/>
      <c r="M506" s="25"/>
      <c r="N506" s="25">
        <v>520.83333333333337</v>
      </c>
    </row>
    <row r="507" spans="1:14" x14ac:dyDescent="0.25">
      <c r="A507" t="s">
        <v>2432</v>
      </c>
      <c r="B507" t="s">
        <v>307</v>
      </c>
      <c r="C507" t="s">
        <v>2434</v>
      </c>
      <c r="D507" s="25"/>
      <c r="E507" s="25"/>
      <c r="F507" s="25"/>
      <c r="G507" s="25"/>
      <c r="H507" s="25"/>
      <c r="I507" s="25"/>
      <c r="J507" s="25">
        <v>7708.333333333333</v>
      </c>
      <c r="K507" s="25"/>
      <c r="L507" s="25"/>
      <c r="M507" s="25"/>
      <c r="N507" s="25">
        <v>7708.333333333333</v>
      </c>
    </row>
    <row r="508" spans="1:14" x14ac:dyDescent="0.25">
      <c r="A508" t="s">
        <v>2441</v>
      </c>
      <c r="B508" t="s">
        <v>2443</v>
      </c>
      <c r="C508" t="s">
        <v>2403</v>
      </c>
      <c r="D508" s="25"/>
      <c r="E508" s="25"/>
      <c r="F508" s="25"/>
      <c r="G508" s="25"/>
      <c r="H508" s="25"/>
      <c r="I508" s="25"/>
      <c r="J508" s="25">
        <v>2168.560606060606</v>
      </c>
      <c r="K508" s="25"/>
      <c r="L508" s="25"/>
      <c r="M508" s="25"/>
      <c r="N508" s="25">
        <v>2168.560606060606</v>
      </c>
    </row>
    <row r="509" spans="1:14" x14ac:dyDescent="0.25">
      <c r="A509" t="s">
        <v>2444</v>
      </c>
      <c r="B509" t="s">
        <v>168</v>
      </c>
      <c r="C509" t="s">
        <v>99</v>
      </c>
      <c r="D509" s="25"/>
      <c r="E509" s="25"/>
      <c r="F509" s="25"/>
      <c r="G509" s="25"/>
      <c r="H509" s="25"/>
      <c r="I509" s="25"/>
      <c r="J509" s="25">
        <v>1946.0227272727273</v>
      </c>
      <c r="K509" s="25"/>
      <c r="L509" s="25"/>
      <c r="M509" s="25"/>
      <c r="N509" s="25">
        <v>1946.0227272727273</v>
      </c>
    </row>
    <row r="510" spans="1:14" x14ac:dyDescent="0.25">
      <c r="A510" t="s">
        <v>2455</v>
      </c>
      <c r="B510" t="s">
        <v>1576</v>
      </c>
      <c r="C510" t="s">
        <v>1577</v>
      </c>
      <c r="D510" s="25"/>
      <c r="E510" s="25"/>
      <c r="F510" s="25"/>
      <c r="G510" s="25"/>
      <c r="H510" s="25"/>
      <c r="I510" s="25"/>
      <c r="J510" s="25">
        <v>4000.9469696969695</v>
      </c>
      <c r="K510" s="25"/>
      <c r="L510" s="25"/>
      <c r="M510" s="25"/>
      <c r="N510" s="25">
        <v>4000.9469696969695</v>
      </c>
    </row>
    <row r="511" spans="1:14" x14ac:dyDescent="0.25">
      <c r="A511" t="s">
        <v>2451</v>
      </c>
      <c r="B511" t="s">
        <v>1580</v>
      </c>
      <c r="C511" t="s">
        <v>1581</v>
      </c>
      <c r="D511" s="25"/>
      <c r="E511" s="25"/>
      <c r="F511" s="25"/>
      <c r="G511" s="25"/>
      <c r="H511" s="25"/>
      <c r="I511" s="25"/>
      <c r="J511" s="25">
        <v>2750.9469696969695</v>
      </c>
      <c r="K511" s="25"/>
      <c r="L511" s="25"/>
      <c r="M511" s="25"/>
      <c r="N511" s="25">
        <v>2750.9469696969695</v>
      </c>
    </row>
    <row r="512" spans="1:14" x14ac:dyDescent="0.25">
      <c r="A512" t="s">
        <v>2454</v>
      </c>
      <c r="B512" t="s">
        <v>1512</v>
      </c>
      <c r="C512" t="s">
        <v>1973</v>
      </c>
      <c r="D512" s="25"/>
      <c r="E512" s="25"/>
      <c r="F512" s="25"/>
      <c r="G512" s="25"/>
      <c r="H512" s="25"/>
      <c r="I512" s="25"/>
      <c r="J512" s="25">
        <v>9000.94696969697</v>
      </c>
      <c r="K512" s="25"/>
      <c r="L512" s="25"/>
      <c r="M512" s="25"/>
      <c r="N512" s="25">
        <v>9000.94696969697</v>
      </c>
    </row>
    <row r="513" spans="1:14" x14ac:dyDescent="0.25">
      <c r="A513" t="s">
        <v>2456</v>
      </c>
      <c r="B513" t="s">
        <v>25</v>
      </c>
      <c r="C513" t="s">
        <v>147</v>
      </c>
      <c r="D513" s="25"/>
      <c r="E513" s="25"/>
      <c r="F513" s="25"/>
      <c r="G513" s="25"/>
      <c r="H513" s="25"/>
      <c r="I513" s="25"/>
      <c r="J513" s="25">
        <v>2490.530303030303</v>
      </c>
      <c r="K513" s="25"/>
      <c r="L513" s="25"/>
      <c r="M513" s="25"/>
      <c r="N513" s="25">
        <v>2490.530303030303</v>
      </c>
    </row>
    <row r="514" spans="1:14" x14ac:dyDescent="0.25">
      <c r="A514" t="s">
        <v>2347</v>
      </c>
      <c r="B514" t="s">
        <v>1576</v>
      </c>
      <c r="C514" t="s">
        <v>1912</v>
      </c>
      <c r="D514" s="25"/>
      <c r="E514" s="25"/>
      <c r="F514" s="25"/>
      <c r="G514" s="25"/>
      <c r="H514" s="25"/>
      <c r="I514" s="25"/>
      <c r="J514" s="25">
        <v>5596.590909090909</v>
      </c>
      <c r="K514" s="25"/>
      <c r="L514" s="25"/>
      <c r="M514" s="25"/>
      <c r="N514" s="25">
        <v>5596.590909090909</v>
      </c>
    </row>
    <row r="515" spans="1:14" x14ac:dyDescent="0.25">
      <c r="A515" t="s">
        <v>2213</v>
      </c>
      <c r="B515" t="s">
        <v>1576</v>
      </c>
      <c r="C515" t="s">
        <v>1912</v>
      </c>
      <c r="D515" s="25"/>
      <c r="E515" s="25"/>
      <c r="F515" s="25"/>
      <c r="G515" s="25"/>
      <c r="H515" s="25"/>
      <c r="I515" s="25"/>
      <c r="J515" s="25">
        <v>5075.757575757576</v>
      </c>
      <c r="K515" s="25"/>
      <c r="L515" s="25"/>
      <c r="M515" s="25"/>
      <c r="N515" s="25">
        <v>5075.757575757576</v>
      </c>
    </row>
    <row r="516" spans="1:14" x14ac:dyDescent="0.25">
      <c r="A516" t="s">
        <v>2348</v>
      </c>
      <c r="B516" t="s">
        <v>1576</v>
      </c>
      <c r="C516" t="s">
        <v>1912</v>
      </c>
      <c r="D516" s="25"/>
      <c r="E516" s="25"/>
      <c r="F516" s="25"/>
      <c r="G516" s="25"/>
      <c r="H516" s="25"/>
      <c r="I516" s="25"/>
      <c r="J516" s="25">
        <v>1864.5833333333333</v>
      </c>
      <c r="K516" s="25"/>
      <c r="L516" s="25"/>
      <c r="M516" s="25"/>
      <c r="N516" s="25">
        <v>1864.5833333333333</v>
      </c>
    </row>
    <row r="517" spans="1:14" x14ac:dyDescent="0.25">
      <c r="A517" t="s">
        <v>2346</v>
      </c>
      <c r="B517" t="s">
        <v>1576</v>
      </c>
      <c r="C517" t="s">
        <v>1912</v>
      </c>
      <c r="D517" s="25"/>
      <c r="E517" s="25"/>
      <c r="F517" s="25"/>
      <c r="G517" s="25"/>
      <c r="H517" s="25"/>
      <c r="I517" s="25"/>
      <c r="J517" s="25">
        <v>1756.628787878788</v>
      </c>
      <c r="K517" s="25"/>
      <c r="L517" s="25"/>
      <c r="M517" s="25"/>
      <c r="N517" s="25">
        <v>1756.628787878788</v>
      </c>
    </row>
    <row r="518" spans="1:14" x14ac:dyDescent="0.25">
      <c r="A518" t="s">
        <v>2482</v>
      </c>
      <c r="B518" t="s">
        <v>2481</v>
      </c>
      <c r="C518" t="s">
        <v>1416</v>
      </c>
      <c r="D518" s="25"/>
      <c r="E518" s="25"/>
      <c r="F518" s="25"/>
      <c r="G518" s="25"/>
      <c r="H518" s="25"/>
      <c r="I518" s="25"/>
      <c r="J518" s="25">
        <v>3304.9242424242425</v>
      </c>
      <c r="K518" s="25"/>
      <c r="L518" s="25"/>
      <c r="M518" s="25"/>
      <c r="N518" s="25">
        <v>3304.9242424242425</v>
      </c>
    </row>
    <row r="519" spans="1:14" x14ac:dyDescent="0.25">
      <c r="A519" t="s">
        <v>2502</v>
      </c>
      <c r="B519" t="s">
        <v>193</v>
      </c>
      <c r="C519" t="s">
        <v>206</v>
      </c>
      <c r="D519" s="25"/>
      <c r="E519" s="25">
        <v>5210.227272727273</v>
      </c>
      <c r="F519" s="25"/>
      <c r="G519" s="25"/>
      <c r="H519" s="25"/>
      <c r="I519" s="25"/>
      <c r="J519" s="25"/>
      <c r="K519" s="25"/>
      <c r="L519" s="25"/>
      <c r="M519" s="25"/>
      <c r="N519" s="25">
        <v>5210.227272727273</v>
      </c>
    </row>
    <row r="520" spans="1:14" x14ac:dyDescent="0.25">
      <c r="A520" t="s">
        <v>2503</v>
      </c>
      <c r="B520" t="s">
        <v>217</v>
      </c>
      <c r="C520" t="s">
        <v>206</v>
      </c>
      <c r="D520" s="25"/>
      <c r="E520" s="25">
        <v>3571.590909090909</v>
      </c>
      <c r="F520" s="25"/>
      <c r="G520" s="25"/>
      <c r="H520" s="25"/>
      <c r="I520" s="25"/>
      <c r="J520" s="25"/>
      <c r="K520" s="25"/>
      <c r="L520" s="25"/>
      <c r="M520" s="25"/>
      <c r="N520" s="25">
        <v>3571.590909090909</v>
      </c>
    </row>
    <row r="521" spans="1:14" x14ac:dyDescent="0.25">
      <c r="A521" t="s">
        <v>2504</v>
      </c>
      <c r="B521" t="s">
        <v>197</v>
      </c>
      <c r="C521" t="s">
        <v>2505</v>
      </c>
      <c r="D521" s="25"/>
      <c r="E521" s="25"/>
      <c r="F521" s="25"/>
      <c r="G521" s="25"/>
      <c r="H521" s="25">
        <v>3977.2727272727275</v>
      </c>
      <c r="I521" s="25"/>
      <c r="J521" s="25"/>
      <c r="K521" s="25"/>
      <c r="L521" s="25"/>
      <c r="M521" s="25"/>
      <c r="N521" s="25">
        <v>3977.2727272727275</v>
      </c>
    </row>
    <row r="522" spans="1:14" x14ac:dyDescent="0.25">
      <c r="A522" t="s">
        <v>2507</v>
      </c>
      <c r="B522" t="s">
        <v>2517</v>
      </c>
      <c r="C522" t="s">
        <v>2518</v>
      </c>
      <c r="D522" s="25"/>
      <c r="E522" s="25"/>
      <c r="F522" s="25"/>
      <c r="G522" s="25"/>
      <c r="H522" s="25"/>
      <c r="I522" s="25"/>
      <c r="J522" s="25"/>
      <c r="K522" s="25"/>
      <c r="L522" s="25">
        <v>3500</v>
      </c>
      <c r="M522" s="25"/>
      <c r="N522" s="25">
        <v>3500</v>
      </c>
    </row>
    <row r="523" spans="1:14" x14ac:dyDescent="0.25">
      <c r="A523" t="s">
        <v>2601</v>
      </c>
      <c r="B523" t="s">
        <v>2602</v>
      </c>
      <c r="C523" t="s">
        <v>10</v>
      </c>
      <c r="D523" s="25"/>
      <c r="E523" s="25">
        <v>3511.931818181818</v>
      </c>
      <c r="F523" s="25"/>
      <c r="G523" s="25"/>
      <c r="H523" s="25"/>
      <c r="I523" s="25"/>
      <c r="J523" s="25"/>
      <c r="K523" s="25"/>
      <c r="L523" s="25"/>
      <c r="M523" s="25"/>
      <c r="N523" s="25">
        <v>3511.931818181818</v>
      </c>
    </row>
    <row r="524" spans="1:14" x14ac:dyDescent="0.25">
      <c r="A524" t="s">
        <v>2608</v>
      </c>
      <c r="B524" t="s">
        <v>1580</v>
      </c>
      <c r="C524" t="s">
        <v>1581</v>
      </c>
      <c r="D524" s="25">
        <v>594.2045454545455</v>
      </c>
      <c r="E524" s="25"/>
      <c r="F524" s="25"/>
      <c r="G524" s="25"/>
      <c r="H524" s="25"/>
      <c r="I524" s="25"/>
      <c r="J524" s="25"/>
      <c r="K524" s="25"/>
      <c r="L524" s="25"/>
      <c r="M524" s="25"/>
      <c r="N524" s="25">
        <v>594.2045454545455</v>
      </c>
    </row>
    <row r="525" spans="1:14" x14ac:dyDescent="0.25">
      <c r="A525" t="s">
        <v>2367</v>
      </c>
      <c r="B525"/>
      <c r="C525"/>
      <c r="D525" s="25">
        <v>24526.022727272724</v>
      </c>
      <c r="E525" s="25">
        <v>3143135.2272727275</v>
      </c>
      <c r="F525" s="25">
        <v>683915.15151515137</v>
      </c>
      <c r="G525" s="25">
        <v>82753.037878787887</v>
      </c>
      <c r="H525" s="25">
        <v>24587.500000000004</v>
      </c>
      <c r="I525" s="25">
        <v>27545.454545454544</v>
      </c>
      <c r="J525" s="25">
        <v>1464683.3806818186</v>
      </c>
      <c r="K525" s="25">
        <v>1235374.9999999998</v>
      </c>
      <c r="L525" s="25">
        <v>586994.31818181823</v>
      </c>
      <c r="M525" s="25">
        <v>54744.318181818177</v>
      </c>
      <c r="N525" s="25">
        <v>7328259.4109848496</v>
      </c>
    </row>
    <row r="526" spans="1:14" x14ac:dyDescent="0.2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4" x14ac:dyDescent="0.2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4" x14ac:dyDescent="0.25">
      <c r="A528"/>
      <c r="B528"/>
      <c r="C528"/>
      <c r="D528"/>
      <c r="E528"/>
      <c r="F528"/>
      <c r="G528"/>
      <c r="H528"/>
      <c r="I528"/>
      <c r="J528"/>
      <c r="K528"/>
      <c r="L528"/>
    </row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rgb="FFFF0000"/>
    <pageSetUpPr fitToPage="1"/>
  </sheetPr>
  <dimension ref="A6:O27"/>
  <sheetViews>
    <sheetView tabSelected="1" zoomScale="85" zoomScaleNormal="85" workbookViewId="0">
      <selection activeCell="N27" sqref="A6:N27"/>
    </sheetView>
  </sheetViews>
  <sheetFormatPr defaultRowHeight="15" x14ac:dyDescent="0.25"/>
  <cols>
    <col min="1" max="1" width="35" customWidth="1"/>
    <col min="2" max="2" width="13.42578125" customWidth="1"/>
    <col min="3" max="3" width="18" customWidth="1"/>
    <col min="4" max="7" width="14.28515625" hidden="1" customWidth="1"/>
    <col min="8" max="9" width="14.28515625" bestFit="1" customWidth="1"/>
    <col min="10" max="10" width="14.5703125" customWidth="1"/>
    <col min="11" max="14" width="14.7109375" customWidth="1"/>
  </cols>
  <sheetData>
    <row r="6" spans="1:15" ht="15.75" thickBot="1" x14ac:dyDescent="0.3">
      <c r="C6">
        <v>2014</v>
      </c>
      <c r="D6">
        <v>2018</v>
      </c>
      <c r="E6">
        <f t="shared" ref="E6:N6" si="0">D6+1</f>
        <v>2019</v>
      </c>
      <c r="F6">
        <f t="shared" si="0"/>
        <v>2020</v>
      </c>
      <c r="G6">
        <f t="shared" si="0"/>
        <v>2021</v>
      </c>
      <c r="H6">
        <f t="shared" si="0"/>
        <v>2022</v>
      </c>
      <c r="I6">
        <f t="shared" si="0"/>
        <v>2023</v>
      </c>
      <c r="J6">
        <f t="shared" si="0"/>
        <v>2024</v>
      </c>
      <c r="K6">
        <f t="shared" si="0"/>
        <v>2025</v>
      </c>
      <c r="L6">
        <f t="shared" si="0"/>
        <v>2026</v>
      </c>
      <c r="M6">
        <f t="shared" si="0"/>
        <v>2027</v>
      </c>
      <c r="N6">
        <f t="shared" si="0"/>
        <v>2028</v>
      </c>
    </row>
    <row r="7" spans="1:15" x14ac:dyDescent="0.25">
      <c r="A7" t="s">
        <v>2085</v>
      </c>
      <c r="B7" t="s">
        <v>2074</v>
      </c>
      <c r="C7" s="19">
        <v>98000</v>
      </c>
      <c r="D7" s="10">
        <f>SUMIFS('Road Evaluations'!$AD$5:$AD$1179,'Road Evaluations'!$AG$5:$AG$1179,'BUDJET Year'!D$6,'Road Evaluations'!$AC$5:$AC$1179,'BUDJET Year'!$B7)</f>
        <v>0</v>
      </c>
      <c r="E7" s="10">
        <f>SUMIFS('Road Evaluations'!$AD$5:$AD$1179,'Road Evaluations'!$AG$5:$AG$1179,'BUDJET Year'!E$6,'Road Evaluations'!$AC$5:$AC$1179,'BUDJET Year'!$B7)</f>
        <v>0</v>
      </c>
      <c r="F7" s="10">
        <f>SUMIFS('Road Evaluations'!$AD$5:$AD$1179,'Road Evaluations'!$AG$5:$AG$1179,'BUDJET Year'!F$6,'Road Evaluations'!$AC$5:$AC$1179,'BUDJET Year'!$B7)</f>
        <v>0</v>
      </c>
      <c r="G7" s="10">
        <f>SUMIFS('Road Evaluations'!$AD$5:$AD$1179,'Road Evaluations'!$AG$5:$AG$1179,'BUDJET Year'!G$6,'Road Evaluations'!$AC$5:$AC$1179,'BUDJET Year'!$B7)</f>
        <v>0</v>
      </c>
      <c r="H7" s="10">
        <f>SUMIFS('Road Evaluations'!$AD$5:$AD$1179,'Road Evaluations'!$AG$5:$AG$1179,'BUDJET Year'!H$6,'Road Evaluations'!$AC$5:$AC$1179,'BUDJET Year'!$B7)</f>
        <v>108458.18181818181</v>
      </c>
      <c r="I7" s="10">
        <f>SUMIFS('Road Evaluations'!$AD$5:$AD$1179,'Road Evaluations'!$AG$5:$AG$1179,'BUDJET Year'!I$6,'Road Evaluations'!$AC$5:$AC$1179,'BUDJET Year'!$B7)</f>
        <v>0</v>
      </c>
      <c r="J7" s="10">
        <f>SUMIFS('Road Evaluations'!$AD$5:$AD$1179,'Road Evaluations'!$AG$5:$AG$1179,'BUDJET Year'!J$6,'Road Evaluations'!$AC$5:$AC$1179,'BUDJET Year'!$B7)</f>
        <v>0</v>
      </c>
      <c r="K7" s="230">
        <f>SUMIFS('Road Evaluations'!$AD$5:$AD$1179,'Road Evaluations'!$AG$5:$AG$1179,'BUDJET Year'!K$6,'Road Evaluations'!$AC$5:$AC$1179,'BUDJET Year'!$B7)</f>
        <v>24526.022727272732</v>
      </c>
      <c r="L7" s="230">
        <f>SUMIFS('Road Evaluations'!$AD$5:$AD$1179,'Road Evaluations'!$AG$5:$AG$1179,'BUDJET Year'!L$6,'Road Evaluations'!$AC$5:$AC$1179,'BUDJET Year'!$B7)</f>
        <v>0</v>
      </c>
      <c r="M7" s="230">
        <f>SUMIFS('Road Evaluations'!$AD$5:$AD$1179,'Road Evaluations'!$AG$5:$AG$1179,'BUDJET Year'!M$6,'Road Evaluations'!$AC$5:$AC$1179,'BUDJET Year'!$B7)</f>
        <v>0</v>
      </c>
      <c r="N7" s="231">
        <f>SUMIFS('Road Evaluations'!$AD$5:$AD$1179,'Road Evaluations'!$AG$5:$AG$1179,'BUDJET Year'!N$6,'Road Evaluations'!$AC$5:$AC$1179,'BUDJET Year'!$B7)</f>
        <v>0</v>
      </c>
      <c r="O7" s="8"/>
    </row>
    <row r="8" spans="1:15" x14ac:dyDescent="0.25">
      <c r="A8" t="s">
        <v>2084</v>
      </c>
      <c r="B8" t="s">
        <v>13</v>
      </c>
      <c r="C8" s="20">
        <v>400000</v>
      </c>
      <c r="D8" s="11">
        <f>SUMIFS('Road Evaluations'!$AD$5:$AD$1179,'Road Evaluations'!$AG$5:$AG$1179,'BUDJET Year'!D$6,'Road Evaluations'!$AC$5:$AC$1179,'BUDJET Year'!$B8)</f>
        <v>0</v>
      </c>
      <c r="E8" s="11">
        <f>SUMIFS('Road Evaluations'!$AD$5:$AD$1179,'Road Evaluations'!$AG$5:$AG$1179,'BUDJET Year'!E$6,'Road Evaluations'!$AC$5:$AC$1179,'BUDJET Year'!$B8)</f>
        <v>0</v>
      </c>
      <c r="F8" s="11">
        <f>SUMIFS('Road Evaluations'!$AD$5:$AD$1179,'Road Evaluations'!$AG$5:$AG$1179,'BUDJET Year'!F$6,'Road Evaluations'!$AC$5:$AC$1179,'BUDJET Year'!$B8)</f>
        <v>0</v>
      </c>
      <c r="G8" s="11">
        <f>SUMIFS('Road Evaluations'!$AD$5:$AD$1179,'Road Evaluations'!$AG$5:$AG$1179,'BUDJET Year'!G$6,'Road Evaluations'!$AC$5:$AC$1179,'BUDJET Year'!$B8)</f>
        <v>0</v>
      </c>
      <c r="H8" s="11">
        <f>SUMIFS('Road Evaluations'!$AD$5:$AD$1179,'Road Evaluations'!$AG$5:$AG$1179,'BUDJET Year'!H$6,'Road Evaluations'!$AC$5:$AC$1179,'BUDJET Year'!$B8)</f>
        <v>1086683.3299999998</v>
      </c>
      <c r="I8" s="11">
        <f>SUMIFS('Road Evaluations'!$AD$5:$AD$1179,'Road Evaluations'!$AG$5:$AG$1179,'BUDJET Year'!I$6,'Road Evaluations'!$AC$5:$AC$1179,'BUDJET Year'!$B8)</f>
        <v>521826.13636363629</v>
      </c>
      <c r="J8" s="11">
        <f>SUMIFS('Road Evaluations'!$AD$5:$AD$1179,'Road Evaluations'!$AG$5:$AG$1179,'BUDJET Year'!J$6,'Road Evaluations'!$AC$5:$AC$1179,'BUDJET Year'!$B8)</f>
        <v>1050182.9545454546</v>
      </c>
      <c r="K8" s="27">
        <f>SUMIFS('Road Evaluations'!$AD$5:$AD$1179,'Road Evaluations'!$AG$5:$AG$1179,'BUDJET Year'!K$6,'Road Evaluations'!$AC$5:$AC$1179,'BUDJET Year'!$B8)</f>
        <v>1604634.6590909096</v>
      </c>
      <c r="L8" s="27">
        <f>SUMIFS('Road Evaluations'!$AD$5:$AD$1179,'Road Evaluations'!$AG$5:$AG$1179,'BUDJET Year'!L$6,'Road Evaluations'!$AC$5:$AC$1179,'BUDJET Year'!$B8)</f>
        <v>1538500.5681818179</v>
      </c>
      <c r="M8" s="27">
        <f>SUMIFS('Road Evaluations'!$AD$5:$AD$1179,'Road Evaluations'!$AG$5:$AG$1179,'BUDJET Year'!M$6,'Road Evaluations'!$AC$5:$AC$1179,'BUDJET Year'!$B8)</f>
        <v>256470.45454545459</v>
      </c>
      <c r="N8" s="134">
        <f>SUMIFS('Road Evaluations'!$AD$5:$AD$1179,'Road Evaluations'!$AG$5:$AG$1179,'BUDJET Year'!N$6,'Road Evaluations'!$AC$5:$AC$1179,'BUDJET Year'!$B8)</f>
        <v>0</v>
      </c>
      <c r="O8" s="8"/>
    </row>
    <row r="9" spans="1:15" x14ac:dyDescent="0.25">
      <c r="A9" t="s">
        <v>2083</v>
      </c>
      <c r="B9" t="s">
        <v>2073</v>
      </c>
      <c r="C9" s="20">
        <v>250000</v>
      </c>
      <c r="D9" s="11">
        <f>SUMIFS('Road Evaluations'!$AD$5:$AD$1179,'Road Evaluations'!$AG$5:$AG$1179,'BUDJET Year'!D$6,'Road Evaluations'!$AC$5:$AC$1179,'BUDJET Year'!$B9)</f>
        <v>0</v>
      </c>
      <c r="E9" s="11">
        <f>SUMIFS('Road Evaluations'!$AD$5:$AD$1179,'Road Evaluations'!$AG$5:$AG$1179,'BUDJET Year'!E$6,'Road Evaluations'!$AC$5:$AC$1179,'BUDJET Year'!$B9)</f>
        <v>0</v>
      </c>
      <c r="F9" s="11">
        <f>SUMIFS('Road Evaluations'!$AD$5:$AD$1179,'Road Evaluations'!$AG$5:$AG$1179,'BUDJET Year'!F$6,'Road Evaluations'!$AC$5:$AC$1179,'BUDJET Year'!$B9)</f>
        <v>0</v>
      </c>
      <c r="G9" s="11">
        <f>SUMIFS('Road Evaluations'!$AD$5:$AD$1179,'Road Evaluations'!$AG$5:$AG$1179,'BUDJET Year'!G$6,'Road Evaluations'!$AC$5:$AC$1179,'BUDJET Year'!$B9)</f>
        <v>0</v>
      </c>
      <c r="H9" s="11">
        <f>SUMIFS('Road Evaluations'!$AD$5:$AD$1179,'Road Evaluations'!$AG$5:$AG$1179,'BUDJET Year'!H$6,'Road Evaluations'!$AC$5:$AC$1179,'BUDJET Year'!$B9)</f>
        <v>488521.2121212121</v>
      </c>
      <c r="I9" s="11">
        <f>SUMIFS('Road Evaluations'!$AD$5:$AD$1179,'Road Evaluations'!$AG$5:$AG$1179,'BUDJET Year'!I$6,'Road Evaluations'!$AC$5:$AC$1179,'BUDJET Year'!$B9)</f>
        <v>306787.87878787878</v>
      </c>
      <c r="J9" s="11">
        <f>SUMIFS('Road Evaluations'!$AD$5:$AD$1179,'Road Evaluations'!$AG$5:$AG$1179,'BUDJET Year'!J$6,'Road Evaluations'!$AC$5:$AC$1179,'BUDJET Year'!$B9)</f>
        <v>421600.00000000006</v>
      </c>
      <c r="K9" s="27">
        <f>SUMIFS('Road Evaluations'!$AD$5:$AD$1179,'Road Evaluations'!$AG$5:$AG$1179,'BUDJET Year'!K$6,'Road Evaluations'!$AC$5:$AC$1179,'BUDJET Year'!$B9)</f>
        <v>199575.7575757576</v>
      </c>
      <c r="L9" s="27">
        <f>SUMIFS('Road Evaluations'!$AD$5:$AD$1179,'Road Evaluations'!$AG$5:$AG$1179,'BUDJET Year'!L$6,'Road Evaluations'!$AC$5:$AC$1179,'BUDJET Year'!$B9)</f>
        <v>484339.39393939398</v>
      </c>
      <c r="M9" s="27">
        <f>SUMIFS('Road Evaluations'!$AD$5:$AD$1179,'Road Evaluations'!$AG$5:$AG$1179,'BUDJET Year'!M$6,'Road Evaluations'!$AC$5:$AC$1179,'BUDJET Year'!$B9)</f>
        <v>789109.09090909106</v>
      </c>
      <c r="N9" s="134">
        <f>SUMIFS('Road Evaluations'!$AD$5:$AD$1179,'Road Evaluations'!$AG$5:$AG$1179,'BUDJET Year'!N$6,'Road Evaluations'!$AC$5:$AC$1179,'BUDJET Year'!$B9)</f>
        <v>0</v>
      </c>
      <c r="O9" s="8"/>
    </row>
    <row r="10" spans="1:15" x14ac:dyDescent="0.25">
      <c r="A10" t="s">
        <v>2087</v>
      </c>
      <c r="B10" t="s">
        <v>2086</v>
      </c>
      <c r="C10" s="21">
        <f>C8/15</f>
        <v>26666.666666666668</v>
      </c>
      <c r="D10" s="14">
        <f>D8/15+D9/30+D25*2000</f>
        <v>0</v>
      </c>
      <c r="E10" s="14">
        <f>E8/15+E9/30+D25*2000</f>
        <v>0</v>
      </c>
      <c r="F10" s="14">
        <f>F8/15+F9/30+E25*2000</f>
        <v>0</v>
      </c>
      <c r="G10" s="14">
        <f>G8/15+G9/30+F25*2000</f>
        <v>0</v>
      </c>
      <c r="H10" s="14">
        <f>H8/15+H9/30+G25*2000</f>
        <v>88729.595737373718</v>
      </c>
      <c r="I10" s="14">
        <f>I8/15+I9/30</f>
        <v>45014.671717171717</v>
      </c>
      <c r="J10" s="14">
        <f>J8/15+J9/30</f>
        <v>84065.530303030304</v>
      </c>
      <c r="K10" s="27">
        <f>K8/25000*6000</f>
        <v>385112.31818181829</v>
      </c>
      <c r="L10" s="27">
        <f>L8/15000*6000</f>
        <v>615400.22727272718</v>
      </c>
      <c r="M10" s="27">
        <f>M8/15000*6000</f>
        <v>102588.18181818184</v>
      </c>
      <c r="N10" s="27">
        <f>N8/15000*6000</f>
        <v>0</v>
      </c>
      <c r="O10" s="8"/>
    </row>
    <row r="11" spans="1:15" x14ac:dyDescent="0.25">
      <c r="A11" t="s">
        <v>2088</v>
      </c>
      <c r="B11" t="s">
        <v>62</v>
      </c>
      <c r="C11" s="20"/>
      <c r="D11" s="20"/>
      <c r="E11" s="20"/>
      <c r="F11" s="20"/>
      <c r="G11" s="20"/>
      <c r="H11" s="20">
        <v>50000</v>
      </c>
      <c r="I11" s="20">
        <v>50000</v>
      </c>
      <c r="J11" s="20">
        <v>50000</v>
      </c>
      <c r="K11" s="27"/>
      <c r="L11" s="27"/>
      <c r="M11" s="27"/>
      <c r="N11" s="134"/>
      <c r="O11" s="8"/>
    </row>
    <row r="12" spans="1:15" x14ac:dyDescent="0.25">
      <c r="A12" t="s">
        <v>2089</v>
      </c>
      <c r="B12" t="s">
        <v>2076</v>
      </c>
      <c r="C12" s="20">
        <f>SUMIFS('Road Evaluations'!$AD$5:$AD$1179,'Road Evaluations'!$AG$5:$AG$1179,'BUDJET Year'!C$6,'Road Evaluations'!$AC$5:$AC$1179,'BUDJET Year'!$B12)</f>
        <v>0</v>
      </c>
      <c r="D12" s="11">
        <f>SUMIFS('Road Evaluations'!$AD$5:$AD$1179,'Road Evaluations'!$AG$5:$AG$1179,'BUDJET Year'!D$6,'Road Evaluations'!$AC$5:$AC$1179,'BUDJET Year'!$B12)</f>
        <v>0</v>
      </c>
      <c r="E12" s="11">
        <f>SUMIFS('Road Evaluations'!$AD$5:$AD$1179,'Road Evaluations'!$AG$5:$AG$1179,'BUDJET Year'!E$6,'Road Evaluations'!$AC$5:$AC$1179,'BUDJET Year'!$B12)</f>
        <v>0</v>
      </c>
      <c r="F12" s="11">
        <f>SUMIFS('Road Evaluations'!$AD$5:$AD$1179,'Road Evaluations'!$AG$5:$AG$1179,'BUDJET Year'!F$6,'Road Evaluations'!$AC$5:$AC$1179,'BUDJET Year'!$B12)</f>
        <v>0</v>
      </c>
      <c r="G12" s="11">
        <f>SUMIFS('Road Evaluations'!$AD$5:$AD$1179,'Road Evaluations'!$AG$5:$AG$1179,'BUDJET Year'!G$6,'Road Evaluations'!$AC$5:$AC$1179,'BUDJET Year'!$B12)</f>
        <v>0</v>
      </c>
      <c r="H12" s="11">
        <f>SUMIFS('Road Evaluations'!$AD$5:$AD$1179,'Road Evaluations'!$AG$5:$AG$1179,'BUDJET Year'!H$6,'Road Evaluations'!$AC$5:$AC$1179,'BUDJET Year'!$B12)</f>
        <v>0</v>
      </c>
      <c r="I12" s="11">
        <f>SUMIFS('Road Evaluations'!$AD$5:$AD$1179,'Road Evaluations'!$AG$5:$AG$1179,'BUDJET Year'!I$6,'Road Evaluations'!$AC$5:$AC$1179,'BUDJET Year'!$B12)</f>
        <v>5828.030303030303</v>
      </c>
      <c r="J12" s="11">
        <f>SUMIFS('Road Evaluations'!$AD$5:$AD$1179,'Road Evaluations'!$AG$5:$AG$1179,'BUDJET Year'!J$6,'Road Evaluations'!$AC$5:$AC$1179,'BUDJET Year'!$B12)</f>
        <v>0</v>
      </c>
      <c r="K12" s="27">
        <f>SUMIFS('Road Evaluations'!$AD$5:$AD$1179,'Road Evaluations'!$AG$5:$AG$1179,'BUDJET Year'!K$6,'Road Evaluations'!$AC$5:$AC$1179,'BUDJET Year'!$B12)</f>
        <v>0</v>
      </c>
      <c r="L12" s="27">
        <f>SUMIFS('Road Evaluations'!$AD$5:$AD$1179,'Road Evaluations'!$AG$5:$AG$1179,'BUDJET Year'!L$6,'Road Evaluations'!$AC$5:$AC$1179,'BUDJET Year'!$B12)</f>
        <v>24587.500000000004</v>
      </c>
      <c r="M12" s="27">
        <f>SUMIFS('Road Evaluations'!$AD$5:$AD$1179,'Road Evaluations'!$AG$5:$AG$1179,'BUDJET Year'!M$6,'Road Evaluations'!$AC$5:$AC$1179,'BUDJET Year'!$B12)</f>
        <v>22988.636363636364</v>
      </c>
      <c r="N12" s="134">
        <f>SUMIFS('Road Evaluations'!$AD$5:$AD$1179,'Road Evaluations'!$AG$5:$AG$1179,'BUDJET Year'!N$6,'Road Evaluations'!$AC$5:$AC$1179,'BUDJET Year'!$B12)</f>
        <v>0</v>
      </c>
      <c r="O12" s="8"/>
    </row>
    <row r="13" spans="1:15" x14ac:dyDescent="0.25">
      <c r="A13" t="s">
        <v>2081</v>
      </c>
      <c r="B13" t="s">
        <v>751</v>
      </c>
      <c r="C13" s="20">
        <f>6*65000</f>
        <v>390000</v>
      </c>
      <c r="D13" s="11">
        <f>SUMIFS('Road Evaluations'!$AD$5:$AD$1179,'Road Evaluations'!$AG$5:$AG$1179,'BUDJET Year'!D$6,'Road Evaluations'!$AC$5:$AC$1179,'BUDJET Year'!$B13)</f>
        <v>0</v>
      </c>
      <c r="E13" s="11">
        <f>SUMIFS('Road Evaluations'!$AD$5:$AD$1179,'Road Evaluations'!$AG$5:$AG$1179,'BUDJET Year'!E$6,'Road Evaluations'!$AC$5:$AC$1179,'BUDJET Year'!$B13)</f>
        <v>0</v>
      </c>
      <c r="F13" s="11">
        <f>SUMIFS('Road Evaluations'!$AD$5:$AD$1179,'Road Evaluations'!$AG$5:$AG$1179,'BUDJET Year'!F$6,'Road Evaluations'!$AC$5:$AC$1179,'BUDJET Year'!$B13)</f>
        <v>0</v>
      </c>
      <c r="G13" s="11">
        <f>SUMIFS('Road Evaluations'!$AD$5:$AD$1179,'Road Evaluations'!$AG$5:$AG$1179,'BUDJET Year'!G$6,'Road Evaluations'!$AC$5:$AC$1179,'BUDJET Year'!$B13)</f>
        <v>0</v>
      </c>
      <c r="H13" s="11">
        <f>SUMIFS('Road Evaluations'!$AD$5:$AD$1179,'Road Evaluations'!$AG$5:$AG$1179,'BUDJET Year'!H$6,'Road Evaluations'!$AC$5:$AC$1179,'BUDJET Year'!$B13)</f>
        <v>652062.5</v>
      </c>
      <c r="I13" s="11">
        <f>SUMIFS('Road Evaluations'!$AD$5:$AD$1179,'Road Evaluations'!$AG$5:$AG$1179,'BUDJET Year'!I$6,'Road Evaluations'!$AC$5:$AC$1179,'BUDJET Year'!$B13)</f>
        <v>2571437.5000000005</v>
      </c>
      <c r="J13" s="11">
        <f>SUMIFS('Road Evaluations'!$AD$5:$AD$1179,'Road Evaluations'!$AG$5:$AG$1179,'BUDJET Year'!J$6,'Road Evaluations'!$AC$5:$AC$1179,'BUDJET Year'!$B13)</f>
        <v>1291187.5</v>
      </c>
      <c r="K13" s="27">
        <f>SUMIFS('Road Evaluations'!$AD$5:$AD$1179,'Road Evaluations'!$AG$5:$AG$1179,'BUDJET Year'!K$6,'Road Evaluations'!$AC$5:$AC$1179,'BUDJET Year'!$B13)</f>
        <v>1155583.333333333</v>
      </c>
      <c r="L13" s="27">
        <f>SUMIFS('Road Evaluations'!$AD$5:$AD$1179,'Road Evaluations'!$AG$5:$AG$1179,'BUDJET Year'!L$6,'Road Evaluations'!$AC$5:$AC$1179,'BUDJET Year'!$B13)</f>
        <v>79791.666666666672</v>
      </c>
      <c r="M13" s="27">
        <f>SUMIFS('Road Evaluations'!$AD$5:$AD$1179,'Road Evaluations'!$AG$5:$AG$1179,'BUDJET Year'!M$6,'Road Evaluations'!$AC$5:$AC$1179,'BUDJET Year'!$B13)</f>
        <v>707875</v>
      </c>
      <c r="N13" s="134">
        <f>SUMIFS('Road Evaluations'!$AD$5:$AD$1179,'Road Evaluations'!$AG$5:$AG$1179,'BUDJET Year'!N$6,'Road Evaluations'!$AC$5:$AC$1179,'BUDJET Year'!$B13)</f>
        <v>0</v>
      </c>
      <c r="O13" s="8"/>
    </row>
    <row r="14" spans="1:15" x14ac:dyDescent="0.25">
      <c r="A14" t="s">
        <v>2374</v>
      </c>
      <c r="B14" t="s">
        <v>2371</v>
      </c>
      <c r="C14" s="20"/>
      <c r="D14" s="11">
        <v>0</v>
      </c>
      <c r="E14" s="11">
        <f>SUMIFS('Road Evaluations'!$AD$5:$AD$1179,'Road Evaluations'!$AG$5:$AG$1179,'BUDJET Year'!E$6,'Road Evaluations'!$AC$5:$AC$1179,'BUDJET Year'!$B14)</f>
        <v>0</v>
      </c>
      <c r="F14" s="193">
        <f>SUMIFS('Road Evaluations'!$AD$5:$AD$1179,'Road Evaluations'!$AG$5:$AG$1179,'BUDJET Year'!F$6,'Road Evaluations'!$AC$5:$AC$1179,'BUDJET Year'!$B14)</f>
        <v>0</v>
      </c>
      <c r="G14" s="11">
        <f>SUMIFS('Road Evaluations'!$AD$5:$AD$1179,'Road Evaluations'!$AG$5:$AG$1179,'BUDJET Year'!G$6,'Road Evaluations'!$AC$5:$AC$1179,'BUDJET Year'!$B14)</f>
        <v>0</v>
      </c>
      <c r="H14" s="11">
        <f>SUMIFS('Road Evaluations'!$AD$5:$AD$1179,'Road Evaluations'!$AG$5:$AG$1179,'BUDJET Year'!H$6,'Road Evaluations'!$AC$5:$AC$1179,'BUDJET Year'!$B14)</f>
        <v>0</v>
      </c>
      <c r="I14" s="11">
        <f>SUMIFS('Road Evaluations'!$AD$5:$AD$1179,'Road Evaluations'!$AG$5:$AG$1179,'BUDJET Year'!I$6,'Road Evaluations'!$AC$5:$AC$1179,'BUDJET Year'!$B14)+600000</f>
        <v>1511106.0606060605</v>
      </c>
      <c r="J14" s="11">
        <f>SUMIFS('Road Evaluations'!$AD$5:$AD$1179,'Road Evaluations'!$AG$5:$AG$1179,'BUDJET Year'!J$6,'Road Evaluations'!$AC$5:$AC$1179,'BUDJET Year'!$B14)</f>
        <v>2756722.7272727275</v>
      </c>
      <c r="K14" s="27">
        <f>SUMIFS('Road Evaluations'!$AD$5:$AD$1179,'Road Evaluations'!$AG$5:$AG$1179,'BUDJET Year'!K$6,'Road Evaluations'!$AC$5:$AC$1179,'BUDJET Year'!$B14)</f>
        <v>0</v>
      </c>
      <c r="L14" s="27">
        <f>SUMIFS('Road Evaluations'!$AD$5:$AD$1179,'Road Evaluations'!$AG$5:$AG$1179,'BUDJET Year'!L$6,'Road Evaluations'!$AC$5:$AC$1179,'BUDJET Year'!$B14)</f>
        <v>27545.454545454544</v>
      </c>
      <c r="M14" s="27">
        <f>SUMIFS('Road Evaluations'!$AD$5:$AD$1179,'Road Evaluations'!$AG$5:$AG$1179,'BUDJET Year'!M$6,'Road Evaluations'!$AC$5:$AC$1179,'BUDJET Year'!$B14)</f>
        <v>185572.72727272726</v>
      </c>
      <c r="N14" s="27">
        <f>SUMIFS('Road Evaluations'!$AD$5:$AD$1179,'Road Evaluations'!$AG$5:$AG$1179,'BUDJET Year'!N$6,'Road Evaluations'!$AC$5:$AC$1179,'BUDJET Year'!$B14)</f>
        <v>135212.12121212122</v>
      </c>
      <c r="O14" s="8"/>
    </row>
    <row r="15" spans="1:15" x14ac:dyDescent="0.25">
      <c r="A15" t="s">
        <v>2425</v>
      </c>
      <c r="B15" t="s">
        <v>2425</v>
      </c>
      <c r="C15" s="20"/>
      <c r="D15" s="11">
        <v>0</v>
      </c>
      <c r="E15" s="11">
        <f>SUMIFS('Road Evaluations'!$AD$5:$AD$1179,'Road Evaluations'!$AG$5:$AG$1179,'BUDJET Year'!E$6,'Road Evaluations'!$AC$5:$AC$1179,'BUDJET Year'!$B15)</f>
        <v>0</v>
      </c>
      <c r="F15" s="193">
        <f>SUMIFS('Road Evaluations'!$AD$5:$AD$1179,'Road Evaluations'!$AG$5:$AG$1179,'BUDJET Year'!F$6,'Road Evaluations'!$AC$5:$AC$1179,'BUDJET Year'!$B15)</f>
        <v>0</v>
      </c>
      <c r="G15" s="11">
        <f>SUMIFS('Road Evaluations'!$AD$5:$AD$1179,'Road Evaluations'!$AG$5:$AG$1179,'BUDJET Year'!G$6,'Road Evaluations'!$AC$5:$AC$1179,'BUDJET Year'!$B15)</f>
        <v>0</v>
      </c>
      <c r="H15" s="11">
        <f>SUMIFS('Road Evaluations'!$AD$5:$AD$1179,'Road Evaluations'!$AG$5:$AG$1179,'BUDJET Year'!H$6,'Road Evaluations'!$AC$5:$AC$1179,'BUDJET Year'!$B15)</f>
        <v>0</v>
      </c>
      <c r="I15" s="11">
        <f>SUMIFS('Road Evaluations'!$AD$5:$AD$1179,'Road Evaluations'!$AG$5:$AG$1179,'BUDJET Year'!I$6,'Road Evaluations'!$AC$5:$AC$1179,'BUDJET Year'!$B15)</f>
        <v>0</v>
      </c>
      <c r="J15" s="11">
        <f>SUMIFS('Road Evaluations'!$AD$5:$AD$1179,'Road Evaluations'!$AG$5:$AG$1179,'BUDJET Year'!J$6,'Road Evaluations'!$AC$5:$AC$1179,'BUDJET Year'!$B15)</f>
        <v>0</v>
      </c>
      <c r="K15" s="27">
        <f>SUMIFS('Road Evaluations'!$AD$5:$AD$1179,'Road Evaluations'!$AG$5:$AG$1179,'BUDJET Year'!K$6,'Road Evaluations'!$AC$5:$AC$1179,'BUDJET Year'!$B15)</f>
        <v>132320.07575757575</v>
      </c>
      <c r="L15" s="27">
        <f>SUMIFS('Road Evaluations'!$AD$5:$AD$1179,'Road Evaluations'!$AG$5:$AG$1179,'BUDJET Year'!L$6,'Road Evaluations'!$AC$5:$AC$1179,'BUDJET Year'!$B15)</f>
        <v>1332363.3049242429</v>
      </c>
      <c r="M15" s="27">
        <f>SUMIFS('Road Evaluations'!$AD$5:$AD$1179,'Road Evaluations'!$AG$5:$AG$1179,'BUDJET Year'!M$6,'Road Evaluations'!$AC$5:$AC$1179,'BUDJET Year'!$B15)</f>
        <v>549611.74242424231</v>
      </c>
      <c r="N15" s="27">
        <f>SUMIFS('Road Evaluations'!$AD$5:$AD$1179,'Road Evaluations'!$AG$5:$AG$1179,'BUDJET Year'!N$6,'Road Evaluations'!$AC$5:$AC$1179,'BUDJET Year'!$B15)</f>
        <v>0</v>
      </c>
      <c r="O15" s="8"/>
    </row>
    <row r="16" spans="1:15" x14ac:dyDescent="0.25">
      <c r="A16" t="s">
        <v>2080</v>
      </c>
      <c r="B16" t="s">
        <v>2079</v>
      </c>
      <c r="C16" s="20">
        <f>SUMIFS('Road Evaluations'!$AD$5:$AD$1179,'Road Evaluations'!$AG$5:$AG$1179,'BUDJET Year'!C$6,'Road Evaluations'!$AC$5:$AC$1179,'BUDJET Year'!$B16)</f>
        <v>0</v>
      </c>
      <c r="D16" s="11">
        <f>SUMIFS('Road Evaluations'!$AD$5:$AD$1179,'Road Evaluations'!$AG$5:$AG$1179,'BUDJET Year'!D$6,'Road Evaluations'!$AC$5:$AC$1179,'BUDJET Year'!$B16)</f>
        <v>0</v>
      </c>
      <c r="E16" s="11">
        <f>SUMIFS('Road Evaluations'!$AD$5:$AD$1179,'Road Evaluations'!$AG$5:$AG$1179,'BUDJET Year'!E$6,'Road Evaluations'!$AC$5:$AC$1179,'BUDJET Year'!$B16)</f>
        <v>0</v>
      </c>
      <c r="F16" s="11">
        <f>SUMIFS('Road Evaluations'!$AD$5:$AD$1179,'Road Evaluations'!$AG$5:$AG$1179,'BUDJET Year'!F$6,'Road Evaluations'!$AC$5:$AC$1179,'BUDJET Year'!$B16)</f>
        <v>0</v>
      </c>
      <c r="G16" s="11">
        <f>SUMIFS('Road Evaluations'!$AD$5:$AD$1179,'Road Evaluations'!$AG$5:$AG$1179,'BUDJET Year'!G$6,'Road Evaluations'!$AC$5:$AC$1179,'BUDJET Year'!$B16)</f>
        <v>0</v>
      </c>
      <c r="H16" s="11">
        <f>SUMIFS('Road Evaluations'!$AD$5:$AD$1179,'Road Evaluations'!$AG$5:$AG$1179,'BUDJET Year'!H$6,'Road Evaluations'!$AC$5:$AC$1179,'BUDJET Year'!$B16)</f>
        <v>0</v>
      </c>
      <c r="I16" s="11">
        <f>SUMIFS('Road Evaluations'!$AD$5:$AD$1179,'Road Evaluations'!$AG$5:$AG$1179,'BUDJET Year'!I$6,'Road Evaluations'!$AC$5:$AC$1179,'BUDJET Year'!$B16)</f>
        <v>0</v>
      </c>
      <c r="J16" s="11">
        <f>SUMIFS('Road Evaluations'!$AD$5:$AD$1179,'Road Evaluations'!$AG$5:$AG$1179,'BUDJET Year'!J$6,'Road Evaluations'!$AC$5:$AC$1179,'BUDJET Year'!$B16)</f>
        <v>0</v>
      </c>
      <c r="K16" s="27">
        <f>SUMIFS('Road Evaluations'!$AD$5:$AD$1179,'Road Evaluations'!$AG$5:$AG$1179,'BUDJET Year'!K$6,'Road Evaluations'!$AC$5:$AC$1179,'BUDJET Year'!$B16)</f>
        <v>0</v>
      </c>
      <c r="L16" s="27">
        <f>SUMIFS('Road Evaluations'!$AD$5:$AD$1179,'Road Evaluations'!$AG$5:$AG$1179,'BUDJET Year'!L$6,'Road Evaluations'!$AC$5:$AC$1179,'BUDJET Year'!$B16)</f>
        <v>0</v>
      </c>
      <c r="M16" s="27">
        <f>SUMIFS('Road Evaluations'!$AD$5:$AD$1179,'Road Evaluations'!$AG$5:$AG$1179,'BUDJET Year'!M$6,'Road Evaluations'!$AC$5:$AC$1179,'BUDJET Year'!$B16)</f>
        <v>0</v>
      </c>
      <c r="N16" s="134">
        <f>SUMIFS('Road Evaluations'!$AD$5:$AD$1179,'Road Evaluations'!$AG$5:$AG$1179,'BUDJET Year'!N$6,'Road Evaluations'!$AC$5:$AC$1179,'BUDJET Year'!$B16)</f>
        <v>0</v>
      </c>
      <c r="O16" s="8"/>
    </row>
    <row r="17" spans="1:15" x14ac:dyDescent="0.25">
      <c r="A17" t="s">
        <v>2091</v>
      </c>
      <c r="B17" t="s">
        <v>2078</v>
      </c>
      <c r="C17" s="20">
        <f>SUMIFS('Road Evaluations'!$AD$5:$AD$1179,'Road Evaluations'!$AG$5:$AG$1179,'BUDJET Year'!C$6,'Road Evaluations'!$AC$5:$AC$1179,'BUDJET Year'!$B17)</f>
        <v>0</v>
      </c>
      <c r="D17" s="11">
        <f>SUMIFS('Road Evaluations'!$AD$5:$AD$1179,'Road Evaluations'!$AG$5:$AG$1179,'BUDJET Year'!D$6,'Road Evaluations'!$AC$5:$AC$1179,'BUDJET Year'!$B17)</f>
        <v>0</v>
      </c>
      <c r="E17" s="11">
        <f>SUMIFS('Road Evaluations'!$AD$5:$AD$1179,'Road Evaluations'!$AG$5:$AG$1179,'BUDJET Year'!E$6,'Road Evaluations'!$AC$5:$AC$1179,'BUDJET Year'!$B17)</f>
        <v>0</v>
      </c>
      <c r="F17" s="11">
        <f>SUMIFS('Road Evaluations'!$AD$5:$AD$1179,'Road Evaluations'!$AG$5:$AG$1179,'BUDJET Year'!F$6,'Road Evaluations'!$AC$5:$AC$1179,'BUDJET Year'!$B17)</f>
        <v>0</v>
      </c>
      <c r="G17" s="11">
        <f>SUMIFS('Road Evaluations'!$AD$5:$AD$1179,'Road Evaluations'!$AG$5:$AG$1179,'BUDJET Year'!G$6,'Road Evaluations'!$AC$5:$AC$1179,'BUDJET Year'!$B17)</f>
        <v>0</v>
      </c>
      <c r="H17" s="11">
        <f>SUMIFS('Road Evaluations'!$AD$5:$AD$1179,'Road Evaluations'!$AG$5:$AG$1179,'BUDJET Year'!H$6,'Road Evaluations'!$AC$5:$AC$1179,'BUDJET Year'!$B17)</f>
        <v>0</v>
      </c>
      <c r="I17" s="11">
        <f>SUMIFS('Road Evaluations'!$AD$5:$AD$1179,'Road Evaluations'!$AG$5:$AG$1179,'BUDJET Year'!I$6,'Road Evaluations'!$AC$5:$AC$1179,'BUDJET Year'!$B17)</f>
        <v>0</v>
      </c>
      <c r="J17" s="11">
        <f>SUMIFS('Road Evaluations'!$AD$5:$AD$1179,'Road Evaluations'!$AG$5:$AG$1179,'BUDJET Year'!J$6,'Road Evaluations'!$AC$5:$AC$1179,'BUDJET Year'!$B17)</f>
        <v>0</v>
      </c>
      <c r="K17" s="27">
        <f>SUMIFS('Road Evaluations'!$AD$5:$AD$1179,'Road Evaluations'!$AG$5:$AG$1179,'BUDJET Year'!K$6,'Road Evaluations'!$AC$5:$AC$1179,'BUDJET Year'!$B17)</f>
        <v>0</v>
      </c>
      <c r="L17" s="27">
        <f>SUMIFS('Road Evaluations'!$AD$5:$AD$1179,'Road Evaluations'!$AG$5:$AG$1179,'BUDJET Year'!L$6,'Road Evaluations'!$AC$5:$AC$1179,'BUDJET Year'!$B17)</f>
        <v>0</v>
      </c>
      <c r="M17" s="27">
        <f>SUMIFS('Road Evaluations'!$AD$5:$AD$1179,'Road Evaluations'!$AG$5:$AG$1179,'BUDJET Year'!M$6,'Road Evaluations'!$AC$5:$AC$1179,'BUDJET Year'!$B17)</f>
        <v>0</v>
      </c>
      <c r="N17" s="134">
        <f>SUMIFS('Road Evaluations'!$AD$5:$AD$1179,'Road Evaluations'!$AG$5:$AG$1179,'BUDJET Year'!N$6,'Road Evaluations'!$AC$5:$AC$1179,'BUDJET Year'!$B17)</f>
        <v>0</v>
      </c>
      <c r="O17" s="8"/>
    </row>
    <row r="18" spans="1:15" x14ac:dyDescent="0.25">
      <c r="A18" t="s">
        <v>2314</v>
      </c>
      <c r="B18" t="s">
        <v>2312</v>
      </c>
      <c r="C18" s="20">
        <f>SUMIFS('Road Evaluations'!$AD$5:$AD$1179,'Road Evaluations'!$AG$5:$AG$1179,'BUDJET Year'!C$6,'Road Evaluations'!$AC$5:$AC$1179,'BUDJET Year'!$B18)</f>
        <v>0</v>
      </c>
      <c r="D18" s="11">
        <f>SUMIFS('Road Evaluations'!$AD$5:$AD$1179,'Road Evaluations'!$AG$5:$AG$1179,'BUDJET Year'!D$6,'Road Evaluations'!$AC$5:$AC$1179,'BUDJET Year'!$B18)</f>
        <v>0</v>
      </c>
      <c r="E18" s="11">
        <f>SUMIFS('Road Evaluations'!$AD$5:$AD$1179,'Road Evaluations'!$AG$5:$AG$1179,'BUDJET Year'!E$6,'Road Evaluations'!$AC$5:$AC$1179,'BUDJET Year'!$B18)</f>
        <v>0</v>
      </c>
      <c r="F18" s="11">
        <f>SUMIFS('Road Evaluations'!$AD$5:$AD$1179,'Road Evaluations'!$AG$5:$AG$1179,'BUDJET Year'!F$6,'Road Evaluations'!$AC$5:$AC$1179,'BUDJET Year'!$B18)</f>
        <v>0</v>
      </c>
      <c r="G18" s="11">
        <f>SUMIFS('Road Evaluations'!$AD$5:$AD$1179,'Road Evaluations'!$AG$5:$AG$1179,'BUDJET Year'!G$6,'Road Evaluations'!$AC$5:$AC$1179,'BUDJET Year'!$B18)</f>
        <v>0</v>
      </c>
      <c r="H18" s="11">
        <f>SUMIFS('Road Evaluations'!$AD$5:$AD$1179,'Road Evaluations'!$AG$5:$AG$1179,'BUDJET Year'!H$6,'Road Evaluations'!$AC$5:$AC$1179,'BUDJET Year'!$B18)</f>
        <v>0</v>
      </c>
      <c r="I18" s="11">
        <f>SUMIFS('Road Evaluations'!$AD$5:$AD$1179,'Road Evaluations'!$AG$5:$AG$1179,'BUDJET Year'!I$6,'Road Evaluations'!$AC$5:$AC$1179,'BUDJET Year'!$B18)</f>
        <v>34502.840909090912</v>
      </c>
      <c r="J18" s="11">
        <f>SUMIFS('Road Evaluations'!$AD$5:$AD$1179,'Road Evaluations'!$AG$5:$AG$1179,'BUDJET Year'!J$6,'Road Evaluations'!$AC$5:$AC$1179,'BUDJET Year'!$B18)</f>
        <v>47244.318181818184</v>
      </c>
      <c r="K18" s="27">
        <f>SUMIFS('Road Evaluations'!$AD$5:$AD$1179,'Road Evaluations'!$AG$5:$AG$1179,'BUDJET Year'!K$6,'Road Evaluations'!$AC$5:$AC$1179,'BUDJET Year'!$B18)</f>
        <v>54744.318181818177</v>
      </c>
      <c r="L18" s="27">
        <f>SUMIFS('Road Evaluations'!$AD$5:$AD$1179,'Road Evaluations'!$AG$5:$AG$1179,'BUDJET Year'!L$6,'Road Evaluations'!$AC$5:$AC$1179,'BUDJET Year'!$B18)</f>
        <v>0</v>
      </c>
      <c r="M18" s="27">
        <f>SUMIFS('Road Evaluations'!$AD$5:$AD$1179,'Road Evaluations'!$AG$5:$AG$1179,'BUDJET Year'!M$6,'Road Evaluations'!$AC$5:$AC$1179,'BUDJET Year'!$B18)</f>
        <v>0</v>
      </c>
      <c r="N18" s="134">
        <f>SUMIFS('Road Evaluations'!$AD$5:$AD$1179,'Road Evaluations'!$AG$5:$AG$1179,'BUDJET Year'!N$6,'Road Evaluations'!$AC$5:$AC$1179,'BUDJET Year'!$B18)</f>
        <v>0</v>
      </c>
      <c r="O18" s="8"/>
    </row>
    <row r="19" spans="1:15" x14ac:dyDescent="0.25">
      <c r="A19" t="s">
        <v>2090</v>
      </c>
      <c r="B19" t="s">
        <v>2077</v>
      </c>
      <c r="C19" s="20">
        <v>15000</v>
      </c>
      <c r="D19" s="11">
        <f>SUMIFS('Road Evaluations'!$AD$5:$AD$1179,'Road Evaluations'!$AG$5:$AG$1179,'BUDJET Year'!D$6,'Road Evaluations'!$AC$5:$AC$1179,'BUDJET Year'!$B19)</f>
        <v>0</v>
      </c>
      <c r="E19" s="11"/>
      <c r="F19" s="11">
        <f>SUMIFS('Road Evaluations'!$AD$5:$AD$1179,'Road Evaluations'!$AG$5:$AG$1179,'BUDJET Year'!F$6,'Road Evaluations'!$AC$5:$AC$1179,'BUDJET Year'!$B19)</f>
        <v>0</v>
      </c>
      <c r="G19" s="11">
        <f>SUMIFS('Road Evaluations'!$AD$5:$AD$1179,'Road Evaluations'!$AG$5:$AG$1179,'BUDJET Year'!G$6,'Road Evaluations'!$AC$5:$AC$1179,'BUDJET Year'!$B19)</f>
        <v>0</v>
      </c>
      <c r="H19" s="11">
        <f>SUMIFS('Road Evaluations'!$AD$5:$AD$1179,'Road Evaluations'!$AG$5:$AG$1179,'BUDJET Year'!H$6,'Road Evaluations'!$AC$5:$AC$1179,'BUDJET Year'!$B19)</f>
        <v>0</v>
      </c>
      <c r="I19" s="11">
        <f>SUMIFS('Road Evaluations'!$AD$5:$AD$1179,'Road Evaluations'!$AG$5:$AG$1179,'BUDJET Year'!I$6,'Road Evaluations'!$AC$5:$AC$1179,'BUDJET Year'!$B19)</f>
        <v>0</v>
      </c>
      <c r="J19" s="11">
        <f>SUMIFS('Road Evaluations'!$AD$5:$AD$1179,'Road Evaluations'!$AG$5:$AG$1179,'BUDJET Year'!J$6,'Road Evaluations'!$AC$5:$AC$1179,'BUDJET Year'!$B19)</f>
        <v>0</v>
      </c>
      <c r="K19" s="27">
        <f>SUMIFS('Road Evaluations'!$AD$5:$AD$1179,'Road Evaluations'!$AG$5:$AG$1179,'BUDJET Year'!K$6,'Road Evaluations'!$AC$5:$AC$1179,'BUDJET Year'!$B19)</f>
        <v>0</v>
      </c>
      <c r="L19" s="27">
        <f>SUMIFS('Road Evaluations'!$AD$5:$AD$1179,'Road Evaluations'!$AG$5:$AG$1179,'BUDJET Year'!L$6,'Road Evaluations'!$AC$5:$AC$1179,'BUDJET Year'!$B19)</f>
        <v>0</v>
      </c>
      <c r="M19" s="27">
        <f>SUMIFS('Road Evaluations'!$AD$5:$AD$1179,'Road Evaluations'!$AG$5:$AG$1179,'BUDJET Year'!M$6,'Road Evaluations'!$AC$5:$AC$1179,'BUDJET Year'!$B19)</f>
        <v>0</v>
      </c>
      <c r="N19" s="134">
        <f>SUMIFS('Road Evaluations'!$AD$5:$AD$1179,'Road Evaluations'!$AG$5:$AG$1179,'BUDJET Year'!N$6,'Road Evaluations'!$AC$5:$AC$1179,'BUDJET Year'!$B19)</f>
        <v>0</v>
      </c>
      <c r="O19" s="8"/>
    </row>
    <row r="20" spans="1:15" ht="15.75" thickBot="1" x14ac:dyDescent="0.3">
      <c r="A20" t="s">
        <v>2082</v>
      </c>
      <c r="B20" t="s">
        <v>2072</v>
      </c>
      <c r="C20" s="22">
        <v>250000</v>
      </c>
      <c r="D20" s="12">
        <f>SUMIFS('Road Evaluations'!$AD$5:$AD$1179,'Road Evaluations'!$AG$5:$AG$1179,'BUDJET Year'!D$6,'Road Evaluations'!$AC$5:$AC$1179,'BUDJET Year'!$B20)</f>
        <v>0</v>
      </c>
      <c r="E20" s="12">
        <f>SUMIFS('Road Evaluations'!$AD$5:$AD$1179,'Road Evaluations'!$AG$5:$AG$1179,'BUDJET Year'!E$6,'Road Evaluations'!$AC$5:$AC$1179,'BUDJET Year'!$B20)</f>
        <v>0</v>
      </c>
      <c r="F20" s="12">
        <f>SUMIFS('Road Evaluations'!$AD$5:$AD$1179,'Road Evaluations'!$AG$5:$AG$1179,'BUDJET Year'!F$6,'Road Evaluations'!$AC$5:$AC$1179,'BUDJET Year'!$B20)</f>
        <v>0</v>
      </c>
      <c r="G20" s="12">
        <f>SUMIFS('Road Evaluations'!$AD$5:$AD$1179,'Road Evaluations'!$AG$5:$AG$1179,'BUDJET Year'!G$6,'Road Evaluations'!$AC$5:$AC$1179,'BUDJET Year'!$B20)</f>
        <v>0</v>
      </c>
      <c r="H20" s="12">
        <f>SUMIFS('Road Evaluations'!$AD$5:$AD$1179,'Road Evaluations'!$AG$5:$AG$1179,'BUDJET Year'!H$6,'Road Evaluations'!$AC$5:$AC$1179,'BUDJET Year'!$B20)</f>
        <v>0</v>
      </c>
      <c r="I20" s="12">
        <f>SUMIFS('Road Evaluations'!$AD$5:$AD$1179,'Road Evaluations'!$AG$5:$AG$1179,'BUDJET Year'!I$6,'Road Evaluations'!$AC$5:$AC$1179,'BUDJET Year'!$B20)</f>
        <v>210937.87878787878</v>
      </c>
      <c r="J20" s="12">
        <f>SUMIFS('Road Evaluations'!$AD$5:$AD$1179,'Road Evaluations'!$AG$5:$AG$1179,'BUDJET Year'!J$6,'Road Evaluations'!$AC$5:$AC$1179,'BUDJET Year'!$B20)</f>
        <v>46609.848484848488</v>
      </c>
      <c r="K20" s="127">
        <f>SUMIFS('Road Evaluations'!$AD$5:$AD$1179,'Road Evaluations'!$AG$5:$AG$1179,'BUDJET Year'!K$6,'Road Evaluations'!$AC$5:$AC$1179,'BUDJET Year'!$B20)</f>
        <v>428703.78787878784</v>
      </c>
      <c r="L20" s="127">
        <f>SUMIFS('Road Evaluations'!$AD$5:$AD$1179,'Road Evaluations'!$AG$5:$AG$1179,'BUDJET Year'!L$6,'Road Evaluations'!$AC$5:$AC$1179,'BUDJET Year'!$B20)</f>
        <v>158290.53030303033</v>
      </c>
      <c r="M20" s="127">
        <f>SUMIFS('Road Evaluations'!$AD$5:$AD$1179,'Road Evaluations'!$AG$5:$AG$1179,'BUDJET Year'!M$6,'Road Evaluations'!$AC$5:$AC$1179,'BUDJET Year'!$B20)</f>
        <v>1408601.8939393936</v>
      </c>
      <c r="N20" s="136">
        <f>SUMIFS('Road Evaluations'!$AD$5:$AD$1179,'Road Evaluations'!$AG$5:$AG$1179,'BUDJET Year'!N$6,'Road Evaluations'!$AC$5:$AC$1179,'BUDJET Year'!$B20)</f>
        <v>0</v>
      </c>
      <c r="O20" s="8"/>
    </row>
    <row r="21" spans="1:15" x14ac:dyDescent="0.25">
      <c r="C21" s="9"/>
      <c r="D21" s="11">
        <f>SUM(D7:D20)</f>
        <v>0</v>
      </c>
      <c r="E21" s="11">
        <f t="shared" ref="E21:J21" si="1">SUM(E7:E20)</f>
        <v>0</v>
      </c>
      <c r="F21" s="11">
        <f t="shared" si="1"/>
        <v>0</v>
      </c>
      <c r="G21" s="11">
        <f t="shared" si="1"/>
        <v>0</v>
      </c>
      <c r="H21" s="11">
        <f t="shared" si="1"/>
        <v>2474454.8196767676</v>
      </c>
      <c r="I21" s="11">
        <f t="shared" si="1"/>
        <v>5257440.9974747477</v>
      </c>
      <c r="J21" s="11">
        <f t="shared" si="1"/>
        <v>5747612.8787878798</v>
      </c>
      <c r="K21" s="27">
        <f>SUM(K7:K20)</f>
        <v>3985200.2727272734</v>
      </c>
      <c r="L21" s="27">
        <f>SUM(L7:L20)</f>
        <v>4260818.645833333</v>
      </c>
      <c r="M21" s="27">
        <f>SUM(M7:M20)</f>
        <v>4022817.7272727271</v>
      </c>
      <c r="N21" s="27">
        <f>SUM(N7:N20)</f>
        <v>135212.12121212122</v>
      </c>
    </row>
    <row r="22" spans="1:15" x14ac:dyDescent="0.25">
      <c r="A22" t="s">
        <v>2195</v>
      </c>
      <c r="D22" s="13">
        <f>SUMIF('Road Evaluations'!$AG$3:$AG$1179,'BUDJET Year'!D6,'Road Evaluations'!$G$3:$G$1179)/5280</f>
        <v>0</v>
      </c>
      <c r="E22" s="13">
        <f>SUMIF('Road Evaluations'!$AG$3:$AG$1179,'BUDJET Year'!E6,'Road Evaluations'!$G$3:$G$1179)/5280</f>
        <v>0</v>
      </c>
      <c r="F22" s="13">
        <f>SUMIF('Road Evaluations'!$AG$3:$AG$1179,'BUDJET Year'!F6,'Road Evaluations'!$G$3:$G$1179)/5280</f>
        <v>0</v>
      </c>
      <c r="G22" s="13">
        <f>SUMIF('Road Evaluations'!$AG$3:$AG$1179,'BUDJET Year'!G6,'Road Evaluations'!$G$3:$G$1179)/5280</f>
        <v>0</v>
      </c>
      <c r="H22" s="13">
        <f>SUMIF('Road Evaluations'!$AG$3:$AG$1179,'BUDJET Year'!H6,'Road Evaluations'!$G$3:$G$1179)/5280</f>
        <v>93.380303030303025</v>
      </c>
      <c r="I22" s="13">
        <f>SUMIF('Road Evaluations'!$AG$3:$AG$1179,'BUDJET Year'!I6,'Road Evaluations'!$G$3:$G$1179)/5280</f>
        <v>75.683522727272731</v>
      </c>
      <c r="J22" s="13">
        <f>SUMIF('Road Evaluations'!$AG$3:$AG$1179,'BUDJET Year'!J6,'Road Evaluations'!$G$3:$G$1179)/5280</f>
        <v>119.71357954545454</v>
      </c>
      <c r="K22" s="232">
        <f>SUMIF('Road Evaluations'!$AG$3:$AG$1179,'BUDJET Year'!K6,'Road Evaluations'!$G$3:$G$1179)/5280</f>
        <v>120.33965909090909</v>
      </c>
      <c r="L22" s="232">
        <f>SUMIF('Road Evaluations'!$AG$3:$AG$1179,'BUDJET Year'!L6,'Road Evaluations'!$G$3:$G$1179)/5280</f>
        <v>134.32900189393939</v>
      </c>
      <c r="M22" s="232">
        <f>SUMIF('Road Evaluations'!$AG$3:$AG$1179,'BUDJET Year'!M6,'Road Evaluations'!$G$3:$G$1179)/5280</f>
        <v>99.875719696969711</v>
      </c>
      <c r="N22" s="232">
        <f>SUMIF('Road Evaluations'!$AG$3:$AG$1179,'BUDJET Year'!N6,'Road Evaluations'!$G$3:$G$1179)/5280</f>
        <v>1.6901515151515152</v>
      </c>
    </row>
    <row r="25" spans="1:15" x14ac:dyDescent="0.25">
      <c r="B25" t="s">
        <v>2196</v>
      </c>
      <c r="C25" s="75">
        <f>C13/75000+C20/45000/2</f>
        <v>7.9777777777777779</v>
      </c>
      <c r="D25" s="75">
        <f>D13/75000+D20/45000/2+D14/45000</f>
        <v>0</v>
      </c>
      <c r="E25" s="75">
        <f t="shared" ref="E25:J25" si="2">E13/75000+E20/45000/2+E14/45000</f>
        <v>0</v>
      </c>
      <c r="F25" s="75">
        <f t="shared" si="2"/>
        <v>0</v>
      </c>
      <c r="G25" s="75">
        <f t="shared" si="2"/>
        <v>0</v>
      </c>
      <c r="H25" s="75">
        <f t="shared" si="2"/>
        <v>8.6941666666666659</v>
      </c>
      <c r="I25" s="75">
        <f t="shared" si="2"/>
        <v>70.209722222222211</v>
      </c>
      <c r="J25" s="75">
        <f t="shared" si="2"/>
        <v>78.994225589225593</v>
      </c>
      <c r="K25" s="75">
        <f t="shared" ref="K25:M25" si="3">K13/75000+K20/45000/2+K14/45000</f>
        <v>20.171153198653194</v>
      </c>
      <c r="L25" s="75">
        <f t="shared" si="3"/>
        <v>3.434793771043771</v>
      </c>
      <c r="M25" s="75">
        <f t="shared" si="3"/>
        <v>29.213303872053864</v>
      </c>
    </row>
    <row r="26" spans="1:15" x14ac:dyDescent="0.25">
      <c r="B26" t="s">
        <v>2197</v>
      </c>
      <c r="C26" s="75">
        <f>C8/15000+C9/25000+C20/45000/2</f>
        <v>39.44444444444445</v>
      </c>
      <c r="D26" s="75">
        <f t="shared" ref="D26:J26" si="4">D8/15000+D9/25000+D20/45000/2</f>
        <v>0</v>
      </c>
      <c r="E26" s="75">
        <f t="shared" si="4"/>
        <v>0</v>
      </c>
      <c r="F26" s="75">
        <f t="shared" si="4"/>
        <v>0</v>
      </c>
      <c r="G26" s="75">
        <f t="shared" si="4"/>
        <v>0</v>
      </c>
      <c r="H26" s="75">
        <f t="shared" si="4"/>
        <v>91.986403818181799</v>
      </c>
      <c r="I26" s="75">
        <f t="shared" si="4"/>
        <v>49.403678451178443</v>
      </c>
      <c r="J26" s="75">
        <f t="shared" si="4"/>
        <v>87.394084175084188</v>
      </c>
      <c r="K26" s="75">
        <f>K8/15000+K9/25000+K20/45000/2</f>
        <v>119.7220496632997</v>
      </c>
      <c r="L26" s="75">
        <f t="shared" ref="L26:M26" si="5">L8/15000+L9/25000+L20/45000/2</f>
        <v>123.69906397306394</v>
      </c>
      <c r="M26" s="75">
        <f t="shared" si="5"/>
        <v>64.313526094276099</v>
      </c>
    </row>
    <row r="27" spans="1:15" x14ac:dyDescent="0.25">
      <c r="B27" t="s">
        <v>2198</v>
      </c>
      <c r="C27" s="75">
        <f>C7/6200</f>
        <v>15.806451612903226</v>
      </c>
      <c r="D27" s="75">
        <f t="shared" ref="D27:J27" si="6">D7/6200+D10/3000</f>
        <v>0</v>
      </c>
      <c r="E27" s="75">
        <f t="shared" si="6"/>
        <v>0</v>
      </c>
      <c r="F27" s="75">
        <f t="shared" si="6"/>
        <v>0</v>
      </c>
      <c r="G27" s="75">
        <f t="shared" si="6"/>
        <v>0</v>
      </c>
      <c r="H27" s="75">
        <f t="shared" si="6"/>
        <v>47.069787044422711</v>
      </c>
      <c r="I27" s="75">
        <f t="shared" si="6"/>
        <v>15.004890572390572</v>
      </c>
      <c r="J27" s="75">
        <f t="shared" si="6"/>
        <v>28.021843434343435</v>
      </c>
      <c r="K27" s="75">
        <f>K7/6200+K10/3000</f>
        <v>132.32658284457483</v>
      </c>
      <c r="L27" s="75">
        <f t="shared" ref="L27:M27" si="7">L7/6200+L10/3000</f>
        <v>205.13340909090905</v>
      </c>
      <c r="M27" s="75">
        <f t="shared" si="7"/>
        <v>34.196060606060612</v>
      </c>
    </row>
  </sheetData>
  <dataConsolidate/>
  <pageMargins left="0.7" right="0.7" top="0.75" bottom="0.75" header="0.3" footer="0.3"/>
  <pageSetup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26"/>
  <sheetViews>
    <sheetView workbookViewId="0">
      <selection activeCell="E11" sqref="E11:I20"/>
    </sheetView>
  </sheetViews>
  <sheetFormatPr defaultRowHeight="15" x14ac:dyDescent="0.25"/>
  <cols>
    <col min="1" max="1" width="13.140625" customWidth="1"/>
    <col min="2" max="2" width="15.5703125" customWidth="1"/>
    <col min="3" max="3" width="30.85546875" customWidth="1"/>
    <col min="4" max="4" width="11.5703125" bestFit="1" customWidth="1"/>
    <col min="5" max="5" width="12.5703125" bestFit="1" customWidth="1"/>
    <col min="6" max="6" width="16.28515625" bestFit="1" customWidth="1"/>
    <col min="7" max="7" width="10.5703125" customWidth="1"/>
    <col min="8" max="8" width="12.42578125" customWidth="1"/>
    <col min="9" max="9" width="7.7109375" customWidth="1"/>
  </cols>
  <sheetData>
    <row r="1" spans="1:9" x14ac:dyDescent="0.25">
      <c r="A1" s="132" t="s">
        <v>2402</v>
      </c>
      <c r="B1" s="3" t="s">
        <v>2407</v>
      </c>
      <c r="C1" s="3" t="s">
        <v>2471</v>
      </c>
      <c r="D1" s="3" t="s">
        <v>2408</v>
      </c>
      <c r="E1" s="3" t="s">
        <v>2068</v>
      </c>
      <c r="F1" s="4" t="s">
        <v>2409</v>
      </c>
    </row>
    <row r="2" spans="1:9" x14ac:dyDescent="0.25">
      <c r="A2" s="133" t="s">
        <v>701</v>
      </c>
      <c r="B2" s="49">
        <v>5000</v>
      </c>
      <c r="C2" s="2" t="s">
        <v>2470</v>
      </c>
      <c r="D2" s="2"/>
      <c r="E2" s="2"/>
      <c r="F2" s="5"/>
    </row>
    <row r="3" spans="1:9" x14ac:dyDescent="0.25">
      <c r="A3" s="133" t="s">
        <v>8</v>
      </c>
      <c r="B3" s="49">
        <v>2077086</v>
      </c>
      <c r="C3" s="2" t="s">
        <v>2469</v>
      </c>
      <c r="D3" s="125">
        <f>(GETPIVOTDATA("Length",$A$1,"SURFACE","AC")+GETPIVOTDATA("Length",$A$1,"SURFACE","&lt;Null&gt;"))/5280</f>
        <v>394.33446969696968</v>
      </c>
      <c r="E3" s="27">
        <v>360000</v>
      </c>
      <c r="F3" s="134">
        <f t="shared" ref="F3:F8" si="0">E3*D3</f>
        <v>141960409.09090909</v>
      </c>
    </row>
    <row r="4" spans="1:9" x14ac:dyDescent="0.25">
      <c r="A4" s="133" t="s">
        <v>101</v>
      </c>
      <c r="B4" s="49">
        <v>1656</v>
      </c>
      <c r="C4" s="2" t="s">
        <v>2468</v>
      </c>
      <c r="D4" s="125">
        <f>GETPIVOTDATA("Length",$A$1,"SURFACE","C")/5280</f>
        <v>0.31363636363636366</v>
      </c>
      <c r="E4" s="27">
        <v>510000</v>
      </c>
      <c r="F4" s="134">
        <f t="shared" si="0"/>
        <v>159954.54545454547</v>
      </c>
    </row>
    <row r="5" spans="1:9" x14ac:dyDescent="0.25">
      <c r="A5" s="133" t="s">
        <v>13</v>
      </c>
      <c r="B5" s="49">
        <v>734871</v>
      </c>
      <c r="C5" s="2" t="s">
        <v>2467</v>
      </c>
      <c r="D5" s="125">
        <f>GETPIVOTDATA("Length",$A$1,"SURFACE","CS")/5280</f>
        <v>139.18011363636364</v>
      </c>
      <c r="E5" s="27">
        <v>100000</v>
      </c>
      <c r="F5" s="134">
        <f t="shared" si="0"/>
        <v>13918011.363636365</v>
      </c>
    </row>
    <row r="6" spans="1:9" x14ac:dyDescent="0.25">
      <c r="A6" s="133" t="s">
        <v>62</v>
      </c>
      <c r="B6" s="49">
        <v>220160</v>
      </c>
      <c r="C6" s="2" t="s">
        <v>2088</v>
      </c>
      <c r="D6" s="125">
        <f>GETPIVOTDATA("Length",$A$1,"SURFACE","G")/5280</f>
        <v>41.696969696969695</v>
      </c>
      <c r="E6" s="27">
        <v>58600</v>
      </c>
      <c r="F6" s="134">
        <f t="shared" si="0"/>
        <v>2443442.4242424243</v>
      </c>
    </row>
    <row r="7" spans="1:9" x14ac:dyDescent="0.25">
      <c r="A7" s="133" t="s">
        <v>2098</v>
      </c>
      <c r="B7" s="49">
        <v>389182.52999999997</v>
      </c>
      <c r="C7" s="2" t="s">
        <v>2466</v>
      </c>
      <c r="D7" s="125">
        <f>GETPIVOTDATA("Length",$A$1,"SURFACE","NC")/5280</f>
        <v>73.708812499999993</v>
      </c>
      <c r="E7" s="27">
        <v>400000</v>
      </c>
      <c r="F7" s="134">
        <f t="shared" si="0"/>
        <v>29483524.999999996</v>
      </c>
    </row>
    <row r="8" spans="1:9" ht="15.75" thickBot="1" x14ac:dyDescent="0.3">
      <c r="A8" s="135" t="s">
        <v>751</v>
      </c>
      <c r="B8" s="126">
        <v>5386</v>
      </c>
      <c r="C8" s="6" t="s">
        <v>2465</v>
      </c>
      <c r="D8" s="137">
        <f>GETPIVOTDATA("Length",$A$1,"SURFACE","P")/5280</f>
        <v>1.0200757575757575</v>
      </c>
      <c r="E8" s="127">
        <v>355000</v>
      </c>
      <c r="F8" s="136">
        <f t="shared" si="0"/>
        <v>362126.89393939392</v>
      </c>
    </row>
    <row r="9" spans="1:9" ht="15.75" thickBot="1" x14ac:dyDescent="0.3">
      <c r="A9" s="128" t="s">
        <v>2367</v>
      </c>
      <c r="B9" s="129">
        <v>3433341.53</v>
      </c>
      <c r="C9" s="130" t="s">
        <v>2409</v>
      </c>
      <c r="D9" s="138">
        <f>GETPIVOTDATA("Length",$A$1)/5280</f>
        <v>650.2540776515151</v>
      </c>
      <c r="E9" s="130"/>
      <c r="F9" s="131">
        <f>SUM(F3:F8)</f>
        <v>188327469.31818184</v>
      </c>
    </row>
    <row r="11" spans="1:9" ht="15.75" thickBot="1" x14ac:dyDescent="0.3">
      <c r="G11" t="s">
        <v>2510</v>
      </c>
      <c r="H11" t="s">
        <v>2543</v>
      </c>
      <c r="I11" t="s">
        <v>2542</v>
      </c>
    </row>
    <row r="12" spans="1:9" x14ac:dyDescent="0.25">
      <c r="E12" t="s">
        <v>2111</v>
      </c>
      <c r="F12" s="183">
        <f>SUM(D3,D4,D7:D8)</f>
        <v>469.37699431818174</v>
      </c>
      <c r="G12" s="184">
        <f>F12/$D$9</f>
        <v>0.72183629515004866</v>
      </c>
      <c r="H12" s="185">
        <v>0.62</v>
      </c>
      <c r="I12" s="186">
        <v>0.97</v>
      </c>
    </row>
    <row r="13" spans="1:9" x14ac:dyDescent="0.25">
      <c r="E13" t="s">
        <v>2460</v>
      </c>
      <c r="F13" s="187">
        <f>D5</f>
        <v>139.18011363636364</v>
      </c>
      <c r="G13" s="180">
        <f>F13/$D$9</f>
        <v>0.21403958609384255</v>
      </c>
      <c r="H13" s="181">
        <v>0.23</v>
      </c>
      <c r="I13" s="188">
        <v>0.02</v>
      </c>
    </row>
    <row r="14" spans="1:9" x14ac:dyDescent="0.25">
      <c r="E14" t="s">
        <v>2508</v>
      </c>
      <c r="F14" s="187">
        <f>D6</f>
        <v>41.696969696969695</v>
      </c>
      <c r="G14" s="180">
        <f>F14/$D$9</f>
        <v>6.4124118756108725E-2</v>
      </c>
      <c r="H14" s="181">
        <v>0.17</v>
      </c>
      <c r="I14" s="188">
        <v>0.01</v>
      </c>
    </row>
    <row r="15" spans="1:9" x14ac:dyDescent="0.25">
      <c r="E15" t="s">
        <v>2509</v>
      </c>
      <c r="F15" s="58">
        <v>1</v>
      </c>
      <c r="G15" s="182">
        <f>F15/$D$9</f>
        <v>1.5378604062148168E-3</v>
      </c>
      <c r="H15" s="181">
        <v>0.01</v>
      </c>
      <c r="I15" s="188">
        <v>0</v>
      </c>
    </row>
    <row r="16" spans="1:9" x14ac:dyDescent="0.25">
      <c r="F16" s="58"/>
      <c r="G16" s="2"/>
      <c r="H16" s="2"/>
      <c r="I16" s="5"/>
    </row>
    <row r="17" spans="5:10" x14ac:dyDescent="0.25">
      <c r="F17" s="58" t="s">
        <v>2541</v>
      </c>
      <c r="G17" s="2"/>
      <c r="H17" s="2"/>
      <c r="I17" s="5"/>
    </row>
    <row r="18" spans="5:10" x14ac:dyDescent="0.25">
      <c r="E18" t="s">
        <v>2511</v>
      </c>
      <c r="F18" s="58">
        <f>COUNTIFS('Road Evaluations'!$U$1:$U$1170,"&gt;=8",'Road Evaluations'!$U$1:$U$1170,"&lt;=10")</f>
        <v>174</v>
      </c>
      <c r="G18" s="180">
        <f>F18/SUM(F18:F20)</f>
        <v>0.14961306964746346</v>
      </c>
      <c r="H18" s="181">
        <v>0.17</v>
      </c>
      <c r="I18" s="189">
        <v>0.22</v>
      </c>
      <c r="J18" t="s">
        <v>2531</v>
      </c>
    </row>
    <row r="19" spans="5:10" x14ac:dyDescent="0.25">
      <c r="E19" t="s">
        <v>2512</v>
      </c>
      <c r="F19" s="58">
        <f>COUNTIFS('Road Evaluations'!$U$1:$U$1170,"&gt;=6",'Road Evaluations'!$U$1:$U$1170,"&lt;=7")</f>
        <v>981</v>
      </c>
      <c r="G19" s="180">
        <f>F19/SUM(F18:F20)</f>
        <v>0.8435081685296647</v>
      </c>
      <c r="H19" s="181">
        <v>0.44</v>
      </c>
      <c r="I19" s="189">
        <v>0.52</v>
      </c>
      <c r="J19" t="s">
        <v>2514</v>
      </c>
    </row>
    <row r="20" spans="5:10" ht="15.75" thickBot="1" x14ac:dyDescent="0.3">
      <c r="E20" t="s">
        <v>2513</v>
      </c>
      <c r="F20" s="61">
        <f>COUNTIFS('Road Evaluations'!$U$1:$U$1170,"&gt;=0",'Road Evaluations'!$U$1:$U$1170,"&lt;=5")</f>
        <v>8</v>
      </c>
      <c r="G20" s="190">
        <f>F20/SUM(F18:F20)</f>
        <v>6.8787618228718832E-3</v>
      </c>
      <c r="H20" s="191">
        <v>0.39</v>
      </c>
      <c r="I20" s="192">
        <v>0.26</v>
      </c>
      <c r="J20" t="s">
        <v>2515</v>
      </c>
    </row>
    <row r="22" spans="5:10" x14ac:dyDescent="0.25">
      <c r="F22" t="s">
        <v>2516</v>
      </c>
    </row>
    <row r="63" spans="3:4" x14ac:dyDescent="0.25">
      <c r="C63">
        <f>SUM(B41:B63)/5280</f>
        <v>0</v>
      </c>
      <c r="D63" t="s">
        <v>2410</v>
      </c>
    </row>
    <row r="64" spans="3:4" x14ac:dyDescent="0.25">
      <c r="C64" t="e">
        <f>GETPIVOTDATA("Length",$A$1,"SUBDIVISION",,"TOWNSHIP","C")/5280</f>
        <v>#REF!</v>
      </c>
      <c r="D64" t="s">
        <v>2411</v>
      </c>
    </row>
    <row r="65" spans="3:4" x14ac:dyDescent="0.25">
      <c r="C65" t="e">
        <f>GETPIVOTDATA("Length",$A$1,"TOWNSHIP","G")/5280</f>
        <v>#REF!</v>
      </c>
      <c r="D65" t="s">
        <v>2409</v>
      </c>
    </row>
    <row r="67" spans="3:4" x14ac:dyDescent="0.25">
      <c r="C67" t="e">
        <f>GETPIVOTDATA("Length",$A$1,"TOWNSHIP","J")/5280</f>
        <v>#REF!</v>
      </c>
      <c r="D67" t="s">
        <v>2409</v>
      </c>
    </row>
    <row r="69" spans="3:4" x14ac:dyDescent="0.25">
      <c r="C69" t="e">
        <f>GETPIVOTDATA("Length",$A$1,"TOWNSHIP","SC")/5280</f>
        <v>#REF!</v>
      </c>
      <c r="D69" t="s">
        <v>2409</v>
      </c>
    </row>
    <row r="118" spans="3:4" x14ac:dyDescent="0.25">
      <c r="C118">
        <f>SUM(B70:B118)/5280</f>
        <v>0</v>
      </c>
      <c r="D118" t="s">
        <v>2410</v>
      </c>
    </row>
    <row r="119" spans="3:4" x14ac:dyDescent="0.25">
      <c r="C119" t="e">
        <f>GETPIVOTDATA("Length",$A$1,"SUBDIVISION",,"TOWNSHIP","SC")/5280</f>
        <v>#REF!</v>
      </c>
      <c r="D119" t="s">
        <v>2411</v>
      </c>
    </row>
    <row r="120" spans="3:4" x14ac:dyDescent="0.25">
      <c r="C120" t="e">
        <f>GETPIVOTDATA("Length",$A$1,"TOWNSHIP","V")/5280</f>
        <v>#REF!</v>
      </c>
      <c r="D120" t="s">
        <v>2409</v>
      </c>
    </row>
    <row r="125" spans="3:4" x14ac:dyDescent="0.25">
      <c r="C125">
        <f>SUM(B121:B125)/5280</f>
        <v>0</v>
      </c>
      <c r="D125" t="s">
        <v>2410</v>
      </c>
    </row>
    <row r="126" spans="3:4" x14ac:dyDescent="0.25">
      <c r="C126" t="e">
        <f>GETPIVOTDATA("Length",$A$1,"SUBDIVISION",,"TOWNSHIP","V")/5280</f>
        <v>#REF!</v>
      </c>
      <c r="D126" t="s">
        <v>2411</v>
      </c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/>
  <dimension ref="A1:R114"/>
  <sheetViews>
    <sheetView topLeftCell="A25" workbookViewId="0">
      <selection activeCell="C36" sqref="C36"/>
    </sheetView>
  </sheetViews>
  <sheetFormatPr defaultRowHeight="15" x14ac:dyDescent="0.25"/>
  <cols>
    <col min="3" max="3" width="14.42578125" customWidth="1"/>
    <col min="4" max="4" width="28.42578125" customWidth="1"/>
    <col min="5" max="5" width="28.85546875" customWidth="1"/>
    <col min="6" max="6" width="17.42578125" customWidth="1"/>
    <col min="7" max="8" width="13" customWidth="1"/>
    <col min="9" max="9" width="12.85546875" customWidth="1"/>
    <col min="11" max="11" width="11.5703125" bestFit="1" customWidth="1"/>
    <col min="12" max="12" width="11.85546875" customWidth="1"/>
    <col min="13" max="13" width="12.42578125" customWidth="1"/>
    <col min="14" max="14" width="13.28515625" customWidth="1"/>
    <col min="15" max="15" width="11.85546875" customWidth="1"/>
    <col min="16" max="16" width="14.140625" customWidth="1"/>
    <col min="17" max="17" width="11.7109375" customWidth="1"/>
  </cols>
  <sheetData>
    <row r="1" spans="1:7" x14ac:dyDescent="0.25">
      <c r="B1" t="s">
        <v>2054</v>
      </c>
      <c r="F1" t="s">
        <v>2053</v>
      </c>
    </row>
    <row r="2" spans="1:7" x14ac:dyDescent="0.25">
      <c r="A2" t="s">
        <v>2055</v>
      </c>
      <c r="B2" t="s">
        <v>6</v>
      </c>
      <c r="C2">
        <v>0</v>
      </c>
      <c r="F2">
        <v>0</v>
      </c>
      <c r="G2">
        <v>0</v>
      </c>
    </row>
    <row r="3" spans="1:7" x14ac:dyDescent="0.25">
      <c r="A3" t="s">
        <v>2061</v>
      </c>
      <c r="B3" t="s">
        <v>17</v>
      </c>
      <c r="C3">
        <v>0</v>
      </c>
      <c r="F3">
        <v>500</v>
      </c>
      <c r="G3">
        <v>0.5</v>
      </c>
    </row>
    <row r="4" spans="1:7" x14ac:dyDescent="0.25">
      <c r="A4" t="s">
        <v>2063</v>
      </c>
      <c r="B4" t="s">
        <v>125</v>
      </c>
      <c r="C4">
        <v>0</v>
      </c>
      <c r="F4">
        <v>1500</v>
      </c>
      <c r="G4">
        <v>1</v>
      </c>
    </row>
    <row r="5" spans="1:7" x14ac:dyDescent="0.25">
      <c r="A5" t="s">
        <v>2375</v>
      </c>
      <c r="B5" t="s">
        <v>172</v>
      </c>
      <c r="C5">
        <v>0</v>
      </c>
      <c r="F5">
        <v>2500</v>
      </c>
      <c r="G5">
        <v>1.5</v>
      </c>
    </row>
    <row r="6" spans="1:7" x14ac:dyDescent="0.25">
      <c r="A6" t="s">
        <v>2060</v>
      </c>
      <c r="B6" t="s">
        <v>101</v>
      </c>
      <c r="C6">
        <v>0</v>
      </c>
    </row>
    <row r="7" spans="1:7" x14ac:dyDescent="0.25">
      <c r="A7" t="s">
        <v>2058</v>
      </c>
      <c r="B7" t="s">
        <v>62</v>
      </c>
      <c r="C7">
        <v>0</v>
      </c>
    </row>
    <row r="8" spans="1:7" x14ac:dyDescent="0.25">
      <c r="A8" t="s">
        <v>2057</v>
      </c>
      <c r="B8" t="s">
        <v>26</v>
      </c>
      <c r="C8">
        <v>0</v>
      </c>
    </row>
    <row r="9" spans="1:7" x14ac:dyDescent="0.25">
      <c r="A9" t="s">
        <v>2062</v>
      </c>
      <c r="B9" t="s">
        <v>160</v>
      </c>
      <c r="C9">
        <v>0</v>
      </c>
    </row>
    <row r="10" spans="1:7" x14ac:dyDescent="0.25">
      <c r="A10" t="s">
        <v>2056</v>
      </c>
      <c r="B10" t="s">
        <v>11</v>
      </c>
      <c r="C10">
        <v>0</v>
      </c>
    </row>
    <row r="16" spans="1:7" x14ac:dyDescent="0.25">
      <c r="B16" t="s">
        <v>1</v>
      </c>
    </row>
    <row r="17" spans="2:16" x14ac:dyDescent="0.25">
      <c r="B17">
        <v>0</v>
      </c>
      <c r="C17" t="s">
        <v>2079</v>
      </c>
      <c r="E17">
        <v>0</v>
      </c>
      <c r="F17" t="s">
        <v>2078</v>
      </c>
    </row>
    <row r="18" spans="2:16" x14ac:dyDescent="0.25">
      <c r="B18">
        <v>2</v>
      </c>
      <c r="C18" t="s">
        <v>751</v>
      </c>
      <c r="E18">
        <v>2</v>
      </c>
      <c r="F18" t="s">
        <v>751</v>
      </c>
    </row>
    <row r="19" spans="2:16" x14ac:dyDescent="0.25">
      <c r="B19">
        <v>4</v>
      </c>
      <c r="C19" t="s">
        <v>2072</v>
      </c>
      <c r="E19">
        <v>4</v>
      </c>
      <c r="F19" t="s">
        <v>2072</v>
      </c>
    </row>
    <row r="20" spans="2:16" x14ac:dyDescent="0.25">
      <c r="B20">
        <v>6</v>
      </c>
      <c r="C20" t="s">
        <v>2073</v>
      </c>
      <c r="E20">
        <v>6</v>
      </c>
      <c r="F20" t="s">
        <v>2073</v>
      </c>
    </row>
    <row r="21" spans="2:16" x14ac:dyDescent="0.25">
      <c r="B21">
        <v>7</v>
      </c>
      <c r="C21" t="s">
        <v>13</v>
      </c>
      <c r="E21">
        <v>8</v>
      </c>
      <c r="F21" t="s">
        <v>13</v>
      </c>
    </row>
    <row r="26" spans="2:16" ht="15.75" thickBot="1" x14ac:dyDescent="0.3">
      <c r="E26" t="s">
        <v>2519</v>
      </c>
      <c r="F26" t="s">
        <v>2394</v>
      </c>
      <c r="I26" t="s">
        <v>2616</v>
      </c>
      <c r="L26" t="s">
        <v>2615</v>
      </c>
      <c r="M26" t="s">
        <v>2615</v>
      </c>
    </row>
    <row r="27" spans="2:16" x14ac:dyDescent="0.25">
      <c r="B27" s="57" t="s">
        <v>2068</v>
      </c>
      <c r="C27" s="3" t="s">
        <v>2396</v>
      </c>
      <c r="D27" s="3"/>
      <c r="E27" s="3"/>
      <c r="F27" s="3"/>
      <c r="G27" s="3" t="s">
        <v>2380</v>
      </c>
      <c r="H27" s="3" t="s">
        <v>2383</v>
      </c>
      <c r="I27" s="3" t="s">
        <v>2112</v>
      </c>
      <c r="J27" s="3" t="s">
        <v>2381</v>
      </c>
      <c r="K27" s="3" t="s">
        <v>2113</v>
      </c>
      <c r="L27" s="3" t="s">
        <v>2382</v>
      </c>
      <c r="M27" s="3" t="s">
        <v>2111</v>
      </c>
      <c r="N27" s="3" t="s">
        <v>2384</v>
      </c>
      <c r="O27" s="4" t="s">
        <v>2385</v>
      </c>
    </row>
    <row r="28" spans="2:16" x14ac:dyDescent="0.25">
      <c r="B28" s="58" t="s">
        <v>751</v>
      </c>
      <c r="C28" s="27">
        <v>110000</v>
      </c>
      <c r="D28" t="s">
        <v>2589</v>
      </c>
      <c r="E28" s="2" t="s">
        <v>2520</v>
      </c>
      <c r="F28" s="2">
        <v>12</v>
      </c>
      <c r="G28" s="2">
        <v>2.25</v>
      </c>
      <c r="H28" s="2">
        <v>210</v>
      </c>
      <c r="I28" s="2">
        <v>350</v>
      </c>
      <c r="J28" s="2"/>
      <c r="K28" s="2"/>
      <c r="L28" s="2">
        <v>200</v>
      </c>
      <c r="M28" s="2">
        <v>1700</v>
      </c>
      <c r="N28" s="2"/>
      <c r="O28" s="5"/>
      <c r="P28" s="23">
        <f>C28/F28</f>
        <v>9166.6666666666661</v>
      </c>
    </row>
    <row r="29" spans="2:16" x14ac:dyDescent="0.25">
      <c r="B29" s="58" t="s">
        <v>13</v>
      </c>
      <c r="C29" s="27">
        <v>21000</v>
      </c>
      <c r="D29" t="s">
        <v>2557</v>
      </c>
      <c r="E29" s="2" t="s">
        <v>2521</v>
      </c>
      <c r="F29" s="2">
        <v>6</v>
      </c>
      <c r="G29" s="2">
        <v>0.2</v>
      </c>
      <c r="H29" s="2">
        <v>22</v>
      </c>
      <c r="I29" s="2"/>
      <c r="J29" s="2">
        <v>4500</v>
      </c>
      <c r="K29" s="2">
        <v>1000</v>
      </c>
      <c r="L29" s="2"/>
      <c r="M29" s="2">
        <v>100</v>
      </c>
      <c r="N29" s="2">
        <v>120</v>
      </c>
      <c r="O29" s="5"/>
      <c r="P29" s="23">
        <f t="shared" ref="P29:P40" si="0">C29/F29</f>
        <v>3500</v>
      </c>
    </row>
    <row r="30" spans="2:16" x14ac:dyDescent="0.25">
      <c r="B30" s="59" t="s">
        <v>2075</v>
      </c>
      <c r="C30" s="27">
        <v>5400</v>
      </c>
      <c r="D30" t="s">
        <v>2085</v>
      </c>
      <c r="E30" s="49"/>
      <c r="F30" s="49">
        <v>3</v>
      </c>
      <c r="G30" s="49">
        <v>1</v>
      </c>
      <c r="H30" s="49">
        <v>0</v>
      </c>
      <c r="I30" s="49"/>
      <c r="J30" s="49"/>
      <c r="K30" s="49"/>
      <c r="L30" s="49"/>
      <c r="M30" s="49"/>
      <c r="N30" s="49"/>
      <c r="O30" s="60"/>
      <c r="P30" s="23">
        <f t="shared" si="0"/>
        <v>1800</v>
      </c>
    </row>
    <row r="31" spans="2:16" x14ac:dyDescent="0.25">
      <c r="B31" s="58" t="s">
        <v>2073</v>
      </c>
      <c r="C31" s="27">
        <v>32000</v>
      </c>
      <c r="D31" t="s">
        <v>2555</v>
      </c>
      <c r="E31" s="2" t="s">
        <v>2522</v>
      </c>
      <c r="F31" s="2">
        <v>6</v>
      </c>
      <c r="G31" s="2">
        <v>0.5</v>
      </c>
      <c r="H31" s="2">
        <v>50</v>
      </c>
      <c r="I31" s="2"/>
      <c r="J31" s="2">
        <v>9500</v>
      </c>
      <c r="K31" s="2">
        <v>1000</v>
      </c>
      <c r="L31" s="2"/>
      <c r="M31" s="2">
        <v>200</v>
      </c>
      <c r="N31" s="2">
        <v>180</v>
      </c>
      <c r="O31" s="5">
        <v>240</v>
      </c>
      <c r="P31" s="23">
        <f t="shared" si="0"/>
        <v>5333.333333333333</v>
      </c>
    </row>
    <row r="32" spans="2:16" x14ac:dyDescent="0.25">
      <c r="B32" s="58" t="s">
        <v>2086</v>
      </c>
      <c r="C32" s="27">
        <v>2500</v>
      </c>
      <c r="D32" t="s">
        <v>2087</v>
      </c>
      <c r="E32" s="2" t="s">
        <v>2524</v>
      </c>
      <c r="F32" s="2">
        <v>2</v>
      </c>
      <c r="G32" s="2">
        <v>0.1</v>
      </c>
      <c r="H32" s="2">
        <v>0.2</v>
      </c>
      <c r="I32" s="2"/>
      <c r="J32" s="2"/>
      <c r="K32" s="2">
        <v>1000</v>
      </c>
      <c r="L32" s="2"/>
      <c r="M32" s="2"/>
      <c r="N32" s="2"/>
      <c r="O32" s="5"/>
      <c r="P32" s="23">
        <f t="shared" si="0"/>
        <v>1250</v>
      </c>
    </row>
    <row r="33" spans="2:18" x14ac:dyDescent="0.25">
      <c r="B33" s="58" t="s">
        <v>2625</v>
      </c>
      <c r="C33" s="27">
        <v>45000</v>
      </c>
      <c r="D33" t="s">
        <v>2553</v>
      </c>
      <c r="E33" s="2" t="s">
        <v>2626</v>
      </c>
      <c r="F33" s="2">
        <v>12</v>
      </c>
      <c r="G33" s="2">
        <v>1</v>
      </c>
      <c r="H33" s="2">
        <v>4</v>
      </c>
      <c r="I33" s="2"/>
      <c r="J33" s="2"/>
      <c r="K33" s="2"/>
      <c r="L33" s="2"/>
      <c r="M33" s="2"/>
      <c r="N33" s="2"/>
      <c r="O33" s="5"/>
      <c r="P33" s="23">
        <f t="shared" si="0"/>
        <v>3750</v>
      </c>
    </row>
    <row r="34" spans="2:18" x14ac:dyDescent="0.25">
      <c r="B34" s="58" t="s">
        <v>2076</v>
      </c>
      <c r="C34" s="27">
        <v>14000</v>
      </c>
      <c r="D34" t="s">
        <v>2569</v>
      </c>
      <c r="E34" s="2" t="s">
        <v>2525</v>
      </c>
      <c r="F34" s="2">
        <v>1</v>
      </c>
      <c r="G34" s="2">
        <v>1</v>
      </c>
      <c r="H34" s="2">
        <v>90</v>
      </c>
      <c r="I34" s="2"/>
      <c r="J34" s="2"/>
      <c r="K34" s="2"/>
      <c r="L34" s="2">
        <v>500</v>
      </c>
      <c r="M34" s="2"/>
      <c r="N34" s="2"/>
      <c r="O34" s="5"/>
      <c r="P34" s="23">
        <f t="shared" si="0"/>
        <v>14000</v>
      </c>
    </row>
    <row r="35" spans="2:18" x14ac:dyDescent="0.25">
      <c r="B35" s="58" t="s">
        <v>2371</v>
      </c>
      <c r="C35" s="27">
        <v>80000</v>
      </c>
      <c r="D35" t="s">
        <v>2575</v>
      </c>
      <c r="E35" s="2" t="s">
        <v>2527</v>
      </c>
      <c r="F35" s="2">
        <v>10</v>
      </c>
      <c r="G35" s="2">
        <v>0.5</v>
      </c>
      <c r="H35" s="2">
        <v>0</v>
      </c>
      <c r="I35" s="2"/>
      <c r="J35" s="2"/>
      <c r="K35" s="2"/>
      <c r="L35" s="2"/>
      <c r="M35" s="2"/>
      <c r="N35" s="2"/>
      <c r="O35" s="5"/>
      <c r="P35" s="23">
        <f t="shared" si="0"/>
        <v>8000</v>
      </c>
    </row>
    <row r="36" spans="2:18" x14ac:dyDescent="0.25">
      <c r="B36" s="58" t="s">
        <v>2312</v>
      </c>
      <c r="C36" s="27">
        <v>75000</v>
      </c>
      <c r="D36" t="s">
        <v>2562</v>
      </c>
      <c r="E36" s="2" t="s">
        <v>2526</v>
      </c>
      <c r="F36" s="2">
        <v>6</v>
      </c>
      <c r="G36" s="2">
        <v>0.5</v>
      </c>
      <c r="H36" s="2">
        <v>50</v>
      </c>
      <c r="I36" s="2"/>
      <c r="J36" s="2"/>
      <c r="K36" s="2"/>
      <c r="L36" s="2"/>
      <c r="M36" s="2"/>
      <c r="N36" s="2"/>
      <c r="O36" s="5"/>
      <c r="P36" s="23">
        <f t="shared" si="0"/>
        <v>12500</v>
      </c>
    </row>
    <row r="37" spans="2:18" x14ac:dyDescent="0.25">
      <c r="B37" s="58" t="s">
        <v>2425</v>
      </c>
      <c r="C37" s="27">
        <v>25000</v>
      </c>
      <c r="D37" t="s">
        <v>2572</v>
      </c>
      <c r="E37" s="2" t="s">
        <v>2527</v>
      </c>
      <c r="F37" s="2">
        <v>10</v>
      </c>
      <c r="G37" s="2">
        <v>1</v>
      </c>
      <c r="H37" s="2">
        <v>16</v>
      </c>
      <c r="I37" s="2"/>
      <c r="J37" s="2"/>
      <c r="K37" s="2"/>
      <c r="L37" s="2"/>
      <c r="M37" s="2"/>
      <c r="N37" s="2"/>
      <c r="O37" s="5"/>
      <c r="P37" s="23">
        <f t="shared" si="0"/>
        <v>2500</v>
      </c>
    </row>
    <row r="38" spans="2:18" x14ac:dyDescent="0.25">
      <c r="B38" s="58" t="s">
        <v>2078</v>
      </c>
      <c r="C38" s="27">
        <v>30000</v>
      </c>
      <c r="D38" t="s">
        <v>2555</v>
      </c>
      <c r="E38" s="2"/>
      <c r="F38" s="2">
        <v>10</v>
      </c>
      <c r="G38" s="2">
        <v>1.5</v>
      </c>
      <c r="H38" s="2">
        <v>300</v>
      </c>
      <c r="I38" s="2"/>
      <c r="J38" s="2">
        <v>4500</v>
      </c>
      <c r="K38" s="2">
        <v>1000</v>
      </c>
      <c r="L38" s="2"/>
      <c r="M38" s="2"/>
      <c r="N38" s="2"/>
      <c r="O38" s="5"/>
      <c r="P38" s="23">
        <f t="shared" si="0"/>
        <v>3000</v>
      </c>
    </row>
    <row r="39" spans="2:18" x14ac:dyDescent="0.25">
      <c r="B39" s="58" t="s">
        <v>2072</v>
      </c>
      <c r="C39" s="27">
        <v>46000</v>
      </c>
      <c r="D39" t="s">
        <v>2556</v>
      </c>
      <c r="E39" s="2" t="s">
        <v>2523</v>
      </c>
      <c r="F39" s="2">
        <v>8</v>
      </c>
      <c r="G39" s="2">
        <v>0.6</v>
      </c>
      <c r="H39" s="2">
        <v>125</v>
      </c>
      <c r="I39" s="2">
        <v>200</v>
      </c>
      <c r="J39" s="2">
        <v>2000</v>
      </c>
      <c r="K39" s="2">
        <v>500</v>
      </c>
      <c r="L39" s="2">
        <v>100</v>
      </c>
      <c r="M39" s="2">
        <v>800</v>
      </c>
      <c r="N39" s="2">
        <v>80</v>
      </c>
      <c r="O39" s="5"/>
      <c r="P39" s="23">
        <f t="shared" si="0"/>
        <v>5750</v>
      </c>
    </row>
    <row r="40" spans="2:18" ht="15.75" thickBot="1" x14ac:dyDescent="0.3">
      <c r="B40" s="61" t="s">
        <v>2077</v>
      </c>
      <c r="C40" s="62">
        <v>15000</v>
      </c>
      <c r="D40" t="s">
        <v>2569</v>
      </c>
      <c r="E40" s="63"/>
      <c r="F40" s="63">
        <v>3</v>
      </c>
      <c r="G40" s="63">
        <v>1.5</v>
      </c>
      <c r="H40" s="63">
        <v>150</v>
      </c>
      <c r="I40" s="63"/>
      <c r="J40" s="63"/>
      <c r="K40" s="63"/>
      <c r="L40" s="63">
        <v>500</v>
      </c>
      <c r="M40" s="63"/>
      <c r="N40" s="63"/>
      <c r="O40" s="64"/>
      <c r="P40" s="23">
        <f t="shared" si="0"/>
        <v>5000</v>
      </c>
    </row>
    <row r="41" spans="2:18" x14ac:dyDescent="0.25">
      <c r="C41" s="1"/>
    </row>
    <row r="42" spans="2:18" x14ac:dyDescent="0.25">
      <c r="C42" s="1"/>
    </row>
    <row r="43" spans="2:18" ht="15.75" thickBot="1" x14ac:dyDescent="0.3">
      <c r="J43">
        <v>2017</v>
      </c>
      <c r="K43" t="s">
        <v>2111</v>
      </c>
      <c r="L43" s="122">
        <v>0.2</v>
      </c>
      <c r="M43" t="s">
        <v>2460</v>
      </c>
      <c r="N43" s="122">
        <v>0.2</v>
      </c>
      <c r="O43" t="s">
        <v>2075</v>
      </c>
      <c r="P43" t="s">
        <v>2371</v>
      </c>
      <c r="Q43" t="s">
        <v>2425</v>
      </c>
    </row>
    <row r="44" spans="2:18" x14ac:dyDescent="0.25">
      <c r="B44" s="51" t="s">
        <v>2389</v>
      </c>
      <c r="C44" s="52"/>
      <c r="E44" s="51" t="s">
        <v>2065</v>
      </c>
      <c r="F44" s="52" t="s">
        <v>2397</v>
      </c>
      <c r="G44" s="51" t="s">
        <v>2398</v>
      </c>
      <c r="J44" t="s">
        <v>2461</v>
      </c>
      <c r="K44">
        <v>1100000</v>
      </c>
      <c r="M44">
        <v>600000</v>
      </c>
      <c r="O44">
        <v>201000</v>
      </c>
      <c r="P44" s="65">
        <v>252000</v>
      </c>
      <c r="Q44">
        <v>112550</v>
      </c>
      <c r="R44">
        <f>SUM(K44:Q44)</f>
        <v>2265550</v>
      </c>
    </row>
    <row r="45" spans="2:18" x14ac:dyDescent="0.25">
      <c r="B45" s="53" t="s">
        <v>2390</v>
      </c>
      <c r="C45" s="54">
        <v>1.6959</v>
      </c>
      <c r="E45" s="53">
        <v>10</v>
      </c>
      <c r="F45" s="65">
        <v>16</v>
      </c>
      <c r="G45" s="65">
        <v>1</v>
      </c>
      <c r="J45" t="s">
        <v>2101</v>
      </c>
      <c r="K45">
        <v>21.36</v>
      </c>
      <c r="M45">
        <v>46</v>
      </c>
      <c r="P45" s="65">
        <v>5.4</v>
      </c>
      <c r="Q45" s="90">
        <v>2.46</v>
      </c>
    </row>
    <row r="46" spans="2:18" x14ac:dyDescent="0.25">
      <c r="B46" s="53" t="s">
        <v>2112</v>
      </c>
      <c r="C46" s="54">
        <v>1.6959</v>
      </c>
      <c r="E46" s="53">
        <v>9</v>
      </c>
      <c r="F46" s="65">
        <v>14</v>
      </c>
      <c r="G46" s="65">
        <v>1</v>
      </c>
      <c r="J46" t="s">
        <v>2462</v>
      </c>
      <c r="K46" s="1">
        <f>K44/K45</f>
        <v>51498.127340823972</v>
      </c>
      <c r="L46" s="1"/>
      <c r="M46" s="1">
        <f>M44/M45</f>
        <v>13043.478260869566</v>
      </c>
      <c r="N46" s="1"/>
      <c r="O46">
        <v>5600</v>
      </c>
      <c r="P46" s="1">
        <f>P44/P45</f>
        <v>46666.666666666664</v>
      </c>
      <c r="Q46" s="1">
        <f>Q44/Q45</f>
        <v>45752.032520325207</v>
      </c>
    </row>
    <row r="47" spans="2:18" x14ac:dyDescent="0.25">
      <c r="B47" s="53" t="s">
        <v>2384</v>
      </c>
      <c r="C47" s="54">
        <v>11.4</v>
      </c>
      <c r="E47" s="53">
        <v>8</v>
      </c>
      <c r="F47" s="65">
        <v>12</v>
      </c>
      <c r="G47" s="65">
        <v>1</v>
      </c>
      <c r="N47" s="65"/>
    </row>
    <row r="48" spans="2:18" x14ac:dyDescent="0.25">
      <c r="B48" s="53" t="s">
        <v>2391</v>
      </c>
      <c r="C48" s="54">
        <v>11.4</v>
      </c>
      <c r="E48" s="53">
        <v>7</v>
      </c>
      <c r="F48" s="65">
        <v>10</v>
      </c>
      <c r="G48" s="65">
        <v>1.05</v>
      </c>
      <c r="N48" s="65"/>
    </row>
    <row r="49" spans="2:14" x14ac:dyDescent="0.25">
      <c r="B49" s="53" t="s">
        <v>2392</v>
      </c>
      <c r="C49" s="54">
        <v>15</v>
      </c>
      <c r="E49" s="53">
        <v>6</v>
      </c>
      <c r="F49" s="65">
        <v>8</v>
      </c>
      <c r="G49" s="65">
        <v>1.1000000000000001</v>
      </c>
      <c r="N49" s="65"/>
    </row>
    <row r="50" spans="2:14" x14ac:dyDescent="0.25">
      <c r="B50" s="53" t="s">
        <v>2113</v>
      </c>
      <c r="C50" s="54">
        <v>1.3658999999999999</v>
      </c>
      <c r="E50" s="53">
        <v>5</v>
      </c>
      <c r="F50" s="65">
        <v>6</v>
      </c>
      <c r="G50" s="65">
        <v>1.25</v>
      </c>
      <c r="N50" s="65"/>
    </row>
    <row r="51" spans="2:14" x14ac:dyDescent="0.25">
      <c r="B51" s="53" t="s">
        <v>2111</v>
      </c>
      <c r="C51" s="54">
        <v>43</v>
      </c>
      <c r="E51" s="53">
        <v>4</v>
      </c>
      <c r="F51" s="65">
        <v>3</v>
      </c>
      <c r="G51" s="65">
        <v>1.5</v>
      </c>
      <c r="N51" s="65"/>
    </row>
    <row r="52" spans="2:14" x14ac:dyDescent="0.25">
      <c r="B52" s="53" t="s">
        <v>2382</v>
      </c>
      <c r="C52" s="54">
        <v>7.1</v>
      </c>
      <c r="E52" s="53">
        <v>3</v>
      </c>
      <c r="F52" s="65">
        <v>1</v>
      </c>
      <c r="G52" s="65">
        <v>1.75</v>
      </c>
      <c r="N52" s="65"/>
    </row>
    <row r="53" spans="2:14" ht="15.75" thickBot="1" x14ac:dyDescent="0.3">
      <c r="B53" s="55" t="s">
        <v>2393</v>
      </c>
      <c r="C53" s="56">
        <v>87.5</v>
      </c>
      <c r="E53" s="53">
        <v>2</v>
      </c>
      <c r="F53" s="65">
        <v>0</v>
      </c>
      <c r="G53" s="65">
        <v>2</v>
      </c>
      <c r="N53" s="66"/>
    </row>
    <row r="54" spans="2:14" ht="15.75" thickBot="1" x14ac:dyDescent="0.3">
      <c r="E54" s="55">
        <v>1</v>
      </c>
      <c r="F54" s="66">
        <v>0</v>
      </c>
      <c r="G54" s="66">
        <v>2</v>
      </c>
    </row>
    <row r="62" spans="2:14" x14ac:dyDescent="0.25">
      <c r="B62" s="212" t="s">
        <v>2550</v>
      </c>
      <c r="C62" s="213" t="s">
        <v>2551</v>
      </c>
    </row>
    <row r="63" spans="2:14" x14ac:dyDescent="0.25">
      <c r="B63" s="214"/>
      <c r="C63" t="s">
        <v>2552</v>
      </c>
    </row>
    <row r="64" spans="2:14" x14ac:dyDescent="0.25">
      <c r="B64" s="214"/>
      <c r="C64" t="s">
        <v>2553</v>
      </c>
    </row>
    <row r="65" spans="2:3" x14ac:dyDescent="0.25">
      <c r="B65" s="214"/>
      <c r="C65" t="s">
        <v>2084</v>
      </c>
    </row>
    <row r="66" spans="2:3" x14ac:dyDescent="0.25">
      <c r="B66" s="214"/>
      <c r="C66" t="s">
        <v>2554</v>
      </c>
    </row>
    <row r="67" spans="2:3" x14ac:dyDescent="0.25">
      <c r="B67" s="214"/>
      <c r="C67" t="s">
        <v>2555</v>
      </c>
    </row>
    <row r="68" spans="2:3" x14ac:dyDescent="0.25">
      <c r="B68" s="214"/>
      <c r="C68" t="s">
        <v>2556</v>
      </c>
    </row>
    <row r="69" spans="2:3" x14ac:dyDescent="0.25">
      <c r="B69" s="214"/>
      <c r="C69" t="s">
        <v>2557</v>
      </c>
    </row>
    <row r="70" spans="2:3" x14ac:dyDescent="0.25">
      <c r="B70" s="214"/>
      <c r="C70" t="s">
        <v>2558</v>
      </c>
    </row>
    <row r="71" spans="2:3" x14ac:dyDescent="0.25">
      <c r="B71" s="214"/>
      <c r="C71" t="s">
        <v>2559</v>
      </c>
    </row>
    <row r="72" spans="2:3" x14ac:dyDescent="0.25">
      <c r="B72" s="214"/>
      <c r="C72" t="s">
        <v>2560</v>
      </c>
    </row>
    <row r="73" spans="2:3" x14ac:dyDescent="0.25">
      <c r="B73" s="214"/>
      <c r="C73" t="s">
        <v>2561</v>
      </c>
    </row>
    <row r="74" spans="2:3" x14ac:dyDescent="0.25">
      <c r="B74" s="214"/>
      <c r="C74" t="s">
        <v>2562</v>
      </c>
    </row>
    <row r="75" spans="2:3" x14ac:dyDescent="0.25">
      <c r="B75" s="214"/>
      <c r="C75" t="s">
        <v>2563</v>
      </c>
    </row>
    <row r="76" spans="2:3" x14ac:dyDescent="0.25">
      <c r="B76" s="214"/>
      <c r="C76" t="s">
        <v>2564</v>
      </c>
    </row>
    <row r="77" spans="2:3" x14ac:dyDescent="0.25">
      <c r="B77" s="214"/>
      <c r="C77" t="s">
        <v>2085</v>
      </c>
    </row>
    <row r="78" spans="2:3" x14ac:dyDescent="0.25">
      <c r="B78" s="214"/>
      <c r="C78" t="s">
        <v>2565</v>
      </c>
    </row>
    <row r="79" spans="2:3" x14ac:dyDescent="0.25">
      <c r="B79" s="214"/>
      <c r="C79" t="s">
        <v>2566</v>
      </c>
    </row>
    <row r="80" spans="2:3" x14ac:dyDescent="0.25">
      <c r="B80" s="214"/>
      <c r="C80" t="s">
        <v>2567</v>
      </c>
    </row>
    <row r="81" spans="2:3" x14ac:dyDescent="0.25">
      <c r="B81" s="214"/>
      <c r="C81" t="s">
        <v>2568</v>
      </c>
    </row>
    <row r="82" spans="2:3" x14ac:dyDescent="0.25">
      <c r="B82" s="214"/>
      <c r="C82" t="s">
        <v>2569</v>
      </c>
    </row>
    <row r="83" spans="2:3" x14ac:dyDescent="0.25">
      <c r="B83" s="214"/>
      <c r="C83" t="s">
        <v>2087</v>
      </c>
    </row>
    <row r="84" spans="2:3" x14ac:dyDescent="0.25">
      <c r="B84" s="214"/>
      <c r="C84" t="s">
        <v>2570</v>
      </c>
    </row>
    <row r="85" spans="2:3" x14ac:dyDescent="0.25">
      <c r="B85" s="214"/>
      <c r="C85" t="s">
        <v>2571</v>
      </c>
    </row>
    <row r="86" spans="2:3" x14ac:dyDescent="0.25">
      <c r="B86" s="214"/>
      <c r="C86" t="s">
        <v>2572</v>
      </c>
    </row>
    <row r="87" spans="2:3" x14ac:dyDescent="0.25">
      <c r="B87" s="214"/>
      <c r="C87" t="s">
        <v>2573</v>
      </c>
    </row>
    <row r="88" spans="2:3" x14ac:dyDescent="0.25">
      <c r="B88" s="214"/>
      <c r="C88" t="s">
        <v>2574</v>
      </c>
    </row>
    <row r="89" spans="2:3" x14ac:dyDescent="0.25">
      <c r="B89" s="214"/>
      <c r="C89" t="s">
        <v>2575</v>
      </c>
    </row>
    <row r="90" spans="2:3" x14ac:dyDescent="0.25">
      <c r="B90" s="214"/>
      <c r="C90" t="s">
        <v>2576</v>
      </c>
    </row>
    <row r="91" spans="2:3" x14ac:dyDescent="0.25">
      <c r="B91" s="214"/>
      <c r="C91" t="s">
        <v>2577</v>
      </c>
    </row>
    <row r="92" spans="2:3" x14ac:dyDescent="0.25">
      <c r="B92" s="214"/>
      <c r="C92" t="s">
        <v>2578</v>
      </c>
    </row>
    <row r="93" spans="2:3" x14ac:dyDescent="0.25">
      <c r="B93" s="214"/>
      <c r="C93" t="s">
        <v>2579</v>
      </c>
    </row>
    <row r="94" spans="2:3" x14ac:dyDescent="0.25">
      <c r="B94" s="214"/>
      <c r="C94" t="s">
        <v>2580</v>
      </c>
    </row>
    <row r="95" spans="2:3" x14ac:dyDescent="0.25">
      <c r="B95" s="214"/>
      <c r="C95" t="s">
        <v>2581</v>
      </c>
    </row>
    <row r="96" spans="2:3" x14ac:dyDescent="0.25">
      <c r="B96" s="214"/>
      <c r="C96" t="s">
        <v>2582</v>
      </c>
    </row>
    <row r="97" spans="2:3" x14ac:dyDescent="0.25">
      <c r="B97" s="214"/>
      <c r="C97" t="s">
        <v>2583</v>
      </c>
    </row>
    <row r="98" spans="2:3" x14ac:dyDescent="0.25">
      <c r="B98" s="214"/>
      <c r="C98" t="s">
        <v>2584</v>
      </c>
    </row>
    <row r="99" spans="2:3" x14ac:dyDescent="0.25">
      <c r="B99" s="214"/>
      <c r="C99" t="s">
        <v>2585</v>
      </c>
    </row>
    <row r="100" spans="2:3" x14ac:dyDescent="0.25">
      <c r="B100" s="214"/>
      <c r="C100" t="s">
        <v>2586</v>
      </c>
    </row>
    <row r="101" spans="2:3" x14ac:dyDescent="0.25">
      <c r="B101" s="214"/>
      <c r="C101" t="s">
        <v>2587</v>
      </c>
    </row>
    <row r="102" spans="2:3" x14ac:dyDescent="0.25">
      <c r="B102" s="214"/>
      <c r="C102" t="s">
        <v>2588</v>
      </c>
    </row>
    <row r="103" spans="2:3" x14ac:dyDescent="0.25">
      <c r="B103" s="214"/>
      <c r="C103" t="s">
        <v>2589</v>
      </c>
    </row>
    <row r="104" spans="2:3" x14ac:dyDescent="0.25">
      <c r="B104" s="214"/>
      <c r="C104" t="s">
        <v>2590</v>
      </c>
    </row>
    <row r="105" spans="2:3" x14ac:dyDescent="0.25">
      <c r="B105" s="214"/>
      <c r="C105" t="s">
        <v>2591</v>
      </c>
    </row>
    <row r="106" spans="2:3" x14ac:dyDescent="0.25">
      <c r="B106" s="214"/>
      <c r="C106" t="s">
        <v>2592</v>
      </c>
    </row>
    <row r="107" spans="2:3" x14ac:dyDescent="0.25">
      <c r="B107" s="214"/>
      <c r="C107" t="s">
        <v>2593</v>
      </c>
    </row>
    <row r="108" spans="2:3" x14ac:dyDescent="0.25">
      <c r="B108" s="214"/>
      <c r="C108" t="s">
        <v>2594</v>
      </c>
    </row>
    <row r="109" spans="2:3" x14ac:dyDescent="0.25">
      <c r="B109" s="214"/>
      <c r="C109" t="s">
        <v>2595</v>
      </c>
    </row>
    <row r="110" spans="2:3" x14ac:dyDescent="0.25">
      <c r="B110" s="214"/>
      <c r="C110" t="s">
        <v>2596</v>
      </c>
    </row>
    <row r="111" spans="2:3" x14ac:dyDescent="0.25">
      <c r="B111" s="214"/>
      <c r="C111" t="s">
        <v>2597</v>
      </c>
    </row>
    <row r="112" spans="2:3" x14ac:dyDescent="0.25">
      <c r="B112" s="214"/>
      <c r="C112" t="s">
        <v>2598</v>
      </c>
    </row>
    <row r="113" spans="2:3" x14ac:dyDescent="0.25">
      <c r="B113" s="214"/>
      <c r="C113" t="s">
        <v>2599</v>
      </c>
    </row>
    <row r="114" spans="2:3" x14ac:dyDescent="0.25">
      <c r="B114" s="214"/>
      <c r="C114" t="s">
        <v>2600</v>
      </c>
    </row>
  </sheetData>
  <sortState xmlns:xlrd2="http://schemas.microsoft.com/office/spreadsheetml/2017/richdata2" ref="B29:D40">
    <sortCondition ref="D40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B1:K17"/>
  <sheetViews>
    <sheetView workbookViewId="0">
      <selection activeCell="K19" sqref="K19"/>
    </sheetView>
  </sheetViews>
  <sheetFormatPr defaultRowHeight="15" x14ac:dyDescent="0.25"/>
  <cols>
    <col min="3" max="3" width="12.5703125" bestFit="1" customWidth="1"/>
    <col min="4" max="4" width="15.5703125" customWidth="1"/>
    <col min="5" max="6" width="19" customWidth="1"/>
    <col min="7" max="8" width="14.28515625" bestFit="1" customWidth="1"/>
    <col min="9" max="9" width="14.5703125" customWidth="1"/>
    <col min="10" max="10" width="15.5703125" customWidth="1"/>
    <col min="11" max="11" width="19.140625" customWidth="1"/>
  </cols>
  <sheetData>
    <row r="1" spans="2:11" x14ac:dyDescent="0.25">
      <c r="C1">
        <v>2015</v>
      </c>
      <c r="D1">
        <v>2016</v>
      </c>
      <c r="E1">
        <v>2017</v>
      </c>
      <c r="F1">
        <v>2018</v>
      </c>
      <c r="G1">
        <v>2019</v>
      </c>
      <c r="H1">
        <v>2020</v>
      </c>
      <c r="I1">
        <v>2021</v>
      </c>
      <c r="J1">
        <v>2022</v>
      </c>
      <c r="K1">
        <v>2023</v>
      </c>
    </row>
    <row r="2" spans="2:11" x14ac:dyDescent="0.25">
      <c r="B2" t="s">
        <v>17</v>
      </c>
      <c r="C2" s="1">
        <f>SUMIFS('Road Evaluations'!$AD$3:$AD$1147,'Road Evaluations'!$J$3:$J$1147,'Money per area'!$B2,'Road Evaluations'!$AG$3:$AG$1147,'Money per area'!C$1)</f>
        <v>0</v>
      </c>
      <c r="D2" s="1">
        <f>SUMIFS('Road Evaluations'!$AD$3:$AD$1147,'Road Evaluations'!$J$3:$J$1147,'Money per area'!$B2,'Road Evaluations'!$AG$3:$AG$1147,'Money per area'!D$1)</f>
        <v>0</v>
      </c>
      <c r="E2" s="1">
        <f>SUMIFS('Road Evaluations'!$AD$3:$AD$1147,'Road Evaluations'!$J$3:$J$1147,'Money per area'!$B2,'Road Evaluations'!$AG$3:$AG$1147,'Money per area'!E$1)</f>
        <v>0</v>
      </c>
      <c r="F2" s="1">
        <f>SUMIFS('Road Evaluations'!$AD$3:$AD$1147,'Road Evaluations'!$J$3:$J$1147,'Money per area'!$B2,'Road Evaluations'!$AG$3:$AG$1147,'Money per area'!F$1)</f>
        <v>0</v>
      </c>
      <c r="G2" s="1">
        <f>SUMIFS('Road Evaluations'!$AD$3:$AD$1147,'Road Evaluations'!$J$3:$J$1147,'Money per area'!$B2,'Road Evaluations'!$AG$3:$AG$1147,'Money per area'!G$1)</f>
        <v>0</v>
      </c>
      <c r="H2" s="1">
        <f>SUMIFS('Road Evaluations'!$AD$3:$AD$1147,'Road Evaluations'!$J$3:$J$1147,'Money per area'!$B2,'Road Evaluations'!$AG$3:$AG$1147,'Money per area'!H$1)</f>
        <v>0</v>
      </c>
      <c r="I2" s="1">
        <f>SUMIFS('Road Evaluations'!$AD$3:$AD$1147,'Road Evaluations'!$J$3:$J$1147,'Money per area'!$B2,'Road Evaluations'!$AG$3:$AG$1147,'Money per area'!I$1)</f>
        <v>0</v>
      </c>
      <c r="J2" s="1">
        <f>SUMIFS('Road Evaluations'!$AD$3:$AD$1147,'Road Evaluations'!$J$3:$J$1147,'Money per area'!$B2,'Road Evaluations'!$AG$3:$AG$1147,'Money per area'!J$1)</f>
        <v>124166.47727272728</v>
      </c>
      <c r="K2" s="1">
        <f>SUMIFS('Road Evaluations'!$AD$3:$AD$1147,'Road Evaluations'!$J$3:$J$1147,'Money per area'!$B2,'Road Evaluations'!$AG$3:$AG$1147,'Money per area'!K$1)</f>
        <v>179126.89393939389</v>
      </c>
    </row>
    <row r="3" spans="2:11" x14ac:dyDescent="0.25">
      <c r="B3" t="s">
        <v>125</v>
      </c>
      <c r="C3" s="1">
        <f>SUMIFS('Road Evaluations'!$AD$3:$AD$1147,'Road Evaluations'!$J$3:$J$1147,'Money per area'!$B3,'Road Evaluations'!$AG$3:$AG$1147,'Money per area'!C$1)</f>
        <v>0</v>
      </c>
      <c r="D3" s="1">
        <f>SUMIFS('Road Evaluations'!$AD$3:$AD$1147,'Road Evaluations'!$J$3:$J$1147,'Money per area'!$B3,'Road Evaluations'!$AG$3:$AG$1147,'Money per area'!D$1)</f>
        <v>0</v>
      </c>
      <c r="E3" s="1">
        <f>SUMIFS('Road Evaluations'!$AD$3:$AD$1147,'Road Evaluations'!$J$3:$J$1147,'Money per area'!$B3,'Road Evaluations'!$AG$3:$AG$1147,'Money per area'!E$1)</f>
        <v>0</v>
      </c>
      <c r="F3" s="1">
        <f>SUMIFS('Road Evaluations'!$AD$3:$AD$1147,'Road Evaluations'!$J$3:$J$1147,'Money per area'!$B3,'Road Evaluations'!$AG$3:$AG$1147,'Money per area'!F$1)</f>
        <v>0</v>
      </c>
      <c r="G3" s="1">
        <f>SUMIFS('Road Evaluations'!$AD$3:$AD$1147,'Road Evaluations'!$J$3:$J$1147,'Money per area'!$B3,'Road Evaluations'!$AG$3:$AG$1147,'Money per area'!G$1)</f>
        <v>0</v>
      </c>
      <c r="H3" s="1">
        <f>SUMIFS('Road Evaluations'!$AD$3:$AD$1147,'Road Evaluations'!$J$3:$J$1147,'Money per area'!$B3,'Road Evaluations'!$AG$3:$AG$1147,'Money per area'!H$1)</f>
        <v>0</v>
      </c>
      <c r="I3" s="1">
        <f>SUMIFS('Road Evaluations'!$AD$3:$AD$1147,'Road Evaluations'!$J$3:$J$1147,'Money per area'!$B3,'Road Evaluations'!$AG$3:$AG$1147,'Money per area'!I$1)</f>
        <v>0</v>
      </c>
      <c r="J3" s="1">
        <f>SUMIFS('Road Evaluations'!$AD$3:$AD$1147,'Road Evaluations'!$J$3:$J$1147,'Money per area'!$B3,'Road Evaluations'!$AG$3:$AG$1147,'Money per area'!J$1)</f>
        <v>565504.88636363624</v>
      </c>
      <c r="K3" s="1">
        <f>SUMIFS('Road Evaluations'!$AD$3:$AD$1147,'Road Evaluations'!$J$3:$J$1147,'Money per area'!$B3,'Road Evaluations'!$AG$3:$AG$1147,'Money per area'!K$1)</f>
        <v>607668.56060606067</v>
      </c>
    </row>
    <row r="4" spans="2:11" x14ac:dyDescent="0.25">
      <c r="B4" t="s">
        <v>172</v>
      </c>
      <c r="C4" s="1">
        <f>SUMIFS('Road Evaluations'!$AD$3:$AD$1147,'Road Evaluations'!$J$3:$J$1147,'Money per area'!$B4,'Road Evaluations'!$AG$3:$AG$1147,'Money per area'!C$1)</f>
        <v>0</v>
      </c>
      <c r="D4" s="1">
        <f>SUMIFS('Road Evaluations'!$AD$3:$AD$1147,'Road Evaluations'!$J$3:$J$1147,'Money per area'!$B4,'Road Evaluations'!$AG$3:$AG$1147,'Money per area'!D$1)</f>
        <v>0</v>
      </c>
      <c r="E4" s="1">
        <f>SUMIFS('Road Evaluations'!$AD$3:$AD$1147,'Road Evaluations'!$J$3:$J$1147,'Money per area'!$B4,'Road Evaluations'!$AG$3:$AG$1147,'Money per area'!E$1)</f>
        <v>0</v>
      </c>
      <c r="F4" s="1">
        <f>SUMIFS('Road Evaluations'!$AD$3:$AD$1147,'Road Evaluations'!$J$3:$J$1147,'Money per area'!$B4,'Road Evaluations'!$AG$3:$AG$1147,'Money per area'!F$1)</f>
        <v>0</v>
      </c>
      <c r="G4" s="1">
        <f>SUMIFS('Road Evaluations'!$AD$3:$AD$1147,'Road Evaluations'!$J$3:$J$1147,'Money per area'!$B4,'Road Evaluations'!$AG$3:$AG$1147,'Money per area'!G$1)</f>
        <v>0</v>
      </c>
      <c r="H4" s="1">
        <f>SUMIFS('Road Evaluations'!$AD$3:$AD$1147,'Road Evaluations'!$J$3:$J$1147,'Money per area'!$B4,'Road Evaluations'!$AG$3:$AG$1147,'Money per area'!H$1)</f>
        <v>0</v>
      </c>
      <c r="I4" s="1">
        <f>SUMIFS('Road Evaluations'!$AD$3:$AD$1147,'Road Evaluations'!$J$3:$J$1147,'Money per area'!$B4,'Road Evaluations'!$AG$3:$AG$1147,'Money per area'!I$1)</f>
        <v>0</v>
      </c>
      <c r="J4" s="1">
        <f>SUMIFS('Road Evaluations'!$AD$3:$AD$1147,'Road Evaluations'!$J$3:$J$1147,'Money per area'!$B4,'Road Evaluations'!$AG$3:$AG$1147,'Money per area'!J$1)</f>
        <v>287699.54212121206</v>
      </c>
      <c r="K4" s="1">
        <f>SUMIFS('Road Evaluations'!$AD$3:$AD$1147,'Road Evaluations'!$J$3:$J$1147,'Money per area'!$B4,'Road Evaluations'!$AG$3:$AG$1147,'Money per area'!K$1)</f>
        <v>295331.25</v>
      </c>
    </row>
    <row r="5" spans="2:11" x14ac:dyDescent="0.25">
      <c r="B5" t="s">
        <v>6</v>
      </c>
      <c r="C5" s="1">
        <f>SUMIFS('Road Evaluations'!$AD$3:$AD$1147,'Road Evaluations'!$J$3:$J$1147,'Money per area'!$B5,'Road Evaluations'!$AG$3:$AG$1147,'Money per area'!C$1)</f>
        <v>0</v>
      </c>
      <c r="D5" s="1">
        <f>SUMIFS('Road Evaluations'!$AD$3:$AD$1147,'Road Evaluations'!$J$3:$J$1147,'Money per area'!$B5,'Road Evaluations'!$AG$3:$AG$1147,'Money per area'!D$1)</f>
        <v>0</v>
      </c>
      <c r="E5" s="1">
        <f>SUMIFS('Road Evaluations'!$AD$3:$AD$1147,'Road Evaluations'!$J$3:$J$1147,'Money per area'!$B5,'Road Evaluations'!$AG$3:$AG$1147,'Money per area'!E$1)</f>
        <v>0</v>
      </c>
      <c r="F5" s="1">
        <f>SUMIFS('Road Evaluations'!$AD$3:$AD$1147,'Road Evaluations'!$J$3:$J$1147,'Money per area'!$B5,'Road Evaluations'!$AG$3:$AG$1147,'Money per area'!F$1)</f>
        <v>0</v>
      </c>
      <c r="G5" s="1">
        <f>SUMIFS('Road Evaluations'!$AD$3:$AD$1147,'Road Evaluations'!$J$3:$J$1147,'Money per area'!$B5,'Road Evaluations'!$AG$3:$AG$1147,'Money per area'!G$1)</f>
        <v>0</v>
      </c>
      <c r="H5" s="1">
        <f>SUMIFS('Road Evaluations'!$AD$3:$AD$1147,'Road Evaluations'!$J$3:$J$1147,'Money per area'!$B5,'Road Evaluations'!$AG$3:$AG$1147,'Money per area'!H$1)</f>
        <v>0</v>
      </c>
      <c r="I5" s="1">
        <f>SUMIFS('Road Evaluations'!$AD$3:$AD$1147,'Road Evaluations'!$J$3:$J$1147,'Money per area'!$B5,'Road Evaluations'!$AG$3:$AG$1147,'Money per area'!I$1)</f>
        <v>0</v>
      </c>
      <c r="J5" s="1">
        <f>SUMIFS('Road Evaluations'!$AD$3:$AD$1147,'Road Evaluations'!$J$3:$J$1147,'Money per area'!$B5,'Road Evaluations'!$AG$3:$AG$1147,'Money per area'!J$1)</f>
        <v>210095.75757575763</v>
      </c>
      <c r="K5" s="1">
        <f>SUMIFS('Road Evaluations'!$AD$3:$AD$1147,'Road Evaluations'!$J$3:$J$1147,'Money per area'!$B5,'Road Evaluations'!$AG$3:$AG$1147,'Money per area'!K$1)</f>
        <v>166514.39393939395</v>
      </c>
    </row>
    <row r="6" spans="2:11" x14ac:dyDescent="0.25">
      <c r="B6" t="s">
        <v>101</v>
      </c>
      <c r="C6" s="1">
        <f>SUMIFS('Road Evaluations'!$AD$3:$AD$1147,'Road Evaluations'!$J$3:$J$1147,'Money per area'!$B6,'Road Evaluations'!$AG$3:$AG$1147,'Money per area'!C$1)</f>
        <v>0</v>
      </c>
      <c r="D6" s="1">
        <f>SUMIFS('Road Evaluations'!$AD$3:$AD$1147,'Road Evaluations'!$J$3:$J$1147,'Money per area'!$B6,'Road Evaluations'!$AG$3:$AG$1147,'Money per area'!D$1)</f>
        <v>0</v>
      </c>
      <c r="E6" s="1">
        <f>SUMIFS('Road Evaluations'!$AD$3:$AD$1147,'Road Evaluations'!$J$3:$J$1147,'Money per area'!$B6,'Road Evaluations'!$AG$3:$AG$1147,'Money per area'!E$1)</f>
        <v>0</v>
      </c>
      <c r="F6" s="1">
        <f>SUMIFS('Road Evaluations'!$AD$3:$AD$1147,'Road Evaluations'!$J$3:$J$1147,'Money per area'!$B6,'Road Evaluations'!$AG$3:$AG$1147,'Money per area'!F$1)</f>
        <v>0</v>
      </c>
      <c r="G6" s="1">
        <f>SUMIFS('Road Evaluations'!$AD$3:$AD$1147,'Road Evaluations'!$J$3:$J$1147,'Money per area'!$B6,'Road Evaluations'!$AG$3:$AG$1147,'Money per area'!G$1)</f>
        <v>0</v>
      </c>
      <c r="H6" s="1">
        <f>SUMIFS('Road Evaluations'!$AD$3:$AD$1147,'Road Evaluations'!$J$3:$J$1147,'Money per area'!$B6,'Road Evaluations'!$AG$3:$AG$1147,'Money per area'!H$1)</f>
        <v>0</v>
      </c>
      <c r="I6" s="1">
        <f>SUMIFS('Road Evaluations'!$AD$3:$AD$1147,'Road Evaluations'!$J$3:$J$1147,'Money per area'!$B6,'Road Evaluations'!$AG$3:$AG$1147,'Money per area'!I$1)</f>
        <v>0</v>
      </c>
      <c r="J6" s="1">
        <f>SUMIFS('Road Evaluations'!$AD$3:$AD$1147,'Road Evaluations'!$J$3:$J$1147,'Money per area'!$B6,'Road Evaluations'!$AG$3:$AG$1147,'Money per area'!J$1)</f>
        <v>138608.63636363638</v>
      </c>
      <c r="K6" s="1">
        <f>SUMIFS('Road Evaluations'!$AD$3:$AD$1147,'Road Evaluations'!$J$3:$J$1147,'Money per area'!$B6,'Road Evaluations'!$AG$3:$AG$1147,'Money per area'!K$1)</f>
        <v>519850.37878787867</v>
      </c>
    </row>
    <row r="7" spans="2:11" x14ac:dyDescent="0.25">
      <c r="B7" t="s">
        <v>62</v>
      </c>
      <c r="C7" s="1">
        <f>SUMIFS('Road Evaluations'!$AD$3:$AD$1147,'Road Evaluations'!$J$3:$J$1147,'Money per area'!$B7,'Road Evaluations'!$AG$3:$AG$1147,'Money per area'!C$1)</f>
        <v>0</v>
      </c>
      <c r="D7" s="1">
        <f>SUMIFS('Road Evaluations'!$AD$3:$AD$1147,'Road Evaluations'!$J$3:$J$1147,'Money per area'!$B7,'Road Evaluations'!$AG$3:$AG$1147,'Money per area'!D$1)</f>
        <v>0</v>
      </c>
      <c r="E7" s="1">
        <f>SUMIFS('Road Evaluations'!$AD$3:$AD$1147,'Road Evaluations'!$J$3:$J$1147,'Money per area'!$B7,'Road Evaluations'!$AG$3:$AG$1147,'Money per area'!E$1)</f>
        <v>0</v>
      </c>
      <c r="F7" s="1">
        <f>SUMIFS('Road Evaluations'!$AD$3:$AD$1147,'Road Evaluations'!$J$3:$J$1147,'Money per area'!$B7,'Road Evaluations'!$AG$3:$AG$1147,'Money per area'!F$1)</f>
        <v>0</v>
      </c>
      <c r="G7" s="1">
        <f>SUMIFS('Road Evaluations'!$AD$3:$AD$1147,'Road Evaluations'!$J$3:$J$1147,'Money per area'!$B7,'Road Evaluations'!$AG$3:$AG$1147,'Money per area'!G$1)</f>
        <v>0</v>
      </c>
      <c r="H7" s="1">
        <f>SUMIFS('Road Evaluations'!$AD$3:$AD$1147,'Road Evaluations'!$J$3:$J$1147,'Money per area'!$B7,'Road Evaluations'!$AG$3:$AG$1147,'Money per area'!H$1)</f>
        <v>0</v>
      </c>
      <c r="I7" s="1">
        <f>SUMIFS('Road Evaluations'!$AD$3:$AD$1147,'Road Evaluations'!$J$3:$J$1147,'Money per area'!$B7,'Road Evaluations'!$AG$3:$AG$1147,'Money per area'!I$1)</f>
        <v>0</v>
      </c>
      <c r="J7" s="1">
        <f>SUMIFS('Road Evaluations'!$AD$3:$AD$1147,'Road Evaluations'!$J$3:$J$1147,'Money per area'!$B7,'Road Evaluations'!$AG$3:$AG$1147,'Money per area'!J$1)</f>
        <v>239083.14393939389</v>
      </c>
      <c r="K7" s="1">
        <f>SUMIFS('Road Evaluations'!$AD$3:$AD$1147,'Road Evaluations'!$J$3:$J$1147,'Money per area'!$B7,'Road Evaluations'!$AG$3:$AG$1147,'Money per area'!K$1)</f>
        <v>134660.22727272726</v>
      </c>
    </row>
    <row r="8" spans="2:11" x14ac:dyDescent="0.25">
      <c r="B8" t="s">
        <v>26</v>
      </c>
      <c r="C8" s="1">
        <f>SUMIFS('Road Evaluations'!$AD$3:$AD$1147,'Road Evaluations'!$J$3:$J$1147,'Money per area'!$B8,'Road Evaluations'!$AG$3:$AG$1147,'Money per area'!C$1)</f>
        <v>0</v>
      </c>
      <c r="D8" s="1">
        <f>SUMIFS('Road Evaluations'!$AD$3:$AD$1147,'Road Evaluations'!$J$3:$J$1147,'Money per area'!$B8,'Road Evaluations'!$AG$3:$AG$1147,'Money per area'!D$1)</f>
        <v>0</v>
      </c>
      <c r="E8" s="1">
        <f>SUMIFS('Road Evaluations'!$AD$3:$AD$1147,'Road Evaluations'!$J$3:$J$1147,'Money per area'!$B8,'Road Evaluations'!$AG$3:$AG$1147,'Money per area'!E$1)</f>
        <v>0</v>
      </c>
      <c r="F8" s="1">
        <f>SUMIFS('Road Evaluations'!$AD$3:$AD$1147,'Road Evaluations'!$J$3:$J$1147,'Money per area'!$B8,'Road Evaluations'!$AG$3:$AG$1147,'Money per area'!F$1)</f>
        <v>0</v>
      </c>
      <c r="G8" s="1">
        <f>SUMIFS('Road Evaluations'!$AD$3:$AD$1147,'Road Evaluations'!$J$3:$J$1147,'Money per area'!$B8,'Road Evaluations'!$AG$3:$AG$1147,'Money per area'!G$1)</f>
        <v>0</v>
      </c>
      <c r="H8" s="1">
        <f>SUMIFS('Road Evaluations'!$AD$3:$AD$1147,'Road Evaluations'!$J$3:$J$1147,'Money per area'!$B8,'Road Evaluations'!$AG$3:$AG$1147,'Money per area'!H$1)</f>
        <v>0</v>
      </c>
      <c r="I8" s="1">
        <f>SUMIFS('Road Evaluations'!$AD$3:$AD$1147,'Road Evaluations'!$J$3:$J$1147,'Money per area'!$B8,'Road Evaluations'!$AG$3:$AG$1147,'Money per area'!I$1)</f>
        <v>0</v>
      </c>
      <c r="J8" s="1">
        <f>SUMIFS('Road Evaluations'!$AD$3:$AD$1147,'Road Evaluations'!$J$3:$J$1147,'Money per area'!$B8,'Road Evaluations'!$AG$3:$AG$1147,'Money per area'!J$1)</f>
        <v>135755.7575757576</v>
      </c>
      <c r="K8" s="1">
        <f>SUMIFS('Road Evaluations'!$AD$3:$AD$1147,'Road Evaluations'!$J$3:$J$1147,'Money per area'!$B8,'Road Evaluations'!$AG$3:$AG$1147,'Money per area'!K$1)</f>
        <v>928289.2045454547</v>
      </c>
    </row>
    <row r="9" spans="2:11" x14ac:dyDescent="0.25">
      <c r="B9" t="s">
        <v>160</v>
      </c>
      <c r="C9" s="1">
        <f>SUMIFS('Road Evaluations'!$AD$3:$AD$1147,'Road Evaluations'!$J$3:$J$1147,'Money per area'!$B9,'Road Evaluations'!$AG$3:$AG$1147,'Money per area'!C$1)</f>
        <v>0</v>
      </c>
      <c r="D9" s="1">
        <f>SUMIFS('Road Evaluations'!$AD$3:$AD$1147,'Road Evaluations'!$J$3:$J$1147,'Money per area'!$B9,'Road Evaluations'!$AG$3:$AG$1147,'Money per area'!D$1)</f>
        <v>0</v>
      </c>
      <c r="E9" s="1">
        <f>SUMIFS('Road Evaluations'!$AD$3:$AD$1147,'Road Evaluations'!$J$3:$J$1147,'Money per area'!$B9,'Road Evaluations'!$AG$3:$AG$1147,'Money per area'!E$1)</f>
        <v>0</v>
      </c>
      <c r="F9" s="1">
        <f>SUMIFS('Road Evaluations'!$AD$3:$AD$1147,'Road Evaluations'!$J$3:$J$1147,'Money per area'!$B9,'Road Evaluations'!$AG$3:$AG$1147,'Money per area'!F$1)</f>
        <v>0</v>
      </c>
      <c r="G9" s="1">
        <f>SUMIFS('Road Evaluations'!$AD$3:$AD$1147,'Road Evaluations'!$J$3:$J$1147,'Money per area'!$B9,'Road Evaluations'!$AG$3:$AG$1147,'Money per area'!G$1)</f>
        <v>0</v>
      </c>
      <c r="H9" s="1">
        <f>SUMIFS('Road Evaluations'!$AD$3:$AD$1147,'Road Evaluations'!$J$3:$J$1147,'Money per area'!$B9,'Road Evaluations'!$AG$3:$AG$1147,'Money per area'!H$1)</f>
        <v>0</v>
      </c>
      <c r="I9" s="1">
        <f>SUMIFS('Road Evaluations'!$AD$3:$AD$1147,'Road Evaluations'!$J$3:$J$1147,'Money per area'!$B9,'Road Evaluations'!$AG$3:$AG$1147,'Money per area'!I$1)</f>
        <v>0</v>
      </c>
      <c r="J9" s="1">
        <f>SUMIFS('Road Evaluations'!$AD$3:$AD$1147,'Road Evaluations'!$J$3:$J$1147,'Money per area'!$B9,'Road Evaluations'!$AG$3:$AG$1147,'Money per area'!J$1)</f>
        <v>268759.28030303027</v>
      </c>
      <c r="K9" s="1">
        <f>SUMIFS('Road Evaluations'!$AD$3:$AD$1147,'Road Evaluations'!$J$3:$J$1147,'Money per area'!$B9,'Road Evaluations'!$AG$3:$AG$1147,'Money per area'!K$1)</f>
        <v>1217231.4393939395</v>
      </c>
    </row>
    <row r="10" spans="2:11" x14ac:dyDescent="0.25">
      <c r="B10" t="s">
        <v>11</v>
      </c>
      <c r="C10" s="1">
        <f>SUMIFS('Road Evaluations'!$AD$3:$AD$1147,'Road Evaluations'!$J$3:$J$1147,'Money per area'!$B10,'Road Evaluations'!$AG$3:$AG$1147,'Money per area'!C$1)</f>
        <v>0</v>
      </c>
      <c r="D10" s="1">
        <f>SUMIFS('Road Evaluations'!$AD$3:$AD$1147,'Road Evaluations'!$J$3:$J$1147,'Money per area'!$B10,'Road Evaluations'!$AG$3:$AG$1147,'Money per area'!D$1)</f>
        <v>0</v>
      </c>
      <c r="E10" s="1">
        <f>SUMIFS('Road Evaluations'!$AD$3:$AD$1147,'Road Evaluations'!$J$3:$J$1147,'Money per area'!$B10,'Road Evaluations'!$AG$3:$AG$1147,'Money per area'!E$1)</f>
        <v>0</v>
      </c>
      <c r="F10" s="1">
        <f>SUMIFS('Road Evaluations'!$AD$3:$AD$1147,'Road Evaluations'!$J$3:$J$1147,'Money per area'!$B10,'Road Evaluations'!$AG$3:$AG$1147,'Money per area'!F$1)</f>
        <v>0</v>
      </c>
      <c r="G10" s="1">
        <f>SUMIFS('Road Evaluations'!$AD$3:$AD$1147,'Road Evaluations'!$J$3:$J$1147,'Money per area'!$B10,'Road Evaluations'!$AG$3:$AG$1147,'Money per area'!G$1)</f>
        <v>0</v>
      </c>
      <c r="H10" s="1">
        <f>SUMIFS('Road Evaluations'!$AD$3:$AD$1147,'Road Evaluations'!$J$3:$J$1147,'Money per area'!$B10,'Road Evaluations'!$AG$3:$AG$1147,'Money per area'!H$1)</f>
        <v>0</v>
      </c>
      <c r="I10" s="1">
        <f>SUMIFS('Road Evaluations'!$AD$3:$AD$1147,'Road Evaluations'!$J$3:$J$1147,'Money per area'!$B10,'Road Evaluations'!$AG$3:$AG$1147,'Money per area'!I$1)</f>
        <v>0</v>
      </c>
      <c r="J10" s="1">
        <f>SUMIFS('Road Evaluations'!$AD$3:$AD$1147,'Road Evaluations'!$J$3:$J$1147,'Money per area'!$B10,'Road Evaluations'!$AG$3:$AG$1147,'Money per area'!J$1)</f>
        <v>375004.58333333343</v>
      </c>
      <c r="K10" s="1">
        <f>SUMIFS('Road Evaluations'!$AD$3:$AD$1147,'Road Evaluations'!$J$3:$J$1147,'Money per area'!$B10,'Road Evaluations'!$AG$3:$AG$1147,'Money per area'!K$1)</f>
        <v>481801.32575757569</v>
      </c>
    </row>
    <row r="12" spans="2:11" x14ac:dyDescent="0.25">
      <c r="B12" t="s">
        <v>2360</v>
      </c>
      <c r="C12" s="23">
        <f>SUM(C2,C8,C4)</f>
        <v>0</v>
      </c>
      <c r="D12" s="23">
        <f t="shared" ref="D12:J12" si="0">SUM(D2,D8,D4)</f>
        <v>0</v>
      </c>
      <c r="E12" s="23">
        <f t="shared" si="0"/>
        <v>0</v>
      </c>
      <c r="F12" s="23">
        <f t="shared" si="0"/>
        <v>0</v>
      </c>
      <c r="G12" s="23">
        <f t="shared" si="0"/>
        <v>0</v>
      </c>
      <c r="H12" s="23">
        <f t="shared" si="0"/>
        <v>0</v>
      </c>
      <c r="I12" s="23">
        <f t="shared" si="0"/>
        <v>0</v>
      </c>
      <c r="J12" s="23">
        <f t="shared" si="0"/>
        <v>547621.77696969686</v>
      </c>
      <c r="K12" s="23">
        <f t="shared" ref="K12" si="1">SUM(K2,K8,K4)</f>
        <v>1402747.3484848486</v>
      </c>
    </row>
    <row r="13" spans="2:11" x14ac:dyDescent="0.25">
      <c r="B13" t="s">
        <v>2361</v>
      </c>
      <c r="C13" s="23">
        <f>SUM(C6,C7,C5)</f>
        <v>0</v>
      </c>
      <c r="D13" s="23">
        <f t="shared" ref="D13:J13" si="2">SUM(D6,D7,D5)</f>
        <v>0</v>
      </c>
      <c r="E13" s="23">
        <f t="shared" si="2"/>
        <v>0</v>
      </c>
      <c r="F13" s="23">
        <f t="shared" si="2"/>
        <v>0</v>
      </c>
      <c r="G13" s="23">
        <f t="shared" si="2"/>
        <v>0</v>
      </c>
      <c r="H13" s="23">
        <f t="shared" si="2"/>
        <v>0</v>
      </c>
      <c r="I13" s="23">
        <f t="shared" si="2"/>
        <v>0</v>
      </c>
      <c r="J13" s="23">
        <f t="shared" si="2"/>
        <v>587787.53787878784</v>
      </c>
      <c r="K13" s="23">
        <f t="shared" ref="K13" si="3">SUM(K6,K7,K5)</f>
        <v>821024.99999999988</v>
      </c>
    </row>
    <row r="14" spans="2:11" x14ac:dyDescent="0.25">
      <c r="B14" t="s">
        <v>2362</v>
      </c>
      <c r="C14" s="23">
        <f>SUM(C9,C10,C3)</f>
        <v>0</v>
      </c>
      <c r="D14" s="23">
        <f t="shared" ref="D14:J14" si="4">SUM(D9,D10,D3)</f>
        <v>0</v>
      </c>
      <c r="E14" s="23">
        <f t="shared" si="4"/>
        <v>0</v>
      </c>
      <c r="F14" s="23">
        <f t="shared" si="4"/>
        <v>0</v>
      </c>
      <c r="G14" s="23">
        <f t="shared" si="4"/>
        <v>0</v>
      </c>
      <c r="H14" s="23">
        <f t="shared" si="4"/>
        <v>0</v>
      </c>
      <c r="I14" s="23">
        <f t="shared" si="4"/>
        <v>0</v>
      </c>
      <c r="J14" s="23">
        <f t="shared" si="4"/>
        <v>1209268.75</v>
      </c>
      <c r="K14" s="23">
        <f t="shared" ref="K14" si="5">SUM(K9,K10,K3)</f>
        <v>2306701.3257575757</v>
      </c>
    </row>
    <row r="15" spans="2:11" x14ac:dyDescent="0.25">
      <c r="B15" t="s">
        <v>2363</v>
      </c>
      <c r="C15" s="23">
        <f>SUM(C10,C7,C2)</f>
        <v>0</v>
      </c>
      <c r="D15" s="23">
        <f t="shared" ref="D15:J15" si="6">SUM(D10,D7,D2)</f>
        <v>0</v>
      </c>
      <c r="E15" s="23">
        <f t="shared" si="6"/>
        <v>0</v>
      </c>
      <c r="F15" s="23">
        <f t="shared" si="6"/>
        <v>0</v>
      </c>
      <c r="G15" s="23">
        <f t="shared" si="6"/>
        <v>0</v>
      </c>
      <c r="H15" s="23">
        <f t="shared" si="6"/>
        <v>0</v>
      </c>
      <c r="I15" s="23">
        <f t="shared" si="6"/>
        <v>0</v>
      </c>
      <c r="J15" s="23">
        <f t="shared" si="6"/>
        <v>738254.20454545459</v>
      </c>
      <c r="K15" s="23">
        <f t="shared" ref="K15" si="7">SUM(K10,K7,K2)</f>
        <v>795588.4469696969</v>
      </c>
    </row>
    <row r="16" spans="2:11" x14ac:dyDescent="0.25">
      <c r="B16" t="s">
        <v>2060</v>
      </c>
      <c r="C16" s="23">
        <f>SUM(C3,C6,C8)</f>
        <v>0</v>
      </c>
      <c r="D16" s="23">
        <f t="shared" ref="D16:J16" si="8">SUM(D3,D6,D8)</f>
        <v>0</v>
      </c>
      <c r="E16" s="23">
        <f t="shared" si="8"/>
        <v>0</v>
      </c>
      <c r="F16" s="23">
        <f t="shared" si="8"/>
        <v>0</v>
      </c>
      <c r="G16" s="23">
        <f t="shared" si="8"/>
        <v>0</v>
      </c>
      <c r="H16" s="23">
        <f t="shared" si="8"/>
        <v>0</v>
      </c>
      <c r="I16" s="23">
        <f t="shared" si="8"/>
        <v>0</v>
      </c>
      <c r="J16" s="23">
        <f t="shared" si="8"/>
        <v>839869.28030303016</v>
      </c>
      <c r="K16" s="23">
        <f t="shared" ref="K16" si="9">SUM(K3,K6,K8)</f>
        <v>2055808.143939394</v>
      </c>
    </row>
    <row r="17" spans="2:11" x14ac:dyDescent="0.25">
      <c r="B17" t="s">
        <v>2364</v>
      </c>
      <c r="C17" s="23">
        <f>SUM(C9,C4,C5)</f>
        <v>0</v>
      </c>
      <c r="D17" s="23">
        <f t="shared" ref="D17:J17" si="10">SUM(D9,D4,D5)</f>
        <v>0</v>
      </c>
      <c r="E17" s="23">
        <f t="shared" si="10"/>
        <v>0</v>
      </c>
      <c r="F17" s="23">
        <f t="shared" si="10"/>
        <v>0</v>
      </c>
      <c r="G17" s="23">
        <f t="shared" si="10"/>
        <v>0</v>
      </c>
      <c r="H17" s="23">
        <f t="shared" si="10"/>
        <v>0</v>
      </c>
      <c r="I17" s="23">
        <f t="shared" si="10"/>
        <v>0</v>
      </c>
      <c r="J17" s="23">
        <f t="shared" si="10"/>
        <v>766554.57999999984</v>
      </c>
      <c r="K17" s="23">
        <f t="shared" ref="K17" si="11">SUM(K9,K4,K5)</f>
        <v>1679077.0833333335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Road Evaluations</vt:lpstr>
      <vt:lpstr>5Year</vt:lpstr>
      <vt:lpstr>Goal Tracker</vt:lpstr>
      <vt:lpstr>LIST BY TYPE OF WORK</vt:lpstr>
      <vt:lpstr>Work for the Year</vt:lpstr>
      <vt:lpstr>BUDJET Year</vt:lpstr>
      <vt:lpstr>Road Condition</vt:lpstr>
      <vt:lpstr>Cost and Score</vt:lpstr>
      <vt:lpstr>Money per area</vt:lpstr>
      <vt:lpstr>RSL</vt:lpstr>
      <vt:lpstr>AADT</vt:lpstr>
      <vt:lpstr>ADT</vt:lpstr>
      <vt:lpstr>Cost</vt:lpstr>
      <vt:lpstr>ROADEVAL</vt:lpstr>
      <vt:lpstr>RSL</vt:lpstr>
      <vt:lpstr>RSLloss</vt:lpstr>
      <vt:lpstr>RSLrem</vt:lpstr>
      <vt:lpstr>Township</vt:lpstr>
      <vt:lpstr>TOWNSHIPS</vt:lpstr>
      <vt:lpstr>treatment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Pool</dc:creator>
  <cp:lastModifiedBy>Gary Pool</cp:lastModifiedBy>
  <cp:lastPrinted>2024-09-09T11:42:21Z</cp:lastPrinted>
  <dcterms:created xsi:type="dcterms:W3CDTF">2014-06-27T14:26:09Z</dcterms:created>
  <dcterms:modified xsi:type="dcterms:W3CDTF">2024-09-09T11:42:51Z</dcterms:modified>
</cp:coreProperties>
</file>